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Historical_Data" sheetId="3" state="visible" r:id="rId5"/>
    <sheet name="Income_Statement" sheetId="4" state="visible" r:id="rId6"/>
    <sheet name="Balance_Sheet" sheetId="5" state="visible" r:id="rId7"/>
    <sheet name="Cash_Flow" sheetId="6" state="visible" r:id="rId8"/>
    <sheet name="Ratios" sheetId="7" state="visible" r:id="rId9"/>
    <sheet name="Checks" sheetId="8" state="visible" r:id="rId10"/>
    <sheet name="Disclaimer" sheetId="9" state="visible" r:id="rId11"/>
  </sheets>
  <definedNames>
    <definedName function="false" hidden="false" name="Buyback_Pct_NI" vbProcedure="false">Assumptions!$C$21</definedName>
    <definedName function="false" hidden="false" name="Capex_Pct_Revenue" vbProcedure="false">Assumptions!$C$14</definedName>
    <definedName function="false" hidden="false" name="COGS_Pct_Revenue" vbProcedure="false">Assumptions!$C$9</definedName>
    <definedName function="false" hidden="false" name="DA_Pct_Revenue" vbProcedure="false">Assumptions!$C$12</definedName>
    <definedName function="false" hidden="false" name="Debt_Paydown_Pct" vbProcedure="false">Assumptions!$C$18</definedName>
    <definedName function="false" hidden="false" name="Dividend_Payout" vbProcedure="false">Assumptions!$C$20</definedName>
    <definedName function="false" hidden="false" name="Interest_Rate" vbProcedure="false">Assumptions!$C$19</definedName>
    <definedName function="false" hidden="false" name="Model_Start_Year" vbProcedure="false">Assumptions!$C$7</definedName>
    <definedName function="false" hidden="false" name="NWC_Pct_Revenue" vbProcedure="false">Assumptions!$C$15</definedName>
    <definedName function="false" hidden="false" name="Other_Assets_Pct_Revenue" vbProcedure="false">Assumptions!$C$16</definedName>
    <definedName function="false" hidden="false" name="Other_Liab_Pct_Revenue" vbProcedure="false">Assumptions!$C$17</definedName>
    <definedName function="false" hidden="false" name="RD_Pct_Revenue" vbProcedure="false">Assumptions!$C$10</definedName>
    <definedName function="false" hidden="false" name="Revenue_Growth" vbProcedure="false">Assumptions!$C$8</definedName>
    <definedName function="false" hidden="false" name="SGA_Pct_Revenue" vbProcedure="false">Assumptions!$C$11</definedName>
    <definedName function="false" hidden="false" name="Tax_Rate"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<sst xmlns="http://schemas.openxmlformats.org/spreadsheetml/2006/main" count="265" uniqueCount="176">
  <si>
    <t xml:space="preserve">ADBE | 3-Statement Seed Model</t>
  </si>
  <si>
    <t xml:space="preserve">FINAMODEL.com</t>
  </si>
  <si>
    <t xml:space="preserve">ADOBE INC.</t>
  </si>
  <si>
    <t xml:space="preserve">Purpose</t>
  </si>
  <si>
    <t xml:space="preserve">Mechanically generated training seed model from SEC historicals.</t>
  </si>
  <si>
    <t xml:space="preserve">Display units</t>
  </si>
  <si>
    <t xml:space="preserve">USD $mm</t>
  </si>
  <si>
    <t xml:space="preserve">Model family</t>
  </si>
  <si>
    <t xml:space="preserve">general_corporate</t>
  </si>
  <si>
    <t xml:space="preserve">Resolved coverage</t>
  </si>
  <si>
    <t xml:space="preserve">Historical years</t>
  </si>
  <si>
    <t xml:space="preserve">2021-2025</t>
  </si>
  <si>
    <t xml:space="preserve">Forecast years</t>
  </si>
  <si>
    <t xml:space="preserve">2026-2030</t>
  </si>
  <si>
    <t xml:space="preserve">Sheet Navigation</t>
  </si>
  <si>
    <t xml:space="preserve">Assumptions</t>
  </si>
  <si>
    <t xml:space="preserve">Forecast drivers and source notes</t>
  </si>
  <si>
    <t xml:space="preserve">Historical_Data</t>
  </si>
  <si>
    <t xml:space="preserve">Resolved SEC actuals in USD $mm</t>
  </si>
  <si>
    <t xml:space="preserve">Income_Statement</t>
  </si>
  <si>
    <t xml:space="preserve">P&amp;L actuals and forecast</t>
  </si>
  <si>
    <t xml:space="preserve">Balance_Sheet</t>
  </si>
  <si>
    <t xml:space="preserve">Assets, liabilities, and equity</t>
  </si>
  <si>
    <t xml:space="preserve">Cash_Flow</t>
  </si>
  <si>
    <t xml:space="preserve">Indirect cash flow and cash reconciliation</t>
  </si>
  <si>
    <t xml:space="preserve">Ratios</t>
  </si>
  <si>
    <t xml:space="preserve">Profitability, leverage, efficiency, growth</t>
  </si>
  <si>
    <t xml:space="preserve">Checks</t>
  </si>
  <si>
    <t xml:space="preserve">Mechanical model checks</t>
  </si>
  <si>
    <t xml:space="preserve">Tab Colour Legend</t>
  </si>
  <si>
    <t xml:space="preserve">Deep Navy</t>
  </si>
  <si>
    <t xml:space="preserve">Cover</t>
  </si>
  <si>
    <t xml:space="preserve">Navy</t>
  </si>
  <si>
    <t xml:space="preserve">Inputs (Assumptions, Historical_Data)</t>
  </si>
  <si>
    <t xml:space="preserve">Steel Blue</t>
  </si>
  <si>
    <t xml:space="preserve">Outputs (IS, BS, CF, Ratios)</t>
  </si>
  <si>
    <t xml:space="preserve">Burgundy</t>
  </si>
  <si>
    <t xml:space="preserve">About this model</t>
  </si>
  <si>
    <t xml:space="preserve">A 3-statement financial model integrates income statement, balance sheet, and cash flow forecasts into a single coherent framework. This model answers what a company's profitability, financial position, and liquidity look like over a multi-year horizon by linking revenue drivers to operating expenses, working capital mechanics, debt schedules, and balance sheet reconciliation. All three statements flow through linked formulas: revenue feeds COGS and OpEx, operating results impact retained earnings and cash, and debt repayment reduces liabilities while cash balances tie out perfectly each period. Used by investors, lenders, and corporate planners to model the complete financial trajectory of an operating business.
The workbook structure includes segmented revenue build with explicit forecast drivers, detailed operating expense assumptions, working capital mechanics using days sales outstanding, days inventory outstanding, and days payable outstanding, a full debt schedule with interest expense and amortisation, and balance sheet validation rows that confirm assets equal liabilities plus equity. Every formula chains through the three statements: income flows to the balance sheet as retained earnings, which determines the opening cash for the cash flow statement, completing the cycle.
Investment committees, M&amp;A advisors, and corporate development teams use integrated 3-statement models as the backbone for fairness opinions, valuation sensitivity analysis, and covenant monitoring. The model structure ensures all stakeholders see the same numbers regardless of which statement they reference.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</si>
  <si>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</si>
  <si>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</si>
  <si>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</si>
  <si>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</si>
  <si>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Forecast drivers derived from SEC historicals</t>
  </si>
  <si>
    <t xml:space="preserve">Parameter</t>
  </si>
  <si>
    <t xml:space="preserve">Value</t>
  </si>
  <si>
    <t xml:space="preserve">Unit</t>
  </si>
  <si>
    <t xml:space="preserve">Notes</t>
  </si>
  <si>
    <t xml:space="preserve">Model Start Year</t>
  </si>
  <si>
    <t xml:space="preserve">Year</t>
  </si>
  <si>
    <t xml:space="preserve">First actual year; drives year helpers</t>
  </si>
  <si>
    <t xml:space="preserve">Revenue Growth</t>
  </si>
  <si>
    <t xml:space="preserve">%</t>
  </si>
  <si>
    <t xml:space="preserve">[Revenue] Derived from resolved SEC historicals</t>
  </si>
  <si>
    <t xml:space="preserve">COGS % of Revenue</t>
  </si>
  <si>
    <t xml:space="preserve">[Cost Structure] Derived from resolved SEC historicals</t>
  </si>
  <si>
    <t xml:space="preserve">R&amp;D % of Revenue</t>
  </si>
  <si>
    <t xml:space="preserve">Derived from resolved SEC historicals</t>
  </si>
  <si>
    <t xml:space="preserve">SG&amp;A % of Revenue</t>
  </si>
  <si>
    <t xml:space="preserve">D&amp;A % of Revenue</t>
  </si>
  <si>
    <t xml:space="preserve">Effective Tax Rate</t>
  </si>
  <si>
    <t xml:space="preserve">CapEx % of Revenue</t>
  </si>
  <si>
    <t xml:space="preserve">[CapEx &amp; Working Capital] Derived from resolved SEC historicals</t>
  </si>
  <si>
    <t xml:space="preserve">NWC % of Revenue</t>
  </si>
  <si>
    <t xml:space="preserve">Other Assets % of Revenue</t>
  </si>
  <si>
    <t xml:space="preserve">Other Liabilities % of Revenue</t>
  </si>
  <si>
    <t xml:space="preserve">Debt Paydown % of Opening</t>
  </si>
  <si>
    <t xml:space="preserve">[Capital Structure] Derived from resolved SEC historicals</t>
  </si>
  <si>
    <t xml:space="preserve">Interest Rate on Debt</t>
  </si>
  <si>
    <t xml:space="preserve">Dividend Payout Ratio</t>
  </si>
  <si>
    <t xml:space="preserve">Buybacks % of Net Income</t>
  </si>
  <si>
    <t xml:space="preserve">Historical Data</t>
  </si>
  <si>
    <t xml:space="preserve">Resolved SEC actuals · USD $mm</t>
  </si>
  <si>
    <t xml:space="preserve">Line Item</t>
  </si>
  <si>
    <t xml:space="preserve">Revenue</t>
  </si>
  <si>
    <t xml:space="preserve">Cogs</t>
  </si>
  <si>
    <t xml:space="preserve">Rd Expense</t>
  </si>
  <si>
    <t xml:space="preserve">Sga Expense</t>
  </si>
  <si>
    <t xml:space="preserve">Depreciation Amortization</t>
  </si>
  <si>
    <t xml:space="preserve">Tax Expense</t>
  </si>
  <si>
    <t xml:space="preserve">Pretax Income</t>
  </si>
  <si>
    <t xml:space="preserve">Net Income</t>
  </si>
  <si>
    <t xml:space="preserve">Capex</t>
  </si>
  <si>
    <t xml:space="preserve">Cash</t>
  </si>
  <si>
    <t xml:space="preserve">Net Working Capital</t>
  </si>
  <si>
    <t xml:space="preserve">Ppe Net</t>
  </si>
  <si>
    <t xml:space="preserve">Total Assets</t>
  </si>
  <si>
    <t xml:space="preserve">Total Liabilities</t>
  </si>
  <si>
    <t xml:space="preserve">Total Debt</t>
  </si>
  <si>
    <t xml:space="preserve">Dividends Paid</t>
  </si>
  <si>
    <t xml:space="preserve">Share Repurchases</t>
  </si>
  <si>
    <t xml:space="preserve">Interest Expense</t>
  </si>
  <si>
    <t xml:space="preserve">Operating Cash Flow</t>
  </si>
  <si>
    <t xml:space="preserve">ADBE | Income Statement</t>
  </si>
  <si>
    <t xml:space="preserve">Period</t>
  </si>
  <si>
    <t xml:space="preserve">Actual</t>
  </si>
  <si>
    <t xml:space="preserve">Forecast</t>
  </si>
  <si>
    <t xml:space="preserve">COGS</t>
  </si>
  <si>
    <t xml:space="preserve">GROSS PROFIT</t>
  </si>
  <si>
    <t xml:space="preserve">R&amp;D</t>
  </si>
  <si>
    <t xml:space="preserve">SG&amp;A</t>
  </si>
  <si>
    <t xml:space="preserve">EBITDA</t>
  </si>
  <si>
    <t xml:space="preserve">D&amp;A</t>
  </si>
  <si>
    <t xml:space="preserve">EBIT</t>
  </si>
  <si>
    <t xml:space="preserve">NET INCOME</t>
  </si>
  <si>
    <t xml:space="preserve">ADBE | Balance Sheet</t>
  </si>
  <si>
    <t xml:space="preserve">Cash &amp; Equivalents</t>
  </si>
  <si>
    <t xml:space="preserve">Net PP&amp;E</t>
  </si>
  <si>
    <t xml:space="preserve">Other Assets</t>
  </si>
  <si>
    <t xml:space="preserve">TOTAL ASSETS</t>
  </si>
  <si>
    <t xml:space="preserve">Debt</t>
  </si>
  <si>
    <t xml:space="preserve">Other Liabilities</t>
  </si>
  <si>
    <t xml:space="preserve">Equity</t>
  </si>
  <si>
    <t xml:space="preserve">TOTAL LIABILITIES &amp; EQUITY</t>
  </si>
  <si>
    <t xml:space="preserve">Balance Check</t>
  </si>
  <si>
    <t xml:space="preserve">ADBE | Cash Flow Statement</t>
  </si>
  <si>
    <t xml:space="preserve">Change in NWC</t>
  </si>
  <si>
    <t xml:space="preserve">Cash from Operations</t>
  </si>
  <si>
    <t xml:space="preserve">CapEx</t>
  </si>
  <si>
    <t xml:space="preserve">Free Cash Flow</t>
  </si>
  <si>
    <t xml:space="preserve">Debt Repayment</t>
  </si>
  <si>
    <t xml:space="preserve">Dividends</t>
  </si>
  <si>
    <t xml:space="preserve">Cash from Financing</t>
  </si>
  <si>
    <t xml:space="preserve">NET CHANGE IN CASH</t>
  </si>
  <si>
    <t xml:space="preserve">Opening Cash</t>
  </si>
  <si>
    <t xml:space="preserve">Closing Cash</t>
  </si>
  <si>
    <t xml:space="preserve">ADBE | Financial Ratios</t>
  </si>
  <si>
    <t xml:space="preserve">Profitability · Leverage · Efficiency · Growth</t>
  </si>
  <si>
    <t xml:space="preserve">Profitability</t>
  </si>
  <si>
    <t xml:space="preserve">Gross Margin</t>
  </si>
  <si>
    <t xml:space="preserve">EBITDA Margin</t>
  </si>
  <si>
    <t xml:space="preserve">EBIT Margin</t>
  </si>
  <si>
    <t xml:space="preserve">Net Margin</t>
  </si>
  <si>
    <t xml:space="preserve">Return on Equity</t>
  </si>
  <si>
    <t xml:space="preserve">Return on Assets</t>
  </si>
  <si>
    <t xml:space="preserve">Return on Invested Capital</t>
  </si>
  <si>
    <t xml:space="preserve">Leverage &amp; Coverage</t>
  </si>
  <si>
    <t xml:space="preserve">Debt / EBITDA</t>
  </si>
  <si>
    <t xml:space="preserve">Net Debt / EBITDA</t>
  </si>
  <si>
    <t xml:space="preserve">Debt / Equity</t>
  </si>
  <si>
    <t xml:space="preserve">Interest Coverage (EBIT / Interest)</t>
  </si>
  <si>
    <t xml:space="preserve">EBITDA / Interest</t>
  </si>
  <si>
    <t xml:space="preserve">Efficiency &amp; Cash</t>
  </si>
  <si>
    <t xml:space="preserve">Asset Turnover</t>
  </si>
  <si>
    <t xml:space="preserve">CapEx / Revenue</t>
  </si>
  <si>
    <t xml:space="preserve">CapEx / D&amp;A</t>
  </si>
  <si>
    <t xml:space="preserve">FCF Margin</t>
  </si>
  <si>
    <t xml:space="preserve">Cash Conversion (FCF / NI)</t>
  </si>
  <si>
    <t xml:space="preserve">Growth (YoY)</t>
  </si>
  <si>
    <t xml:space="preserve">EBITDA Growth</t>
  </si>
  <si>
    <t xml:space="preserve">EBIT Growth</t>
  </si>
  <si>
    <t xml:space="preserve">Net Income Growth</t>
  </si>
  <si>
    <t xml:space="preserve">Free Cash Flow Growth</t>
  </si>
  <si>
    <t xml:space="preserve">ADBE | Model Checks</t>
  </si>
  <si>
    <t xml:space="preserve">Mechanical integrity tests · TRUE = pass</t>
  </si>
  <si>
    <t xml:space="preserve">Balance Sheet Balanced</t>
  </si>
  <si>
    <t xml:space="preserve">Cash Reconciles</t>
  </si>
  <si>
    <t xml:space="preserve">Revenue Positive</t>
  </si>
  <si>
    <t xml:space="preserve">Debt Non-Negative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</si>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</sst>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
    <numFmt numFmtId="166" formatCode="0"/>
    <numFmt numFmtId="167" formatCode="#,##0.0;\(#,##0.0\);\-"/>
    <numFmt numFmtId="168" formatCode="0.0\x;\(0.0&quot;x)&quot;;\-"/>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b val="true"/>
      <sz val="11"/>
      <color theme="3"/>
      <name val="Arial"/>
      <family val="0"/>
      <charset val="1"/>
    </font>
    <font>
      <sz val="11"/>
      <color theme="1"/>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C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1E3A5F"/>
        <bgColor rgb="FF1F497D"/>
      </patternFill>
    </fill>
    <fill>
      <patternFill patternType="solid">
        <fgColor rgb="FF2C5282"/>
        <bgColor rgb="FF1F4E79"/>
      </patternFill>
    </fill>
    <fill>
      <patternFill patternType="solid">
        <fgColor rgb="FF4A6FA5"/>
        <bgColor rgb="FF2C5282"/>
      </patternFill>
    </fill>
    <fill>
      <patternFill patternType="solid">
        <fgColor rgb="FF8B2C2C"/>
        <bgColor rgb="FF993366"/>
      </patternFill>
    </fill>
    <fill>
      <patternFill patternType="solid">
        <fgColor rgb="FFD6E4F0"/>
        <bgColor rgb="FFDDEAF6"/>
      </patternFill>
    </fill>
    <fill>
      <patternFill patternType="solid">
        <fgColor rgb="FFE8F0FE"/>
        <bgColor rgb="FFF2F2F2"/>
      </patternFill>
    </fill>
    <fill>
      <patternFill patternType="solid">
        <fgColor rgb="FFDDEAF6"/>
        <bgColor rgb="FFD6E4F0"/>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center" vertical="center" textRotation="0" wrapText="false" indent="0" shrinkToFit="false"/>
      <protection locked="true" hidden="false"/>
    </xf>
    <xf numFmtId="166" fontId="16" fillId="9"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6" fillId="9" borderId="0" xfId="0" applyFont="true" applyBorder="false" applyAlignment="true" applyProtection="false">
      <alignment horizontal="right" vertical="center" textRotation="0" wrapText="false" indent="0" shrinkToFit="false"/>
      <protection locked="true" hidden="false"/>
    </xf>
    <xf numFmtId="166" fontId="15" fillId="2" borderId="0" xfId="0" applyFont="true" applyBorder="false" applyAlignment="true" applyProtection="false">
      <alignment horizontal="center"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1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7" fontId="8" fillId="10" borderId="1" xfId="0" applyFont="true" applyBorder="true" applyAlignment="true" applyProtection="false">
      <alignment horizontal="right" vertical="center" textRotation="0" wrapText="false" indent="0" shrinkToFit="false"/>
      <protection locked="true" hidden="false"/>
    </xf>
    <xf numFmtId="167" fontId="8"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0" fillId="10" borderId="0" xfId="0" applyFont="true" applyBorder="false" applyAlignment="true" applyProtection="false">
      <alignment horizontal="right" vertical="center" textRotation="0" wrapText="false" indent="0" shrinkToFit="false"/>
      <protection locked="true" hidden="false"/>
    </xf>
    <xf numFmtId="167" fontId="8" fillId="10" borderId="2" xfId="0" applyFont="true" applyBorder="true" applyAlignment="true" applyProtection="false">
      <alignment horizontal="right" vertical="center" textRotation="0" wrapText="false" indent="0" shrinkToFit="false"/>
      <protection locked="true" hidden="false"/>
    </xf>
    <xf numFmtId="167" fontId="8" fillId="0" borderId="2"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7" fontId="18" fillId="0" borderId="1" xfId="0" applyFont="true" applyBorder="true" applyAlignment="true" applyProtection="false">
      <alignment horizontal="right" vertical="center" textRotation="0" wrapText="false" indent="0" shrinkToFit="false"/>
      <protection locked="true" hidden="false"/>
    </xf>
    <xf numFmtId="165" fontId="0" fillId="1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8" fontId="0" fillId="1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12"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CC"/>
      <rgbColor rgb="FFFFFF00"/>
      <rgbColor rgb="FFFF00FF"/>
      <rgbColor rgb="FF00FFFF"/>
      <rgbColor rgb="FF800000"/>
      <rgbColor rgb="FF008000"/>
      <rgbColor rgb="FF000080"/>
      <rgbColor rgb="FF808000"/>
      <rgbColor rgb="FF800080"/>
      <rgbColor rgb="FF2C5282"/>
      <rgbColor rgb="FFC0C0C0"/>
      <rgbColor rgb="FF808080"/>
      <rgbColor rgb="FF9999FF"/>
      <rgbColor rgb="FF595959"/>
      <rgbColor rgb="FFF2F2F2"/>
      <rgbColor rgb="FFDDEAF6"/>
      <rgbColor rgb="FF660066"/>
      <rgbColor rgb="FFFF8080"/>
      <rgbColor rgb="FF1F4E79"/>
      <rgbColor rgb="FFC6D9F1"/>
      <rgbColor rgb="FF000080"/>
      <rgbColor rgb="FFFF00FF"/>
      <rgbColor rgb="FFFFFF00"/>
      <rgbColor rgb="FF00FFFF"/>
      <rgbColor rgb="FF800080"/>
      <rgbColor rgb="FF800000"/>
      <rgbColor rgb="FF008080"/>
      <rgbColor rgb="FF0000FF"/>
      <rgbColor rgb="FF00CCFF"/>
      <rgbColor rgb="FFE8F0FE"/>
      <rgbColor rgb="FFD6E4F0"/>
      <rgbColor rgb="FFFFFF99"/>
      <rgbColor rgb="FF99CCFF"/>
      <rgbColor rgb="FFFF99CC"/>
      <rgbColor rgb="FFCC99FF"/>
      <rgbColor rgb="FFFFCC99"/>
      <rgbColor rgb="FF3366FF"/>
      <rgbColor rgb="FF33CCCC"/>
      <rgbColor rgb="FF99CC00"/>
      <rgbColor rgb="FFFFCC00"/>
      <rgbColor rgb="FFFF9900"/>
      <rgbColor rgb="FFFF6600"/>
      <rgbColor rgb="FF4A6FA5"/>
      <rgbColor rgb="FF969696"/>
      <rgbColor rgb="FF1E3A5F"/>
      <rgbColor rgb="FF339966"/>
      <rgbColor rgb="FF003300"/>
      <rgbColor rgb="FF404040"/>
      <rgbColor rgb="FF8B2C2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3A5F"/>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60"/>
    <col collapsed="false" customWidth="true" hidden="false" outlineLevel="0" max="13" min="4"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t="s">
        <v>4</v>
      </c>
    </row>
    <row r="6" customFormat="false" ht="15" hidden="false" customHeight="false" outlineLevel="0" collapsed="false">
      <c r="B6" s="5" t="s">
        <v>5</v>
      </c>
      <c r="C6" s="6" t="s">
        <v>6</v>
      </c>
    </row>
    <row r="7" customFormat="false" ht="15" hidden="false" customHeight="false" outlineLevel="0" collapsed="false">
      <c r="B7" s="5" t="s">
        <v>7</v>
      </c>
      <c r="C7" s="6" t="s">
        <v>8</v>
      </c>
    </row>
    <row r="8" customFormat="false" ht="15" hidden="false" customHeight="false" outlineLevel="0" collapsed="false">
      <c r="B8" s="5" t="s">
        <v>9</v>
      </c>
      <c r="C8" s="7" t="n">
        <v>99</v>
      </c>
    </row>
    <row r="9" customFormat="false" ht="15" hidden="false" customHeight="false" outlineLevel="0" collapsed="false">
      <c r="B9" s="5" t="s">
        <v>10</v>
      </c>
      <c r="C9" s="6" t="s">
        <v>11</v>
      </c>
    </row>
    <row r="10" customFormat="false" ht="15" hidden="false" customHeight="false" outlineLevel="0" collapsed="false">
      <c r="B10" s="5" t="s">
        <v>12</v>
      </c>
      <c r="C10" s="6" t="s">
        <v>13</v>
      </c>
    </row>
    <row r="13" customFormat="false" ht="15" hidden="false" customHeight="false" outlineLevel="0" collapsed="false">
      <c r="B13" s="8" t="s">
        <v>14</v>
      </c>
      <c r="C13" s="9"/>
      <c r="D13" s="9"/>
    </row>
    <row r="14" customFormat="false" ht="15" hidden="false" customHeight="false" outlineLevel="0" collapsed="false">
      <c r="B14" s="5" t="s">
        <v>15</v>
      </c>
      <c r="C14" s="10" t="s">
        <v>16</v>
      </c>
    </row>
    <row r="15" customFormat="false" ht="15" hidden="false" customHeight="false" outlineLevel="0" collapsed="false">
      <c r="B15" s="5" t="s">
        <v>17</v>
      </c>
      <c r="C15" s="10" t="s">
        <v>18</v>
      </c>
    </row>
    <row r="16" customFormat="false" ht="15" hidden="false" customHeight="false" outlineLevel="0" collapsed="false">
      <c r="B16" s="5" t="s">
        <v>19</v>
      </c>
      <c r="C16" s="10" t="s">
        <v>20</v>
      </c>
    </row>
    <row r="17" customFormat="false" ht="15" hidden="false" customHeight="false" outlineLevel="0" collapsed="false">
      <c r="B17" s="5" t="s">
        <v>21</v>
      </c>
      <c r="C17" s="10" t="s">
        <v>22</v>
      </c>
    </row>
    <row r="18" customFormat="false" ht="15" hidden="false" customHeight="false" outlineLevel="0" collapsed="false">
      <c r="B18" s="5" t="s">
        <v>23</v>
      </c>
      <c r="C18" s="10" t="s">
        <v>24</v>
      </c>
    </row>
    <row r="19" customFormat="false" ht="15" hidden="false" customHeight="false" outlineLevel="0" collapsed="false">
      <c r="B19" s="5" t="s">
        <v>25</v>
      </c>
      <c r="C19" s="10" t="s">
        <v>26</v>
      </c>
    </row>
    <row r="20" customFormat="false" ht="15" hidden="false" customHeight="false" outlineLevel="0" collapsed="false">
      <c r="B20" s="5" t="s">
        <v>27</v>
      </c>
      <c r="C20" s="10" t="s">
        <v>28</v>
      </c>
    </row>
    <row r="23" customFormat="false" ht="15" hidden="false" customHeight="false" outlineLevel="0" collapsed="false">
      <c r="B23" s="8" t="s">
        <v>29</v>
      </c>
      <c r="C23" s="9"/>
      <c r="D23" s="9"/>
    </row>
    <row r="24" customFormat="false" ht="15" hidden="false" customHeight="false" outlineLevel="0" collapsed="false">
      <c r="B24" s="5" t="s">
        <v>30</v>
      </c>
      <c r="C24" s="10" t="s">
        <v>31</v>
      </c>
      <c r="D24" s="11"/>
    </row>
    <row r="25" customFormat="false" ht="15" hidden="false" customHeight="false" outlineLevel="0" collapsed="false">
      <c r="B25" s="5" t="s">
        <v>32</v>
      </c>
      <c r="C25" s="10" t="s">
        <v>33</v>
      </c>
      <c r="D25" s="12"/>
    </row>
    <row r="26" customFormat="false" ht="15" hidden="false" customHeight="false" outlineLevel="0" collapsed="false">
      <c r="B26" s="5" t="s">
        <v>34</v>
      </c>
      <c r="C26" s="10" t="s">
        <v>35</v>
      </c>
      <c r="D26" s="13"/>
    </row>
    <row r="27" customFormat="false" ht="15" hidden="false" customHeight="false" outlineLevel="0" collapsed="false">
      <c r="B27" s="5" t="s">
        <v>36</v>
      </c>
      <c r="C27" s="10" t="s">
        <v>27</v>
      </c>
      <c r="D27" s="14"/>
    </row>
    <row r="30" customFormat="false" ht="19.5" hidden="false" customHeight="true" outlineLevel="0" collapsed="false">
      <c r="B30" s="15" t="s">
        <v>37</v>
      </c>
      <c r="C30" s="16"/>
      <c r="D30" s="16"/>
      <c r="E30" s="16"/>
      <c r="F30" s="16"/>
      <c r="G30" s="16"/>
    </row>
    <row r="31" customFormat="false" ht="233.25" hidden="false" customHeight="true" outlineLevel="0" collapsed="false">
      <c r="B31" s="17" t="s">
        <v>38</v>
      </c>
      <c r="C31" s="17"/>
      <c r="D31" s="17"/>
      <c r="E31" s="17"/>
      <c r="F31" s="17"/>
      <c r="G31" s="17"/>
    </row>
    <row r="33" customFormat="false" ht="19.5" hidden="false" customHeight="true" outlineLevel="0" collapsed="false">
      <c r="B33" s="15" t="s">
        <v>39</v>
      </c>
      <c r="C33" s="16"/>
      <c r="D33" s="16"/>
      <c r="E33" s="16"/>
      <c r="F33" s="16"/>
      <c r="G33" s="16"/>
    </row>
    <row r="34" customFormat="false" ht="57" hidden="false" customHeight="true" outlineLevel="0" collapsed="false">
      <c r="B34" s="17" t="s">
        <v>40</v>
      </c>
      <c r="C34" s="17"/>
      <c r="D34" s="17"/>
      <c r="E34" s="17"/>
      <c r="F34" s="17"/>
      <c r="G34" s="17"/>
    </row>
    <row r="35" customFormat="false" ht="15" hidden="false" customHeight="false" outlineLevel="0" collapsed="false">
      <c r="B35" s="18" t="s">
        <v>41</v>
      </c>
      <c r="C35" s="18"/>
      <c r="D35" s="18"/>
      <c r="E35" s="18"/>
      <c r="F35" s="18"/>
      <c r="G35" s="18"/>
    </row>
    <row r="36" customFormat="false" ht="15" hidden="false" customHeight="false" outlineLevel="0" collapsed="false">
      <c r="B36" s="19" t="s">
        <v>42</v>
      </c>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12"/>
    <col collapsed="false" customWidth="true" hidden="false" outlineLevel="0" max="5" min="5" style="0" width="40"/>
    <col collapsed="false" customWidth="true" hidden="false" outlineLevel="0" max="13" min="6"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43</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0" t="s">
        <v>44</v>
      </c>
      <c r="C5" s="21" t="s">
        <v>45</v>
      </c>
      <c r="D5" s="21" t="s">
        <v>46</v>
      </c>
      <c r="E5" s="21" t="s">
        <v>47</v>
      </c>
    </row>
    <row r="7" customFormat="false" ht="15" hidden="false" customHeight="false" outlineLevel="0" collapsed="false">
      <c r="B7" s="10" t="s">
        <v>48</v>
      </c>
      <c r="C7" s="22" t="n">
        <v>2021</v>
      </c>
      <c r="D7" s="23" t="s">
        <v>49</v>
      </c>
      <c r="E7" s="23" t="s">
        <v>50</v>
      </c>
    </row>
    <row r="8" customFormat="false" ht="15" hidden="false" customHeight="false" outlineLevel="0" collapsed="false">
      <c r="B8" s="10" t="s">
        <v>51</v>
      </c>
      <c r="C8" s="24" t="n">
        <v>0.148094871724114</v>
      </c>
      <c r="D8" s="23" t="s">
        <v>52</v>
      </c>
      <c r="E8" s="23" t="s">
        <v>53</v>
      </c>
    </row>
    <row r="9" customFormat="false" ht="15" hidden="false" customHeight="false" outlineLevel="0" collapsed="false">
      <c r="B9" s="10" t="s">
        <v>54</v>
      </c>
      <c r="C9" s="24" t="n">
        <v>0.129197326667749</v>
      </c>
      <c r="D9" s="23" t="s">
        <v>52</v>
      </c>
      <c r="E9" s="23" t="s">
        <v>55</v>
      </c>
    </row>
    <row r="10" customFormat="false" ht="15" hidden="false" customHeight="false" outlineLevel="0" collapsed="false">
      <c r="B10" s="10" t="s">
        <v>56</v>
      </c>
      <c r="C10" s="24" t="n">
        <v>0</v>
      </c>
      <c r="D10" s="23" t="s">
        <v>52</v>
      </c>
      <c r="E10" s="23" t="s">
        <v>57</v>
      </c>
    </row>
    <row r="11" customFormat="false" ht="15" hidden="false" customHeight="false" outlineLevel="0" collapsed="false">
      <c r="B11" s="10" t="s">
        <v>58</v>
      </c>
      <c r="C11" s="24" t="n">
        <v>0.0729730925715643</v>
      </c>
      <c r="D11" s="23" t="s">
        <v>52</v>
      </c>
      <c r="E11" s="23" t="s">
        <v>57</v>
      </c>
    </row>
    <row r="12" customFormat="false" ht="15" hidden="false" customHeight="false" outlineLevel="0" collapsed="false">
      <c r="B12" s="10" t="s">
        <v>59</v>
      </c>
      <c r="C12" s="24" t="n">
        <v>0.0540122118460324</v>
      </c>
      <c r="D12" s="23" t="s">
        <v>52</v>
      </c>
      <c r="E12" s="23" t="s">
        <v>57</v>
      </c>
    </row>
    <row r="13" customFormat="false" ht="15" hidden="false" customHeight="false" outlineLevel="0" collapsed="false">
      <c r="B13" s="10" t="s">
        <v>60</v>
      </c>
      <c r="C13" s="24" t="n">
        <v>0.180728468385393</v>
      </c>
      <c r="D13" s="23" t="s">
        <v>52</v>
      </c>
      <c r="E13" s="23" t="s">
        <v>57</v>
      </c>
    </row>
    <row r="14" customFormat="false" ht="15" hidden="false" customHeight="false" outlineLevel="0" collapsed="false">
      <c r="B14" s="10" t="s">
        <v>61</v>
      </c>
      <c r="C14" s="24" t="n">
        <v>0.0267240451723762</v>
      </c>
      <c r="D14" s="23" t="s">
        <v>52</v>
      </c>
      <c r="E14" s="23" t="s">
        <v>62</v>
      </c>
    </row>
    <row r="15" customFormat="false" ht="15" hidden="false" customHeight="false" outlineLevel="0" collapsed="false">
      <c r="B15" s="10" t="s">
        <v>63</v>
      </c>
      <c r="C15" s="24" t="n">
        <v>0.0366324900819208</v>
      </c>
      <c r="D15" s="23" t="s">
        <v>52</v>
      </c>
      <c r="E15" s="23" t="s">
        <v>57</v>
      </c>
    </row>
    <row r="16" customFormat="false" ht="15" hidden="false" customHeight="false" outlineLevel="0" collapsed="false">
      <c r="B16" s="10" t="s">
        <v>64</v>
      </c>
      <c r="C16" s="24" t="n">
        <v>1.02890411664692</v>
      </c>
      <c r="D16" s="23" t="s">
        <v>52</v>
      </c>
      <c r="E16" s="23" t="s">
        <v>57</v>
      </c>
    </row>
    <row r="17" customFormat="false" ht="15" hidden="false" customHeight="false" outlineLevel="0" collapsed="false">
      <c r="B17" s="10" t="s">
        <v>65</v>
      </c>
      <c r="C17" s="24" t="n">
        <v>0.540831572981606</v>
      </c>
      <c r="D17" s="23" t="s">
        <v>52</v>
      </c>
      <c r="E17" s="23" t="s">
        <v>57</v>
      </c>
    </row>
    <row r="18" customFormat="false" ht="15" hidden="false" customHeight="false" outlineLevel="0" collapsed="false">
      <c r="B18" s="10" t="s">
        <v>66</v>
      </c>
      <c r="C18" s="24" t="n">
        <v>0.05</v>
      </c>
      <c r="D18" s="23" t="s">
        <v>52</v>
      </c>
      <c r="E18" s="23" t="s">
        <v>67</v>
      </c>
    </row>
    <row r="19" customFormat="false" ht="15" hidden="false" customHeight="false" outlineLevel="0" collapsed="false">
      <c r="B19" s="10" t="s">
        <v>68</v>
      </c>
      <c r="C19" s="24" t="n">
        <v>0.0312122728576417</v>
      </c>
      <c r="D19" s="23" t="s">
        <v>52</v>
      </c>
      <c r="E19" s="23" t="s">
        <v>57</v>
      </c>
    </row>
    <row r="20" customFormat="false" ht="15" hidden="false" customHeight="false" outlineLevel="0" collapsed="false">
      <c r="B20" s="10" t="s">
        <v>69</v>
      </c>
      <c r="C20" s="24" t="n">
        <v>0</v>
      </c>
      <c r="D20" s="23" t="s">
        <v>52</v>
      </c>
      <c r="E20" s="23" t="s">
        <v>57</v>
      </c>
    </row>
    <row r="21" customFormat="false" ht="15" hidden="false" customHeight="false" outlineLevel="0" collapsed="false">
      <c r="B21" s="10" t="s">
        <v>70</v>
      </c>
      <c r="C21" s="24" t="n">
        <v>0.903743391761387</v>
      </c>
      <c r="D21" s="23" t="s">
        <v>52</v>
      </c>
      <c r="E21" s="23" t="s">
        <v>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71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72</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20" t="s">
        <v>73</v>
      </c>
      <c r="C6" s="25" t="n">
        <v>2021</v>
      </c>
      <c r="D6" s="25" t="n">
        <v>2022</v>
      </c>
      <c r="E6" s="25" t="n">
        <v>2023</v>
      </c>
      <c r="F6" s="25" t="n">
        <v>2024</v>
      </c>
      <c r="G6" s="25" t="n">
        <v>2025</v>
      </c>
    </row>
    <row r="7" customFormat="false" ht="15" hidden="false" customHeight="false" outlineLevel="0" collapsed="false">
      <c r="B7" s="10" t="s">
        <v>74</v>
      </c>
      <c r="C7" s="26" t="n">
        <v>11171</v>
      </c>
      <c r="D7" s="26" t="n">
        <v>12868</v>
      </c>
      <c r="E7" s="26" t="n">
        <v>15785</v>
      </c>
      <c r="F7" s="26" t="n">
        <v>17606</v>
      </c>
      <c r="G7" s="26" t="n">
        <v>19409</v>
      </c>
    </row>
    <row r="8" customFormat="false" ht="15" hidden="false" customHeight="false" outlineLevel="0" collapsed="false">
      <c r="B8" s="10" t="s">
        <v>75</v>
      </c>
      <c r="C8" s="26" t="n">
        <v>-1673</v>
      </c>
      <c r="D8" s="26" t="n">
        <v>-1722</v>
      </c>
      <c r="E8" s="26" t="n">
        <v>-1865</v>
      </c>
      <c r="F8" s="26" t="n">
        <v>-2165</v>
      </c>
      <c r="G8" s="26" t="n">
        <v>-2354</v>
      </c>
    </row>
    <row r="9" customFormat="false" ht="15" hidden="false" customHeight="false" outlineLevel="0" collapsed="false">
      <c r="B9" s="10" t="s">
        <v>76</v>
      </c>
      <c r="C9" s="26"/>
      <c r="D9" s="26"/>
      <c r="E9" s="26"/>
      <c r="F9" s="26"/>
      <c r="G9" s="26"/>
    </row>
    <row r="10" customFormat="false" ht="15" hidden="false" customHeight="false" outlineLevel="0" collapsed="false">
      <c r="B10" s="10" t="s">
        <v>77</v>
      </c>
      <c r="C10" s="26" t="n">
        <v>-881</v>
      </c>
      <c r="D10" s="26" t="n">
        <v>-968</v>
      </c>
      <c r="E10" s="26" t="n">
        <v>-1085</v>
      </c>
      <c r="F10" s="26" t="n">
        <v>-1219</v>
      </c>
      <c r="G10" s="26" t="n">
        <v>-1413</v>
      </c>
    </row>
    <row r="11" customFormat="false" ht="15" hidden="false" customHeight="false" outlineLevel="0" collapsed="false">
      <c r="B11" s="10" t="s">
        <v>78</v>
      </c>
      <c r="C11" s="26" t="n">
        <v>-757</v>
      </c>
      <c r="D11" s="26" t="n">
        <v>-757</v>
      </c>
      <c r="E11" s="26" t="n">
        <v>-788</v>
      </c>
      <c r="F11" s="26" t="n">
        <v>-856</v>
      </c>
      <c r="G11" s="26" t="n">
        <v>-872</v>
      </c>
    </row>
    <row r="12" customFormat="false" ht="15" hidden="false" customHeight="false" outlineLevel="0" collapsed="false">
      <c r="B12" s="10" t="s">
        <v>79</v>
      </c>
      <c r="C12" s="26" t="n">
        <v>-254</v>
      </c>
      <c r="D12" s="26" t="n">
        <v>-1084</v>
      </c>
      <c r="E12" s="26" t="n">
        <v>-883</v>
      </c>
      <c r="F12" s="26" t="n">
        <v>-1252</v>
      </c>
      <c r="G12" s="26" t="n">
        <v>-1371</v>
      </c>
    </row>
    <row r="13" customFormat="false" ht="15" hidden="false" customHeight="false" outlineLevel="0" collapsed="false">
      <c r="B13" s="10" t="s">
        <v>80</v>
      </c>
      <c r="C13" s="26" t="n">
        <v>3205</v>
      </c>
      <c r="D13" s="26" t="n">
        <v>4176</v>
      </c>
      <c r="E13" s="26" t="n">
        <v>5705</v>
      </c>
      <c r="F13" s="26" t="n">
        <v>6008</v>
      </c>
      <c r="G13" s="26" t="n">
        <v>6799</v>
      </c>
    </row>
    <row r="14" customFormat="false" ht="15" hidden="false" customHeight="false" outlineLevel="0" collapsed="false">
      <c r="B14" s="10" t="s">
        <v>81</v>
      </c>
      <c r="C14" s="26" t="n">
        <v>2951</v>
      </c>
      <c r="D14" s="26" t="n">
        <v>5260</v>
      </c>
      <c r="E14" s="26" t="n">
        <v>4822</v>
      </c>
      <c r="F14" s="26" t="n">
        <v>4756</v>
      </c>
      <c r="G14" s="26" t="n">
        <v>5428</v>
      </c>
    </row>
    <row r="15" customFormat="false" ht="15" hidden="false" customHeight="false" outlineLevel="0" collapsed="false">
      <c r="B15" s="10" t="s">
        <v>82</v>
      </c>
      <c r="C15" s="26" t="n">
        <v>-395</v>
      </c>
      <c r="D15" s="26" t="n">
        <v>-419</v>
      </c>
      <c r="E15" s="26" t="n">
        <v>-348</v>
      </c>
      <c r="F15" s="26" t="n">
        <v>-442</v>
      </c>
      <c r="G15" s="26" t="n">
        <v>-360</v>
      </c>
    </row>
    <row r="16" customFormat="false" ht="15" hidden="false" customHeight="false" outlineLevel="0" collapsed="false">
      <c r="B16" s="10" t="s">
        <v>83</v>
      </c>
      <c r="C16" s="26" t="n">
        <v>1643</v>
      </c>
      <c r="D16" s="26" t="n">
        <v>3844</v>
      </c>
      <c r="E16" s="26" t="n">
        <v>4236</v>
      </c>
      <c r="F16" s="26" t="n">
        <v>7141</v>
      </c>
      <c r="G16" s="26" t="n">
        <v>7613</v>
      </c>
    </row>
    <row r="17" customFormat="false" ht="15" hidden="false" customHeight="false" outlineLevel="0" collapsed="false">
      <c r="B17" s="10" t="s">
        <v>84</v>
      </c>
      <c r="C17" s="26" t="n">
        <v>2634</v>
      </c>
      <c r="D17" s="26" t="n">
        <v>1737</v>
      </c>
      <c r="E17" s="26" t="n">
        <v>868</v>
      </c>
      <c r="F17" s="26" t="n">
        <v>2833</v>
      </c>
      <c r="G17" s="26" t="n">
        <v>711</v>
      </c>
    </row>
    <row r="18" customFormat="false" ht="15" hidden="false" customHeight="false" outlineLevel="0" collapsed="false">
      <c r="B18" s="10" t="s">
        <v>85</v>
      </c>
      <c r="C18" s="26" t="n">
        <v>1517</v>
      </c>
      <c r="D18" s="26" t="n">
        <v>1673</v>
      </c>
      <c r="E18" s="26" t="n">
        <v>1908</v>
      </c>
      <c r="F18" s="26" t="n">
        <v>2030</v>
      </c>
      <c r="G18" s="26" t="n">
        <v>1936</v>
      </c>
    </row>
    <row r="19" customFormat="false" ht="15" hidden="false" customHeight="false" outlineLevel="0" collapsed="false">
      <c r="B19" s="10" t="s">
        <v>86</v>
      </c>
      <c r="C19" s="26" t="n">
        <v>24284</v>
      </c>
      <c r="D19" s="26" t="n">
        <v>27241</v>
      </c>
      <c r="E19" s="26" t="n">
        <v>27165</v>
      </c>
      <c r="F19" s="26" t="n">
        <v>29779</v>
      </c>
      <c r="G19" s="26" t="n">
        <v>30230</v>
      </c>
    </row>
    <row r="20" customFormat="false" ht="15" hidden="false" customHeight="false" outlineLevel="0" collapsed="false">
      <c r="B20" s="10" t="s">
        <v>87</v>
      </c>
      <c r="C20" s="26" t="n">
        <v>11020</v>
      </c>
      <c r="D20" s="26" t="n">
        <v>12444</v>
      </c>
      <c r="E20" s="26" t="n">
        <v>13114</v>
      </c>
      <c r="F20" s="26" t="n">
        <v>13261</v>
      </c>
      <c r="G20" s="26" t="n">
        <v>16125</v>
      </c>
    </row>
    <row r="21" customFormat="false" ht="15" hidden="false" customHeight="false" outlineLevel="0" collapsed="false">
      <c r="B21" s="10" t="s">
        <v>88</v>
      </c>
      <c r="C21" s="26" t="n">
        <v>4117</v>
      </c>
      <c r="D21" s="26" t="n">
        <v>4123</v>
      </c>
      <c r="E21" s="26" t="n">
        <v>4129</v>
      </c>
      <c r="F21" s="26" t="n">
        <v>3634</v>
      </c>
      <c r="G21" s="26" t="n">
        <v>5628</v>
      </c>
    </row>
    <row r="22" customFormat="false" ht="15" hidden="false" customHeight="false" outlineLevel="0" collapsed="false">
      <c r="B22" s="10" t="s">
        <v>89</v>
      </c>
      <c r="C22" s="26" t="n">
        <v>0</v>
      </c>
      <c r="D22" s="26" t="n">
        <v>0</v>
      </c>
      <c r="E22" s="26" t="n">
        <v>0</v>
      </c>
      <c r="F22" s="26" t="n">
        <v>0</v>
      </c>
      <c r="G22" s="26" t="n">
        <v>0</v>
      </c>
    </row>
    <row r="23" customFormat="false" ht="15" hidden="false" customHeight="false" outlineLevel="0" collapsed="false">
      <c r="B23" s="10" t="s">
        <v>90</v>
      </c>
      <c r="C23" s="26" t="n">
        <v>-2750</v>
      </c>
      <c r="D23" s="26" t="n">
        <v>-3050</v>
      </c>
      <c r="E23" s="26" t="n">
        <v>-3950</v>
      </c>
      <c r="F23" s="26" t="n">
        <v>-6550</v>
      </c>
      <c r="G23" s="26" t="n">
        <v>-4400</v>
      </c>
    </row>
    <row r="24" customFormat="false" ht="15" hidden="false" customHeight="false" outlineLevel="0" collapsed="false">
      <c r="B24" s="10" t="s">
        <v>91</v>
      </c>
      <c r="C24" s="26" t="n">
        <v>-157</v>
      </c>
      <c r="D24" s="26" t="n">
        <v>-116</v>
      </c>
      <c r="E24" s="26" t="n">
        <v>-113</v>
      </c>
      <c r="F24" s="26"/>
      <c r="G24" s="26"/>
    </row>
    <row r="25" customFormat="false" ht="15" hidden="false" customHeight="false" outlineLevel="0" collapsed="false">
      <c r="B25" s="10" t="s">
        <v>92</v>
      </c>
      <c r="C25" s="26" t="n">
        <v>4422</v>
      </c>
      <c r="D25" s="26" t="n">
        <v>5727</v>
      </c>
      <c r="E25" s="26" t="n">
        <v>7230</v>
      </c>
      <c r="F25" s="26" t="n">
        <v>7838</v>
      </c>
      <c r="G25" s="26" t="n">
        <v>7302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9" customFormat="false" ht="15" hidden="false" customHeight="false" outlineLevel="0" collapsed="false">
      <c r="B9" s="31" t="s">
        <v>74</v>
      </c>
      <c r="C9" s="32" t="n">
        <f aca="false">Historical_Data!C7</f>
        <v>11171</v>
      </c>
      <c r="D9" s="32" t="n">
        <f aca="false">Historical_Data!D7</f>
        <v>12868</v>
      </c>
      <c r="E9" s="32" t="n">
        <f aca="false">Historical_Data!E7</f>
        <v>15785</v>
      </c>
      <c r="F9" s="32" t="n">
        <f aca="false">Historical_Data!F7</f>
        <v>17606</v>
      </c>
      <c r="G9" s="32" t="n">
        <f aca="false">Historical_Data!G7</f>
        <v>19409</v>
      </c>
      <c r="H9" s="33" t="n">
        <f aca="false">G9*(1+Revenue_Growth)</f>
        <v>22283.3733652933</v>
      </c>
      <c r="I9" s="33" t="n">
        <f aca="false">H9*(1+Revenue_Growth)</f>
        <v>25583.426685407</v>
      </c>
      <c r="J9" s="33" t="n">
        <f aca="false">I9*(1+Revenue_Growth)</f>
        <v>29372.2009786456</v>
      </c>
      <c r="K9" s="33" t="n">
        <f aca="false">J9*(1+Revenue_Growth)</f>
        <v>33722.073314833</v>
      </c>
      <c r="L9" s="33" t="n">
        <f aca="false">K9*(1+Revenue_Growth)</f>
        <v>38716.1394366644</v>
      </c>
    </row>
    <row r="10" customFormat="false" ht="15" hidden="false" customHeight="false" outlineLevel="0" collapsed="false">
      <c r="B10" s="34" t="s">
        <v>97</v>
      </c>
      <c r="C10" s="35" t="n">
        <f aca="false">Historical_Data!C8</f>
        <v>-1673</v>
      </c>
      <c r="D10" s="35" t="n">
        <f aca="false">Historical_Data!D8</f>
        <v>-1722</v>
      </c>
      <c r="E10" s="35" t="n">
        <f aca="false">Historical_Data!E8</f>
        <v>-1865</v>
      </c>
      <c r="F10" s="35" t="n">
        <f aca="false">Historical_Data!F8</f>
        <v>-2165</v>
      </c>
      <c r="G10" s="35" t="n">
        <f aca="false">Historical_Data!G8</f>
        <v>-2354</v>
      </c>
      <c r="H10" s="26" t="n">
        <f aca="false">-H9*COGS_Pct_Revenue</f>
        <v>-2878.95226793522</v>
      </c>
      <c r="I10" s="26" t="n">
        <f aca="false">-I9*COGS_Pct_Revenue</f>
        <v>-3305.31033475493</v>
      </c>
      <c r="J10" s="26" t="n">
        <f aca="false">-J9*COGS_Pct_Revenue</f>
        <v>-3794.80984478885</v>
      </c>
      <c r="K10" s="26" t="n">
        <f aca="false">-K9*COGS_Pct_Revenue</f>
        <v>-4356.80172197026</v>
      </c>
      <c r="L10" s="26" t="n">
        <f aca="false">-L9*COGS_Pct_Revenue</f>
        <v>-5002.02171411285</v>
      </c>
    </row>
    <row r="11" customFormat="false" ht="15" hidden="false" customHeight="false" outlineLevel="0" collapsed="false">
      <c r="B11" s="31" t="s">
        <v>98</v>
      </c>
      <c r="C11" s="36" t="n">
        <f aca="false">C9+C10</f>
        <v>9498</v>
      </c>
      <c r="D11" s="36" t="n">
        <f aca="false">D9+D10</f>
        <v>11146</v>
      </c>
      <c r="E11" s="36" t="n">
        <f aca="false">E9+E10</f>
        <v>13920</v>
      </c>
      <c r="F11" s="36" t="n">
        <f aca="false">F9+F10</f>
        <v>15441</v>
      </c>
      <c r="G11" s="36" t="n">
        <f aca="false">G9+G10</f>
        <v>17055</v>
      </c>
      <c r="H11" s="37" t="n">
        <f aca="false">H9+H10</f>
        <v>19404.4210973581</v>
      </c>
      <c r="I11" s="37" t="n">
        <f aca="false">I9+I10</f>
        <v>22278.1163506521</v>
      </c>
      <c r="J11" s="37" t="n">
        <f aca="false">J9+J10</f>
        <v>25577.3911338568</v>
      </c>
      <c r="K11" s="37" t="n">
        <f aca="false">K9+K10</f>
        <v>29365.2715928628</v>
      </c>
      <c r="L11" s="37" t="n">
        <f aca="false">L9+L10</f>
        <v>33714.1177225516</v>
      </c>
    </row>
    <row r="13" customFormat="false" ht="15" hidden="false" customHeight="false" outlineLevel="0" collapsed="false">
      <c r="B13" s="34" t="s">
        <v>99</v>
      </c>
      <c r="C13" s="35" t="n">
        <f aca="false">Historical_Data!C9</f>
        <v>0</v>
      </c>
      <c r="D13" s="35" t="n">
        <f aca="false">Historical_Data!D9</f>
        <v>0</v>
      </c>
      <c r="E13" s="35" t="n">
        <f aca="false">Historical_Data!E9</f>
        <v>0</v>
      </c>
      <c r="F13" s="35" t="n">
        <f aca="false">Historical_Data!F9</f>
        <v>0</v>
      </c>
      <c r="G13" s="35" t="n">
        <f aca="false">Historical_Data!G9</f>
        <v>0</v>
      </c>
      <c r="H13" s="26" t="n">
        <f aca="false">-H9*RD_Pct_Revenue</f>
        <v>-0</v>
      </c>
      <c r="I13" s="26" t="n">
        <f aca="false">-I9*RD_Pct_Revenue</f>
        <v>-0</v>
      </c>
      <c r="J13" s="26" t="n">
        <f aca="false">-J9*RD_Pct_Revenue</f>
        <v>-0</v>
      </c>
      <c r="K13" s="26" t="n">
        <f aca="false">-K9*RD_Pct_Revenue</f>
        <v>-0</v>
      </c>
      <c r="L13" s="26" t="n">
        <f aca="false">-L9*RD_Pct_Revenue</f>
        <v>-0</v>
      </c>
    </row>
    <row r="14" customFormat="false" ht="15" hidden="false" customHeight="false" outlineLevel="0" collapsed="false">
      <c r="B14" s="34" t="s">
        <v>100</v>
      </c>
      <c r="C14" s="35" t="n">
        <f aca="false">Historical_Data!C10</f>
        <v>-881</v>
      </c>
      <c r="D14" s="35" t="n">
        <f aca="false">Historical_Data!D10</f>
        <v>-968</v>
      </c>
      <c r="E14" s="35" t="n">
        <f aca="false">Historical_Data!E10</f>
        <v>-1085</v>
      </c>
      <c r="F14" s="35" t="n">
        <f aca="false">Historical_Data!F10</f>
        <v>-1219</v>
      </c>
      <c r="G14" s="35" t="n">
        <f aca="false">Historical_Data!G10</f>
        <v>-1413</v>
      </c>
      <c r="H14" s="26" t="n">
        <f aca="false">-H9*SGA_Pct_Revenue</f>
        <v>-1626.08666739228</v>
      </c>
      <c r="I14" s="26" t="n">
        <f aca="false">-I9*SGA_Pct_Revenue</f>
        <v>-1866.90176381203</v>
      </c>
      <c r="J14" s="26" t="n">
        <f aca="false">-J9*SGA_Pct_Revenue</f>
        <v>-2143.3803410453</v>
      </c>
      <c r="K14" s="26" t="n">
        <f aca="false">-K9*SGA_Pct_Revenue</f>
        <v>-2460.80397770839</v>
      </c>
      <c r="L14" s="26" t="n">
        <f aca="false">-L9*SGA_Pct_Revenue</f>
        <v>-2825.2364271253</v>
      </c>
    </row>
    <row r="15" customFormat="false" ht="15" hidden="false" customHeight="false" outlineLevel="0" collapsed="false">
      <c r="B15" s="31" t="s">
        <v>101</v>
      </c>
      <c r="C15" s="36" t="n">
        <f aca="false">C11+C13+C14</f>
        <v>8617</v>
      </c>
      <c r="D15" s="36" t="n">
        <f aca="false">D11+D13+D14</f>
        <v>10178</v>
      </c>
      <c r="E15" s="36" t="n">
        <f aca="false">E11+E13+E14</f>
        <v>12835</v>
      </c>
      <c r="F15" s="36" t="n">
        <f aca="false">F11+F13+F14</f>
        <v>14222</v>
      </c>
      <c r="G15" s="36" t="n">
        <f aca="false">G11+G13+G14</f>
        <v>15642</v>
      </c>
      <c r="H15" s="37" t="n">
        <f aca="false">H11+H13+H14</f>
        <v>17778.3344299658</v>
      </c>
      <c r="I15" s="37" t="n">
        <f aca="false">I11+I13+I14</f>
        <v>20411.21458684</v>
      </c>
      <c r="J15" s="37" t="n">
        <f aca="false">J11+J13+J14</f>
        <v>23434.0107928115</v>
      </c>
      <c r="K15" s="37" t="n">
        <f aca="false">K11+K13+K14</f>
        <v>26904.4676151544</v>
      </c>
      <c r="L15" s="37" t="n">
        <f aca="false">L11+L13+L14</f>
        <v>30888.8812954263</v>
      </c>
    </row>
    <row r="17" customFormat="false" ht="15" hidden="false" customHeight="false" outlineLevel="0" collapsed="false">
      <c r="B17" s="34" t="s">
        <v>102</v>
      </c>
      <c r="C17" s="35" t="n">
        <f aca="false">Historical_Data!C11</f>
        <v>-757</v>
      </c>
      <c r="D17" s="35" t="n">
        <f aca="false">Historical_Data!D11</f>
        <v>-757</v>
      </c>
      <c r="E17" s="35" t="n">
        <f aca="false">Historical_Data!E11</f>
        <v>-788</v>
      </c>
      <c r="F17" s="35" t="n">
        <f aca="false">Historical_Data!F11</f>
        <v>-856</v>
      </c>
      <c r="G17" s="35" t="n">
        <f aca="false">Historical_Data!G11</f>
        <v>-872</v>
      </c>
      <c r="H17" s="26" t="n">
        <f aca="false">-H9*DA_Pct_Revenue</f>
        <v>-1203.57428285046</v>
      </c>
      <c r="I17" s="26" t="n">
        <f aca="false">-I9*DA_Pct_Revenue</f>
        <v>-1381.81746187964</v>
      </c>
      <c r="J17" s="26" t="n">
        <f aca="false">-J9*DA_Pct_Revenue</f>
        <v>-1586.45754164285</v>
      </c>
      <c r="K17" s="26" t="n">
        <f aca="false">-K9*DA_Pct_Revenue</f>
        <v>-1821.4037677682</v>
      </c>
      <c r="L17" s="26" t="n">
        <f aca="false">-L9*DA_Pct_Revenue</f>
        <v>-2091.14432511365</v>
      </c>
    </row>
    <row r="18" customFormat="false" ht="15" hidden="false" customHeight="false" outlineLevel="0" collapsed="false">
      <c r="B18" s="31" t="s">
        <v>103</v>
      </c>
      <c r="C18" s="36" t="n">
        <f aca="false">C15+C17</f>
        <v>7860</v>
      </c>
      <c r="D18" s="36" t="n">
        <f aca="false">D15+D17</f>
        <v>9421</v>
      </c>
      <c r="E18" s="36" t="n">
        <f aca="false">E15+E17</f>
        <v>12047</v>
      </c>
      <c r="F18" s="36" t="n">
        <f aca="false">F15+F17</f>
        <v>13366</v>
      </c>
      <c r="G18" s="36" t="n">
        <f aca="false">G15+G17</f>
        <v>14770</v>
      </c>
      <c r="H18" s="37" t="n">
        <f aca="false">H15+H17</f>
        <v>16574.7601471154</v>
      </c>
      <c r="I18" s="37" t="n">
        <f aca="false">I15+I17</f>
        <v>19029.3971249604</v>
      </c>
      <c r="J18" s="37" t="n">
        <f aca="false">J15+J17</f>
        <v>21847.5532511686</v>
      </c>
      <c r="K18" s="37" t="n">
        <f aca="false">K15+K17</f>
        <v>25083.0638473862</v>
      </c>
      <c r="L18" s="37" t="n">
        <f aca="false">L15+L17</f>
        <v>28797.7369703126</v>
      </c>
    </row>
    <row r="20" customFormat="false" ht="15" hidden="false" customHeight="false" outlineLevel="0" collapsed="false">
      <c r="B20" s="34" t="s">
        <v>91</v>
      </c>
      <c r="C20" s="35" t="n">
        <f aca="false">Historical_Data!C24</f>
        <v>-157</v>
      </c>
      <c r="D20" s="35" t="n">
        <f aca="false">Historical_Data!D24</f>
        <v>-116</v>
      </c>
      <c r="E20" s="35" t="n">
        <f aca="false">Historical_Data!E24</f>
        <v>-113</v>
      </c>
      <c r="F20" s="35" t="n">
        <f aca="false">Historical_Data!F24</f>
        <v>0</v>
      </c>
      <c r="G20" s="35" t="n">
        <f aca="false">Historical_Data!G24</f>
        <v>0</v>
      </c>
      <c r="H20" s="26" t="n">
        <f aca="false">-AVERAGE(Balance_Sheet!G16,Balance_Sheet!H16)*Interest_Rate</f>
        <v>-171.271104851737</v>
      </c>
      <c r="I20" s="26" t="n">
        <f aca="false">-AVERAGE(Balance_Sheet!H16,Balance_Sheet!I16)*Interest_Rate</f>
        <v>-162.707549609151</v>
      </c>
      <c r="J20" s="26" t="n">
        <f aca="false">-AVERAGE(Balance_Sheet!I16,Balance_Sheet!J16)*Interest_Rate</f>
        <v>-154.572172128693</v>
      </c>
      <c r="K20" s="26" t="n">
        <f aca="false">-AVERAGE(Balance_Sheet!J16,Balance_Sheet!K16)*Interest_Rate</f>
        <v>-146.843563522258</v>
      </c>
      <c r="L20" s="26" t="n">
        <f aca="false">-AVERAGE(Balance_Sheet!K16,Balance_Sheet!L16)*Interest_Rate</f>
        <v>-139.501385346146</v>
      </c>
    </row>
    <row r="21" customFormat="false" ht="15" hidden="false" customHeight="false" outlineLevel="0" collapsed="false">
      <c r="B21" s="31" t="s">
        <v>80</v>
      </c>
      <c r="C21" s="32" t="n">
        <f aca="false">Historical_Data!C13</f>
        <v>3205</v>
      </c>
      <c r="D21" s="32" t="n">
        <f aca="false">Historical_Data!D13</f>
        <v>4176</v>
      </c>
      <c r="E21" s="32" t="n">
        <f aca="false">Historical_Data!E13</f>
        <v>5705</v>
      </c>
      <c r="F21" s="32" t="n">
        <f aca="false">Historical_Data!F13</f>
        <v>6008</v>
      </c>
      <c r="G21" s="32" t="n">
        <f aca="false">Historical_Data!G13</f>
        <v>6799</v>
      </c>
      <c r="H21" s="33" t="n">
        <f aca="false">H18+H20</f>
        <v>16403.4890422636</v>
      </c>
      <c r="I21" s="33" t="n">
        <f aca="false">I18+I20</f>
        <v>18866.6895753512</v>
      </c>
      <c r="J21" s="33" t="n">
        <f aca="false">J18+J20</f>
        <v>21692.9810790399</v>
      </c>
      <c r="K21" s="33" t="n">
        <f aca="false">K18+K20</f>
        <v>24936.2202838639</v>
      </c>
      <c r="L21" s="33" t="n">
        <f aca="false">L18+L20</f>
        <v>28658.2355849665</v>
      </c>
    </row>
    <row r="22" customFormat="false" ht="15" hidden="false" customHeight="false" outlineLevel="0" collapsed="false">
      <c r="B22" s="34" t="s">
        <v>79</v>
      </c>
      <c r="C22" s="35" t="n">
        <f aca="false">Historical_Data!C12</f>
        <v>-254</v>
      </c>
      <c r="D22" s="35" t="n">
        <f aca="false">Historical_Data!D12</f>
        <v>-1084</v>
      </c>
      <c r="E22" s="35" t="n">
        <f aca="false">Historical_Data!E12</f>
        <v>-883</v>
      </c>
      <c r="F22" s="35" t="n">
        <f aca="false">Historical_Data!F12</f>
        <v>-1252</v>
      </c>
      <c r="G22" s="35" t="n">
        <f aca="false">Historical_Data!G12</f>
        <v>-1371</v>
      </c>
      <c r="H22" s="26" t="n">
        <f aca="false">-MAX(0,H21*Tax_Rate)</f>
        <v>-2964.57745078489</v>
      </c>
      <c r="I22" s="26" t="n">
        <f aca="false">-MAX(0,I21*Tax_Rate)</f>
        <v>-3409.7479104559</v>
      </c>
      <c r="J22" s="26" t="n">
        <f aca="false">-MAX(0,J21*Tax_Rate)</f>
        <v>-3920.53924512821</v>
      </c>
      <c r="K22" s="26" t="n">
        <f aca="false">-MAX(0,K21*Tax_Rate)</f>
        <v>-4506.68489922351</v>
      </c>
      <c r="L22" s="26" t="n">
        <f aca="false">-MAX(0,L21*Tax_Rate)</f>
        <v>-5179.35902389877</v>
      </c>
    </row>
    <row r="23" customFormat="false" ht="15" hidden="false" customHeight="false" outlineLevel="0" collapsed="false">
      <c r="B23" s="31" t="s">
        <v>104</v>
      </c>
      <c r="C23" s="37" t="n">
        <f aca="false">Historical_Data!C14</f>
        <v>2951</v>
      </c>
      <c r="D23" s="37" t="n">
        <f aca="false">Historical_Data!D14</f>
        <v>5260</v>
      </c>
      <c r="E23" s="37" t="n">
        <f aca="false">Historical_Data!E14</f>
        <v>4822</v>
      </c>
      <c r="F23" s="37" t="n">
        <f aca="false">Historical_Data!F14</f>
        <v>4756</v>
      </c>
      <c r="G23" s="37" t="n">
        <f aca="false">Historical_Data!G14</f>
        <v>5428</v>
      </c>
      <c r="H23" s="37" t="n">
        <f aca="false">H21+H22</f>
        <v>13438.9115914787</v>
      </c>
      <c r="I23" s="37" t="n">
        <f aca="false">I21+I22</f>
        <v>15456.9416648953</v>
      </c>
      <c r="J23" s="37" t="n">
        <f aca="false">J21+J22</f>
        <v>17772.4418339117</v>
      </c>
      <c r="K23" s="37" t="n">
        <f aca="false">K21+K22</f>
        <v>20429.5353846404</v>
      </c>
      <c r="L23" s="37" t="n">
        <f aca="false">L21+L22</f>
        <v>23478.8765610677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106</v>
      </c>
      <c r="C8" s="35" t="n">
        <f aca="false">Historical_Data!C16</f>
        <v>1643</v>
      </c>
      <c r="D8" s="35" t="n">
        <f aca="false">Historical_Data!D16</f>
        <v>3844</v>
      </c>
      <c r="E8" s="35" t="n">
        <f aca="false">Historical_Data!E16</f>
        <v>4236</v>
      </c>
      <c r="F8" s="35" t="n">
        <f aca="false">Historical_Data!F16</f>
        <v>7141</v>
      </c>
      <c r="G8" s="35" t="n">
        <f aca="false">Historical_Data!G16</f>
        <v>7613</v>
      </c>
      <c r="H8" s="26" t="n">
        <f aca="false">Cash_Flow!H26</f>
        <v>9690.76100086192</v>
      </c>
      <c r="I8" s="26" t="n">
        <f aca="false">Cash_Flow!I26</f>
        <v>12023.1594202226</v>
      </c>
      <c r="J8" s="26" t="n">
        <f aca="false">Cash_Flow!J26</f>
        <v>14650.5591704307</v>
      </c>
      <c r="K8" s="26" t="n">
        <f aca="false">Cash_Flow!K26</f>
        <v>17619.1691814304</v>
      </c>
      <c r="L8" s="26" t="n">
        <f aca="false">Cash_Flow!L26</f>
        <v>20981.9156514336</v>
      </c>
    </row>
    <row r="9" customFormat="false" ht="15" hidden="false" customHeight="false" outlineLevel="0" collapsed="false">
      <c r="B9" s="34" t="s">
        <v>84</v>
      </c>
      <c r="C9" s="35" t="n">
        <f aca="false">Historical_Data!C17</f>
        <v>2634</v>
      </c>
      <c r="D9" s="35" t="n">
        <f aca="false">Historical_Data!D17</f>
        <v>1737</v>
      </c>
      <c r="E9" s="35" t="n">
        <f aca="false">Historical_Data!E17</f>
        <v>868</v>
      </c>
      <c r="F9" s="35" t="n">
        <f aca="false">Historical_Data!F17</f>
        <v>2833</v>
      </c>
      <c r="G9" s="35" t="n">
        <f aca="false">Historical_Data!G17</f>
        <v>711</v>
      </c>
      <c r="H9" s="26" t="n">
        <f aca="false">Income_Statement!H9*NWC_Pct_Revenue</f>
        <v>816.295453795845</v>
      </c>
      <c r="I9" s="26" t="n">
        <f aca="false">Income_Statement!I9*NWC_Pct_Revenue</f>
        <v>937.184624314719</v>
      </c>
      <c r="J9" s="26" t="n">
        <f aca="false">Income_Statement!J9*NWC_Pct_Revenue</f>
        <v>1075.97686103442</v>
      </c>
      <c r="K9" s="26" t="n">
        <f aca="false">Income_Statement!K9*NWC_Pct_Revenue</f>
        <v>1235.32351624743</v>
      </c>
      <c r="L9" s="26" t="n">
        <f aca="false">Income_Statement!L9*NWC_Pct_Revenue</f>
        <v>1418.26859392387</v>
      </c>
    </row>
    <row r="10" customFormat="false" ht="15" hidden="false" customHeight="false" outlineLevel="0" collapsed="false">
      <c r="B10" s="34" t="s">
        <v>107</v>
      </c>
      <c r="C10" s="35" t="n">
        <f aca="false">Historical_Data!C18</f>
        <v>1517</v>
      </c>
      <c r="D10" s="35" t="n">
        <f aca="false">Historical_Data!D18</f>
        <v>1673</v>
      </c>
      <c r="E10" s="35" t="n">
        <f aca="false">Historical_Data!E18</f>
        <v>1908</v>
      </c>
      <c r="F10" s="35" t="n">
        <f aca="false">Historical_Data!F18</f>
        <v>2030</v>
      </c>
      <c r="G10" s="35" t="n">
        <f aca="false">Historical_Data!G18</f>
        <v>1936</v>
      </c>
      <c r="H10" s="26" t="n">
        <f aca="false">MAX(0,G10-Cash_Flow!H14+Income_Statement!H17)</f>
        <v>1327.92759355656</v>
      </c>
      <c r="I10" s="26" t="n">
        <f aca="false">MAX(0,H10-Cash_Flow!I14+Income_Statement!I17)</f>
        <v>629.802782081915</v>
      </c>
      <c r="J10" s="26" t="n">
        <f aca="false">MAX(0,I10-Cash_Flow!J14+Income_Statement!J17)</f>
        <v>0</v>
      </c>
      <c r="K10" s="26" t="n">
        <f aca="false">MAX(0,J10-Cash_Flow!K14+Income_Statement!K17)</f>
        <v>0</v>
      </c>
      <c r="L10" s="26" t="n">
        <f aca="false">MAX(0,K10-Cash_Flow!L14+Income_Statement!L17)</f>
        <v>0</v>
      </c>
    </row>
    <row r="11" customFormat="false" ht="15" hidden="false" customHeight="false" outlineLevel="0" collapsed="false">
      <c r="B11" s="34" t="s">
        <v>108</v>
      </c>
      <c r="C11" s="35" t="n">
        <f aca="false">Historical_Data!C19-SUM(C8:C10)</f>
        <v>18490</v>
      </c>
      <c r="D11" s="35" t="n">
        <f aca="false">Historical_Data!D19-SUM(D8:D10)</f>
        <v>19987</v>
      </c>
      <c r="E11" s="35" t="n">
        <f aca="false">Historical_Data!E19-SUM(E8:E10)</f>
        <v>20153</v>
      </c>
      <c r="F11" s="35" t="n">
        <f aca="false">Historical_Data!F19-SUM(F8:F10)</f>
        <v>17775</v>
      </c>
      <c r="G11" s="35" t="n">
        <f aca="false">Historical_Data!G19-SUM(G8:G10)</f>
        <v>19970</v>
      </c>
      <c r="H11" s="26" t="n">
        <f aca="false">Income_Statement!H9*Other_Assets_Pct_Revenue</f>
        <v>22927.4545883306</v>
      </c>
      <c r="I11" s="26" t="n">
        <f aca="false">Income_Statement!I9*Other_Assets_Pct_Revenue</f>
        <v>26322.8930345498</v>
      </c>
      <c r="J11" s="26" t="n">
        <f aca="false">Income_Statement!J9*Other_Assets_Pct_Revenue</f>
        <v>30221.1785019091</v>
      </c>
      <c r="K11" s="26" t="n">
        <f aca="false">Income_Statement!K9*Other_Assets_Pct_Revenue</f>
        <v>34696.7800555008</v>
      </c>
      <c r="L11" s="26" t="n">
        <f aca="false">Income_Statement!L9*Other_Assets_Pct_Revenue</f>
        <v>39835.19524706</v>
      </c>
    </row>
    <row r="13" customFormat="false" ht="15" hidden="false" customHeight="false" outlineLevel="0" collapsed="false">
      <c r="B13" s="31" t="s">
        <v>109</v>
      </c>
      <c r="C13" s="36" t="n">
        <f aca="false">SUM(C8:C11)</f>
        <v>24284</v>
      </c>
      <c r="D13" s="36" t="n">
        <f aca="false">SUM(D8:D11)</f>
        <v>27241</v>
      </c>
      <c r="E13" s="36" t="n">
        <f aca="false">SUM(E8:E11)</f>
        <v>27165</v>
      </c>
      <c r="F13" s="36" t="n">
        <f aca="false">SUM(F8:F11)</f>
        <v>29779</v>
      </c>
      <c r="G13" s="36" t="n">
        <f aca="false">SUM(G8:G11)</f>
        <v>30230</v>
      </c>
      <c r="H13" s="37" t="n">
        <f aca="false">SUM(H8:H11)</f>
        <v>34762.4386365449</v>
      </c>
      <c r="I13" s="37" t="n">
        <f aca="false">SUM(I8:I11)</f>
        <v>39913.0398611691</v>
      </c>
      <c r="J13" s="37" t="n">
        <f aca="false">SUM(J8:J11)</f>
        <v>45947.7145333742</v>
      </c>
      <c r="K13" s="37" t="n">
        <f aca="false">SUM(K8:K11)</f>
        <v>53551.2727531786</v>
      </c>
      <c r="L13" s="37" t="n">
        <f aca="false">SUM(L8:L11)</f>
        <v>62235.3794924175</v>
      </c>
    </row>
    <row r="16" customFormat="false" ht="15" hidden="false" customHeight="false" outlineLevel="0" collapsed="false">
      <c r="B16" s="34" t="s">
        <v>110</v>
      </c>
      <c r="C16" s="35" t="n">
        <f aca="false">Historical_Data!C21</f>
        <v>4117</v>
      </c>
      <c r="D16" s="35" t="n">
        <f aca="false">Historical_Data!D21</f>
        <v>4123</v>
      </c>
      <c r="E16" s="35" t="n">
        <f aca="false">Historical_Data!E21</f>
        <v>4129</v>
      </c>
      <c r="F16" s="35" t="n">
        <f aca="false">Historical_Data!F21</f>
        <v>3634</v>
      </c>
      <c r="G16" s="35" t="n">
        <f aca="false">Historical_Data!G21</f>
        <v>5628</v>
      </c>
      <c r="H16" s="26" t="n">
        <f aca="false">MAX(0,G16-Cash_Flow!H18)</f>
        <v>5346.6</v>
      </c>
      <c r="I16" s="26" t="n">
        <f aca="false">MAX(0,H16-Cash_Flow!I18)</f>
        <v>5079.27</v>
      </c>
      <c r="J16" s="26" t="n">
        <f aca="false">MAX(0,I16-Cash_Flow!J18)</f>
        <v>4825.3065</v>
      </c>
      <c r="K16" s="26" t="n">
        <f aca="false">MAX(0,J16-Cash_Flow!K18)</f>
        <v>4584.041175</v>
      </c>
      <c r="L16" s="26" t="n">
        <f aca="false">MAX(0,K16-Cash_Flow!L18)</f>
        <v>4354.83911625</v>
      </c>
    </row>
    <row r="17" customFormat="false" ht="15" hidden="false" customHeight="false" outlineLevel="0" collapsed="false">
      <c r="B17" s="34" t="s">
        <v>111</v>
      </c>
      <c r="C17" s="35" t="n">
        <f aca="false">Historical_Data!C20-C16</f>
        <v>6903</v>
      </c>
      <c r="D17" s="35" t="n">
        <f aca="false">Historical_Data!D20-D16</f>
        <v>8321</v>
      </c>
      <c r="E17" s="35" t="n">
        <f aca="false">Historical_Data!E20-E16</f>
        <v>8985</v>
      </c>
      <c r="F17" s="35" t="n">
        <f aca="false">Historical_Data!F20-F16</f>
        <v>9627</v>
      </c>
      <c r="G17" s="35" t="n">
        <f aca="false">Historical_Data!G20-G16</f>
        <v>10497</v>
      </c>
      <c r="H17" s="26" t="n">
        <f aca="false">Income_Statement!H9*Other_Liab_Pct_Revenue</f>
        <v>12051.551868488</v>
      </c>
      <c r="I17" s="26" t="n">
        <f aca="false">Income_Statement!I9*Other_Liab_Pct_Revenue</f>
        <v>13836.3248965283</v>
      </c>
      <c r="J17" s="26" t="n">
        <f aca="false">Income_Statement!J9*Other_Liab_Pct_Revenue</f>
        <v>15885.4136572128</v>
      </c>
      <c r="K17" s="26" t="n">
        <f aca="false">Income_Statement!K9*Other_Liab_Pct_Revenue</f>
        <v>18237.9619550622</v>
      </c>
      <c r="L17" s="26" t="n">
        <f aca="false">Income_Statement!L9*Other_Liab_Pct_Revenue</f>
        <v>20938.9105913064</v>
      </c>
    </row>
    <row r="19" customFormat="false" ht="15" hidden="false" customHeight="false" outlineLevel="0" collapsed="false">
      <c r="B19" s="31" t="s">
        <v>87</v>
      </c>
      <c r="C19" s="32" t="n">
        <f aca="false">SUM(C16:C17)</f>
        <v>11020</v>
      </c>
      <c r="D19" s="32" t="n">
        <f aca="false">SUM(D16:D17)</f>
        <v>12444</v>
      </c>
      <c r="E19" s="32" t="n">
        <f aca="false">SUM(E16:E17)</f>
        <v>13114</v>
      </c>
      <c r="F19" s="32" t="n">
        <f aca="false">SUM(F16:F17)</f>
        <v>13261</v>
      </c>
      <c r="G19" s="32" t="n">
        <f aca="false">SUM(G16:G17)</f>
        <v>16125</v>
      </c>
      <c r="H19" s="33" t="n">
        <f aca="false">SUM(H16:H17)</f>
        <v>17398.151868488</v>
      </c>
      <c r="I19" s="33" t="n">
        <f aca="false">SUM(I16:I17)</f>
        <v>18915.5948965283</v>
      </c>
      <c r="J19" s="33" t="n">
        <f aca="false">SUM(J16:J17)</f>
        <v>20710.7201572128</v>
      </c>
      <c r="K19" s="33" t="n">
        <f aca="false">SUM(K16:K17)</f>
        <v>22822.0031300622</v>
      </c>
      <c r="L19" s="33" t="n">
        <f aca="false">SUM(L16:L17)</f>
        <v>25293.7497075564</v>
      </c>
    </row>
    <row r="21" customFormat="false" ht="15" hidden="false" customHeight="false" outlineLevel="0" collapsed="false">
      <c r="B21" s="34" t="s">
        <v>112</v>
      </c>
      <c r="C21" s="35" t="n">
        <f aca="false">C13-C19</f>
        <v>13264</v>
      </c>
      <c r="D21" s="35" t="n">
        <f aca="false">D13-D19</f>
        <v>14797</v>
      </c>
      <c r="E21" s="35" t="n">
        <f aca="false">E13-E19</f>
        <v>14051</v>
      </c>
      <c r="F21" s="35" t="n">
        <f aca="false">F13-F19</f>
        <v>16518</v>
      </c>
      <c r="G21" s="35" t="n">
        <f aca="false">G13-G19</f>
        <v>14105</v>
      </c>
      <c r="H21" s="26" t="n">
        <f aca="false">H13-H19</f>
        <v>17364.2867680569</v>
      </c>
      <c r="I21" s="26" t="n">
        <f aca="false">I13-I19</f>
        <v>20997.4449646408</v>
      </c>
      <c r="J21" s="26" t="n">
        <f aca="false">J13-J19</f>
        <v>25236.9943761614</v>
      </c>
      <c r="K21" s="26" t="n">
        <f aca="false">K13-K19</f>
        <v>30729.2696231164</v>
      </c>
      <c r="L21" s="26" t="n">
        <f aca="false">L13-L19</f>
        <v>36941.6297848611</v>
      </c>
    </row>
    <row r="23" customFormat="false" ht="15" hidden="false" customHeight="false" outlineLevel="0" collapsed="false">
      <c r="B23" s="31" t="s">
        <v>113</v>
      </c>
      <c r="C23" s="36" t="n">
        <f aca="false">C19+C21</f>
        <v>24284</v>
      </c>
      <c r="D23" s="36" t="n">
        <f aca="false">D19+D21</f>
        <v>27241</v>
      </c>
      <c r="E23" s="36" t="n">
        <f aca="false">E19+E21</f>
        <v>27165</v>
      </c>
      <c r="F23" s="36" t="n">
        <f aca="false">F19+F21</f>
        <v>29779</v>
      </c>
      <c r="G23" s="36" t="n">
        <f aca="false">G19+G21</f>
        <v>30230</v>
      </c>
      <c r="H23" s="37" t="n">
        <f aca="false">H19+H21</f>
        <v>34762.4386365449</v>
      </c>
      <c r="I23" s="37" t="n">
        <f aca="false">I19+I21</f>
        <v>39913.0398611691</v>
      </c>
      <c r="J23" s="37" t="n">
        <f aca="false">J19+J21</f>
        <v>45947.7145333742</v>
      </c>
      <c r="K23" s="37" t="n">
        <f aca="false">K19+K21</f>
        <v>53551.2727531786</v>
      </c>
      <c r="L23" s="37" t="n">
        <f aca="false">L19+L21</f>
        <v>62235.3794924175</v>
      </c>
    </row>
    <row r="25" customFormat="false" ht="15" hidden="false" customHeight="false" outlineLevel="0" collapsed="false">
      <c r="B25" s="38" t="s">
        <v>114</v>
      </c>
      <c r="C25" s="39" t="n">
        <f aca="false">C13-C23</f>
        <v>0</v>
      </c>
      <c r="D25" s="39" t="n">
        <f aca="false">D13-D23</f>
        <v>0</v>
      </c>
      <c r="E25" s="39" t="n">
        <f aca="false">E13-E23</f>
        <v>0</v>
      </c>
      <c r="F25" s="39" t="n">
        <f aca="false">F13-F23</f>
        <v>0</v>
      </c>
      <c r="G25" s="39" t="n">
        <f aca="false">G13-G23</f>
        <v>0</v>
      </c>
      <c r="H25" s="39" t="n">
        <f aca="false">H13-H23</f>
        <v>0</v>
      </c>
      <c r="I25" s="39" t="n">
        <f aca="false">I13-I23</f>
        <v>0</v>
      </c>
      <c r="J25" s="39" t="n">
        <f aca="false">J13-J23</f>
        <v>0</v>
      </c>
      <c r="K25" s="39" t="n">
        <f aca="false">K13-K23</f>
        <v>0</v>
      </c>
      <c r="L25" s="39" t="n">
        <f aca="false">L13-L23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81</v>
      </c>
      <c r="C8" s="35" t="n">
        <f aca="false">Income_Statement!C23</f>
        <v>2951</v>
      </c>
      <c r="D8" s="35" t="n">
        <f aca="false">Income_Statement!D23</f>
        <v>5260</v>
      </c>
      <c r="E8" s="35" t="n">
        <f aca="false">Income_Statement!E23</f>
        <v>4822</v>
      </c>
      <c r="F8" s="35" t="n">
        <f aca="false">Income_Statement!F23</f>
        <v>4756</v>
      </c>
      <c r="G8" s="35" t="n">
        <f aca="false">Income_Statement!G23</f>
        <v>5428</v>
      </c>
      <c r="H8" s="26" t="n">
        <f aca="false">Income_Statement!H23</f>
        <v>13438.9115914787</v>
      </c>
      <c r="I8" s="26" t="n">
        <f aca="false">Income_Statement!I23</f>
        <v>15456.9416648953</v>
      </c>
      <c r="J8" s="26" t="n">
        <f aca="false">Income_Statement!J23</f>
        <v>17772.4418339117</v>
      </c>
      <c r="K8" s="26" t="n">
        <f aca="false">Income_Statement!K23</f>
        <v>20429.5353846404</v>
      </c>
      <c r="L8" s="26" t="n">
        <f aca="false">Income_Statement!L23</f>
        <v>23478.8765610677</v>
      </c>
    </row>
    <row r="9" customFormat="false" ht="15" hidden="false" customHeight="false" outlineLevel="0" collapsed="false">
      <c r="B9" s="34" t="s">
        <v>102</v>
      </c>
      <c r="C9" s="35" t="n">
        <f aca="false">-Income_Statement!C17</f>
        <v>757</v>
      </c>
      <c r="D9" s="35" t="n">
        <f aca="false">-Income_Statement!D17</f>
        <v>757</v>
      </c>
      <c r="E9" s="35" t="n">
        <f aca="false">-Income_Statement!E17</f>
        <v>788</v>
      </c>
      <c r="F9" s="35" t="n">
        <f aca="false">-Income_Statement!F17</f>
        <v>856</v>
      </c>
      <c r="G9" s="35" t="n">
        <f aca="false">-Income_Statement!G17</f>
        <v>872</v>
      </c>
      <c r="H9" s="26" t="n">
        <f aca="false">-Income_Statement!H17</f>
        <v>1203.57428285046</v>
      </c>
      <c r="I9" s="26" t="n">
        <f aca="false">-Income_Statement!I17</f>
        <v>1381.81746187964</v>
      </c>
      <c r="J9" s="26" t="n">
        <f aca="false">-Income_Statement!J17</f>
        <v>1586.45754164285</v>
      </c>
      <c r="K9" s="26" t="n">
        <f aca="false">-Income_Statement!K17</f>
        <v>1821.4037677682</v>
      </c>
      <c r="L9" s="26" t="n">
        <f aca="false">-Income_Statement!L17</f>
        <v>2091.14432511365</v>
      </c>
    </row>
    <row r="10" customFormat="false" ht="15" hidden="false" customHeight="false" outlineLevel="0" collapsed="false">
      <c r="B10" s="34" t="s">
        <v>116</v>
      </c>
      <c r="C10" s="35" t="n">
        <f aca="false">0</f>
        <v>0</v>
      </c>
      <c r="D10" s="35" t="n">
        <f aca="false">-(Balance_Sheet!D9-Balance_Sheet!C9)</f>
        <v>897</v>
      </c>
      <c r="E10" s="35" t="n">
        <f aca="false">-(Balance_Sheet!E9-Balance_Sheet!D9)</f>
        <v>869</v>
      </c>
      <c r="F10" s="35" t="n">
        <f aca="false">-(Balance_Sheet!F9-Balance_Sheet!E9)</f>
        <v>-1965</v>
      </c>
      <c r="G10" s="35" t="n">
        <f aca="false">-(Balance_Sheet!G9-Balance_Sheet!F9)</f>
        <v>2122</v>
      </c>
      <c r="H10" s="26" t="n">
        <f aca="false">-(Balance_Sheet!H9-Balance_Sheet!G9)</f>
        <v>-105.295453795845</v>
      </c>
      <c r="I10" s="26" t="n">
        <f aca="false">-(Balance_Sheet!I9-Balance_Sheet!H9)</f>
        <v>-120.889170518873</v>
      </c>
      <c r="J10" s="26" t="n">
        <f aca="false">-(Balance_Sheet!J9-Balance_Sheet!I9)</f>
        <v>-138.7922367197</v>
      </c>
      <c r="K10" s="26" t="n">
        <f aca="false">-(Balance_Sheet!K9-Balance_Sheet!J9)</f>
        <v>-159.346655213007</v>
      </c>
      <c r="L10" s="26" t="n">
        <f aca="false">-(Balance_Sheet!L9-Balance_Sheet!K9)</f>
        <v>-182.945077676445</v>
      </c>
    </row>
    <row r="12" customFormat="false" ht="15" hidden="false" customHeight="false" outlineLevel="0" collapsed="false">
      <c r="B12" s="31" t="s">
        <v>117</v>
      </c>
      <c r="C12" s="32" t="n">
        <f aca="false">Historical_Data!C25</f>
        <v>4422</v>
      </c>
      <c r="D12" s="32" t="n">
        <f aca="false">Historical_Data!D25</f>
        <v>5727</v>
      </c>
      <c r="E12" s="32" t="n">
        <f aca="false">Historical_Data!E25</f>
        <v>7230</v>
      </c>
      <c r="F12" s="32" t="n">
        <f aca="false">Historical_Data!F25</f>
        <v>7838</v>
      </c>
      <c r="G12" s="32" t="n">
        <f aca="false">Historical_Data!G25</f>
        <v>7302</v>
      </c>
      <c r="H12" s="33" t="n">
        <f aca="false">SUM(H8:H10)</f>
        <v>14537.1904205334</v>
      </c>
      <c r="I12" s="33" t="n">
        <f aca="false">SUM(I8:I10)</f>
        <v>16717.8699562561</v>
      </c>
      <c r="J12" s="33" t="n">
        <f aca="false">SUM(J8:J10)</f>
        <v>19220.1071388349</v>
      </c>
      <c r="K12" s="33" t="n">
        <f aca="false">SUM(K8:K10)</f>
        <v>22091.5924971956</v>
      </c>
      <c r="L12" s="33" t="n">
        <f aca="false">SUM(L8:L10)</f>
        <v>25387.0758085049</v>
      </c>
    </row>
    <row r="14" customFormat="false" ht="15" hidden="false" customHeight="false" outlineLevel="0" collapsed="false">
      <c r="B14" s="34" t="s">
        <v>118</v>
      </c>
      <c r="C14" s="35" t="n">
        <f aca="false">Historical_Data!C15</f>
        <v>-395</v>
      </c>
      <c r="D14" s="35" t="n">
        <f aca="false">Historical_Data!D15</f>
        <v>-419</v>
      </c>
      <c r="E14" s="35" t="n">
        <f aca="false">Historical_Data!E15</f>
        <v>-348</v>
      </c>
      <c r="F14" s="35" t="n">
        <f aca="false">Historical_Data!F15</f>
        <v>-442</v>
      </c>
      <c r="G14" s="35" t="n">
        <f aca="false">Historical_Data!G15</f>
        <v>-360</v>
      </c>
      <c r="H14" s="26" t="n">
        <f aca="false">-Income_Statement!H9*Capex_Pct_Revenue</f>
        <v>-595.501876407023</v>
      </c>
      <c r="I14" s="26" t="n">
        <f aca="false">-Income_Statement!I9*Capex_Pct_Revenue</f>
        <v>-683.69265040499</v>
      </c>
      <c r="J14" s="26" t="n">
        <f aca="false">-Income_Statement!J9*Capex_Pct_Revenue</f>
        <v>-784.944025765437</v>
      </c>
      <c r="K14" s="26" t="n">
        <f aca="false">-Income_Statement!K9*Capex_Pct_Revenue</f>
        <v>-901.190210571779</v>
      </c>
      <c r="L14" s="26" t="n">
        <f aca="false">-Income_Statement!L9*Capex_Pct_Revenue</f>
        <v>-1034.65185920543</v>
      </c>
    </row>
    <row r="16" customFormat="false" ht="15" hidden="false" customHeight="false" outlineLevel="0" collapsed="false">
      <c r="B16" s="31" t="s">
        <v>119</v>
      </c>
      <c r="C16" s="32" t="n">
        <f aca="false">C12+C14</f>
        <v>4027</v>
      </c>
      <c r="D16" s="32" t="n">
        <f aca="false">D12+D14</f>
        <v>5308</v>
      </c>
      <c r="E16" s="32" t="n">
        <f aca="false">E12+E14</f>
        <v>6882</v>
      </c>
      <c r="F16" s="32" t="n">
        <f aca="false">F12+F14</f>
        <v>7396</v>
      </c>
      <c r="G16" s="32" t="n">
        <f aca="false">G12+G14</f>
        <v>6942</v>
      </c>
      <c r="H16" s="33" t="n">
        <f aca="false">H12+H14</f>
        <v>13941.6885441263</v>
      </c>
      <c r="I16" s="33" t="n">
        <f aca="false">I12+I14</f>
        <v>16034.1773058511</v>
      </c>
      <c r="J16" s="33" t="n">
        <f aca="false">J12+J14</f>
        <v>18435.1631130694</v>
      </c>
      <c r="K16" s="33" t="n">
        <f aca="false">K12+K14</f>
        <v>21190.4022866238</v>
      </c>
      <c r="L16" s="33" t="n">
        <f aca="false">L12+L14</f>
        <v>24352.4239492995</v>
      </c>
    </row>
    <row r="18" customFormat="false" ht="15" hidden="false" customHeight="false" outlineLevel="0" collapsed="false">
      <c r="B18" s="34" t="s">
        <v>120</v>
      </c>
      <c r="C18" s="35" t="n">
        <f aca="false">0</f>
        <v>0</v>
      </c>
      <c r="D18" s="35" t="n">
        <f aca="false">0</f>
        <v>0</v>
      </c>
      <c r="E18" s="35" t="n">
        <f aca="false">0</f>
        <v>0</v>
      </c>
      <c r="F18" s="35" t="n">
        <f aca="false">0</f>
        <v>0</v>
      </c>
      <c r="G18" s="35" t="n">
        <f aca="false">0</f>
        <v>0</v>
      </c>
      <c r="H18" s="26" t="n">
        <f aca="false">Balance_Sheet!G16*Debt_Paydown_Pct</f>
        <v>281.4</v>
      </c>
      <c r="I18" s="26" t="n">
        <f aca="false">Balance_Sheet!H16*Debt_Paydown_Pct</f>
        <v>267.33</v>
      </c>
      <c r="J18" s="26" t="n">
        <f aca="false">Balance_Sheet!I16*Debt_Paydown_Pct</f>
        <v>253.9635</v>
      </c>
      <c r="K18" s="26" t="n">
        <f aca="false">Balance_Sheet!J16*Debt_Paydown_Pct</f>
        <v>241.265325</v>
      </c>
      <c r="L18" s="26" t="n">
        <f aca="false">Balance_Sheet!K16*Debt_Paydown_Pct</f>
        <v>229.20205875</v>
      </c>
    </row>
    <row r="19" customFormat="false" ht="15" hidden="false" customHeight="false" outlineLevel="0" collapsed="false">
      <c r="B19" s="34" t="s">
        <v>121</v>
      </c>
      <c r="C19" s="35" t="n">
        <f aca="false">Historical_Data!C22</f>
        <v>0</v>
      </c>
      <c r="D19" s="35" t="n">
        <f aca="false">Historical_Data!D22</f>
        <v>0</v>
      </c>
      <c r="E19" s="35" t="n">
        <f aca="false">Historical_Data!E22</f>
        <v>0</v>
      </c>
      <c r="F19" s="35" t="n">
        <f aca="false">Historical_Data!F22</f>
        <v>0</v>
      </c>
      <c r="G19" s="35" t="n">
        <f aca="false">Historical_Data!G22</f>
        <v>0</v>
      </c>
      <c r="H19" s="26" t="n">
        <f aca="false">-MAX(0,Income_Statement!H23*Dividend_Payout)</f>
        <v>-0</v>
      </c>
      <c r="I19" s="26" t="n">
        <f aca="false">-MAX(0,Income_Statement!I23*Dividend_Payout)</f>
        <v>-0</v>
      </c>
      <c r="J19" s="26" t="n">
        <f aca="false">-MAX(0,Income_Statement!J23*Dividend_Payout)</f>
        <v>-0</v>
      </c>
      <c r="K19" s="26" t="n">
        <f aca="false">-MAX(0,Income_Statement!K23*Dividend_Payout)</f>
        <v>-0</v>
      </c>
      <c r="L19" s="26" t="n">
        <f aca="false">-MAX(0,Income_Statement!L23*Dividend_Payout)</f>
        <v>-0</v>
      </c>
    </row>
    <row r="20" customFormat="false" ht="15" hidden="false" customHeight="false" outlineLevel="0" collapsed="false">
      <c r="B20" s="34" t="s">
        <v>90</v>
      </c>
      <c r="C20" s="35" t="n">
        <f aca="false">Historical_Data!C23</f>
        <v>-2750</v>
      </c>
      <c r="D20" s="35" t="n">
        <f aca="false">Historical_Data!D23</f>
        <v>-3050</v>
      </c>
      <c r="E20" s="35" t="n">
        <f aca="false">Historical_Data!E23</f>
        <v>-3950</v>
      </c>
      <c r="F20" s="35" t="n">
        <f aca="false">Historical_Data!F23</f>
        <v>-6550</v>
      </c>
      <c r="G20" s="35" t="n">
        <f aca="false">Historical_Data!G23</f>
        <v>-4400</v>
      </c>
      <c r="H20" s="26" t="n">
        <f aca="false">-MAX(0,Income_Statement!H23*Buyback_Pct_NI)</f>
        <v>-12145.3275432644</v>
      </c>
      <c r="I20" s="26" t="n">
        <f aca="false">-MAX(0,Income_Statement!I23*Buyback_Pct_NI)</f>
        <v>-13969.1088864904</v>
      </c>
      <c r="J20" s="26" t="n">
        <f aca="false">-MAX(0,Income_Statement!J23*Buyback_Pct_NI)</f>
        <v>-16061.7268628613</v>
      </c>
      <c r="K20" s="26" t="n">
        <f aca="false">-MAX(0,Income_Statement!K23*Buyback_Pct_NI)</f>
        <v>-18463.0576006242</v>
      </c>
      <c r="L20" s="26" t="n">
        <f aca="false">-MAX(0,Income_Statement!L23*Buyback_Pct_NI)</f>
        <v>-21218.8795380463</v>
      </c>
    </row>
    <row r="22" customFormat="false" ht="15" hidden="false" customHeight="false" outlineLevel="0" collapsed="false">
      <c r="B22" s="31" t="s">
        <v>122</v>
      </c>
      <c r="C22" s="32" t="n">
        <f aca="false">SUM(C18:C20)</f>
        <v>-2750</v>
      </c>
      <c r="D22" s="32" t="n">
        <f aca="false">SUM(D18:D20)</f>
        <v>-3050</v>
      </c>
      <c r="E22" s="32" t="n">
        <f aca="false">SUM(E18:E20)</f>
        <v>-3950</v>
      </c>
      <c r="F22" s="32" t="n">
        <f aca="false">SUM(F18:F20)</f>
        <v>-6550</v>
      </c>
      <c r="G22" s="32" t="n">
        <f aca="false">SUM(G18:G20)</f>
        <v>-4400</v>
      </c>
      <c r="H22" s="33" t="n">
        <f aca="false">SUM(H18:H20)</f>
        <v>-11863.9275432644</v>
      </c>
      <c r="I22" s="33" t="n">
        <f aca="false">SUM(I18:I20)</f>
        <v>-13701.7788864904</v>
      </c>
      <c r="J22" s="33" t="n">
        <f aca="false">SUM(J18:J20)</f>
        <v>-15807.7633628613</v>
      </c>
      <c r="K22" s="33" t="n">
        <f aca="false">SUM(K18:K20)</f>
        <v>-18221.7922756242</v>
      </c>
      <c r="L22" s="33" t="n">
        <f aca="false">SUM(L18:L20)</f>
        <v>-20989.6774792963</v>
      </c>
    </row>
    <row r="24" customFormat="false" ht="15" hidden="false" customHeight="false" outlineLevel="0" collapsed="false">
      <c r="B24" s="31" t="s">
        <v>123</v>
      </c>
      <c r="C24" s="36" t="n">
        <f aca="false">0</f>
        <v>0</v>
      </c>
      <c r="D24" s="36" t="n">
        <f aca="false">Balance_Sheet!D8-Balance_Sheet!C8</f>
        <v>2201</v>
      </c>
      <c r="E24" s="36" t="n">
        <f aca="false">Balance_Sheet!E8-Balance_Sheet!D8</f>
        <v>392</v>
      </c>
      <c r="F24" s="36" t="n">
        <f aca="false">Balance_Sheet!F8-Balance_Sheet!E8</f>
        <v>2905</v>
      </c>
      <c r="G24" s="36" t="n">
        <f aca="false">Balance_Sheet!G8-Balance_Sheet!F8</f>
        <v>472</v>
      </c>
      <c r="H24" s="37" t="n">
        <f aca="false">H16+H22</f>
        <v>2077.76100086192</v>
      </c>
      <c r="I24" s="37" t="n">
        <f aca="false">I16+I22</f>
        <v>2332.39841936071</v>
      </c>
      <c r="J24" s="37" t="n">
        <f aca="false">J16+J22</f>
        <v>2627.39975020809</v>
      </c>
      <c r="K24" s="37" t="n">
        <f aca="false">K16+K22</f>
        <v>2968.61001099963</v>
      </c>
      <c r="L24" s="37" t="n">
        <f aca="false">L16+L22</f>
        <v>3362.74647000322</v>
      </c>
    </row>
    <row r="25" customFormat="false" ht="15" hidden="false" customHeight="false" outlineLevel="0" collapsed="false">
      <c r="B25" s="34" t="s">
        <v>124</v>
      </c>
      <c r="C25" s="35" t="n">
        <f aca="false">0</f>
        <v>0</v>
      </c>
      <c r="D25" s="35" t="n">
        <f aca="false">Balance_Sheet!C8</f>
        <v>1643</v>
      </c>
      <c r="E25" s="35" t="n">
        <f aca="false">Balance_Sheet!D8</f>
        <v>3844</v>
      </c>
      <c r="F25" s="35" t="n">
        <f aca="false">Balance_Sheet!E8</f>
        <v>4236</v>
      </c>
      <c r="G25" s="35" t="n">
        <f aca="false">Balance_Sheet!F8</f>
        <v>7141</v>
      </c>
      <c r="H25" s="26" t="n">
        <f aca="false">Balance_Sheet!G8</f>
        <v>7613</v>
      </c>
      <c r="I25" s="26" t="n">
        <f aca="false">Balance_Sheet!H8</f>
        <v>9690.76100086192</v>
      </c>
      <c r="J25" s="26" t="n">
        <f aca="false">Balance_Sheet!I8</f>
        <v>12023.1594202226</v>
      </c>
      <c r="K25" s="26" t="n">
        <f aca="false">Balance_Sheet!J8</f>
        <v>14650.5591704307</v>
      </c>
      <c r="L25" s="26" t="n">
        <f aca="false">Balance_Sheet!K8</f>
        <v>17619.1691814304</v>
      </c>
    </row>
    <row r="26" customFormat="false" ht="15" hidden="false" customHeight="false" outlineLevel="0" collapsed="false">
      <c r="B26" s="31" t="s">
        <v>125</v>
      </c>
      <c r="C26" s="33" t="n">
        <f aca="false">Balance_Sheet!C8</f>
        <v>1643</v>
      </c>
      <c r="D26" s="33" t="n">
        <f aca="false">Balance_Sheet!D8</f>
        <v>3844</v>
      </c>
      <c r="E26" s="33" t="n">
        <f aca="false">Balance_Sheet!E8</f>
        <v>4236</v>
      </c>
      <c r="F26" s="33" t="n">
        <f aca="false">Balance_Sheet!F8</f>
        <v>7141</v>
      </c>
      <c r="G26" s="33" t="n">
        <f aca="false">Balance_Sheet!G8</f>
        <v>7613</v>
      </c>
      <c r="H26" s="33" t="n">
        <f aca="false">H25+H24</f>
        <v>9690.76100086192</v>
      </c>
      <c r="I26" s="33" t="n">
        <f aca="false">I25+I24</f>
        <v>12023.1594202226</v>
      </c>
      <c r="J26" s="33" t="n">
        <f aca="false">J25+J24</f>
        <v>14650.5591704307</v>
      </c>
      <c r="K26" s="33" t="n">
        <f aca="false">K25+K24</f>
        <v>17619.1691814304</v>
      </c>
      <c r="L26" s="33" t="n">
        <f aca="false">L25+L24</f>
        <v>20981.9156514336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127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8" t="s">
        <v>128</v>
      </c>
      <c r="C7" s="9"/>
      <c r="D7" s="9"/>
      <c r="E7" s="9"/>
      <c r="F7" s="9"/>
      <c r="G7" s="9"/>
      <c r="H7" s="9"/>
      <c r="I7" s="9"/>
      <c r="J7" s="9"/>
      <c r="K7" s="9"/>
      <c r="L7" s="9"/>
    </row>
    <row r="8" customFormat="false" ht="15" hidden="false" customHeight="false" outlineLevel="0" collapsed="false">
      <c r="B8" s="34" t="s">
        <v>129</v>
      </c>
      <c r="C8" s="40" t="n">
        <f aca="false">IFERROR(Income_Statement!C11/Income_Statement!C9,0)</f>
        <v>0.850237221376779</v>
      </c>
      <c r="D8" s="40" t="n">
        <f aca="false">IFERROR(Income_Statement!D11/Income_Statement!D9,0)</f>
        <v>0.866179670500466</v>
      </c>
      <c r="E8" s="40" t="n">
        <f aca="false">IFERROR(Income_Statement!E11/Income_Statement!E9,0)</f>
        <v>0.881849857459614</v>
      </c>
      <c r="F8" s="40" t="n">
        <f aca="false">IFERROR(Income_Statement!F11/Income_Statement!F9,0)</f>
        <v>0.877030557764399</v>
      </c>
      <c r="G8" s="40" t="n">
        <f aca="false">IFERROR(Income_Statement!G11/Income_Statement!G9,0)</f>
        <v>0.878716059559998</v>
      </c>
      <c r="H8" s="41" t="n">
        <f aca="false">IFERROR(Income_Statement!H11/Income_Statement!H9,0)</f>
        <v>0.870802673332251</v>
      </c>
      <c r="I8" s="41" t="n">
        <f aca="false">IFERROR(Income_Statement!I11/Income_Statement!I9,0)</f>
        <v>0.870802673332251</v>
      </c>
      <c r="J8" s="41" t="n">
        <f aca="false">IFERROR(Income_Statement!J11/Income_Statement!J9,0)</f>
        <v>0.870802673332251</v>
      </c>
      <c r="K8" s="41" t="n">
        <f aca="false">IFERROR(Income_Statement!K11/Income_Statement!K9,0)</f>
        <v>0.870802673332251</v>
      </c>
      <c r="L8" s="41" t="n">
        <f aca="false">IFERROR(Income_Statement!L11/Income_Statement!L9,0)</f>
        <v>0.870802673332251</v>
      </c>
    </row>
    <row r="9" customFormat="false" ht="15" hidden="false" customHeight="false" outlineLevel="0" collapsed="false">
      <c r="B9" s="34" t="s">
        <v>130</v>
      </c>
      <c r="C9" s="40" t="n">
        <f aca="false">IFERROR(Income_Statement!C15/Income_Statement!C9,0)</f>
        <v>0.771372303285292</v>
      </c>
      <c r="D9" s="40" t="n">
        <f aca="false">IFERROR(Income_Statement!D15/Income_Statement!D9,0)</f>
        <v>0.790954305253342</v>
      </c>
      <c r="E9" s="40" t="n">
        <f aca="false">IFERROR(Income_Statement!E15/Income_Statement!E9,0)</f>
        <v>0.81311371555274</v>
      </c>
      <c r="F9" s="40" t="n">
        <f aca="false">IFERROR(Income_Statement!F15/Income_Statement!F9,0)</f>
        <v>0.807792797909804</v>
      </c>
      <c r="G9" s="40" t="n">
        <f aca="false">IFERROR(Income_Statement!G15/Income_Statement!G9,0)</f>
        <v>0.805914781802257</v>
      </c>
      <c r="H9" s="41" t="n">
        <f aca="false">IFERROR(Income_Statement!H15/Income_Statement!H9,0)</f>
        <v>0.797829580760687</v>
      </c>
      <c r="I9" s="41" t="n">
        <f aca="false">IFERROR(Income_Statement!I15/Income_Statement!I9,0)</f>
        <v>0.797829580760687</v>
      </c>
      <c r="J9" s="41" t="n">
        <f aca="false">IFERROR(Income_Statement!J15/Income_Statement!J9,0)</f>
        <v>0.797829580760687</v>
      </c>
      <c r="K9" s="41" t="n">
        <f aca="false">IFERROR(Income_Statement!K15/Income_Statement!K9,0)</f>
        <v>0.797829580760687</v>
      </c>
      <c r="L9" s="41" t="n">
        <f aca="false">IFERROR(Income_Statement!L15/Income_Statement!L9,0)</f>
        <v>0.797829580760687</v>
      </c>
    </row>
    <row r="10" customFormat="false" ht="15" hidden="false" customHeight="false" outlineLevel="0" collapsed="false">
      <c r="B10" s="34" t="s">
        <v>131</v>
      </c>
      <c r="C10" s="40" t="n">
        <f aca="false">IFERROR(Income_Statement!C18/Income_Statement!C9,0)</f>
        <v>0.703607555277057</v>
      </c>
      <c r="D10" s="40" t="n">
        <f aca="false">IFERROR(Income_Statement!D18/Income_Statement!D9,0)</f>
        <v>0.73212620453839</v>
      </c>
      <c r="E10" s="40" t="n">
        <f aca="false">IFERROR(Income_Statement!E18/Income_Statement!E9,0)</f>
        <v>0.763192904656319</v>
      </c>
      <c r="F10" s="40" t="n">
        <f aca="false">IFERROR(Income_Statement!F18/Income_Statement!F9,0)</f>
        <v>0.759173009201409</v>
      </c>
      <c r="G10" s="40" t="n">
        <f aca="false">IFERROR(Income_Statement!G18/Income_Statement!G9,0)</f>
        <v>0.760987170900098</v>
      </c>
      <c r="H10" s="41" t="n">
        <f aca="false">IFERROR(Income_Statement!H18/Income_Statement!H9,0)</f>
        <v>0.743817368914654</v>
      </c>
      <c r="I10" s="41" t="n">
        <f aca="false">IFERROR(Income_Statement!I18/Income_Statement!I9,0)</f>
        <v>0.743817368914654</v>
      </c>
      <c r="J10" s="41" t="n">
        <f aca="false">IFERROR(Income_Statement!J18/Income_Statement!J9,0)</f>
        <v>0.743817368914655</v>
      </c>
      <c r="K10" s="41" t="n">
        <f aca="false">IFERROR(Income_Statement!K18/Income_Statement!K9,0)</f>
        <v>0.743817368914654</v>
      </c>
      <c r="L10" s="41" t="n">
        <f aca="false">IFERROR(Income_Statement!L18/Income_Statement!L9,0)</f>
        <v>0.743817368914655</v>
      </c>
    </row>
    <row r="11" customFormat="false" ht="15" hidden="false" customHeight="false" outlineLevel="0" collapsed="false">
      <c r="B11" s="34" t="s">
        <v>132</v>
      </c>
      <c r="C11" s="40" t="n">
        <f aca="false">IFERROR(Income_Statement!C23/Income_Statement!C9,0)</f>
        <v>0.264166144481246</v>
      </c>
      <c r="D11" s="40" t="n">
        <f aca="false">IFERROR(Income_Statement!D23/Income_Statement!D9,0)</f>
        <v>0.408765930991607</v>
      </c>
      <c r="E11" s="40" t="n">
        <f aca="false">IFERROR(Income_Statement!E23/Income_Statement!E9,0)</f>
        <v>0.305479885967691</v>
      </c>
      <c r="F11" s="40" t="n">
        <f aca="false">IFERROR(Income_Statement!F23/Income_Statement!F9,0)</f>
        <v>0.270135181188231</v>
      </c>
      <c r="G11" s="40" t="n">
        <f aca="false">IFERROR(Income_Statement!G23/Income_Statement!G9,0)</f>
        <v>0.279664073368025</v>
      </c>
      <c r="H11" s="41" t="n">
        <f aca="false">IFERROR(Income_Statement!H23/Income_Statement!H9,0)</f>
        <v>0.603091433741807</v>
      </c>
      <c r="I11" s="41" t="n">
        <f aca="false">IFERROR(Income_Statement!I23/Income_Statement!I9,0)</f>
        <v>0.604177925614324</v>
      </c>
      <c r="J11" s="41" t="n">
        <f aca="false">IFERROR(Income_Statement!J23/Income_Statement!J9,0)</f>
        <v>0.605076951735172</v>
      </c>
      <c r="K11" s="41" t="n">
        <f aca="false">IFERROR(Income_Statement!K23/Income_Statement!K9,0)</f>
        <v>0.605820857866834</v>
      </c>
      <c r="L11" s="41" t="n">
        <f aca="false">IFERROR(Income_Statement!L23/Income_Statement!L9,0)</f>
        <v>0.606436408761176</v>
      </c>
    </row>
    <row r="12" customFormat="false" ht="15" hidden="false" customHeight="false" outlineLevel="0" collapsed="false">
      <c r="B12" s="34" t="s">
        <v>133</v>
      </c>
      <c r="C12" s="40" t="n">
        <f aca="false">IFERROR(Income_Statement!C23/Balance_Sheet!C21,0)</f>
        <v>0.222481905910736</v>
      </c>
      <c r="D12" s="40" t="n">
        <f aca="false">IFERROR(Income_Statement!D23/AVERAGE(Balance_Sheet!C21,Balance_Sheet!D21),0)</f>
        <v>0.374897544634903</v>
      </c>
      <c r="E12" s="40" t="n">
        <f aca="false">IFERROR(Income_Statement!E23/AVERAGE(Balance_Sheet!D21,Balance_Sheet!E21),0)</f>
        <v>0.334303937881309</v>
      </c>
      <c r="F12" s="40" t="n">
        <f aca="false">IFERROR(Income_Statement!F23/AVERAGE(Balance_Sheet!E21,Balance_Sheet!F21),0)</f>
        <v>0.311164905623344</v>
      </c>
      <c r="G12" s="40" t="n">
        <f aca="false">IFERROR(Income_Statement!G23/AVERAGE(Balance_Sheet!F21,Balance_Sheet!G21),0)</f>
        <v>0.354504783985893</v>
      </c>
      <c r="H12" s="41" t="n">
        <f aca="false">IFERROR(Income_Statement!H23/AVERAGE(Balance_Sheet!G21,Balance_Sheet!H21),0)</f>
        <v>0.854096992444075</v>
      </c>
      <c r="I12" s="41" t="n">
        <f aca="false">IFERROR(Income_Statement!I23/AVERAGE(Balance_Sheet!H21,Balance_Sheet!I21),0)</f>
        <v>0.805852132672134</v>
      </c>
      <c r="J12" s="41" t="n">
        <f aca="false">IFERROR(Income_Statement!J23/AVERAGE(Balance_Sheet!I21,Balance_Sheet!J21),0)</f>
        <v>0.768796684346399</v>
      </c>
      <c r="K12" s="41" t="n">
        <f aca="false">IFERROR(Income_Statement!K23/AVERAGE(Balance_Sheet!J21,Balance_Sheet!K21),0)</f>
        <v>0.730066076410034</v>
      </c>
      <c r="L12" s="41" t="n">
        <f aca="false">IFERROR(Income_Statement!L23/AVERAGE(Balance_Sheet!K21,Balance_Sheet!L21),0)</f>
        <v>0.693913536438083</v>
      </c>
    </row>
    <row r="13" customFormat="false" ht="15" hidden="false" customHeight="false" outlineLevel="0" collapsed="false">
      <c r="B13" s="34" t="s">
        <v>134</v>
      </c>
      <c r="C13" s="40" t="n">
        <f aca="false">IFERROR(Income_Statement!C23/Balance_Sheet!C13,0)</f>
        <v>0.12152034261242</v>
      </c>
      <c r="D13" s="40" t="n">
        <f aca="false">IFERROR(Income_Statement!D23/AVERAGE(Balance_Sheet!C13,Balance_Sheet!D13),0)</f>
        <v>0.204172731683649</v>
      </c>
      <c r="E13" s="40" t="n">
        <f aca="false">IFERROR(Income_Statement!E23/AVERAGE(Balance_Sheet!D13,Balance_Sheet!E13),0)</f>
        <v>0.177259861044738</v>
      </c>
      <c r="F13" s="40" t="n">
        <f aca="false">IFERROR(Income_Statement!F23/AVERAGE(Balance_Sheet!E13,Balance_Sheet!F13),0)</f>
        <v>0.167041303737005</v>
      </c>
      <c r="G13" s="40" t="n">
        <f aca="false">IFERROR(Income_Statement!G23/AVERAGE(Balance_Sheet!F13,Balance_Sheet!G13),0)</f>
        <v>0.180906197403723</v>
      </c>
      <c r="H13" s="41" t="n">
        <f aca="false">IFERROR(Income_Statement!H23/AVERAGE(Balance_Sheet!G13,Balance_Sheet!H13),0)</f>
        <v>0.413553080124682</v>
      </c>
      <c r="I13" s="41" t="n">
        <f aca="false">IFERROR(Income_Statement!I23/AVERAGE(Balance_Sheet!H13,Balance_Sheet!I13),0)</f>
        <v>0.413976367499768</v>
      </c>
      <c r="J13" s="41" t="n">
        <f aca="false">IFERROR(Income_Statement!J23/AVERAGE(Balance_Sheet!I13,Balance_Sheet!J13),0)</f>
        <v>0.413982894961408</v>
      </c>
      <c r="K13" s="41" t="n">
        <f aca="false">IFERROR(Income_Statement!K23/AVERAGE(Balance_Sheet!J13,Balance_Sheet!K13),0)</f>
        <v>0.410648106915988</v>
      </c>
      <c r="L13" s="41" t="n">
        <f aca="false">IFERROR(Income_Statement!L23/AVERAGE(Balance_Sheet!K13,Balance_Sheet!L13),0)</f>
        <v>0.405554113634212</v>
      </c>
    </row>
    <row r="14" customFormat="false" ht="15" hidden="false" customHeight="false" outlineLevel="0" collapsed="false">
      <c r="B14" s="34" t="s">
        <v>135</v>
      </c>
      <c r="C14" s="40" t="n">
        <f aca="false">IFERROR((Income_Statement!C18*(1-Tax_Rate))/(Balance_Sheet!C16+Balance_Sheet!C21),0)</f>
        <v>0.370489283613763</v>
      </c>
      <c r="D14" s="40" t="n">
        <f aca="false">IFERROR((Income_Statement!D18*(1-Tax_Rate))/(Balance_Sheet!D16+Balance_Sheet!D21),0)</f>
        <v>0.407946992565603</v>
      </c>
      <c r="E14" s="40" t="n">
        <f aca="false">IFERROR((Income_Statement!E18*(1-Tax_Rate))/(Balance_Sheet!E16+Balance_Sheet!E21),0)</f>
        <v>0.542891316906555</v>
      </c>
      <c r="F14" s="40" t="n">
        <f aca="false">IFERROR((Income_Statement!F18*(1-Tax_Rate))/(Balance_Sheet!F16+Balance_Sheet!F21),0)</f>
        <v>0.543389405099287</v>
      </c>
      <c r="G14" s="40" t="n">
        <f aca="false">IFERROR((Income_Statement!G18*(1-Tax_Rate))/(Balance_Sheet!G16+Balance_Sheet!G21),0)</f>
        <v>0.613218492978652</v>
      </c>
      <c r="H14" s="41" t="n">
        <f aca="false">IFERROR((Income_Statement!H18*(1-Tax_Rate))/(Balance_Sheet!H16+Balance_Sheet!H21),0)</f>
        <v>0.597917169441896</v>
      </c>
      <c r="I14" s="41" t="n">
        <f aca="false">IFERROR((Income_Statement!I18*(1-Tax_Rate))/(Balance_Sheet!I16+Balance_Sheet!I21),0)</f>
        <v>0.597860710193319</v>
      </c>
      <c r="J14" s="41" t="n">
        <f aca="false">IFERROR((Income_Statement!J18*(1-Tax_Rate))/(Balance_Sheet!J16+Balance_Sheet!J21),0)</f>
        <v>0.595399483487643</v>
      </c>
      <c r="K14" s="41" t="n">
        <f aca="false">IFERROR((Income_Statement!K18*(1-Tax_Rate))/(Balance_Sheet!K16+Balance_Sheet!K21),0)</f>
        <v>0.581929014056965</v>
      </c>
      <c r="L14" s="41" t="n">
        <f aca="false">IFERROR((Income_Statement!L18*(1-Tax_Rate))/(Balance_Sheet!L16+Balance_Sheet!L21),0)</f>
        <v>0.571311947546873</v>
      </c>
    </row>
    <row r="16" customFormat="false" ht="15" hidden="false" customHeight="false" outlineLevel="0" collapsed="false">
      <c r="B16" s="8" t="s">
        <v>136</v>
      </c>
      <c r="C16" s="9"/>
      <c r="D16" s="9"/>
      <c r="E16" s="9"/>
      <c r="F16" s="9"/>
      <c r="G16" s="9"/>
      <c r="H16" s="9"/>
      <c r="I16" s="9"/>
      <c r="J16" s="9"/>
      <c r="K16" s="9"/>
      <c r="L16" s="9"/>
    </row>
    <row r="17" customFormat="false" ht="15" hidden="false" customHeight="false" outlineLevel="0" collapsed="false">
      <c r="B17" s="34" t="s">
        <v>137</v>
      </c>
      <c r="C17" s="42" t="n">
        <f aca="false">IFERROR(Balance_Sheet!C16/Income_Statement!C15,0)</f>
        <v>0.477776488337008</v>
      </c>
      <c r="D17" s="42" t="n">
        <f aca="false">IFERROR(Balance_Sheet!D16/Income_Statement!D15,0)</f>
        <v>0.405089408528198</v>
      </c>
      <c r="E17" s="42" t="n">
        <f aca="false">IFERROR(Balance_Sheet!E16/Income_Statement!E15,0)</f>
        <v>0.32169848071679</v>
      </c>
      <c r="F17" s="42" t="n">
        <f aca="false">IFERROR(Balance_Sheet!F16/Income_Statement!F15,0)</f>
        <v>0.255519617494023</v>
      </c>
      <c r="G17" s="42" t="n">
        <f aca="false">IFERROR(Balance_Sheet!G16/Income_Statement!G15,0)</f>
        <v>0.359800537015727</v>
      </c>
      <c r="H17" s="43" t="n">
        <f aca="false">IFERROR(Balance_Sheet!H16/Income_Statement!H15,0)</f>
        <v>0.30073683342283</v>
      </c>
      <c r="I17" s="43" t="n">
        <f aca="false">IFERROR(Balance_Sheet!I16/Income_Statement!I15,0)</f>
        <v>0.248847023698179</v>
      </c>
      <c r="J17" s="43" t="n">
        <f aca="false">IFERROR(Balance_Sheet!J16/Income_Statement!J15,0)</f>
        <v>0.205910398465814</v>
      </c>
      <c r="K17" s="43" t="n">
        <f aca="false">IFERROR(Balance_Sheet!K16/Income_Statement!K15,0)</f>
        <v>0.170382155133892</v>
      </c>
      <c r="L17" s="43" t="n">
        <f aca="false">IFERROR(Balance_Sheet!L16/Income_Statement!L15,0)</f>
        <v>0.140984034824687</v>
      </c>
    </row>
    <row r="18" customFormat="false" ht="15" hidden="false" customHeight="false" outlineLevel="0" collapsed="false">
      <c r="B18" s="34" t="s">
        <v>138</v>
      </c>
      <c r="C18" s="42" t="n">
        <f aca="false">IFERROR((Balance_Sheet!C16-Balance_Sheet!C8)/Income_Statement!C15,0)</f>
        <v>0.287106881745387</v>
      </c>
      <c r="D18" s="42" t="n">
        <f aca="false">IFERROR((Balance_Sheet!D16-Balance_Sheet!D8)/Income_Statement!D15,0)</f>
        <v>0.0274120652387502</v>
      </c>
      <c r="E18" s="42" t="n">
        <f aca="false">IFERROR((Balance_Sheet!E16-Balance_Sheet!E8)/Income_Statement!E15,0)</f>
        <v>-0.00833657966497857</v>
      </c>
      <c r="F18" s="42" t="n">
        <f aca="false">IFERROR((Balance_Sheet!F16-Balance_Sheet!F8)/Income_Statement!F15,0)</f>
        <v>-0.246589790465476</v>
      </c>
      <c r="G18" s="42" t="n">
        <f aca="false">IFERROR((Balance_Sheet!G16-Balance_Sheet!G8)/Income_Statement!G15,0)</f>
        <v>-0.126901930699399</v>
      </c>
      <c r="H18" s="43" t="n">
        <f aca="false">IFERROR((Balance_Sheet!H16-Balance_Sheet!H8)/Income_Statement!H15,0)</f>
        <v>-0.244351405244111</v>
      </c>
      <c r="I18" s="43" t="n">
        <f aca="false">IFERROR((Balance_Sheet!I16-Balance_Sheet!I8)/Income_Statement!I15,0)</f>
        <v>-0.340199716713558</v>
      </c>
      <c r="J18" s="43" t="n">
        <f aca="false">IFERROR((Balance_Sheet!J16-Balance_Sheet!J8)/Income_Statement!J15,0)</f>
        <v>-0.419273198996933</v>
      </c>
      <c r="K18" s="43" t="n">
        <f aca="false">IFERROR((Balance_Sheet!K16-Balance_Sheet!K8)/Income_Statement!K15,0)</f>
        <v>-0.484496782946491</v>
      </c>
      <c r="L18" s="43" t="n">
        <f aca="false">IFERROR((Balance_Sheet!L16-Balance_Sheet!L8)/Income_Statement!L15,0)</f>
        <v>-0.538286782747472</v>
      </c>
    </row>
    <row r="19" customFormat="false" ht="15" hidden="false" customHeight="false" outlineLevel="0" collapsed="false">
      <c r="B19" s="34" t="s">
        <v>139</v>
      </c>
      <c r="C19" s="42" t="n">
        <f aca="false">IFERROR(Balance_Sheet!C16/Balance_Sheet!C21,0)</f>
        <v>0.31038902291918</v>
      </c>
      <c r="D19" s="42" t="n">
        <f aca="false">IFERROR(Balance_Sheet!D16/Balance_Sheet!D21,0)</f>
        <v>0.278637561667906</v>
      </c>
      <c r="E19" s="42" t="n">
        <f aca="false">IFERROR(Balance_Sheet!E16/Balance_Sheet!E21,0)</f>
        <v>0.293858088392285</v>
      </c>
      <c r="F19" s="42" t="n">
        <f aca="false">IFERROR(Balance_Sheet!F16/Balance_Sheet!F21,0)</f>
        <v>0.220002421600678</v>
      </c>
      <c r="G19" s="42" t="n">
        <f aca="false">IFERROR(Balance_Sheet!G16/Balance_Sheet!G21,0)</f>
        <v>0.399007444168735</v>
      </c>
      <c r="H19" s="43" t="n">
        <f aca="false">IFERROR(Balance_Sheet!H16/Balance_Sheet!H21,0)</f>
        <v>0.307907838163301</v>
      </c>
      <c r="I19" s="43" t="n">
        <f aca="false">IFERROR(Balance_Sheet!I16/Balance_Sheet!I21,0)</f>
        <v>0.241899431504803</v>
      </c>
      <c r="J19" s="43" t="n">
        <f aca="false">IFERROR(Balance_Sheet!J16/Balance_Sheet!J21,0)</f>
        <v>0.191199729574689</v>
      </c>
      <c r="K19" s="43" t="n">
        <f aca="false">IFERROR(Balance_Sheet!K16/Balance_Sheet!K21,0)</f>
        <v>0.149175077417122</v>
      </c>
      <c r="L19" s="43" t="n">
        <f aca="false">IFERROR(Balance_Sheet!L16/Balance_Sheet!L21,0)</f>
        <v>0.117884325667587</v>
      </c>
    </row>
    <row r="20" customFormat="false" ht="15" hidden="false" customHeight="false" outlineLevel="0" collapsed="false">
      <c r="B20" s="34" t="s">
        <v>140</v>
      </c>
      <c r="C20" s="42" t="n">
        <f aca="false">IFERROR(Income_Statement!C18/-Income_Statement!C20,0)</f>
        <v>50.0636942675159</v>
      </c>
      <c r="D20" s="42" t="n">
        <f aca="false">IFERROR(Income_Statement!D18/-Income_Statement!D20,0)</f>
        <v>81.2155172413793</v>
      </c>
      <c r="E20" s="42" t="n">
        <f aca="false">IFERROR(Income_Statement!E18/-Income_Statement!E20,0)</f>
        <v>106.610619469027</v>
      </c>
      <c r="F20" s="42" t="n">
        <f aca="false">IFERROR(Income_Statement!F18/-Income_Statement!F20,0)</f>
        <v>0</v>
      </c>
      <c r="G20" s="42" t="n">
        <f aca="false">IFERROR(Income_Statement!G18/-Income_Statement!G20,0)</f>
        <v>0</v>
      </c>
      <c r="H20" s="43" t="n">
        <f aca="false">IFERROR(Income_Statement!H18/-Income_Statement!H20,0)</f>
        <v>96.7749940158527</v>
      </c>
      <c r="I20" s="43" t="n">
        <f aca="false">IFERROR(Income_Statement!I18/-Income_Statement!I20,0)</f>
        <v>116.954604569192</v>
      </c>
      <c r="J20" s="43" t="n">
        <f aca="false">IFERROR(Income_Statement!J18/-Income_Statement!J20,0)</f>
        <v>141.342086032011</v>
      </c>
      <c r="K20" s="43" t="n">
        <f aca="false">IFERROR(Income_Statement!K18/-Income_Statement!K20,0)</f>
        <v>170.814867507517</v>
      </c>
      <c r="L20" s="43" t="n">
        <f aca="false">IFERROR(Income_Statement!L18/-Income_Statement!L20,0)</f>
        <v>206.433340420646</v>
      </c>
    </row>
    <row r="21" customFormat="false" ht="15" hidden="false" customHeight="false" outlineLevel="0" collapsed="false">
      <c r="B21" s="34" t="s">
        <v>141</v>
      </c>
      <c r="C21" s="42" t="n">
        <f aca="false">IFERROR(Income_Statement!C15/-Income_Statement!C20,0)</f>
        <v>54.8853503184713</v>
      </c>
      <c r="D21" s="42" t="n">
        <f aca="false">IFERROR(Income_Statement!D15/-Income_Statement!D20,0)</f>
        <v>87.7413793103448</v>
      </c>
      <c r="E21" s="42" t="n">
        <f aca="false">IFERROR(Income_Statement!E15/-Income_Statement!E20,0)</f>
        <v>113.58407079646</v>
      </c>
      <c r="F21" s="42" t="n">
        <f aca="false">IFERROR(Income_Statement!F15/-Income_Statement!F20,0)</f>
        <v>0</v>
      </c>
      <c r="G21" s="42" t="n">
        <f aca="false">IFERROR(Income_Statement!G15/-Income_Statement!G20,0)</f>
        <v>0</v>
      </c>
      <c r="H21" s="43" t="n">
        <f aca="false">IFERROR(Income_Statement!H15/-Income_Statement!H20,0)</f>
        <v>103.802298965467</v>
      </c>
      <c r="I21" s="43" t="n">
        <f aca="false">IFERROR(Income_Statement!I15/-Income_Statement!I20,0)</f>
        <v>125.447249595185</v>
      </c>
      <c r="J21" s="43" t="n">
        <f aca="false">IFERROR(Income_Statement!J15/-Income_Statement!J20,0)</f>
        <v>151.605625191712</v>
      </c>
      <c r="K21" s="43" t="n">
        <f aca="false">IFERROR(Income_Statement!K15/-Income_Statement!K20,0)</f>
        <v>183.218569270666</v>
      </c>
      <c r="L21" s="43" t="n">
        <f aca="false">IFERROR(Income_Statement!L15/-Income_Statement!L20,0)</f>
        <v>221.423473457138</v>
      </c>
    </row>
    <row r="23" customFormat="false" ht="15" hidden="false" customHeight="false" outlineLevel="0" collapsed="false">
      <c r="B23" s="8" t="s">
        <v>142</v>
      </c>
      <c r="C23" s="9"/>
      <c r="D23" s="9"/>
      <c r="E23" s="9"/>
      <c r="F23" s="9"/>
      <c r="G23" s="9"/>
      <c r="H23" s="9"/>
      <c r="I23" s="9"/>
      <c r="J23" s="9"/>
      <c r="K23" s="9"/>
      <c r="L23" s="9"/>
    </row>
    <row r="24" customFormat="false" ht="15" hidden="false" customHeight="false" outlineLevel="0" collapsed="false">
      <c r="B24" s="34" t="s">
        <v>143</v>
      </c>
      <c r="C24" s="42" t="n">
        <f aca="false">IFERROR(Income_Statement!C9/Balance_Sheet!C13,0)</f>
        <v>0.460014824575852</v>
      </c>
      <c r="D24" s="42" t="n">
        <f aca="false">IFERROR(Income_Statement!D9/AVERAGE(Balance_Sheet!C13,Balance_Sheet!D13),0)</f>
        <v>0.499485686559922</v>
      </c>
      <c r="E24" s="42" t="n">
        <f aca="false">IFERROR(Income_Statement!E9/AVERAGE(Balance_Sheet!D13,Balance_Sheet!E13),0)</f>
        <v>0.580266882329155</v>
      </c>
      <c r="F24" s="42" t="n">
        <f aca="false">IFERROR(Income_Statement!F9/AVERAGE(Balance_Sheet!E13,Balance_Sheet!F13),0)</f>
        <v>0.618361899409947</v>
      </c>
      <c r="G24" s="42" t="n">
        <f aca="false">IFERROR(Income_Statement!G9/AVERAGE(Balance_Sheet!F13,Balance_Sheet!G13),0)</f>
        <v>0.646869636221234</v>
      </c>
      <c r="H24" s="43" t="n">
        <f aca="false">IFERROR(Income_Statement!H9/AVERAGE(Balance_Sheet!G13,Balance_Sheet!H13),0)</f>
        <v>0.685722026523975</v>
      </c>
      <c r="I24" s="43" t="n">
        <f aca="false">IFERROR(Income_Statement!I9/AVERAGE(Balance_Sheet!H13,Balance_Sheet!I13),0)</f>
        <v>0.68518949459936</v>
      </c>
      <c r="J24" s="43" t="n">
        <f aca="false">IFERROR(Income_Statement!J9/AVERAGE(Balance_Sheet!I13,Balance_Sheet!J13),0)</f>
        <v>0.68418222471412</v>
      </c>
      <c r="K24" s="43" t="n">
        <f aca="false">IFERROR(Income_Statement!K9/AVERAGE(Balance_Sheet!J13,Balance_Sheet!K13),0)</f>
        <v>0.677837518440563</v>
      </c>
      <c r="L24" s="43" t="n">
        <f aca="false">IFERROR(Income_Statement!L9/AVERAGE(Balance_Sheet!K13,Balance_Sheet!L13),0)</f>
        <v>0.668749612944043</v>
      </c>
    </row>
    <row r="25" customFormat="false" ht="15" hidden="false" customHeight="false" outlineLevel="0" collapsed="false">
      <c r="B25" s="34" t="s">
        <v>144</v>
      </c>
      <c r="C25" s="40" t="n">
        <f aca="false">IFERROR(-Cash_Flow!C14/Income_Statement!C9,0)</f>
        <v>0.0353594127651956</v>
      </c>
      <c r="D25" s="40" t="n">
        <f aca="false">IFERROR(-Cash_Flow!D14/Income_Statement!D9,0)</f>
        <v>0.0325613926018029</v>
      </c>
      <c r="E25" s="40" t="n">
        <f aca="false">IFERROR(-Cash_Flow!E14/Income_Statement!E9,0)</f>
        <v>0.0220462464364903</v>
      </c>
      <c r="F25" s="40" t="n">
        <f aca="false">IFERROR(-Cash_Flow!F14/Income_Statement!F9,0)</f>
        <v>0.0251050778143815</v>
      </c>
      <c r="G25" s="40" t="n">
        <f aca="false">IFERROR(-Cash_Flow!G14/Income_Statement!G9,0)</f>
        <v>0.0185480962440105</v>
      </c>
      <c r="H25" s="41" t="n">
        <f aca="false">IFERROR(-Cash_Flow!H14/Income_Statement!H9,0)</f>
        <v>0.0267240451723762</v>
      </c>
      <c r="I25" s="41" t="n">
        <f aca="false">IFERROR(-Cash_Flow!I14/Income_Statement!I9,0)</f>
        <v>0.0267240451723762</v>
      </c>
      <c r="J25" s="41" t="n">
        <f aca="false">IFERROR(-Cash_Flow!J14/Income_Statement!J9,0)</f>
        <v>0.0267240451723762</v>
      </c>
      <c r="K25" s="41" t="n">
        <f aca="false">IFERROR(-Cash_Flow!K14/Income_Statement!K9,0)</f>
        <v>0.0267240451723762</v>
      </c>
      <c r="L25" s="41" t="n">
        <f aca="false">IFERROR(-Cash_Flow!L14/Income_Statement!L9,0)</f>
        <v>0.0267240451723762</v>
      </c>
    </row>
    <row r="26" customFormat="false" ht="15" hidden="false" customHeight="false" outlineLevel="0" collapsed="false">
      <c r="B26" s="34" t="s">
        <v>145</v>
      </c>
      <c r="C26" s="42" t="n">
        <f aca="false">IFERROR(Cash_Flow!C14/Income_Statement!C17,0)</f>
        <v>0.521796565389696</v>
      </c>
      <c r="D26" s="42" t="n">
        <f aca="false">IFERROR(Cash_Flow!D14/Income_Statement!D17,0)</f>
        <v>0.553500660501982</v>
      </c>
      <c r="E26" s="42" t="n">
        <f aca="false">IFERROR(Cash_Flow!E14/Income_Statement!E17,0)</f>
        <v>0.441624365482234</v>
      </c>
      <c r="F26" s="42" t="n">
        <f aca="false">IFERROR(Cash_Flow!F14/Income_Statement!F17,0)</f>
        <v>0.516355140186916</v>
      </c>
      <c r="G26" s="42" t="n">
        <f aca="false">IFERROR(Cash_Flow!G14/Income_Statement!G17,0)</f>
        <v>0.412844036697248</v>
      </c>
      <c r="H26" s="43" t="n">
        <f aca="false">IFERROR(Cash_Flow!H14/Income_Statement!H17,0)</f>
        <v>0.494777833734266</v>
      </c>
      <c r="I26" s="43" t="n">
        <f aca="false">IFERROR(Cash_Flow!I14/Income_Statement!I17,0)</f>
        <v>0.494777833734266</v>
      </c>
      <c r="J26" s="43" t="n">
        <f aca="false">IFERROR(Cash_Flow!J14/Income_Statement!J17,0)</f>
        <v>0.494777833734266</v>
      </c>
      <c r="K26" s="43" t="n">
        <f aca="false">IFERROR(Cash_Flow!K14/Income_Statement!K17,0)</f>
        <v>0.494777833734266</v>
      </c>
      <c r="L26" s="43" t="n">
        <f aca="false">IFERROR(Cash_Flow!L14/Income_Statement!L17,0)</f>
        <v>0.494777833734266</v>
      </c>
    </row>
    <row r="27" customFormat="false" ht="15" hidden="false" customHeight="false" outlineLevel="0" collapsed="false">
      <c r="B27" s="34" t="s">
        <v>146</v>
      </c>
      <c r="C27" s="40" t="n">
        <f aca="false">IFERROR(Cash_Flow!C16/Income_Statement!C9,0)</f>
        <v>0.360486975203652</v>
      </c>
      <c r="D27" s="40" t="n">
        <f aca="false">IFERROR(Cash_Flow!D16/Income_Statement!D9,0)</f>
        <v>0.412496114392291</v>
      </c>
      <c r="E27" s="40" t="n">
        <f aca="false">IFERROR(Cash_Flow!E16/Income_Statement!E9,0)</f>
        <v>0.435983528666456</v>
      </c>
      <c r="F27" s="40" t="n">
        <f aca="false">IFERROR(Cash_Flow!F16/Income_Statement!F9,0)</f>
        <v>0.420084062251505</v>
      </c>
      <c r="G27" s="40" t="n">
        <f aca="false">IFERROR(Cash_Flow!G16/Income_Statement!G9,0)</f>
        <v>0.357669122572003</v>
      </c>
      <c r="H27" s="41" t="n">
        <f aca="false">IFERROR(Cash_Flow!H16/Income_Statement!H9,0)</f>
        <v>0.625654308060947</v>
      </c>
      <c r="I27" s="41" t="n">
        <f aca="false">IFERROR(Cash_Flow!I16/Income_Statement!I9,0)</f>
        <v>0.626740799933464</v>
      </c>
      <c r="J27" s="41" t="n">
        <f aca="false">IFERROR(Cash_Flow!J16/Income_Statement!J9,0)</f>
        <v>0.627639826054312</v>
      </c>
      <c r="K27" s="41" t="n">
        <f aca="false">IFERROR(Cash_Flow!K16/Income_Statement!K9,0)</f>
        <v>0.628383732185974</v>
      </c>
      <c r="L27" s="41" t="n">
        <f aca="false">IFERROR(Cash_Flow!L16/Income_Statement!L9,0)</f>
        <v>0.628999283080316</v>
      </c>
    </row>
    <row r="28" customFormat="false" ht="15" hidden="false" customHeight="false" outlineLevel="0" collapsed="false">
      <c r="B28" s="34" t="s">
        <v>147</v>
      </c>
      <c r="C28" s="40" t="n">
        <f aca="false">IFERROR(Cash_Flow!C16/Income_Statement!C23,0)</f>
        <v>1.36462216197899</v>
      </c>
      <c r="D28" s="40" t="n">
        <f aca="false">IFERROR(Cash_Flow!D16/Income_Statement!D23,0)</f>
        <v>1.00912547528517</v>
      </c>
      <c r="E28" s="40" t="n">
        <f aca="false">IFERROR(Cash_Flow!E16/Income_Statement!E23,0)</f>
        <v>1.42720862712567</v>
      </c>
      <c r="F28" s="40" t="n">
        <f aca="false">IFERROR(Cash_Flow!F16/Income_Statement!F23,0)</f>
        <v>1.55508830950378</v>
      </c>
      <c r="G28" s="40" t="n">
        <f aca="false">IFERROR(Cash_Flow!G16/Income_Statement!G23,0)</f>
        <v>1.2789240972734</v>
      </c>
      <c r="H28" s="41" t="n">
        <f aca="false">IFERROR(Cash_Flow!H16/Income_Statement!H23,0)</f>
        <v>1.03741202918296</v>
      </c>
      <c r="I28" s="41" t="n">
        <f aca="false">IFERROR(Cash_Flow!I16/Income_Statement!I23,0)</f>
        <v>1.03734475121083</v>
      </c>
      <c r="J28" s="41" t="n">
        <f aca="false">IFERROR(Cash_Flow!J16/Income_Statement!J23,0)</f>
        <v>1.03728926420753</v>
      </c>
      <c r="K28" s="41" t="n">
        <f aca="false">IFERROR(Cash_Flow!K16/Income_Statement!K23,0)</f>
        <v>1.03724347556898</v>
      </c>
      <c r="L28" s="41" t="n">
        <f aca="false">IFERROR(Cash_Flow!L16/Income_Statement!L23,0)</f>
        <v>1.03720567233955</v>
      </c>
    </row>
    <row r="30" customFormat="false" ht="15" hidden="false" customHeight="false" outlineLevel="0" collapsed="false">
      <c r="B30" s="8" t="s">
        <v>148</v>
      </c>
      <c r="C30" s="9"/>
      <c r="D30" s="9"/>
      <c r="E30" s="9"/>
      <c r="F30" s="9"/>
      <c r="G30" s="9"/>
      <c r="H30" s="9"/>
      <c r="I30" s="9"/>
      <c r="J30" s="9"/>
      <c r="K30" s="9"/>
      <c r="L30" s="9"/>
    </row>
    <row r="31" customFormat="false" ht="15" hidden="false" customHeight="false" outlineLevel="0" collapsed="false">
      <c r="B31" s="34" t="s">
        <v>51</v>
      </c>
      <c r="C31" s="40" t="str">
        <f aca="false">""</f>
        <v/>
      </c>
      <c r="D31" s="40" t="n">
        <f aca="false">IFERROR(Income_Statement!D9/Income_Statement!C9-1,"")</f>
        <v>0.151911198639334</v>
      </c>
      <c r="E31" s="40" t="n">
        <f aca="false">IFERROR(Income_Statement!E9/Income_Statement!D9-1,"")</f>
        <v>0.226686353745726</v>
      </c>
      <c r="F31" s="40" t="n">
        <f aca="false">IFERROR(Income_Statement!F9/Income_Statement!E9-1,"")</f>
        <v>0.115362686094393</v>
      </c>
      <c r="G31" s="40" t="n">
        <f aca="false">IFERROR(Income_Statement!G9/Income_Statement!F9-1,"")</f>
        <v>0.102408269907986</v>
      </c>
      <c r="H31" s="41" t="n">
        <f aca="false">IFERROR(Income_Statement!H9/Income_Statement!G9-1,"")</f>
        <v>0.148094871724114</v>
      </c>
      <c r="I31" s="41" t="n">
        <f aca="false">IFERROR(Income_Statement!I9/Income_Statement!H9-1,"")</f>
        <v>0.148094871724114</v>
      </c>
      <c r="J31" s="41" t="n">
        <f aca="false">IFERROR(Income_Statement!J9/Income_Statement!I9-1,"")</f>
        <v>0.148094871724114</v>
      </c>
      <c r="K31" s="41" t="n">
        <f aca="false">IFERROR(Income_Statement!K9/Income_Statement!J9-1,"")</f>
        <v>0.148094871724114</v>
      </c>
      <c r="L31" s="41" t="n">
        <f aca="false">IFERROR(Income_Statement!L9/Income_Statement!K9-1,"")</f>
        <v>0.148094871724114</v>
      </c>
    </row>
    <row r="32" customFormat="false" ht="15" hidden="false" customHeight="false" outlineLevel="0" collapsed="false">
      <c r="B32" s="34" t="s">
        <v>149</v>
      </c>
      <c r="C32" s="40" t="str">
        <f aca="false">""</f>
        <v/>
      </c>
      <c r="D32" s="40" t="n">
        <f aca="false">IFERROR(Income_Statement!D15/Income_Statement!C15-1,"")</f>
        <v>0.181153533712429</v>
      </c>
      <c r="E32" s="40" t="n">
        <f aca="false">IFERROR(Income_Statement!E15/Income_Statement!D15-1,"")</f>
        <v>0.261053252112399</v>
      </c>
      <c r="F32" s="40" t="n">
        <f aca="false">IFERROR(Income_Statement!F15/Income_Statement!E15-1,"")</f>
        <v>0.108063887806778</v>
      </c>
      <c r="G32" s="40" t="n">
        <f aca="false">IFERROR(Income_Statement!G15/Income_Statement!F15-1,"")</f>
        <v>0.0998453100829702</v>
      </c>
      <c r="H32" s="41" t="n">
        <f aca="false">IFERROR(Income_Statement!H15/Income_Statement!G15-1,"")</f>
        <v>0.136576807950763</v>
      </c>
      <c r="I32" s="41" t="n">
        <f aca="false">IFERROR(Income_Statement!I15/Income_Statement!H15-1,"")</f>
        <v>0.148094871724114</v>
      </c>
      <c r="J32" s="41" t="n">
        <f aca="false">IFERROR(Income_Statement!J15/Income_Statement!I15-1,"")</f>
        <v>0.148094871724114</v>
      </c>
      <c r="K32" s="41" t="n">
        <f aca="false">IFERROR(Income_Statement!K15/Income_Statement!J15-1,"")</f>
        <v>0.148094871724114</v>
      </c>
      <c r="L32" s="41" t="n">
        <f aca="false">IFERROR(Income_Statement!L15/Income_Statement!K15-1,"")</f>
        <v>0.148094871724115</v>
      </c>
    </row>
    <row r="33" customFormat="false" ht="15" hidden="false" customHeight="false" outlineLevel="0" collapsed="false">
      <c r="B33" s="34" t="s">
        <v>150</v>
      </c>
      <c r="C33" s="40" t="str">
        <f aca="false">""</f>
        <v/>
      </c>
      <c r="D33" s="40" t="n">
        <f aca="false">IFERROR(Income_Statement!D18/Income_Statement!C18-1,"")</f>
        <v>0.198600508905852</v>
      </c>
      <c r="E33" s="40" t="n">
        <f aca="false">IFERROR(Income_Statement!E18/Income_Statement!D18-1,"")</f>
        <v>0.278738987368645</v>
      </c>
      <c r="F33" s="40" t="n">
        <f aca="false">IFERROR(Income_Statement!F18/Income_Statement!E18-1,"")</f>
        <v>0.10948783929609</v>
      </c>
      <c r="G33" s="40" t="n">
        <f aca="false">IFERROR(Income_Statement!G18/Income_Statement!F18-1,"")</f>
        <v>0.10504264551848</v>
      </c>
      <c r="H33" s="41" t="n">
        <f aca="false">IFERROR(Income_Statement!H18/Income_Statement!G18-1,"")</f>
        <v>0.122190937516275</v>
      </c>
      <c r="I33" s="41" t="n">
        <f aca="false">IFERROR(Income_Statement!I18/Income_Statement!H18-1,"")</f>
        <v>0.148094871724114</v>
      </c>
      <c r="J33" s="41" t="n">
        <f aca="false">IFERROR(Income_Statement!J18/Income_Statement!I18-1,"")</f>
        <v>0.148094871724114</v>
      </c>
      <c r="K33" s="41" t="n">
        <f aca="false">IFERROR(Income_Statement!K18/Income_Statement!J18-1,"")</f>
        <v>0.148094871724114</v>
      </c>
      <c r="L33" s="41" t="n">
        <f aca="false">IFERROR(Income_Statement!L18/Income_Statement!K18-1,"")</f>
        <v>0.148094871724115</v>
      </c>
    </row>
    <row r="34" customFormat="false" ht="15" hidden="false" customHeight="false" outlineLevel="0" collapsed="false">
      <c r="B34" s="34" t="s">
        <v>151</v>
      </c>
      <c r="C34" s="40" t="str">
        <f aca="false">""</f>
        <v/>
      </c>
      <c r="D34" s="40" t="n">
        <f aca="false">IFERROR(Income_Statement!D23/Income_Statement!C23-1,"")</f>
        <v>0.782446628261606</v>
      </c>
      <c r="E34" s="40" t="n">
        <f aca="false">IFERROR(Income_Statement!E23/Income_Statement!D23-1,"")</f>
        <v>-0.0832699619771863</v>
      </c>
      <c r="F34" s="40" t="n">
        <f aca="false">IFERROR(Income_Statement!F23/Income_Statement!E23-1,"")</f>
        <v>-0.0136872666943177</v>
      </c>
      <c r="G34" s="40" t="n">
        <f aca="false">IFERROR(Income_Statement!G23/Income_Statement!F23-1,"")</f>
        <v>0.141295206055509</v>
      </c>
      <c r="H34" s="41" t="n">
        <f aca="false">IFERROR(Income_Statement!H23/Income_Statement!G23-1,"")</f>
        <v>1.47584959312431</v>
      </c>
      <c r="I34" s="41" t="n">
        <f aca="false">IFERROR(Income_Statement!I23/Income_Statement!H23-1,"")</f>
        <v>0.15016320776276</v>
      </c>
      <c r="J34" s="41" t="n">
        <f aca="false">IFERROR(Income_Statement!J23/Income_Statement!I23-1,"")</f>
        <v>0.149803254693985</v>
      </c>
      <c r="K34" s="41" t="n">
        <f aca="false">IFERROR(Income_Statement!K23/Income_Statement!J23-1,"")</f>
        <v>0.149506386098205</v>
      </c>
      <c r="L34" s="41" t="n">
        <f aca="false">IFERROR(Income_Statement!L23/Income_Statement!K23-1,"")</f>
        <v>0.149261406048415</v>
      </c>
    </row>
    <row r="35" customFormat="false" ht="15" hidden="false" customHeight="false" outlineLevel="0" collapsed="false">
      <c r="B35" s="34" t="s">
        <v>152</v>
      </c>
      <c r="C35" s="40" t="str">
        <f aca="false">""</f>
        <v/>
      </c>
      <c r="D35" s="40" t="n">
        <f aca="false">IFERROR(Cash_Flow!D16/Cash_Flow!C16-1,"")</f>
        <v>0.318102806059101</v>
      </c>
      <c r="E35" s="40" t="n">
        <f aca="false">IFERROR(Cash_Flow!E16/Cash_Flow!D16-1,"")</f>
        <v>0.296533534287867</v>
      </c>
      <c r="F35" s="40" t="n">
        <f aca="false">IFERROR(Cash_Flow!F16/Cash_Flow!E16-1,"")</f>
        <v>0.0746875908166231</v>
      </c>
      <c r="G35" s="40" t="n">
        <f aca="false">IFERROR(Cash_Flow!G16/Cash_Flow!F16-1,"")</f>
        <v>-0.0613845321795565</v>
      </c>
      <c r="H35" s="41" t="n">
        <f aca="false">IFERROR(Cash_Flow!H16/Cash_Flow!G16-1,"")</f>
        <v>1.00831007550077</v>
      </c>
      <c r="I35" s="41" t="n">
        <f aca="false">IFERROR(Cash_Flow!I16/Cash_Flow!H16-1,"")</f>
        <v>0.150088617680844</v>
      </c>
      <c r="J35" s="41" t="n">
        <f aca="false">IFERROR(Cash_Flow!J16/Cash_Flow!I16-1,"")</f>
        <v>0.149741752346855</v>
      </c>
      <c r="K35" s="41" t="n">
        <f aca="false">IFERROR(Cash_Flow!K16/Cash_Flow!J16-1,"")</f>
        <v>0.149455643904832</v>
      </c>
      <c r="L35" s="41" t="n">
        <f aca="false">IFERROR(Cash_Flow!L16/Cash_Flow!K16-1,"")</f>
        <v>0.149219520229289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2C2C"/>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34" t="s">
        <v>155</v>
      </c>
      <c r="C7" s="35" t="n">
        <f aca="false">ABS(Balance_Sheet!C25)&lt;1</f>
        <v>1</v>
      </c>
      <c r="D7" s="35" t="n">
        <f aca="false">ABS(Balance_Sheet!D25)&lt;1</f>
        <v>1</v>
      </c>
      <c r="E7" s="35" t="n">
        <f aca="false">ABS(Balance_Sheet!E25)&lt;1</f>
        <v>1</v>
      </c>
      <c r="F7" s="35" t="n">
        <f aca="false">ABS(Balance_Sheet!F25)&lt;1</f>
        <v>1</v>
      </c>
      <c r="G7" s="35" t="n">
        <f aca="false">ABS(Balance_Sheet!G25)&lt;1</f>
        <v>1</v>
      </c>
      <c r="H7" s="26" t="n">
        <f aca="false">ABS(Balance_Sheet!H25)&lt;1</f>
        <v>1</v>
      </c>
      <c r="I7" s="26" t="n">
        <f aca="false">ABS(Balance_Sheet!I25)&lt;1</f>
        <v>1</v>
      </c>
      <c r="J7" s="26" t="n">
        <f aca="false">ABS(Balance_Sheet!J25)&lt;1</f>
        <v>1</v>
      </c>
      <c r="K7" s="26" t="n">
        <f aca="false">ABS(Balance_Sheet!K25)&lt;1</f>
        <v>1</v>
      </c>
      <c r="L7" s="26" t="n">
        <f aca="false">ABS(Balance_Sheet!L25)&lt;1</f>
        <v>1</v>
      </c>
    </row>
    <row r="8" customFormat="false" ht="15" hidden="false" customHeight="false" outlineLevel="0" collapsed="false">
      <c r="B8" s="34" t="s">
        <v>156</v>
      </c>
      <c r="C8" s="35" t="n">
        <f aca="false">ABS(Balance_Sheet!C8-Cash_Flow!C26)&lt;1</f>
        <v>1</v>
      </c>
      <c r="D8" s="35" t="n">
        <f aca="false">ABS(Balance_Sheet!D8-Cash_Flow!D26)&lt;1</f>
        <v>1</v>
      </c>
      <c r="E8" s="35" t="n">
        <f aca="false">ABS(Balance_Sheet!E8-Cash_Flow!E26)&lt;1</f>
        <v>1</v>
      </c>
      <c r="F8" s="35" t="n">
        <f aca="false">ABS(Balance_Sheet!F8-Cash_Flow!F26)&lt;1</f>
        <v>1</v>
      </c>
      <c r="G8" s="35" t="n">
        <f aca="false">ABS(Balance_Sheet!G8-Cash_Flow!G26)&lt;1</f>
        <v>1</v>
      </c>
      <c r="H8" s="26" t="n">
        <f aca="false">ABS(Balance_Sheet!H8-Cash_Flow!H26)&lt;1</f>
        <v>1</v>
      </c>
      <c r="I8" s="26" t="n">
        <f aca="false">ABS(Balance_Sheet!I8-Cash_Flow!I26)&lt;1</f>
        <v>1</v>
      </c>
      <c r="J8" s="26" t="n">
        <f aca="false">ABS(Balance_Sheet!J8-Cash_Flow!J26)&lt;1</f>
        <v>1</v>
      </c>
      <c r="K8" s="26" t="n">
        <f aca="false">ABS(Balance_Sheet!K8-Cash_Flow!K26)&lt;1</f>
        <v>1</v>
      </c>
      <c r="L8" s="26" t="n">
        <f aca="false">ABS(Balance_Sheet!L8-Cash_Flow!L26)&lt;1</f>
        <v>1</v>
      </c>
    </row>
    <row r="9" customFormat="false" ht="15" hidden="false" customHeight="false" outlineLevel="0" collapsed="false">
      <c r="B9" s="34" t="s">
        <v>157</v>
      </c>
      <c r="C9" s="35" t="n">
        <f aca="false">Income_Statement!C9&gt;0</f>
        <v>1</v>
      </c>
      <c r="D9" s="35" t="n">
        <f aca="false">Income_Statement!D9&gt;0</f>
        <v>1</v>
      </c>
      <c r="E9" s="35" t="n">
        <f aca="false">Income_Statement!E9&gt;0</f>
        <v>1</v>
      </c>
      <c r="F9" s="35" t="n">
        <f aca="false">Income_Statement!F9&gt;0</f>
        <v>1</v>
      </c>
      <c r="G9" s="35" t="n">
        <f aca="false">Income_Statement!G9&gt;0</f>
        <v>1</v>
      </c>
      <c r="H9" s="26" t="n">
        <f aca="false">Income_Statement!H9&gt;0</f>
        <v>1</v>
      </c>
      <c r="I9" s="26" t="n">
        <f aca="false">Income_Statement!I9&gt;0</f>
        <v>1</v>
      </c>
      <c r="J9" s="26" t="n">
        <f aca="false">Income_Statement!J9&gt;0</f>
        <v>1</v>
      </c>
      <c r="K9" s="26" t="n">
        <f aca="false">Income_Statement!K9&gt;0</f>
        <v>1</v>
      </c>
      <c r="L9" s="26" t="n">
        <f aca="false">Income_Statement!L9&gt;0</f>
        <v>1</v>
      </c>
    </row>
    <row r="10" customFormat="false" ht="15" hidden="false" customHeight="false" outlineLevel="0" collapsed="false">
      <c r="B10" s="34" t="s">
        <v>158</v>
      </c>
      <c r="C10" s="35" t="n">
        <f aca="false">Balance_Sheet!C16&gt;=0</f>
        <v>1</v>
      </c>
      <c r="D10" s="35" t="n">
        <f aca="false">Balance_Sheet!D16&gt;=0</f>
        <v>1</v>
      </c>
      <c r="E10" s="35" t="n">
        <f aca="false">Balance_Sheet!E16&gt;=0</f>
        <v>1</v>
      </c>
      <c r="F10" s="35" t="n">
        <f aca="false">Balance_Sheet!F16&gt;=0</f>
        <v>1</v>
      </c>
      <c r="G10" s="35" t="n">
        <f aca="false">Balance_Sheet!G16&gt;=0</f>
        <v>1</v>
      </c>
      <c r="H10" s="26" t="n">
        <f aca="false">Balance_Sheet!H16&gt;=0</f>
        <v>1</v>
      </c>
      <c r="I10" s="26" t="n">
        <f aca="false">Balance_Sheet!I16&gt;=0</f>
        <v>1</v>
      </c>
      <c r="J10" s="26" t="n">
        <f aca="false">Balance_Sheet!J16&gt;=0</f>
        <v>1</v>
      </c>
      <c r="K10" s="26" t="n">
        <f aca="false">Balance_Sheet!K16&gt;=0</f>
        <v>1</v>
      </c>
      <c r="L10" s="26" t="n">
        <f aca="false">Balance_Sheet!L16&gt;=0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159</v>
      </c>
    </row>
    <row r="3" customFormat="false" ht="3.75" hidden="false" customHeight="true" outlineLevel="0" collapsed="false">
      <c r="B3" s="45"/>
    </row>
    <row r="5" customFormat="false" ht="19.5" hidden="false" customHeight="true" outlineLevel="0" collapsed="false">
      <c r="B5" s="46" t="s">
        <v>160</v>
      </c>
    </row>
    <row r="6" customFormat="false" ht="48" hidden="false" customHeight="true" outlineLevel="0" collapsed="false">
      <c r="B6" s="47" t="s">
        <v>161</v>
      </c>
    </row>
    <row r="8" customFormat="false" ht="19.5" hidden="false" customHeight="true" outlineLevel="0" collapsed="false">
      <c r="B8" s="46" t="s">
        <v>162</v>
      </c>
    </row>
    <row r="9" customFormat="false" ht="61.5" hidden="false" customHeight="true" outlineLevel="0" collapsed="false">
      <c r="B9" s="47" t="s">
        <v>163</v>
      </c>
    </row>
    <row r="11" customFormat="false" ht="19.5" hidden="false" customHeight="true" outlineLevel="0" collapsed="false">
      <c r="B11" s="46" t="s">
        <v>164</v>
      </c>
    </row>
    <row r="12" customFormat="false" ht="75.75" hidden="false" customHeight="true" outlineLevel="0" collapsed="false">
      <c r="B12" s="47" t="s">
        <v>165</v>
      </c>
    </row>
    <row r="14" customFormat="false" ht="19.5" hidden="false" customHeight="true" outlineLevel="0" collapsed="false">
      <c r="B14" s="46" t="s">
        <v>166</v>
      </c>
    </row>
    <row r="15" customFormat="false" ht="61.5" hidden="false" customHeight="true" outlineLevel="0" collapsed="false">
      <c r="B15" s="47" t="s">
        <v>167</v>
      </c>
    </row>
    <row r="17" customFormat="false" ht="19.5" hidden="false" customHeight="true" outlineLevel="0" collapsed="false">
      <c r="B17" s="46" t="s">
        <v>168</v>
      </c>
    </row>
    <row r="18" customFormat="false" ht="33.75" hidden="false" customHeight="true" outlineLevel="0" collapsed="false">
      <c r="B18" s="47" t="s">
        <v>169</v>
      </c>
    </row>
    <row r="20" customFormat="false" ht="19.5" hidden="false" customHeight="true" outlineLevel="0" collapsed="false">
      <c r="B20" s="46" t="s">
        <v>170</v>
      </c>
    </row>
    <row r="21" customFormat="false" ht="33.75" hidden="false" customHeight="true" outlineLevel="0" collapsed="false">
      <c r="B21" s="47" t="s">
        <v>171</v>
      </c>
    </row>
    <row r="23" customFormat="false" ht="21.75" hidden="false" customHeight="true" outlineLevel="0" collapsed="false">
      <c r="B23" s="48" t="s">
        <v>172</v>
      </c>
    </row>
    <row r="25" customFormat="false" ht="18" hidden="false" customHeight="true" outlineLevel="0" collapsed="false">
      <c r="B25" s="49" t="s">
        <v>173</v>
      </c>
    </row>
    <row r="26" customFormat="false" ht="201.75" hidden="false" customHeight="true" outlineLevel="0" collapsed="false">
      <c r="B26" s="50" t="s">
        <v>174</v>
      </c>
    </row>
    <row r="28" customFormat="false" ht="18" hidden="false" customHeight="true" outlineLevel="0" collapsed="false">
      <c r="B28" s="51" t="s">
        <v>175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2026-05-15T19:25:59Z</dcterms:created>
  <dc:creator>openpyxl</dc:creator>
  <dc:description/>
  <dc:language>en-GB</dc:language>
  <cp:lastModifiedBy/>
  <dcterms:modified xsi:type="dcterms:W3CDTF">2026-05-15T19:26:31Z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