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Historical_Data" sheetId="3" state="visible" r:id="rId5"/>
    <sheet name="Income_Statement" sheetId="4" state="visible" r:id="rId6"/>
    <sheet name="Balance_Sheet" sheetId="5" state="visible" r:id="rId7"/>
    <sheet name="Cash_Flow" sheetId="6" state="visible" r:id="rId8"/>
    <sheet name="Ratios" sheetId="7" state="visible" r:id="rId9"/>
    <sheet name="Checks" sheetId="8" state="visible" r:id="rId10"/>
    <sheet name="Disclaimer" sheetId="9" state="visible" r:id="rId11"/>
  </sheets>
  <definedNames>
    <definedName function="false" hidden="false" name="Buyback_Pct_NI" vbProcedure="false">Assumptions!$C$21</definedName>
    <definedName function="false" hidden="false" name="Capex_Pct_Revenue" vbProcedure="false">Assumptions!$C$14</definedName>
    <definedName function="false" hidden="false" name="COGS_Pct_Revenue" vbProcedure="false">Assumptions!$C$9</definedName>
    <definedName function="false" hidden="false" name="DA_Pct_Revenue" vbProcedure="false">Assumptions!$C$12</definedName>
    <definedName function="false" hidden="false" name="Debt_Paydown_Pct" vbProcedure="false">Assumptions!$C$18</definedName>
    <definedName function="false" hidden="false" name="Dividend_Payout" vbProcedure="false">Assumptions!$C$20</definedName>
    <definedName function="false" hidden="false" name="Interest_Rate" vbProcedure="false">Assumptions!$C$19</definedName>
    <definedName function="false" hidden="false" name="Model_Start_Year" vbProcedure="false">Assumptions!$C$7</definedName>
    <definedName function="false" hidden="false" name="NWC_Pct_Revenue" vbProcedure="false">Assumptions!$C$15</definedName>
    <definedName function="false" hidden="false" name="Other_Assets_Pct_Revenue" vbProcedure="false">Assumptions!$C$16</definedName>
    <definedName function="false" hidden="false" name="Other_Liab_Pct_Revenue" vbProcedure="false">Assumptions!$C$17</definedName>
    <definedName function="false" hidden="false" name="RD_Pct_Revenue" vbProcedure="false">Assumptions!$C$10</definedName>
    <definedName function="false" hidden="false" name="Revenue_Growth" vbProcedure="false">Assumptions!$C$8</definedName>
    <definedName function="false" hidden="false" name="SGA_Pct_Revenue" vbProcedure="false">Assumptions!$C$11</definedName>
    <definedName function="false" hidden="false" name="Tax_Rate" vbProcedure="false">Assumptions!$C$13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<sst xmlns="http://schemas.openxmlformats.org/spreadsheetml/2006/main" count="265" uniqueCount="176">
  <si>
    <t xml:space="preserve">FIX | 3-Statement Seed Model</t>
  </si>
  <si>
    <t xml:space="preserve">FINAMODEL.com</t>
  </si>
  <si>
    <t xml:space="preserve">COMFORT SYSTEMS USA, INC.</t>
  </si>
  <si>
    <t xml:space="preserve">Purpose</t>
  </si>
  <si>
    <t xml:space="preserve">Mechanically generated training seed model from SEC historicals.</t>
  </si>
  <si>
    <t xml:space="preserve">Display units</t>
  </si>
  <si>
    <t xml:space="preserve">USD $mm</t>
  </si>
  <si>
    <t xml:space="preserve">Model family</t>
  </si>
  <si>
    <t xml:space="preserve">general_corporate</t>
  </si>
  <si>
    <t xml:space="preserve">Resolved coverage</t>
  </si>
  <si>
    <t xml:space="preserve">Historical years</t>
  </si>
  <si>
    <t xml:space="preserve">2021-2025</t>
  </si>
  <si>
    <t xml:space="preserve">Forecast years</t>
  </si>
  <si>
    <t xml:space="preserve">2026-2030</t>
  </si>
  <si>
    <t xml:space="preserve">Sheet Navigation</t>
  </si>
  <si>
    <t xml:space="preserve">Assumptions</t>
  </si>
  <si>
    <t xml:space="preserve">Forecast drivers and source notes</t>
  </si>
  <si>
    <t xml:space="preserve">Historical_Data</t>
  </si>
  <si>
    <t xml:space="preserve">Resolved SEC actuals in USD $mm</t>
  </si>
  <si>
    <t xml:space="preserve">Income_Statement</t>
  </si>
  <si>
    <t xml:space="preserve">P&amp;L actuals and forecast</t>
  </si>
  <si>
    <t xml:space="preserve">Balance_Sheet</t>
  </si>
  <si>
    <t xml:space="preserve">Assets, liabilities, and equity</t>
  </si>
  <si>
    <t xml:space="preserve">Cash_Flow</t>
  </si>
  <si>
    <t xml:space="preserve">Indirect cash flow and cash reconciliation</t>
  </si>
  <si>
    <t xml:space="preserve">Ratios</t>
  </si>
  <si>
    <t xml:space="preserve">Profitability, leverage, efficiency, growth</t>
  </si>
  <si>
    <t xml:space="preserve">Checks</t>
  </si>
  <si>
    <t xml:space="preserve">Mechanical model checks</t>
  </si>
  <si>
    <t xml:space="preserve">Tab Colour Legend</t>
  </si>
  <si>
    <t xml:space="preserve">Deep Navy</t>
  </si>
  <si>
    <t xml:space="preserve">Cover</t>
  </si>
  <si>
    <t xml:space="preserve">Navy</t>
  </si>
  <si>
    <t xml:space="preserve">Inputs (Assumptions, Historical_Data)</t>
  </si>
  <si>
    <t xml:space="preserve">Steel Blue</t>
  </si>
  <si>
    <t xml:space="preserve">Outputs (IS, BS, CF, Ratios)</t>
  </si>
  <si>
    <t xml:space="preserve">Burgundy</t>
  </si>
  <si>
    <t xml:space="preserve">About this model</t>
  </si>
  <si>
    <t xml:space="preserve">A 3-statement financial model integrates income statement, balance sheet, and cash flow forecasts into a single coherent framework. This model answers what a company's profitability, financial position, and liquidity look like over a multi-year horizon by linking revenue drivers to operating expenses, working capital mechanics, debt schedules, and balance sheet reconciliation. All three statements flow through linked formulas: revenue feeds COGS and OpEx, operating results impact retained earnings and cash, and debt repayment reduces liabilities while cash balances tie out perfectly each period. Used by investors, lenders, and corporate planners to model the complete financial trajectory of an operating business.
The workbook structure includes segmented revenue build with explicit forecast drivers, detailed operating expense assumptions, working capital mechanics using days sales outstanding, days inventory outstanding, and days payable outstanding, a full debt schedule with interest expense and amortisation, and balance sheet validation rows that confirm assets equal liabilities plus equity. Every formula chains through the three statements: income flows to the balance sheet as retained earnings, which determines the opening cash for the cash flow statement, completing the cycle.
Investment committees, M&amp;A advisors, and corporate development teams use integrated 3-statement models as the backbone for fairness opinions, valuation sensitivity analysis, and covenant monitoring. The model structure ensures all stakeholders see the same numbers regardless of which statement they reference.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</si>
  <si>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</si>
  <si>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</si>
  <si>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</si>
  <si>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</si>
  <si>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Forecast drivers derived from SEC historicals</t>
  </si>
  <si>
    <t xml:space="preserve">Parameter</t>
  </si>
  <si>
    <t xml:space="preserve">Value</t>
  </si>
  <si>
    <t xml:space="preserve">Unit</t>
  </si>
  <si>
    <t xml:space="preserve">Notes</t>
  </si>
  <si>
    <t xml:space="preserve">Model Start Year</t>
  </si>
  <si>
    <t xml:space="preserve">Year</t>
  </si>
  <si>
    <t xml:space="preserve">First actual year; drives year helpers</t>
  </si>
  <si>
    <t xml:space="preserve">Revenue Growth</t>
  </si>
  <si>
    <t xml:space="preserve">%</t>
  </si>
  <si>
    <t xml:space="preserve">[Revenue] Derived from resolved SEC historicals</t>
  </si>
  <si>
    <t xml:space="preserve">COGS % of Revenue</t>
  </si>
  <si>
    <t xml:space="preserve">[Cost Structure] Derived from resolved SEC historicals</t>
  </si>
  <si>
    <t xml:space="preserve">R&amp;D % of Revenue</t>
  </si>
  <si>
    <t xml:space="preserve">Derived from resolved SEC historicals</t>
  </si>
  <si>
    <t xml:space="preserve">SG&amp;A % of Revenue</t>
  </si>
  <si>
    <t xml:space="preserve">D&amp;A % of Revenue</t>
  </si>
  <si>
    <t xml:space="preserve">Effective Tax Rate</t>
  </si>
  <si>
    <t xml:space="preserve">CapEx % of Revenue</t>
  </si>
  <si>
    <t xml:space="preserve">[CapEx &amp; Working Capital] Derived from resolved SEC historicals</t>
  </si>
  <si>
    <t xml:space="preserve">NWC % of Revenue</t>
  </si>
  <si>
    <t xml:space="preserve">Other Assets % of Revenue</t>
  </si>
  <si>
    <t xml:space="preserve">Other Liabilities % of Revenue</t>
  </si>
  <si>
    <t xml:space="preserve">Debt Paydown % of Opening</t>
  </si>
  <si>
    <t xml:space="preserve">[Capital Structure] Derived from resolved SEC historicals</t>
  </si>
  <si>
    <t xml:space="preserve">Interest Rate on Debt</t>
  </si>
  <si>
    <t xml:space="preserve">Dividend Payout Ratio</t>
  </si>
  <si>
    <t xml:space="preserve">Buybacks % of Net Income</t>
  </si>
  <si>
    <t xml:space="preserve">Historical Data</t>
  </si>
  <si>
    <t xml:space="preserve">Resolved SEC actuals · USD $mm</t>
  </si>
  <si>
    <t xml:space="preserve">Line Item</t>
  </si>
  <si>
    <t xml:space="preserve">Revenue</t>
  </si>
  <si>
    <t xml:space="preserve">Cogs</t>
  </si>
  <si>
    <t xml:space="preserve">Rd Expense</t>
  </si>
  <si>
    <t xml:space="preserve">Sga Expense</t>
  </si>
  <si>
    <t xml:space="preserve">Depreciation Amortization</t>
  </si>
  <si>
    <t xml:space="preserve">Tax Expense</t>
  </si>
  <si>
    <t xml:space="preserve">Pretax Income</t>
  </si>
  <si>
    <t xml:space="preserve">Net Income</t>
  </si>
  <si>
    <t xml:space="preserve">Capex</t>
  </si>
  <si>
    <t xml:space="preserve">Cash</t>
  </si>
  <si>
    <t xml:space="preserve">Net Working Capital</t>
  </si>
  <si>
    <t xml:space="preserve">Ppe Net</t>
  </si>
  <si>
    <t xml:space="preserve">Total Assets</t>
  </si>
  <si>
    <t xml:space="preserve">Total Liabilities</t>
  </si>
  <si>
    <t xml:space="preserve">Total Debt</t>
  </si>
  <si>
    <t xml:space="preserve">Dividends Paid</t>
  </si>
  <si>
    <t xml:space="preserve">Share Repurchases</t>
  </si>
  <si>
    <t xml:space="preserve">Interest Expense</t>
  </si>
  <si>
    <t xml:space="preserve">Operating Cash Flow</t>
  </si>
  <si>
    <t xml:space="preserve">FIX | Income Statement</t>
  </si>
  <si>
    <t xml:space="preserve">Period</t>
  </si>
  <si>
    <t xml:space="preserve">Actual</t>
  </si>
  <si>
    <t xml:space="preserve">Forecast</t>
  </si>
  <si>
    <t xml:space="preserve">COGS</t>
  </si>
  <si>
    <t xml:space="preserve">GROSS PROFIT</t>
  </si>
  <si>
    <t xml:space="preserve">R&amp;D</t>
  </si>
  <si>
    <t xml:space="preserve">SG&amp;A</t>
  </si>
  <si>
    <t xml:space="preserve">EBITDA</t>
  </si>
  <si>
    <t xml:space="preserve">D&amp;A</t>
  </si>
  <si>
    <t xml:space="preserve">EBIT</t>
  </si>
  <si>
    <t xml:space="preserve">NET INCOME</t>
  </si>
  <si>
    <t xml:space="preserve">FIX | Balance Sheet</t>
  </si>
  <si>
    <t xml:space="preserve">Cash &amp; Equivalents</t>
  </si>
  <si>
    <t xml:space="preserve">Net PP&amp;E</t>
  </si>
  <si>
    <t xml:space="preserve">Other Assets</t>
  </si>
  <si>
    <t xml:space="preserve">TOTAL ASSETS</t>
  </si>
  <si>
    <t xml:space="preserve">Debt</t>
  </si>
  <si>
    <t xml:space="preserve">Other Liabilities</t>
  </si>
  <si>
    <t xml:space="preserve">Equity</t>
  </si>
  <si>
    <t xml:space="preserve">TOTAL LIABILITIES &amp; EQUITY</t>
  </si>
  <si>
    <t xml:space="preserve">Balance Check</t>
  </si>
  <si>
    <t xml:space="preserve">FIX | Cash Flow Statement</t>
  </si>
  <si>
    <t xml:space="preserve">Change in NWC</t>
  </si>
  <si>
    <t xml:space="preserve">Cash from Operations</t>
  </si>
  <si>
    <t xml:space="preserve">CapEx</t>
  </si>
  <si>
    <t xml:space="preserve">Free Cash Flow</t>
  </si>
  <si>
    <t xml:space="preserve">Debt Repayment</t>
  </si>
  <si>
    <t xml:space="preserve">Dividends</t>
  </si>
  <si>
    <t xml:space="preserve">Cash from Financing</t>
  </si>
  <si>
    <t xml:space="preserve">NET CHANGE IN CASH</t>
  </si>
  <si>
    <t xml:space="preserve">Opening Cash</t>
  </si>
  <si>
    <t xml:space="preserve">Closing Cash</t>
  </si>
  <si>
    <t xml:space="preserve">FIX | Financial Ratios</t>
  </si>
  <si>
    <t xml:space="preserve">Profitability · Leverage · Efficiency · Growth</t>
  </si>
  <si>
    <t xml:space="preserve">Profitability</t>
  </si>
  <si>
    <t xml:space="preserve">Gross Margin</t>
  </si>
  <si>
    <t xml:space="preserve">EBITDA Margin</t>
  </si>
  <si>
    <t xml:space="preserve">EBIT Margin</t>
  </si>
  <si>
    <t xml:space="preserve">Net Margin</t>
  </si>
  <si>
    <t xml:space="preserve">Return on Equity</t>
  </si>
  <si>
    <t xml:space="preserve">Return on Assets</t>
  </si>
  <si>
    <t xml:space="preserve">Return on Invested Capital</t>
  </si>
  <si>
    <t xml:space="preserve">Leverage &amp; Coverage</t>
  </si>
  <si>
    <t xml:space="preserve">Debt / EBITDA</t>
  </si>
  <si>
    <t xml:space="preserve">Net Debt / EBITDA</t>
  </si>
  <si>
    <t xml:space="preserve">Debt / Equity</t>
  </si>
  <si>
    <t xml:space="preserve">Interest Coverage (EBIT / Interest)</t>
  </si>
  <si>
    <t xml:space="preserve">EBITDA / Interest</t>
  </si>
  <si>
    <t xml:space="preserve">Efficiency &amp; Cash</t>
  </si>
  <si>
    <t xml:space="preserve">Asset Turnover</t>
  </si>
  <si>
    <t xml:space="preserve">CapEx / Revenue</t>
  </si>
  <si>
    <t xml:space="preserve">CapEx / D&amp;A</t>
  </si>
  <si>
    <t xml:space="preserve">FCF Margin</t>
  </si>
  <si>
    <t xml:space="preserve">Cash Conversion (FCF / NI)</t>
  </si>
  <si>
    <t xml:space="preserve">Growth (YoY)</t>
  </si>
  <si>
    <t xml:space="preserve">EBITDA Growth</t>
  </si>
  <si>
    <t xml:space="preserve">EBIT Growth</t>
  </si>
  <si>
    <t xml:space="preserve">Net Income Growth</t>
  </si>
  <si>
    <t xml:space="preserve">Free Cash Flow Growth</t>
  </si>
  <si>
    <t xml:space="preserve">FIX | Model Checks</t>
  </si>
  <si>
    <t xml:space="preserve">Mechanical integrity tests · TRUE = pass</t>
  </si>
  <si>
    <t xml:space="preserve">Balance Sheet Balanced</t>
  </si>
  <si>
    <t xml:space="preserve">Cash Reconciles</t>
  </si>
  <si>
    <t xml:space="preserve">Revenue Positive</t>
  </si>
  <si>
    <t xml:space="preserve">Debt Non-Negative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</si>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</sst>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
    <numFmt numFmtId="166" formatCode="0"/>
    <numFmt numFmtId="167" formatCode="#,##0.0;\(#,##0.0\);\-"/>
    <numFmt numFmtId="168" formatCode="0.0\x;\(0.0&quot;x)&quot;;\-"/>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name val="Arial"/>
      <family val="0"/>
      <charset val="1"/>
    </font>
    <font>
      <b val="true"/>
      <sz val="11"/>
      <color theme="3"/>
      <name val="Arial"/>
      <family val="0"/>
      <charset val="1"/>
    </font>
    <font>
      <sz val="11"/>
      <color theme="1"/>
      <name val="Calibri"/>
      <family val="2"/>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C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1E3A5F"/>
        <bgColor rgb="FF1F497D"/>
      </patternFill>
    </fill>
    <fill>
      <patternFill patternType="solid">
        <fgColor rgb="FF2C5282"/>
        <bgColor rgb="FF1F4E79"/>
      </patternFill>
    </fill>
    <fill>
      <patternFill patternType="solid">
        <fgColor rgb="FF4A6FA5"/>
        <bgColor rgb="FF2C5282"/>
      </patternFill>
    </fill>
    <fill>
      <patternFill patternType="solid">
        <fgColor rgb="FF8B2C2C"/>
        <bgColor rgb="FF993366"/>
      </patternFill>
    </fill>
    <fill>
      <patternFill patternType="solid">
        <fgColor rgb="FFD6E4F0"/>
        <bgColor rgb="FFDDEAF6"/>
      </patternFill>
    </fill>
    <fill>
      <patternFill patternType="solid">
        <fgColor rgb="FFE8F0FE"/>
        <bgColor rgb="FFF2F2F2"/>
      </patternFill>
    </fill>
    <fill>
      <patternFill patternType="solid">
        <fgColor rgb="FFDDEAF6"/>
        <bgColor rgb="FFD6E4F0"/>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center" vertical="center" textRotation="0" wrapText="false" indent="0" shrinkToFit="false"/>
      <protection locked="true" hidden="false"/>
    </xf>
    <xf numFmtId="166" fontId="16" fillId="9"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16" fillId="9" borderId="0" xfId="0" applyFont="true" applyBorder="false" applyAlignment="true" applyProtection="false">
      <alignment horizontal="right" vertical="center" textRotation="0" wrapText="false" indent="0" shrinkToFit="false"/>
      <protection locked="true" hidden="false"/>
    </xf>
    <xf numFmtId="166" fontId="15" fillId="2" borderId="0" xfId="0" applyFont="true" applyBorder="false" applyAlignment="true" applyProtection="false">
      <alignment horizontal="center"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1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7" fontId="8" fillId="10" borderId="1" xfId="0" applyFont="true" applyBorder="true" applyAlignment="true" applyProtection="false">
      <alignment horizontal="right" vertical="center" textRotation="0" wrapText="false" indent="0" shrinkToFit="false"/>
      <protection locked="true" hidden="false"/>
    </xf>
    <xf numFmtId="167" fontId="8"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7" fontId="0" fillId="10" borderId="0" xfId="0" applyFont="true" applyBorder="false" applyAlignment="true" applyProtection="false">
      <alignment horizontal="right" vertical="center" textRotation="0" wrapText="false" indent="0" shrinkToFit="false"/>
      <protection locked="true" hidden="false"/>
    </xf>
    <xf numFmtId="167" fontId="8" fillId="10" borderId="2" xfId="0" applyFont="true" applyBorder="true" applyAlignment="true" applyProtection="false">
      <alignment horizontal="right" vertical="center" textRotation="0" wrapText="false" indent="0" shrinkToFit="false"/>
      <protection locked="true" hidden="false"/>
    </xf>
    <xf numFmtId="167" fontId="8" fillId="0" borderId="2"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7" fontId="18" fillId="0" borderId="1" xfId="0" applyFont="true" applyBorder="true" applyAlignment="true" applyProtection="false">
      <alignment horizontal="right" vertical="center" textRotation="0" wrapText="false" indent="0" shrinkToFit="false"/>
      <protection locked="true" hidden="false"/>
    </xf>
    <xf numFmtId="165" fontId="0" fillId="10"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8" fontId="0" fillId="10"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20" fillId="11"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12"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CC"/>
      <rgbColor rgb="FFFFFF00"/>
      <rgbColor rgb="FFFF00FF"/>
      <rgbColor rgb="FF00FFFF"/>
      <rgbColor rgb="FF800000"/>
      <rgbColor rgb="FF008000"/>
      <rgbColor rgb="FF000080"/>
      <rgbColor rgb="FF808000"/>
      <rgbColor rgb="FF800080"/>
      <rgbColor rgb="FF2C5282"/>
      <rgbColor rgb="FFC0C0C0"/>
      <rgbColor rgb="FF808080"/>
      <rgbColor rgb="FF9999FF"/>
      <rgbColor rgb="FF595959"/>
      <rgbColor rgb="FFF2F2F2"/>
      <rgbColor rgb="FFDDEAF6"/>
      <rgbColor rgb="FF660066"/>
      <rgbColor rgb="FFFF8080"/>
      <rgbColor rgb="FF1F4E79"/>
      <rgbColor rgb="FFC6D9F1"/>
      <rgbColor rgb="FF000080"/>
      <rgbColor rgb="FFFF00FF"/>
      <rgbColor rgb="FFFFFF00"/>
      <rgbColor rgb="FF00FFFF"/>
      <rgbColor rgb="FF800080"/>
      <rgbColor rgb="FF800000"/>
      <rgbColor rgb="FF008080"/>
      <rgbColor rgb="FF0000FF"/>
      <rgbColor rgb="FF00CCFF"/>
      <rgbColor rgb="FFE8F0FE"/>
      <rgbColor rgb="FFD6E4F0"/>
      <rgbColor rgb="FFFFFF99"/>
      <rgbColor rgb="FF99CCFF"/>
      <rgbColor rgb="FFFF99CC"/>
      <rgbColor rgb="FFCC99FF"/>
      <rgbColor rgb="FFFFCC99"/>
      <rgbColor rgb="FF3366FF"/>
      <rgbColor rgb="FF33CCCC"/>
      <rgbColor rgb="FF99CC00"/>
      <rgbColor rgb="FFFFCC00"/>
      <rgbColor rgb="FFFF9900"/>
      <rgbColor rgb="FFFF6600"/>
      <rgbColor rgb="FF4A6FA5"/>
      <rgbColor rgb="FF969696"/>
      <rgbColor rgb="FF1E3A5F"/>
      <rgbColor rgb="FF339966"/>
      <rgbColor rgb="FF003300"/>
      <rgbColor rgb="FF404040"/>
      <rgbColor rgb="FF8B2C2C"/>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3A5F"/>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60"/>
    <col collapsed="false" customWidth="true" hidden="false" outlineLevel="0" max="13" min="4"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6" t="s">
        <v>4</v>
      </c>
    </row>
    <row r="6" customFormat="false" ht="15" hidden="false" customHeight="false" outlineLevel="0" collapsed="false">
      <c r="B6" s="5" t="s">
        <v>5</v>
      </c>
      <c r="C6" s="6" t="s">
        <v>6</v>
      </c>
    </row>
    <row r="7" customFormat="false" ht="15" hidden="false" customHeight="false" outlineLevel="0" collapsed="false">
      <c r="B7" s="5" t="s">
        <v>7</v>
      </c>
      <c r="C7" s="6" t="s">
        <v>8</v>
      </c>
    </row>
    <row r="8" customFormat="false" ht="15" hidden="false" customHeight="false" outlineLevel="0" collapsed="false">
      <c r="B8" s="5" t="s">
        <v>9</v>
      </c>
      <c r="C8" s="7" t="n">
        <v>100</v>
      </c>
    </row>
    <row r="9" customFormat="false" ht="15" hidden="false" customHeight="false" outlineLevel="0" collapsed="false">
      <c r="B9" s="5" t="s">
        <v>10</v>
      </c>
      <c r="C9" s="6" t="s">
        <v>11</v>
      </c>
    </row>
    <row r="10" customFormat="false" ht="15" hidden="false" customHeight="false" outlineLevel="0" collapsed="false">
      <c r="B10" s="5" t="s">
        <v>12</v>
      </c>
      <c r="C10" s="6" t="s">
        <v>13</v>
      </c>
    </row>
    <row r="13" customFormat="false" ht="15" hidden="false" customHeight="false" outlineLevel="0" collapsed="false">
      <c r="B13" s="8" t="s">
        <v>14</v>
      </c>
      <c r="C13" s="9"/>
      <c r="D13" s="9"/>
    </row>
    <row r="14" customFormat="false" ht="15" hidden="false" customHeight="false" outlineLevel="0" collapsed="false">
      <c r="B14" s="5" t="s">
        <v>15</v>
      </c>
      <c r="C14" s="10" t="s">
        <v>16</v>
      </c>
    </row>
    <row r="15" customFormat="false" ht="15" hidden="false" customHeight="false" outlineLevel="0" collapsed="false">
      <c r="B15" s="5" t="s">
        <v>17</v>
      </c>
      <c r="C15" s="10" t="s">
        <v>18</v>
      </c>
    </row>
    <row r="16" customFormat="false" ht="15" hidden="false" customHeight="false" outlineLevel="0" collapsed="false">
      <c r="B16" s="5" t="s">
        <v>19</v>
      </c>
      <c r="C16" s="10" t="s">
        <v>20</v>
      </c>
    </row>
    <row r="17" customFormat="false" ht="15" hidden="false" customHeight="false" outlineLevel="0" collapsed="false">
      <c r="B17" s="5" t="s">
        <v>21</v>
      </c>
      <c r="C17" s="10" t="s">
        <v>22</v>
      </c>
    </row>
    <row r="18" customFormat="false" ht="15" hidden="false" customHeight="false" outlineLevel="0" collapsed="false">
      <c r="B18" s="5" t="s">
        <v>23</v>
      </c>
      <c r="C18" s="10" t="s">
        <v>24</v>
      </c>
    </row>
    <row r="19" customFormat="false" ht="15" hidden="false" customHeight="false" outlineLevel="0" collapsed="false">
      <c r="B19" s="5" t="s">
        <v>25</v>
      </c>
      <c r="C19" s="10" t="s">
        <v>26</v>
      </c>
    </row>
    <row r="20" customFormat="false" ht="15" hidden="false" customHeight="false" outlineLevel="0" collapsed="false">
      <c r="B20" s="5" t="s">
        <v>27</v>
      </c>
      <c r="C20" s="10" t="s">
        <v>28</v>
      </c>
    </row>
    <row r="23" customFormat="false" ht="15" hidden="false" customHeight="false" outlineLevel="0" collapsed="false">
      <c r="B23" s="8" t="s">
        <v>29</v>
      </c>
      <c r="C23" s="9"/>
      <c r="D23" s="9"/>
    </row>
    <row r="24" customFormat="false" ht="15" hidden="false" customHeight="false" outlineLevel="0" collapsed="false">
      <c r="B24" s="5" t="s">
        <v>30</v>
      </c>
      <c r="C24" s="10" t="s">
        <v>31</v>
      </c>
      <c r="D24" s="11"/>
    </row>
    <row r="25" customFormat="false" ht="15" hidden="false" customHeight="false" outlineLevel="0" collapsed="false">
      <c r="B25" s="5" t="s">
        <v>32</v>
      </c>
      <c r="C25" s="10" t="s">
        <v>33</v>
      </c>
      <c r="D25" s="12"/>
    </row>
    <row r="26" customFormat="false" ht="15" hidden="false" customHeight="false" outlineLevel="0" collapsed="false">
      <c r="B26" s="5" t="s">
        <v>34</v>
      </c>
      <c r="C26" s="10" t="s">
        <v>35</v>
      </c>
      <c r="D26" s="13"/>
    </row>
    <row r="27" customFormat="false" ht="15" hidden="false" customHeight="false" outlineLevel="0" collapsed="false">
      <c r="B27" s="5" t="s">
        <v>36</v>
      </c>
      <c r="C27" s="10" t="s">
        <v>27</v>
      </c>
      <c r="D27" s="14"/>
    </row>
    <row r="30" customFormat="false" ht="19.5" hidden="false" customHeight="true" outlineLevel="0" collapsed="false">
      <c r="B30" s="15" t="s">
        <v>37</v>
      </c>
      <c r="C30" s="16"/>
      <c r="D30" s="16"/>
      <c r="E30" s="16"/>
      <c r="F30" s="16"/>
      <c r="G30" s="16"/>
    </row>
    <row r="31" customFormat="false" ht="233.25" hidden="false" customHeight="true" outlineLevel="0" collapsed="false">
      <c r="B31" s="17" t="s">
        <v>38</v>
      </c>
      <c r="C31" s="17"/>
      <c r="D31" s="17"/>
      <c r="E31" s="17"/>
      <c r="F31" s="17"/>
      <c r="G31" s="17"/>
    </row>
    <row r="33" customFormat="false" ht="19.5" hidden="false" customHeight="true" outlineLevel="0" collapsed="false">
      <c r="B33" s="15" t="s">
        <v>39</v>
      </c>
      <c r="C33" s="16"/>
      <c r="D33" s="16"/>
      <c r="E33" s="16"/>
      <c r="F33" s="16"/>
      <c r="G33" s="16"/>
    </row>
    <row r="34" customFormat="false" ht="57" hidden="false" customHeight="true" outlineLevel="0" collapsed="false">
      <c r="B34" s="17" t="s">
        <v>40</v>
      </c>
      <c r="C34" s="17"/>
      <c r="D34" s="17"/>
      <c r="E34" s="17"/>
      <c r="F34" s="17"/>
      <c r="G34" s="17"/>
    </row>
    <row r="35" customFormat="false" ht="15" hidden="false" customHeight="false" outlineLevel="0" collapsed="false">
      <c r="B35" s="18" t="s">
        <v>41</v>
      </c>
      <c r="C35" s="18"/>
      <c r="D35" s="18"/>
      <c r="E35" s="18"/>
      <c r="F35" s="18"/>
      <c r="G35" s="18"/>
    </row>
    <row r="36" customFormat="false" ht="15" hidden="false" customHeight="false" outlineLevel="0" collapsed="false">
      <c r="B36" s="19" t="s">
        <v>42</v>
      </c>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5282"/>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6"/>
    <col collapsed="false" customWidth="true" hidden="false" outlineLevel="0" max="4" min="4" style="0" width="12"/>
    <col collapsed="false" customWidth="true" hidden="false" outlineLevel="0" max="5" min="5" style="0" width="40"/>
    <col collapsed="false" customWidth="true" hidden="false" outlineLevel="0" max="13" min="6"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43</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0" t="s">
        <v>44</v>
      </c>
      <c r="C5" s="21" t="s">
        <v>45</v>
      </c>
      <c r="D5" s="21" t="s">
        <v>46</v>
      </c>
      <c r="E5" s="21" t="s">
        <v>47</v>
      </c>
    </row>
    <row r="7" customFormat="false" ht="15" hidden="false" customHeight="false" outlineLevel="0" collapsed="false">
      <c r="B7" s="10" t="s">
        <v>48</v>
      </c>
      <c r="C7" s="22" t="n">
        <v>2021</v>
      </c>
      <c r="D7" s="23" t="s">
        <v>49</v>
      </c>
      <c r="E7" s="23" t="s">
        <v>50</v>
      </c>
    </row>
    <row r="8" customFormat="false" ht="15" hidden="false" customHeight="false" outlineLevel="0" collapsed="false">
      <c r="B8" s="10" t="s">
        <v>51</v>
      </c>
      <c r="C8" s="24" t="n">
        <v>0.187852364031782</v>
      </c>
      <c r="D8" s="23" t="s">
        <v>52</v>
      </c>
      <c r="E8" s="23" t="s">
        <v>53</v>
      </c>
    </row>
    <row r="9" customFormat="false" ht="15" hidden="false" customHeight="false" outlineLevel="0" collapsed="false">
      <c r="B9" s="10" t="s">
        <v>54</v>
      </c>
      <c r="C9" s="24" t="n">
        <v>0.812801280539526</v>
      </c>
      <c r="D9" s="23" t="s">
        <v>52</v>
      </c>
      <c r="E9" s="23" t="s">
        <v>55</v>
      </c>
    </row>
    <row r="10" customFormat="false" ht="15" hidden="false" customHeight="false" outlineLevel="0" collapsed="false">
      <c r="B10" s="10" t="s">
        <v>56</v>
      </c>
      <c r="C10" s="24" t="n">
        <v>0</v>
      </c>
      <c r="D10" s="23" t="s">
        <v>52</v>
      </c>
      <c r="E10" s="23" t="s">
        <v>57</v>
      </c>
    </row>
    <row r="11" customFormat="false" ht="15" hidden="false" customHeight="false" outlineLevel="0" collapsed="false">
      <c r="B11" s="10" t="s">
        <v>58</v>
      </c>
      <c r="C11" s="24" t="n">
        <v>0.12123856479311</v>
      </c>
      <c r="D11" s="23" t="s">
        <v>52</v>
      </c>
      <c r="E11" s="23" t="s">
        <v>57</v>
      </c>
    </row>
    <row r="12" customFormat="false" ht="15" hidden="false" customHeight="false" outlineLevel="0" collapsed="false">
      <c r="B12" s="10" t="s">
        <v>59</v>
      </c>
      <c r="C12" s="24" t="n">
        <v>0.00876528044479533</v>
      </c>
      <c r="D12" s="23" t="s">
        <v>52</v>
      </c>
      <c r="E12" s="23" t="s">
        <v>57</v>
      </c>
    </row>
    <row r="13" customFormat="false" ht="15" hidden="false" customHeight="false" outlineLevel="0" collapsed="false">
      <c r="B13" s="10" t="s">
        <v>60</v>
      </c>
      <c r="C13" s="24" t="n">
        <v>0.18381064788115</v>
      </c>
      <c r="D13" s="23" t="s">
        <v>52</v>
      </c>
      <c r="E13" s="23" t="s">
        <v>57</v>
      </c>
    </row>
    <row r="14" customFormat="false" ht="15" hidden="false" customHeight="false" outlineLevel="0" collapsed="false">
      <c r="B14" s="10" t="s">
        <v>61</v>
      </c>
      <c r="C14" s="24" t="n">
        <v>0.0115493572653467</v>
      </c>
      <c r="D14" s="23" t="s">
        <v>52</v>
      </c>
      <c r="E14" s="23" t="s">
        <v>62</v>
      </c>
    </row>
    <row r="15" customFormat="false" ht="15" hidden="false" customHeight="false" outlineLevel="0" collapsed="false">
      <c r="B15" s="10" t="s">
        <v>63</v>
      </c>
      <c r="C15" s="24" t="n">
        <v>0.0398464688213015</v>
      </c>
      <c r="D15" s="23" t="s">
        <v>52</v>
      </c>
      <c r="E15" s="23" t="s">
        <v>57</v>
      </c>
    </row>
    <row r="16" customFormat="false" ht="15" hidden="false" customHeight="false" outlineLevel="0" collapsed="false">
      <c r="B16" s="10" t="s">
        <v>64</v>
      </c>
      <c r="C16" s="24" t="n">
        <v>0.706100914964392</v>
      </c>
      <c r="D16" s="23" t="s">
        <v>52</v>
      </c>
      <c r="E16" s="23" t="s">
        <v>57</v>
      </c>
    </row>
    <row r="17" customFormat="false" ht="15" hidden="false" customHeight="false" outlineLevel="0" collapsed="false">
      <c r="B17" s="10" t="s">
        <v>65</v>
      </c>
      <c r="C17" s="24" t="n">
        <v>0.564281242077607</v>
      </c>
      <c r="D17" s="23" t="s">
        <v>52</v>
      </c>
      <c r="E17" s="23" t="s">
        <v>57</v>
      </c>
    </row>
    <row r="18" customFormat="false" ht="15" hidden="false" customHeight="false" outlineLevel="0" collapsed="false">
      <c r="B18" s="10" t="s">
        <v>66</v>
      </c>
      <c r="C18" s="24" t="n">
        <v>0.05</v>
      </c>
      <c r="D18" s="23" t="s">
        <v>52</v>
      </c>
      <c r="E18" s="23" t="s">
        <v>67</v>
      </c>
    </row>
    <row r="19" customFormat="false" ht="15" hidden="false" customHeight="false" outlineLevel="0" collapsed="false">
      <c r="B19" s="10" t="s">
        <v>68</v>
      </c>
      <c r="C19" s="24" t="n">
        <v>0.107460026850548</v>
      </c>
      <c r="D19" s="23" t="s">
        <v>52</v>
      </c>
      <c r="E19" s="23" t="s">
        <v>57</v>
      </c>
    </row>
    <row r="20" customFormat="false" ht="15" hidden="false" customHeight="false" outlineLevel="0" collapsed="false">
      <c r="B20" s="10" t="s">
        <v>69</v>
      </c>
      <c r="C20" s="24" t="n">
        <v>0.10545584878678</v>
      </c>
      <c r="D20" s="23" t="s">
        <v>52</v>
      </c>
      <c r="E20" s="23" t="s">
        <v>57</v>
      </c>
    </row>
    <row r="21" customFormat="false" ht="15" hidden="false" customHeight="false" outlineLevel="0" collapsed="false">
      <c r="B21" s="10" t="s">
        <v>70</v>
      </c>
      <c r="C21" s="24" t="n">
        <v>0.156247266286371</v>
      </c>
      <c r="D21" s="23" t="s">
        <v>52</v>
      </c>
      <c r="E21" s="23" t="s">
        <v>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5282"/>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71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72</v>
      </c>
      <c r="C3" s="1"/>
      <c r="D3" s="1"/>
      <c r="E3" s="1"/>
      <c r="F3" s="1"/>
      <c r="G3" s="1"/>
      <c r="H3" s="1"/>
      <c r="I3" s="1"/>
      <c r="J3" s="1"/>
      <c r="K3" s="1"/>
      <c r="L3" s="1"/>
      <c r="M3" s="1"/>
      <c r="N3" s="1"/>
      <c r="O3" s="1"/>
      <c r="P3" s="1"/>
      <c r="Q3" s="1"/>
      <c r="R3" s="1"/>
      <c r="S3" s="1"/>
      <c r="T3" s="1"/>
      <c r="U3" s="1"/>
      <c r="V3" s="1"/>
      <c r="W3" s="1"/>
      <c r="X3" s="1"/>
      <c r="Y3" s="1"/>
      <c r="Z3" s="1"/>
      <c r="AA3" s="1"/>
      <c r="AB3" s="1"/>
      <c r="AC3" s="1"/>
      <c r="AD3" s="1"/>
    </row>
    <row r="6" customFormat="false" ht="15" hidden="false" customHeight="false" outlineLevel="0" collapsed="false">
      <c r="B6" s="20" t="s">
        <v>73</v>
      </c>
      <c r="C6" s="25" t="n">
        <v>2021</v>
      </c>
      <c r="D6" s="25" t="n">
        <v>2022</v>
      </c>
      <c r="E6" s="25" t="n">
        <v>2023</v>
      </c>
      <c r="F6" s="25" t="n">
        <v>2024</v>
      </c>
      <c r="G6" s="25" t="n">
        <v>2025</v>
      </c>
    </row>
    <row r="7" customFormat="false" ht="15" hidden="false" customHeight="false" outlineLevel="0" collapsed="false">
      <c r="B7" s="10" t="s">
        <v>74</v>
      </c>
      <c r="C7" s="26" t="n">
        <v>2615.277</v>
      </c>
      <c r="D7" s="26" t="n">
        <v>2856.659</v>
      </c>
      <c r="E7" s="26" t="n">
        <v>3073.636</v>
      </c>
      <c r="F7" s="26" t="n">
        <v>4140.364</v>
      </c>
      <c r="G7" s="26" t="n">
        <v>5206.76</v>
      </c>
    </row>
    <row r="8" customFormat="false" ht="15" hidden="false" customHeight="false" outlineLevel="0" collapsed="false">
      <c r="B8" s="10" t="s">
        <v>75</v>
      </c>
      <c r="C8" s="26" t="n">
        <v>-2113.334</v>
      </c>
      <c r="D8" s="26" t="n">
        <v>-2309.676</v>
      </c>
      <c r="E8" s="26" t="n">
        <v>-2510.429</v>
      </c>
      <c r="F8" s="26" t="n">
        <v>-3398.756</v>
      </c>
      <c r="G8" s="26" t="n">
        <v>-4216.251</v>
      </c>
    </row>
    <row r="9" customFormat="false" ht="15" hidden="false" customHeight="false" outlineLevel="0" collapsed="false">
      <c r="B9" s="10" t="s">
        <v>76</v>
      </c>
      <c r="C9" s="26"/>
      <c r="D9" s="26"/>
      <c r="E9" s="26"/>
      <c r="F9" s="26"/>
      <c r="G9" s="26"/>
    </row>
    <row r="10" customFormat="false" ht="15" hidden="false" customHeight="false" outlineLevel="0" collapsed="false">
      <c r="B10" s="10" t="s">
        <v>77</v>
      </c>
      <c r="C10" s="26" t="n">
        <v>-340.005</v>
      </c>
      <c r="D10" s="26" t="n">
        <v>-357.777</v>
      </c>
      <c r="E10" s="26" t="n">
        <v>-376.309</v>
      </c>
      <c r="F10" s="26" t="n">
        <v>-489.344</v>
      </c>
      <c r="G10" s="26" t="n">
        <v>-574.423</v>
      </c>
    </row>
    <row r="11" customFormat="false" ht="15" hidden="false" customHeight="false" outlineLevel="0" collapsed="false">
      <c r="B11" s="10" t="s">
        <v>78</v>
      </c>
      <c r="C11" s="26" t="n">
        <v>-24.5</v>
      </c>
      <c r="D11" s="26" t="n">
        <v>-27.9</v>
      </c>
      <c r="E11" s="26" t="n">
        <v>-28.4</v>
      </c>
      <c r="F11" s="26" t="n">
        <v>-33.6</v>
      </c>
      <c r="G11" s="26" t="n">
        <v>-38.2</v>
      </c>
    </row>
    <row r="12" customFormat="false" ht="15" hidden="false" customHeight="false" outlineLevel="0" collapsed="false">
      <c r="B12" s="10" t="s">
        <v>79</v>
      </c>
      <c r="C12" s="26" t="n">
        <v>-37.418</v>
      </c>
      <c r="D12" s="26" t="n">
        <v>-41.401</v>
      </c>
      <c r="E12" s="26" t="n">
        <v>-46.926</v>
      </c>
      <c r="F12" s="26" t="n">
        <v>-10.089</v>
      </c>
      <c r="G12" s="26" t="n">
        <v>-64.796</v>
      </c>
    </row>
    <row r="13" customFormat="false" ht="15" hidden="false" customHeight="false" outlineLevel="0" collapsed="false">
      <c r="B13" s="10" t="s">
        <v>80</v>
      </c>
      <c r="C13" s="26" t="n">
        <v>151.742</v>
      </c>
      <c r="D13" s="26" t="n">
        <v>191.54</v>
      </c>
      <c r="E13" s="26" t="n">
        <v>190.274</v>
      </c>
      <c r="F13" s="26" t="n">
        <v>235.858</v>
      </c>
      <c r="G13" s="26" t="n">
        <v>388.194</v>
      </c>
    </row>
    <row r="14" customFormat="false" ht="15" hidden="false" customHeight="false" outlineLevel="0" collapsed="false">
      <c r="B14" s="10" t="s">
        <v>81</v>
      </c>
      <c r="C14" s="26" t="n">
        <v>114.324</v>
      </c>
      <c r="D14" s="26" t="n">
        <v>150.139</v>
      </c>
      <c r="E14" s="26" t="n">
        <v>143.348</v>
      </c>
      <c r="F14" s="26" t="n">
        <v>245.947</v>
      </c>
      <c r="G14" s="26" t="n">
        <v>323.398</v>
      </c>
    </row>
    <row r="15" customFormat="false" ht="15" hidden="false" customHeight="false" outlineLevel="0" collapsed="false">
      <c r="B15" s="10" t="s">
        <v>82</v>
      </c>
      <c r="C15" s="26" t="n">
        <v>-31.75</v>
      </c>
      <c r="D15" s="26" t="n">
        <v>-24.131</v>
      </c>
      <c r="E15" s="26" t="n">
        <v>-22.33</v>
      </c>
      <c r="F15" s="26" t="n">
        <v>-48.359</v>
      </c>
      <c r="G15" s="26" t="n">
        <v>-94.838</v>
      </c>
    </row>
    <row r="16" customFormat="false" ht="15" hidden="false" customHeight="false" outlineLevel="0" collapsed="false">
      <c r="B16" s="10" t="s">
        <v>83</v>
      </c>
      <c r="C16" s="26" t="n">
        <v>54.896</v>
      </c>
      <c r="D16" s="26" t="n">
        <v>58.776</v>
      </c>
      <c r="E16" s="26" t="n">
        <v>57.214</v>
      </c>
      <c r="F16" s="26" t="n">
        <v>205.15</v>
      </c>
      <c r="G16" s="26" t="n">
        <v>549.939</v>
      </c>
    </row>
    <row r="17" customFormat="false" ht="15" hidden="false" customHeight="false" outlineLevel="0" collapsed="false">
      <c r="B17" s="10" t="s">
        <v>84</v>
      </c>
      <c r="C17" s="26" t="n">
        <v>118.948</v>
      </c>
      <c r="D17" s="26" t="n">
        <v>190.767</v>
      </c>
      <c r="E17" s="26" t="n">
        <v>136.869</v>
      </c>
      <c r="F17" s="26" t="n">
        <v>189.895</v>
      </c>
      <c r="G17" s="26" t="n">
        <v>207.471</v>
      </c>
    </row>
    <row r="18" customFormat="false" ht="15" hidden="false" customHeight="false" outlineLevel="0" collapsed="false">
      <c r="B18" s="10" t="s">
        <v>85</v>
      </c>
      <c r="C18" s="26" t="n">
        <v>117.206</v>
      </c>
      <c r="D18" s="26" t="n">
        <v>128.554</v>
      </c>
      <c r="E18" s="26" t="n">
        <v>143.949</v>
      </c>
      <c r="F18" s="26" t="n">
        <v>208.568</v>
      </c>
      <c r="G18" s="26" t="n">
        <v>277.18</v>
      </c>
    </row>
    <row r="19" customFormat="false" ht="15" hidden="false" customHeight="false" outlineLevel="0" collapsed="false">
      <c r="B19" s="10" t="s">
        <v>86</v>
      </c>
      <c r="C19" s="26" t="n">
        <v>1757.355</v>
      </c>
      <c r="D19" s="26" t="n">
        <v>2209.114</v>
      </c>
      <c r="E19" s="26" t="n">
        <v>2597.478</v>
      </c>
      <c r="F19" s="26" t="n">
        <v>3305.579</v>
      </c>
      <c r="G19" s="26" t="n">
        <v>4711.088</v>
      </c>
    </row>
    <row r="20" customFormat="false" ht="15" hidden="false" customHeight="false" outlineLevel="0" collapsed="false">
      <c r="B20" s="10" t="s">
        <v>87</v>
      </c>
      <c r="C20" s="26" t="n">
        <v>1060.926</v>
      </c>
      <c r="D20" s="26" t="n">
        <v>1403.448</v>
      </c>
      <c r="E20" s="26" t="n">
        <v>1597.555</v>
      </c>
      <c r="F20" s="26" t="n">
        <v>2027.75</v>
      </c>
      <c r="G20" s="26" t="n">
        <v>3006.412</v>
      </c>
    </row>
    <row r="21" customFormat="false" ht="15" hidden="false" customHeight="false" outlineLevel="0" collapsed="false">
      <c r="B21" s="10" t="s">
        <v>88</v>
      </c>
      <c r="C21" s="26" t="n">
        <v>238.521</v>
      </c>
      <c r="D21" s="26" t="n">
        <v>388.03</v>
      </c>
      <c r="E21" s="26" t="n">
        <v>256.245</v>
      </c>
      <c r="F21" s="26" t="n">
        <v>44.212</v>
      </c>
      <c r="G21" s="26" t="n">
        <v>68.335</v>
      </c>
    </row>
    <row r="22" customFormat="false" ht="15" hidden="false" customHeight="false" outlineLevel="0" collapsed="false">
      <c r="B22" s="10" t="s">
        <v>89</v>
      </c>
      <c r="C22" s="26" t="n">
        <v>-14.543</v>
      </c>
      <c r="D22" s="26" t="n">
        <v>-15.499</v>
      </c>
      <c r="E22" s="26" t="n">
        <v>-17.384</v>
      </c>
      <c r="F22" s="26" t="n">
        <v>-20.077</v>
      </c>
      <c r="G22" s="26" t="n">
        <v>-30.379</v>
      </c>
    </row>
    <row r="23" customFormat="false" ht="15" hidden="false" customHeight="false" outlineLevel="0" collapsed="false">
      <c r="B23" s="10" t="s">
        <v>90</v>
      </c>
      <c r="C23" s="26" t="n">
        <v>-19.55</v>
      </c>
      <c r="D23" s="26" t="n">
        <v>-30.12</v>
      </c>
      <c r="E23" s="26" t="n">
        <v>-27.054</v>
      </c>
      <c r="F23" s="26" t="n">
        <v>-38.216</v>
      </c>
      <c r="G23" s="26" t="n">
        <v>-21.184</v>
      </c>
    </row>
    <row r="24" customFormat="false" ht="15" hidden="false" customHeight="false" outlineLevel="0" collapsed="false">
      <c r="B24" s="10" t="s">
        <v>91</v>
      </c>
      <c r="C24" s="26" t="n">
        <v>-9.317</v>
      </c>
      <c r="D24" s="26" t="n">
        <v>-8.385</v>
      </c>
      <c r="E24" s="26" t="n">
        <v>-6.196</v>
      </c>
      <c r="F24" s="26" t="n">
        <v>-13.352</v>
      </c>
      <c r="G24" s="26" t="n">
        <v>-10.281</v>
      </c>
    </row>
    <row r="25" customFormat="false" ht="15" hidden="false" customHeight="false" outlineLevel="0" collapsed="false">
      <c r="B25" s="10" t="s">
        <v>92</v>
      </c>
      <c r="C25" s="26" t="n">
        <v>142.028</v>
      </c>
      <c r="D25" s="26" t="n">
        <v>286.51</v>
      </c>
      <c r="E25" s="26" t="n">
        <v>180.151</v>
      </c>
      <c r="F25" s="26" t="n">
        <v>301.531</v>
      </c>
      <c r="G25" s="26" t="n">
        <v>639.568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9" customFormat="false" ht="15" hidden="false" customHeight="false" outlineLevel="0" collapsed="false">
      <c r="B9" s="31" t="s">
        <v>74</v>
      </c>
      <c r="C9" s="32" t="n">
        <f aca="false">Historical_Data!C7</f>
        <v>2615.277</v>
      </c>
      <c r="D9" s="32" t="n">
        <f aca="false">Historical_Data!D7</f>
        <v>2856.659</v>
      </c>
      <c r="E9" s="32" t="n">
        <f aca="false">Historical_Data!E7</f>
        <v>3073.636</v>
      </c>
      <c r="F9" s="32" t="n">
        <f aca="false">Historical_Data!F7</f>
        <v>4140.364</v>
      </c>
      <c r="G9" s="32" t="n">
        <f aca="false">Historical_Data!G7</f>
        <v>5206.76</v>
      </c>
      <c r="H9" s="33" t="n">
        <f aca="false">G9*(1+Revenue_Growth)</f>
        <v>6184.86217494612</v>
      </c>
      <c r="I9" s="33" t="n">
        <f aca="false">H9*(1+Revenue_Growth)</f>
        <v>7346.7031557205</v>
      </c>
      <c r="J9" s="33" t="n">
        <f aca="false">I9*(1+Revenue_Growth)</f>
        <v>8726.79871136235</v>
      </c>
      <c r="K9" s="33" t="n">
        <f aca="false">J9*(1+Revenue_Growth)</f>
        <v>10366.1484797213</v>
      </c>
      <c r="L9" s="33" t="n">
        <f aca="false">K9*(1+Revenue_Growth)</f>
        <v>12313.4539775414</v>
      </c>
    </row>
    <row r="10" customFormat="false" ht="15" hidden="false" customHeight="false" outlineLevel="0" collapsed="false">
      <c r="B10" s="34" t="s">
        <v>97</v>
      </c>
      <c r="C10" s="35" t="n">
        <f aca="false">Historical_Data!C8</f>
        <v>-2113.334</v>
      </c>
      <c r="D10" s="35" t="n">
        <f aca="false">Historical_Data!D8</f>
        <v>-2309.676</v>
      </c>
      <c r="E10" s="35" t="n">
        <f aca="false">Historical_Data!E8</f>
        <v>-2510.429</v>
      </c>
      <c r="F10" s="35" t="n">
        <f aca="false">Historical_Data!F8</f>
        <v>-3398.756</v>
      </c>
      <c r="G10" s="35" t="n">
        <f aca="false">Historical_Data!G8</f>
        <v>-4216.251</v>
      </c>
      <c r="H10" s="26" t="n">
        <f aca="false">-H9*COGS_Pct_Revenue</f>
        <v>-5027.06389575669</v>
      </c>
      <c r="I10" s="26" t="n">
        <f aca="false">-I9*COGS_Pct_Revenue</f>
        <v>-5971.4097327134</v>
      </c>
      <c r="J10" s="26" t="n">
        <f aca="false">-J9*COGS_Pct_Revenue</f>
        <v>-7093.15316760601</v>
      </c>
      <c r="K10" s="26" t="n">
        <f aca="false">-K9*COGS_Pct_Revenue</f>
        <v>-8425.61875858032</v>
      </c>
      <c r="L10" s="26" t="n">
        <f aca="false">-L9*COGS_Pct_Revenue</f>
        <v>-10008.3911608102</v>
      </c>
    </row>
    <row r="11" customFormat="false" ht="15" hidden="false" customHeight="false" outlineLevel="0" collapsed="false">
      <c r="B11" s="31" t="s">
        <v>98</v>
      </c>
      <c r="C11" s="36" t="n">
        <f aca="false">C9+C10</f>
        <v>501.943</v>
      </c>
      <c r="D11" s="36" t="n">
        <f aca="false">D9+D10</f>
        <v>546.983</v>
      </c>
      <c r="E11" s="36" t="n">
        <f aca="false">E9+E10</f>
        <v>563.207</v>
      </c>
      <c r="F11" s="36" t="n">
        <f aca="false">F9+F10</f>
        <v>741.608</v>
      </c>
      <c r="G11" s="36" t="n">
        <f aca="false">G9+G10</f>
        <v>990.509</v>
      </c>
      <c r="H11" s="37" t="n">
        <f aca="false">H9+H10</f>
        <v>1157.79827918943</v>
      </c>
      <c r="I11" s="37" t="n">
        <f aca="false">I9+I10</f>
        <v>1375.2934230071</v>
      </c>
      <c r="J11" s="37" t="n">
        <f aca="false">J9+J10</f>
        <v>1633.64554375634</v>
      </c>
      <c r="K11" s="37" t="n">
        <f aca="false">K9+K10</f>
        <v>1940.52972114096</v>
      </c>
      <c r="L11" s="37" t="n">
        <f aca="false">L9+L10</f>
        <v>2305.06281673122</v>
      </c>
    </row>
    <row r="13" customFormat="false" ht="15" hidden="false" customHeight="false" outlineLevel="0" collapsed="false">
      <c r="B13" s="34" t="s">
        <v>99</v>
      </c>
      <c r="C13" s="35" t="n">
        <f aca="false">Historical_Data!C9</f>
        <v>0</v>
      </c>
      <c r="D13" s="35" t="n">
        <f aca="false">Historical_Data!D9</f>
        <v>0</v>
      </c>
      <c r="E13" s="35" t="n">
        <f aca="false">Historical_Data!E9</f>
        <v>0</v>
      </c>
      <c r="F13" s="35" t="n">
        <f aca="false">Historical_Data!F9</f>
        <v>0</v>
      </c>
      <c r="G13" s="35" t="n">
        <f aca="false">Historical_Data!G9</f>
        <v>0</v>
      </c>
      <c r="H13" s="26" t="n">
        <f aca="false">-H9*RD_Pct_Revenue</f>
        <v>-0</v>
      </c>
      <c r="I13" s="26" t="n">
        <f aca="false">-I9*RD_Pct_Revenue</f>
        <v>-0</v>
      </c>
      <c r="J13" s="26" t="n">
        <f aca="false">-J9*RD_Pct_Revenue</f>
        <v>-0</v>
      </c>
      <c r="K13" s="26" t="n">
        <f aca="false">-K9*RD_Pct_Revenue</f>
        <v>-0</v>
      </c>
      <c r="L13" s="26" t="n">
        <f aca="false">-L9*RD_Pct_Revenue</f>
        <v>-0</v>
      </c>
    </row>
    <row r="14" customFormat="false" ht="15" hidden="false" customHeight="false" outlineLevel="0" collapsed="false">
      <c r="B14" s="34" t="s">
        <v>100</v>
      </c>
      <c r="C14" s="35" t="n">
        <f aca="false">Historical_Data!C10</f>
        <v>-340.005</v>
      </c>
      <c r="D14" s="35" t="n">
        <f aca="false">Historical_Data!D10</f>
        <v>-357.777</v>
      </c>
      <c r="E14" s="35" t="n">
        <f aca="false">Historical_Data!E10</f>
        <v>-376.309</v>
      </c>
      <c r="F14" s="35" t="n">
        <f aca="false">Historical_Data!F10</f>
        <v>-489.344</v>
      </c>
      <c r="G14" s="35" t="n">
        <f aca="false">Historical_Data!G10</f>
        <v>-574.423</v>
      </c>
      <c r="H14" s="26" t="n">
        <f aca="false">-H9*SGA_Pct_Revenue</f>
        <v>-749.843813533663</v>
      </c>
      <c r="I14" s="26" t="n">
        <f aca="false">-I9*SGA_Pct_Revenue</f>
        <v>-890.703746560568</v>
      </c>
      <c r="J14" s="26" t="n">
        <f aca="false">-J9*SGA_Pct_Revenue</f>
        <v>-1058.02455100394</v>
      </c>
      <c r="K14" s="26" t="n">
        <f aca="false">-K9*SGA_Pct_Revenue</f>
        <v>-1256.77696411369</v>
      </c>
      <c r="L14" s="26" t="n">
        <f aca="false">-L9*SGA_Pct_Revenue</f>
        <v>-1492.86548788313</v>
      </c>
    </row>
    <row r="15" customFormat="false" ht="15" hidden="false" customHeight="false" outlineLevel="0" collapsed="false">
      <c r="B15" s="31" t="s">
        <v>101</v>
      </c>
      <c r="C15" s="36" t="n">
        <f aca="false">C11+C13+C14</f>
        <v>161.938</v>
      </c>
      <c r="D15" s="36" t="n">
        <f aca="false">D11+D13+D14</f>
        <v>189.206</v>
      </c>
      <c r="E15" s="36" t="n">
        <f aca="false">E11+E13+E14</f>
        <v>186.898</v>
      </c>
      <c r="F15" s="36" t="n">
        <f aca="false">F11+F13+F14</f>
        <v>252.264</v>
      </c>
      <c r="G15" s="36" t="n">
        <f aca="false">G11+G13+G14</f>
        <v>416.086</v>
      </c>
      <c r="H15" s="37" t="n">
        <f aca="false">H11+H13+H14</f>
        <v>407.954465655771</v>
      </c>
      <c r="I15" s="37" t="n">
        <f aca="false">I11+I13+I14</f>
        <v>484.58967644653</v>
      </c>
      <c r="J15" s="37" t="n">
        <f aca="false">J11+J13+J14</f>
        <v>575.620992752407</v>
      </c>
      <c r="K15" s="37" t="n">
        <f aca="false">K11+K13+K14</f>
        <v>683.752757027268</v>
      </c>
      <c r="L15" s="37" t="n">
        <f aca="false">L11+L13+L14</f>
        <v>812.197328848089</v>
      </c>
    </row>
    <row r="17" customFormat="false" ht="15" hidden="false" customHeight="false" outlineLevel="0" collapsed="false">
      <c r="B17" s="34" t="s">
        <v>102</v>
      </c>
      <c r="C17" s="35" t="n">
        <f aca="false">Historical_Data!C11</f>
        <v>-24.5</v>
      </c>
      <c r="D17" s="35" t="n">
        <f aca="false">Historical_Data!D11</f>
        <v>-27.9</v>
      </c>
      <c r="E17" s="35" t="n">
        <f aca="false">Historical_Data!E11</f>
        <v>-28.4</v>
      </c>
      <c r="F17" s="35" t="n">
        <f aca="false">Historical_Data!F11</f>
        <v>-33.6</v>
      </c>
      <c r="G17" s="35" t="n">
        <f aca="false">Historical_Data!G11</f>
        <v>-38.2</v>
      </c>
      <c r="H17" s="26" t="n">
        <f aca="false">-H9*DA_Pct_Revenue</f>
        <v>-54.2120514758096</v>
      </c>
      <c r="I17" s="26" t="n">
        <f aca="false">-I9*DA_Pct_Revenue</f>
        <v>-64.395913504553</v>
      </c>
      <c r="J17" s="26" t="n">
        <f aca="false">-J9*DA_Pct_Revenue</f>
        <v>-76.4928380903695</v>
      </c>
      <c r="K17" s="26" t="n">
        <f aca="false">-K9*DA_Pct_Revenue</f>
        <v>-90.8621985571457</v>
      </c>
      <c r="L17" s="26" t="n">
        <f aca="false">-L9*DA_Pct_Revenue</f>
        <v>-107.930877357231</v>
      </c>
    </row>
    <row r="18" customFormat="false" ht="15" hidden="false" customHeight="false" outlineLevel="0" collapsed="false">
      <c r="B18" s="31" t="s">
        <v>103</v>
      </c>
      <c r="C18" s="36" t="n">
        <f aca="false">C15+C17</f>
        <v>137.438</v>
      </c>
      <c r="D18" s="36" t="n">
        <f aca="false">D15+D17</f>
        <v>161.306</v>
      </c>
      <c r="E18" s="36" t="n">
        <f aca="false">E15+E17</f>
        <v>158.498</v>
      </c>
      <c r="F18" s="36" t="n">
        <f aca="false">F15+F17</f>
        <v>218.664</v>
      </c>
      <c r="G18" s="36" t="n">
        <f aca="false">G15+G17</f>
        <v>377.886</v>
      </c>
      <c r="H18" s="37" t="n">
        <f aca="false">H15+H17</f>
        <v>353.742414179962</v>
      </c>
      <c r="I18" s="37" t="n">
        <f aca="false">I15+I17</f>
        <v>420.193762941977</v>
      </c>
      <c r="J18" s="37" t="n">
        <f aca="false">J15+J17</f>
        <v>499.128154662038</v>
      </c>
      <c r="K18" s="37" t="n">
        <f aca="false">K15+K17</f>
        <v>592.890558470123</v>
      </c>
      <c r="L18" s="37" t="n">
        <f aca="false">L15+L17</f>
        <v>704.266451490858</v>
      </c>
    </row>
    <row r="20" customFormat="false" ht="15" hidden="false" customHeight="false" outlineLevel="0" collapsed="false">
      <c r="B20" s="34" t="s">
        <v>91</v>
      </c>
      <c r="C20" s="35" t="n">
        <f aca="false">Historical_Data!C24</f>
        <v>-9.317</v>
      </c>
      <c r="D20" s="35" t="n">
        <f aca="false">Historical_Data!D24</f>
        <v>-8.385</v>
      </c>
      <c r="E20" s="35" t="n">
        <f aca="false">Historical_Data!E24</f>
        <v>-6.196</v>
      </c>
      <c r="F20" s="35" t="n">
        <f aca="false">Historical_Data!F24</f>
        <v>-13.352</v>
      </c>
      <c r="G20" s="35" t="n">
        <f aca="false">Historical_Data!G24</f>
        <v>-10.281</v>
      </c>
      <c r="H20" s="26" t="n">
        <f aca="false">-AVERAGE(Balance_Sheet!G16,Balance_Sheet!H16)*Interest_Rate</f>
        <v>-7.15969891146141</v>
      </c>
      <c r="I20" s="26" t="n">
        <f aca="false">-AVERAGE(Balance_Sheet!H16,Balance_Sheet!I16)*Interest_Rate</f>
        <v>-6.80171396588834</v>
      </c>
      <c r="J20" s="26" t="n">
        <f aca="false">-AVERAGE(Balance_Sheet!I16,Balance_Sheet!J16)*Interest_Rate</f>
        <v>-6.46162826759393</v>
      </c>
      <c r="K20" s="26" t="n">
        <f aca="false">-AVERAGE(Balance_Sheet!J16,Balance_Sheet!K16)*Interest_Rate</f>
        <v>-6.13854685421423</v>
      </c>
      <c r="L20" s="26" t="n">
        <f aca="false">-AVERAGE(Balance_Sheet!K16,Balance_Sheet!L16)*Interest_Rate</f>
        <v>-5.83161951150352</v>
      </c>
    </row>
    <row r="21" customFormat="false" ht="15" hidden="false" customHeight="false" outlineLevel="0" collapsed="false">
      <c r="B21" s="31" t="s">
        <v>80</v>
      </c>
      <c r="C21" s="32" t="n">
        <f aca="false">Historical_Data!C13</f>
        <v>151.742</v>
      </c>
      <c r="D21" s="32" t="n">
        <f aca="false">Historical_Data!D13</f>
        <v>191.54</v>
      </c>
      <c r="E21" s="32" t="n">
        <f aca="false">Historical_Data!E13</f>
        <v>190.274</v>
      </c>
      <c r="F21" s="32" t="n">
        <f aca="false">Historical_Data!F13</f>
        <v>235.858</v>
      </c>
      <c r="G21" s="32" t="n">
        <f aca="false">Historical_Data!G13</f>
        <v>388.194</v>
      </c>
      <c r="H21" s="33" t="n">
        <f aca="false">H18+H20</f>
        <v>346.5827152685</v>
      </c>
      <c r="I21" s="33" t="n">
        <f aca="false">I18+I20</f>
        <v>413.392048976089</v>
      </c>
      <c r="J21" s="33" t="n">
        <f aca="false">J18+J20</f>
        <v>492.666526394444</v>
      </c>
      <c r="K21" s="33" t="n">
        <f aca="false">K18+K20</f>
        <v>586.752011615909</v>
      </c>
      <c r="L21" s="33" t="n">
        <f aca="false">L18+L20</f>
        <v>698.434831979355</v>
      </c>
    </row>
    <row r="22" customFormat="false" ht="15" hidden="false" customHeight="false" outlineLevel="0" collapsed="false">
      <c r="B22" s="34" t="s">
        <v>79</v>
      </c>
      <c r="C22" s="35" t="n">
        <f aca="false">Historical_Data!C12</f>
        <v>-37.418</v>
      </c>
      <c r="D22" s="35" t="n">
        <f aca="false">Historical_Data!D12</f>
        <v>-41.401</v>
      </c>
      <c r="E22" s="35" t="n">
        <f aca="false">Historical_Data!E12</f>
        <v>-46.926</v>
      </c>
      <c r="F22" s="35" t="n">
        <f aca="false">Historical_Data!F12</f>
        <v>-10.089</v>
      </c>
      <c r="G22" s="35" t="n">
        <f aca="false">Historical_Data!G12</f>
        <v>-64.796</v>
      </c>
      <c r="H22" s="26" t="n">
        <f aca="false">-MAX(0,H21*Tax_Rate)</f>
        <v>-63.7055934379111</v>
      </c>
      <c r="I22" s="26" t="n">
        <f aca="false">-MAX(0,I21*Tax_Rate)</f>
        <v>-75.9858603512109</v>
      </c>
      <c r="J22" s="26" t="n">
        <f aca="false">-MAX(0,J21*Tax_Rate)</f>
        <v>-90.5573534059183</v>
      </c>
      <c r="K22" s="26" t="n">
        <f aca="false">-MAX(0,K21*Tax_Rate)</f>
        <v>-107.851267400688</v>
      </c>
      <c r="L22" s="26" t="n">
        <f aca="false">-MAX(0,L21*Tax_Rate)</f>
        <v>-128.379758968887</v>
      </c>
    </row>
    <row r="23" customFormat="false" ht="15" hidden="false" customHeight="false" outlineLevel="0" collapsed="false">
      <c r="B23" s="31" t="s">
        <v>104</v>
      </c>
      <c r="C23" s="37" t="n">
        <f aca="false">Historical_Data!C14</f>
        <v>114.324</v>
      </c>
      <c r="D23" s="37" t="n">
        <f aca="false">Historical_Data!D14</f>
        <v>150.139</v>
      </c>
      <c r="E23" s="37" t="n">
        <f aca="false">Historical_Data!E14</f>
        <v>143.348</v>
      </c>
      <c r="F23" s="37" t="n">
        <f aca="false">Historical_Data!F14</f>
        <v>245.947</v>
      </c>
      <c r="G23" s="37" t="n">
        <f aca="false">Historical_Data!G14</f>
        <v>323.398</v>
      </c>
      <c r="H23" s="37" t="n">
        <f aca="false">H21+H22</f>
        <v>282.877121830589</v>
      </c>
      <c r="I23" s="37" t="n">
        <f aca="false">I21+I22</f>
        <v>337.406188624878</v>
      </c>
      <c r="J23" s="37" t="n">
        <f aca="false">J21+J22</f>
        <v>402.109172988525</v>
      </c>
      <c r="K23" s="37" t="n">
        <f aca="false">K21+K22</f>
        <v>478.90074421522</v>
      </c>
      <c r="L23" s="37" t="n">
        <f aca="false">L21+L22</f>
        <v>570.055073010467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105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8" customFormat="false" ht="15" hidden="false" customHeight="false" outlineLevel="0" collapsed="false">
      <c r="B8" s="34" t="s">
        <v>106</v>
      </c>
      <c r="C8" s="35" t="n">
        <f aca="false">Historical_Data!C16</f>
        <v>54.896</v>
      </c>
      <c r="D8" s="35" t="n">
        <f aca="false">Historical_Data!D16</f>
        <v>58.776</v>
      </c>
      <c r="E8" s="35" t="n">
        <f aca="false">Historical_Data!E16</f>
        <v>57.214</v>
      </c>
      <c r="F8" s="35" t="n">
        <f aca="false">Historical_Data!F16</f>
        <v>205.15</v>
      </c>
      <c r="G8" s="35" t="n">
        <f aca="false">Historical_Data!G16</f>
        <v>549.939</v>
      </c>
      <c r="H8" s="26" t="n">
        <f aca="false">Cash_Flow!H26</f>
        <v>706.009998626987</v>
      </c>
      <c r="I8" s="26" t="n">
        <f aca="false">Cash_Flow!I26</f>
        <v>891.612802764725</v>
      </c>
      <c r="J8" s="26" t="n">
        <f aca="false">Cash_Flow!J26</f>
        <v>1112.28435691944</v>
      </c>
      <c r="K8" s="26" t="n">
        <f aca="false">Cash_Flow!K26</f>
        <v>1374.60226746103</v>
      </c>
      <c r="L8" s="26" t="n">
        <f aca="false">Cash_Flow!L26</f>
        <v>1686.38026672686</v>
      </c>
    </row>
    <row r="9" customFormat="false" ht="15" hidden="false" customHeight="false" outlineLevel="0" collapsed="false">
      <c r="B9" s="34" t="s">
        <v>84</v>
      </c>
      <c r="C9" s="35" t="n">
        <f aca="false">Historical_Data!C17</f>
        <v>118.948</v>
      </c>
      <c r="D9" s="35" t="n">
        <f aca="false">Historical_Data!D17</f>
        <v>190.767</v>
      </c>
      <c r="E9" s="35" t="n">
        <f aca="false">Historical_Data!E17</f>
        <v>136.869</v>
      </c>
      <c r="F9" s="35" t="n">
        <f aca="false">Historical_Data!F17</f>
        <v>189.895</v>
      </c>
      <c r="G9" s="35" t="n">
        <f aca="false">Historical_Data!G17</f>
        <v>207.471</v>
      </c>
      <c r="H9" s="26" t="n">
        <f aca="false">Income_Statement!H9*NWC_Pct_Revenue</f>
        <v>246.444917818038</v>
      </c>
      <c r="I9" s="26" t="n">
        <f aca="false">Income_Statement!I9*NWC_Pct_Revenue</f>
        <v>292.740178233775</v>
      </c>
      <c r="J9" s="26" t="n">
        <f aca="false">Income_Statement!J9*NWC_Pct_Revenue</f>
        <v>347.732112762074</v>
      </c>
      <c r="K9" s="26" t="n">
        <f aca="false">Income_Statement!K9*NWC_Pct_Revenue</f>
        <v>413.054412194196</v>
      </c>
      <c r="L9" s="26" t="n">
        <f aca="false">Income_Statement!L9*NWC_Pct_Revenue</f>
        <v>490.647659998634</v>
      </c>
    </row>
    <row r="10" customFormat="false" ht="15" hidden="false" customHeight="false" outlineLevel="0" collapsed="false">
      <c r="B10" s="34" t="s">
        <v>107</v>
      </c>
      <c r="C10" s="35" t="n">
        <f aca="false">Historical_Data!C18</f>
        <v>117.206</v>
      </c>
      <c r="D10" s="35" t="n">
        <f aca="false">Historical_Data!D18</f>
        <v>128.554</v>
      </c>
      <c r="E10" s="35" t="n">
        <f aca="false">Historical_Data!E18</f>
        <v>143.949</v>
      </c>
      <c r="F10" s="35" t="n">
        <f aca="false">Historical_Data!F18</f>
        <v>208.568</v>
      </c>
      <c r="G10" s="35" t="n">
        <f aca="false">Historical_Data!G18</f>
        <v>277.18</v>
      </c>
      <c r="H10" s="26" t="n">
        <f aca="false">MAX(0,G10-Cash_Flow!H14+Income_Statement!H17)</f>
        <v>294.399131419572</v>
      </c>
      <c r="I10" s="26" t="n">
        <f aca="false">MAX(0,H10-Cash_Flow!I14+Income_Statement!I17)</f>
        <v>314.852917382885</v>
      </c>
      <c r="J10" s="26" t="n">
        <f aca="false">MAX(0,I10-Cash_Flow!J14+Income_Statement!J17)</f>
        <v>339.148995392807</v>
      </c>
      <c r="K10" s="26" t="n">
        <f aca="false">MAX(0,J10-Cash_Flow!K14+Income_Statement!K17)</f>
        <v>368.009149093592</v>
      </c>
      <c r="L10" s="26" t="n">
        <f aca="false">MAX(0,K10-Cash_Flow!L14+Income_Statement!L17)</f>
        <v>402.290750893391</v>
      </c>
    </row>
    <row r="11" customFormat="false" ht="15" hidden="false" customHeight="false" outlineLevel="0" collapsed="false">
      <c r="B11" s="34" t="s">
        <v>108</v>
      </c>
      <c r="C11" s="35" t="n">
        <f aca="false">Historical_Data!C19-SUM(C8:C10)</f>
        <v>1466.305</v>
      </c>
      <c r="D11" s="35" t="n">
        <f aca="false">Historical_Data!D19-SUM(D8:D10)</f>
        <v>1831.017</v>
      </c>
      <c r="E11" s="35" t="n">
        <f aca="false">Historical_Data!E19-SUM(E8:E10)</f>
        <v>2259.446</v>
      </c>
      <c r="F11" s="35" t="n">
        <f aca="false">Historical_Data!F19-SUM(F8:F10)</f>
        <v>2701.966</v>
      </c>
      <c r="G11" s="35" t="n">
        <f aca="false">Historical_Data!G19-SUM(G8:G10)</f>
        <v>3676.498</v>
      </c>
      <c r="H11" s="26" t="n">
        <f aca="false">Income_Statement!H9*Other_Assets_Pct_Revenue</f>
        <v>4367.13684065812</v>
      </c>
      <c r="I11" s="26" t="n">
        <f aca="false">Income_Statement!I9*Other_Assets_Pct_Revenue</f>
        <v>5187.51382022603</v>
      </c>
      <c r="J11" s="26" t="n">
        <f aca="false">Income_Statement!J9*Other_Assets_Pct_Revenue</f>
        <v>6162.00055480303</v>
      </c>
      <c r="K11" s="26" t="n">
        <f aca="false">Income_Statement!K9*Other_Assets_Pct_Revenue</f>
        <v>7319.54692618794</v>
      </c>
      <c r="L11" s="26" t="n">
        <f aca="false">Income_Statement!L9*Other_Assets_Pct_Revenue</f>
        <v>8694.5411199139</v>
      </c>
    </row>
    <row r="13" customFormat="false" ht="15" hidden="false" customHeight="false" outlineLevel="0" collapsed="false">
      <c r="B13" s="31" t="s">
        <v>109</v>
      </c>
      <c r="C13" s="36" t="n">
        <f aca="false">SUM(C8:C11)</f>
        <v>1757.355</v>
      </c>
      <c r="D13" s="36" t="n">
        <f aca="false">SUM(D8:D11)</f>
        <v>2209.114</v>
      </c>
      <c r="E13" s="36" t="n">
        <f aca="false">SUM(E8:E11)</f>
        <v>2597.478</v>
      </c>
      <c r="F13" s="36" t="n">
        <f aca="false">SUM(F8:F11)</f>
        <v>3305.579</v>
      </c>
      <c r="G13" s="36" t="n">
        <f aca="false">SUM(G8:G11)</f>
        <v>4711.088</v>
      </c>
      <c r="H13" s="37" t="n">
        <f aca="false">SUM(H8:H11)</f>
        <v>5613.99088852272</v>
      </c>
      <c r="I13" s="37" t="n">
        <f aca="false">SUM(I8:I11)</f>
        <v>6686.71971860742</v>
      </c>
      <c r="J13" s="37" t="n">
        <f aca="false">SUM(J8:J11)</f>
        <v>7961.16601987736</v>
      </c>
      <c r="K13" s="37" t="n">
        <f aca="false">SUM(K8:K11)</f>
        <v>9475.21275493676</v>
      </c>
      <c r="L13" s="37" t="n">
        <f aca="false">SUM(L8:L11)</f>
        <v>11273.8597975328</v>
      </c>
    </row>
    <row r="16" customFormat="false" ht="15" hidden="false" customHeight="false" outlineLevel="0" collapsed="false">
      <c r="B16" s="34" t="s">
        <v>110</v>
      </c>
      <c r="C16" s="35" t="n">
        <f aca="false">Historical_Data!C21</f>
        <v>238.521</v>
      </c>
      <c r="D16" s="35" t="n">
        <f aca="false">Historical_Data!D21</f>
        <v>388.03</v>
      </c>
      <c r="E16" s="35" t="n">
        <f aca="false">Historical_Data!E21</f>
        <v>256.245</v>
      </c>
      <c r="F16" s="35" t="n">
        <f aca="false">Historical_Data!F21</f>
        <v>44.212</v>
      </c>
      <c r="G16" s="35" t="n">
        <f aca="false">Historical_Data!G21</f>
        <v>68.335</v>
      </c>
      <c r="H16" s="26" t="n">
        <f aca="false">MAX(0,G16-Cash_Flow!H18)</f>
        <v>64.91825</v>
      </c>
      <c r="I16" s="26" t="n">
        <f aca="false">MAX(0,H16-Cash_Flow!I18)</f>
        <v>61.6723375</v>
      </c>
      <c r="J16" s="26" t="n">
        <f aca="false">MAX(0,I16-Cash_Flow!J18)</f>
        <v>58.588720625</v>
      </c>
      <c r="K16" s="26" t="n">
        <f aca="false">MAX(0,J16-Cash_Flow!K18)</f>
        <v>55.65928459375</v>
      </c>
      <c r="L16" s="26" t="n">
        <f aca="false">MAX(0,K16-Cash_Flow!L18)</f>
        <v>52.8763203640625</v>
      </c>
    </row>
    <row r="17" customFormat="false" ht="15" hidden="false" customHeight="false" outlineLevel="0" collapsed="false">
      <c r="B17" s="34" t="s">
        <v>111</v>
      </c>
      <c r="C17" s="35" t="n">
        <f aca="false">Historical_Data!C20-C16</f>
        <v>822.405</v>
      </c>
      <c r="D17" s="35" t="n">
        <f aca="false">Historical_Data!D20-D16</f>
        <v>1015.418</v>
      </c>
      <c r="E17" s="35" t="n">
        <f aca="false">Historical_Data!E20-E16</f>
        <v>1341.31</v>
      </c>
      <c r="F17" s="35" t="n">
        <f aca="false">Historical_Data!F20-F16</f>
        <v>1983.538</v>
      </c>
      <c r="G17" s="35" t="n">
        <f aca="false">Historical_Data!G20-G16</f>
        <v>2938.077</v>
      </c>
      <c r="H17" s="26" t="n">
        <f aca="false">Income_Statement!H9*Other_Liab_Pct_Revenue</f>
        <v>3490.00171015741</v>
      </c>
      <c r="I17" s="26" t="n">
        <f aca="false">Income_Statement!I9*Other_Liab_Pct_Revenue</f>
        <v>4145.60678188544</v>
      </c>
      <c r="J17" s="26" t="n">
        <f aca="false">Income_Statement!J9*Other_Liab_Pct_Revenue</f>
        <v>4924.3688162088</v>
      </c>
      <c r="K17" s="26" t="n">
        <f aca="false">Income_Statement!K9*Other_Liab_Pct_Revenue</f>
        <v>5849.42313969802</v>
      </c>
      <c r="L17" s="26" t="n">
        <f aca="false">Income_Statement!L9*Other_Liab_Pct_Revenue</f>
        <v>6948.2511047125</v>
      </c>
    </row>
    <row r="19" customFormat="false" ht="15" hidden="false" customHeight="false" outlineLevel="0" collapsed="false">
      <c r="B19" s="31" t="s">
        <v>87</v>
      </c>
      <c r="C19" s="32" t="n">
        <f aca="false">SUM(C16:C17)</f>
        <v>1060.926</v>
      </c>
      <c r="D19" s="32" t="n">
        <f aca="false">SUM(D16:D17)</f>
        <v>1403.448</v>
      </c>
      <c r="E19" s="32" t="n">
        <f aca="false">SUM(E16:E17)</f>
        <v>1597.555</v>
      </c>
      <c r="F19" s="32" t="n">
        <f aca="false">SUM(F16:F17)</f>
        <v>2027.75</v>
      </c>
      <c r="G19" s="32" t="n">
        <f aca="false">SUM(G16:G17)</f>
        <v>3006.412</v>
      </c>
      <c r="H19" s="33" t="n">
        <f aca="false">SUM(H16:H17)</f>
        <v>3554.91996015741</v>
      </c>
      <c r="I19" s="33" t="n">
        <f aca="false">SUM(I16:I17)</f>
        <v>4207.27911938544</v>
      </c>
      <c r="J19" s="33" t="n">
        <f aca="false">SUM(J16:J17)</f>
        <v>4982.9575368338</v>
      </c>
      <c r="K19" s="33" t="n">
        <f aca="false">SUM(K16:K17)</f>
        <v>5905.08242429177</v>
      </c>
      <c r="L19" s="33" t="n">
        <f aca="false">SUM(L16:L17)</f>
        <v>7001.12742507656</v>
      </c>
    </row>
    <row r="21" customFormat="false" ht="15" hidden="false" customHeight="false" outlineLevel="0" collapsed="false">
      <c r="B21" s="34" t="s">
        <v>112</v>
      </c>
      <c r="C21" s="35" t="n">
        <f aca="false">C13-C19</f>
        <v>696.429</v>
      </c>
      <c r="D21" s="35" t="n">
        <f aca="false">D13-D19</f>
        <v>805.666</v>
      </c>
      <c r="E21" s="35" t="n">
        <f aca="false">E13-E19</f>
        <v>999.923</v>
      </c>
      <c r="F21" s="35" t="n">
        <f aca="false">F13-F19</f>
        <v>1277.829</v>
      </c>
      <c r="G21" s="35" t="n">
        <f aca="false">G13-G19</f>
        <v>1704.676</v>
      </c>
      <c r="H21" s="26" t="n">
        <f aca="false">H13-H19</f>
        <v>2059.07092836531</v>
      </c>
      <c r="I21" s="26" t="n">
        <f aca="false">I13-I19</f>
        <v>2479.44059922198</v>
      </c>
      <c r="J21" s="26" t="n">
        <f aca="false">J13-J19</f>
        <v>2978.20848304356</v>
      </c>
      <c r="K21" s="26" t="n">
        <f aca="false">K13-K19</f>
        <v>3570.13033064499</v>
      </c>
      <c r="L21" s="26" t="n">
        <f aca="false">L13-L19</f>
        <v>4272.73237245623</v>
      </c>
    </row>
    <row r="23" customFormat="false" ht="15" hidden="false" customHeight="false" outlineLevel="0" collapsed="false">
      <c r="B23" s="31" t="s">
        <v>113</v>
      </c>
      <c r="C23" s="36" t="n">
        <f aca="false">C19+C21</f>
        <v>1757.355</v>
      </c>
      <c r="D23" s="36" t="n">
        <f aca="false">D19+D21</f>
        <v>2209.114</v>
      </c>
      <c r="E23" s="36" t="n">
        <f aca="false">E19+E21</f>
        <v>2597.478</v>
      </c>
      <c r="F23" s="36" t="n">
        <f aca="false">F19+F21</f>
        <v>3305.579</v>
      </c>
      <c r="G23" s="36" t="n">
        <f aca="false">G19+G21</f>
        <v>4711.088</v>
      </c>
      <c r="H23" s="37" t="n">
        <f aca="false">H19+H21</f>
        <v>5613.99088852272</v>
      </c>
      <c r="I23" s="37" t="n">
        <f aca="false">I19+I21</f>
        <v>6686.71971860742</v>
      </c>
      <c r="J23" s="37" t="n">
        <f aca="false">J19+J21</f>
        <v>7961.16601987736</v>
      </c>
      <c r="K23" s="37" t="n">
        <f aca="false">K19+K21</f>
        <v>9475.21275493676</v>
      </c>
      <c r="L23" s="37" t="n">
        <f aca="false">L19+L21</f>
        <v>11273.8597975328</v>
      </c>
    </row>
    <row r="25" customFormat="false" ht="15" hidden="false" customHeight="false" outlineLevel="0" collapsed="false">
      <c r="B25" s="38" t="s">
        <v>114</v>
      </c>
      <c r="C25" s="39" t="n">
        <f aca="false">C13-C23</f>
        <v>0</v>
      </c>
      <c r="D25" s="39" t="n">
        <f aca="false">D13-D23</f>
        <v>0</v>
      </c>
      <c r="E25" s="39" t="n">
        <f aca="false">E13-E23</f>
        <v>0</v>
      </c>
      <c r="F25" s="39" t="n">
        <f aca="false">F13-F23</f>
        <v>0</v>
      </c>
      <c r="G25" s="39" t="n">
        <f aca="false">G13-G23</f>
        <v>0</v>
      </c>
      <c r="H25" s="39" t="n">
        <f aca="false">H13-H23</f>
        <v>0</v>
      </c>
      <c r="I25" s="39" t="n">
        <f aca="false">I13-I23</f>
        <v>0</v>
      </c>
      <c r="J25" s="39" t="n">
        <f aca="false">J13-J23</f>
        <v>0</v>
      </c>
      <c r="K25" s="39" t="n">
        <f aca="false">K13-K23</f>
        <v>0</v>
      </c>
      <c r="L25" s="39" t="n">
        <f aca="false">L13-L23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8" customFormat="false" ht="15" hidden="false" customHeight="false" outlineLevel="0" collapsed="false">
      <c r="B8" s="34" t="s">
        <v>81</v>
      </c>
      <c r="C8" s="35" t="n">
        <f aca="false">Income_Statement!C23</f>
        <v>114.324</v>
      </c>
      <c r="D8" s="35" t="n">
        <f aca="false">Income_Statement!D23</f>
        <v>150.139</v>
      </c>
      <c r="E8" s="35" t="n">
        <f aca="false">Income_Statement!E23</f>
        <v>143.348</v>
      </c>
      <c r="F8" s="35" t="n">
        <f aca="false">Income_Statement!F23</f>
        <v>245.947</v>
      </c>
      <c r="G8" s="35" t="n">
        <f aca="false">Income_Statement!G23</f>
        <v>323.398</v>
      </c>
      <c r="H8" s="26" t="n">
        <f aca="false">Income_Statement!H23</f>
        <v>282.877121830589</v>
      </c>
      <c r="I8" s="26" t="n">
        <f aca="false">Income_Statement!I23</f>
        <v>337.406188624878</v>
      </c>
      <c r="J8" s="26" t="n">
        <f aca="false">Income_Statement!J23</f>
        <v>402.109172988525</v>
      </c>
      <c r="K8" s="26" t="n">
        <f aca="false">Income_Statement!K23</f>
        <v>478.90074421522</v>
      </c>
      <c r="L8" s="26" t="n">
        <f aca="false">Income_Statement!L23</f>
        <v>570.055073010467</v>
      </c>
    </row>
    <row r="9" customFormat="false" ht="15" hidden="false" customHeight="false" outlineLevel="0" collapsed="false">
      <c r="B9" s="34" t="s">
        <v>102</v>
      </c>
      <c r="C9" s="35" t="n">
        <f aca="false">-Income_Statement!C17</f>
        <v>24.5</v>
      </c>
      <c r="D9" s="35" t="n">
        <f aca="false">-Income_Statement!D17</f>
        <v>27.9</v>
      </c>
      <c r="E9" s="35" t="n">
        <f aca="false">-Income_Statement!E17</f>
        <v>28.4</v>
      </c>
      <c r="F9" s="35" t="n">
        <f aca="false">-Income_Statement!F17</f>
        <v>33.6</v>
      </c>
      <c r="G9" s="35" t="n">
        <f aca="false">-Income_Statement!G17</f>
        <v>38.2</v>
      </c>
      <c r="H9" s="26" t="n">
        <f aca="false">-Income_Statement!H17</f>
        <v>54.2120514758096</v>
      </c>
      <c r="I9" s="26" t="n">
        <f aca="false">-Income_Statement!I17</f>
        <v>64.395913504553</v>
      </c>
      <c r="J9" s="26" t="n">
        <f aca="false">-Income_Statement!J17</f>
        <v>76.4928380903695</v>
      </c>
      <c r="K9" s="26" t="n">
        <f aca="false">-Income_Statement!K17</f>
        <v>90.8621985571457</v>
      </c>
      <c r="L9" s="26" t="n">
        <f aca="false">-Income_Statement!L17</f>
        <v>107.930877357231</v>
      </c>
    </row>
    <row r="10" customFormat="false" ht="15" hidden="false" customHeight="false" outlineLevel="0" collapsed="false">
      <c r="B10" s="34" t="s">
        <v>116</v>
      </c>
      <c r="C10" s="35" t="n">
        <f aca="false">0</f>
        <v>0</v>
      </c>
      <c r="D10" s="35" t="n">
        <f aca="false">-(Balance_Sheet!D9-Balance_Sheet!C9)</f>
        <v>-71.819</v>
      </c>
      <c r="E10" s="35" t="n">
        <f aca="false">-(Balance_Sheet!E9-Balance_Sheet!D9)</f>
        <v>53.898</v>
      </c>
      <c r="F10" s="35" t="n">
        <f aca="false">-(Balance_Sheet!F9-Balance_Sheet!E9)</f>
        <v>-53.026</v>
      </c>
      <c r="G10" s="35" t="n">
        <f aca="false">-(Balance_Sheet!G9-Balance_Sheet!F9)</f>
        <v>-17.576</v>
      </c>
      <c r="H10" s="26" t="n">
        <f aca="false">-(Balance_Sheet!H9-Balance_Sheet!G9)</f>
        <v>-38.9739178180379</v>
      </c>
      <c r="I10" s="26" t="n">
        <f aca="false">-(Balance_Sheet!I9-Balance_Sheet!H9)</f>
        <v>-46.2952604157366</v>
      </c>
      <c r="J10" s="26" t="n">
        <f aca="false">-(Balance_Sheet!J9-Balance_Sheet!I9)</f>
        <v>-54.9919345282997</v>
      </c>
      <c r="K10" s="26" t="n">
        <f aca="false">-(Balance_Sheet!K9-Balance_Sheet!J9)</f>
        <v>-65.3222994321218</v>
      </c>
      <c r="L10" s="26" t="n">
        <f aca="false">-(Balance_Sheet!L9-Balance_Sheet!K9)</f>
        <v>-77.5932478044379</v>
      </c>
    </row>
    <row r="12" customFormat="false" ht="15" hidden="false" customHeight="false" outlineLevel="0" collapsed="false">
      <c r="B12" s="31" t="s">
        <v>117</v>
      </c>
      <c r="C12" s="32" t="n">
        <f aca="false">Historical_Data!C25</f>
        <v>142.028</v>
      </c>
      <c r="D12" s="32" t="n">
        <f aca="false">Historical_Data!D25</f>
        <v>286.51</v>
      </c>
      <c r="E12" s="32" t="n">
        <f aca="false">Historical_Data!E25</f>
        <v>180.151</v>
      </c>
      <c r="F12" s="32" t="n">
        <f aca="false">Historical_Data!F25</f>
        <v>301.531</v>
      </c>
      <c r="G12" s="32" t="n">
        <f aca="false">Historical_Data!G25</f>
        <v>639.568</v>
      </c>
      <c r="H12" s="33" t="n">
        <f aca="false">SUM(H8:H10)</f>
        <v>298.115255488361</v>
      </c>
      <c r="I12" s="33" t="n">
        <f aca="false">SUM(I8:I10)</f>
        <v>355.506841713694</v>
      </c>
      <c r="J12" s="33" t="n">
        <f aca="false">SUM(J8:J10)</f>
        <v>423.610076550595</v>
      </c>
      <c r="K12" s="33" t="n">
        <f aca="false">SUM(K8:K10)</f>
        <v>504.440643340244</v>
      </c>
      <c r="L12" s="33" t="n">
        <f aca="false">SUM(L8:L10)</f>
        <v>600.39270256326</v>
      </c>
    </row>
    <row r="14" customFormat="false" ht="15" hidden="false" customHeight="false" outlineLevel="0" collapsed="false">
      <c r="B14" s="34" t="s">
        <v>118</v>
      </c>
      <c r="C14" s="35" t="n">
        <f aca="false">Historical_Data!C15</f>
        <v>-31.75</v>
      </c>
      <c r="D14" s="35" t="n">
        <f aca="false">Historical_Data!D15</f>
        <v>-24.131</v>
      </c>
      <c r="E14" s="35" t="n">
        <f aca="false">Historical_Data!E15</f>
        <v>-22.33</v>
      </c>
      <c r="F14" s="35" t="n">
        <f aca="false">Historical_Data!F15</f>
        <v>-48.359</v>
      </c>
      <c r="G14" s="35" t="n">
        <f aca="false">Historical_Data!G15</f>
        <v>-94.838</v>
      </c>
      <c r="H14" s="26" t="n">
        <f aca="false">-Income_Statement!H9*Capex_Pct_Revenue</f>
        <v>-71.4311828953819</v>
      </c>
      <c r="I14" s="26" t="n">
        <f aca="false">-Income_Statement!I9*Capex_Pct_Revenue</f>
        <v>-84.8496994678659</v>
      </c>
      <c r="J14" s="26" t="n">
        <f aca="false">-Income_Statement!J9*Capex_Pct_Revenue</f>
        <v>-100.788916100291</v>
      </c>
      <c r="K14" s="26" t="n">
        <f aca="false">-Income_Statement!K9*Capex_Pct_Revenue</f>
        <v>-119.722352257931</v>
      </c>
      <c r="L14" s="26" t="n">
        <f aca="false">-Income_Statement!L9*Capex_Pct_Revenue</f>
        <v>-142.212479157029</v>
      </c>
    </row>
    <row r="16" customFormat="false" ht="15" hidden="false" customHeight="false" outlineLevel="0" collapsed="false">
      <c r="B16" s="31" t="s">
        <v>119</v>
      </c>
      <c r="C16" s="32" t="n">
        <f aca="false">C12+C14</f>
        <v>110.278</v>
      </c>
      <c r="D16" s="32" t="n">
        <f aca="false">D12+D14</f>
        <v>262.379</v>
      </c>
      <c r="E16" s="32" t="n">
        <f aca="false">E12+E14</f>
        <v>157.821</v>
      </c>
      <c r="F16" s="32" t="n">
        <f aca="false">F12+F14</f>
        <v>253.172</v>
      </c>
      <c r="G16" s="32" t="n">
        <f aca="false">G12+G14</f>
        <v>544.73</v>
      </c>
      <c r="H16" s="33" t="n">
        <f aca="false">H12+H14</f>
        <v>226.684072592979</v>
      </c>
      <c r="I16" s="33" t="n">
        <f aca="false">I12+I14</f>
        <v>270.657142245828</v>
      </c>
      <c r="J16" s="33" t="n">
        <f aca="false">J12+J14</f>
        <v>322.821160450304</v>
      </c>
      <c r="K16" s="33" t="n">
        <f aca="false">K12+K14</f>
        <v>384.718291082313</v>
      </c>
      <c r="L16" s="33" t="n">
        <f aca="false">L12+L14</f>
        <v>458.180223406231</v>
      </c>
    </row>
    <row r="18" customFormat="false" ht="15" hidden="false" customHeight="false" outlineLevel="0" collapsed="false">
      <c r="B18" s="34" t="s">
        <v>120</v>
      </c>
      <c r="C18" s="35" t="n">
        <f aca="false">0</f>
        <v>0</v>
      </c>
      <c r="D18" s="35" t="n">
        <f aca="false">0</f>
        <v>0</v>
      </c>
      <c r="E18" s="35" t="n">
        <f aca="false">0</f>
        <v>0</v>
      </c>
      <c r="F18" s="35" t="n">
        <f aca="false">0</f>
        <v>0</v>
      </c>
      <c r="G18" s="35" t="n">
        <f aca="false">0</f>
        <v>0</v>
      </c>
      <c r="H18" s="26" t="n">
        <f aca="false">Balance_Sheet!G16*Debt_Paydown_Pct</f>
        <v>3.41675</v>
      </c>
      <c r="I18" s="26" t="n">
        <f aca="false">Balance_Sheet!H16*Debt_Paydown_Pct</f>
        <v>3.2459125</v>
      </c>
      <c r="J18" s="26" t="n">
        <f aca="false">Balance_Sheet!I16*Debt_Paydown_Pct</f>
        <v>3.083616875</v>
      </c>
      <c r="K18" s="26" t="n">
        <f aca="false">Balance_Sheet!J16*Debt_Paydown_Pct</f>
        <v>2.92943603125</v>
      </c>
      <c r="L18" s="26" t="n">
        <f aca="false">Balance_Sheet!K16*Debt_Paydown_Pct</f>
        <v>2.7829642296875</v>
      </c>
    </row>
    <row r="19" customFormat="false" ht="15" hidden="false" customHeight="false" outlineLevel="0" collapsed="false">
      <c r="B19" s="34" t="s">
        <v>121</v>
      </c>
      <c r="C19" s="35" t="n">
        <f aca="false">Historical_Data!C22</f>
        <v>-14.543</v>
      </c>
      <c r="D19" s="35" t="n">
        <f aca="false">Historical_Data!D22</f>
        <v>-15.499</v>
      </c>
      <c r="E19" s="35" t="n">
        <f aca="false">Historical_Data!E22</f>
        <v>-17.384</v>
      </c>
      <c r="F19" s="35" t="n">
        <f aca="false">Historical_Data!F22</f>
        <v>-20.077</v>
      </c>
      <c r="G19" s="35" t="n">
        <f aca="false">Historical_Data!G22</f>
        <v>-30.379</v>
      </c>
      <c r="H19" s="26" t="n">
        <f aca="false">-MAX(0,Income_Statement!H23*Dividend_Payout)</f>
        <v>-29.8310469850062</v>
      </c>
      <c r="I19" s="26" t="n">
        <f aca="false">-MAX(0,Income_Statement!I23*Dividend_Payout)</f>
        <v>-35.581456007349</v>
      </c>
      <c r="J19" s="26" t="n">
        <f aca="false">-MAX(0,Income_Statement!J23*Dividend_Payout)</f>
        <v>-42.4047641424552</v>
      </c>
      <c r="K19" s="26" t="n">
        <f aca="false">-MAX(0,Income_Statement!K23*Dividend_Payout)</f>
        <v>-50.5028844658368</v>
      </c>
      <c r="L19" s="26" t="n">
        <f aca="false">-MAX(0,Income_Statement!L23*Dividend_Payout)</f>
        <v>-60.1156415795288</v>
      </c>
    </row>
    <row r="20" customFormat="false" ht="15" hidden="false" customHeight="false" outlineLevel="0" collapsed="false">
      <c r="B20" s="34" t="s">
        <v>90</v>
      </c>
      <c r="C20" s="35" t="n">
        <f aca="false">Historical_Data!C23</f>
        <v>-19.55</v>
      </c>
      <c r="D20" s="35" t="n">
        <f aca="false">Historical_Data!D23</f>
        <v>-30.12</v>
      </c>
      <c r="E20" s="35" t="n">
        <f aca="false">Historical_Data!E23</f>
        <v>-27.054</v>
      </c>
      <c r="F20" s="35" t="n">
        <f aca="false">Historical_Data!F23</f>
        <v>-38.216</v>
      </c>
      <c r="G20" s="35" t="n">
        <f aca="false">Historical_Data!G23</f>
        <v>-21.184</v>
      </c>
      <c r="H20" s="26" t="n">
        <f aca="false">-MAX(0,Income_Statement!H23*Buyback_Pct_NI)</f>
        <v>-44.1987769809861</v>
      </c>
      <c r="I20" s="26" t="n">
        <f aca="false">-MAX(0,Income_Statement!I23*Buyback_Pct_NI)</f>
        <v>-52.7187946007406</v>
      </c>
      <c r="J20" s="26" t="n">
        <f aca="false">-MAX(0,Income_Statement!J23*Buyback_Pct_NI)</f>
        <v>-62.8284590281304</v>
      </c>
      <c r="K20" s="26" t="n">
        <f aca="false">-MAX(0,Income_Statement!K23*Buyback_Pct_NI)</f>
        <v>-74.8269321061365</v>
      </c>
      <c r="L20" s="26" t="n">
        <f aca="false">-MAX(0,Income_Statement!L23*Buyback_Pct_NI)</f>
        <v>-89.0695467905629</v>
      </c>
    </row>
    <row r="22" customFormat="false" ht="15" hidden="false" customHeight="false" outlineLevel="0" collapsed="false">
      <c r="B22" s="31" t="s">
        <v>122</v>
      </c>
      <c r="C22" s="32" t="n">
        <f aca="false">SUM(C18:C20)</f>
        <v>-34.093</v>
      </c>
      <c r="D22" s="32" t="n">
        <f aca="false">SUM(D18:D20)</f>
        <v>-45.619</v>
      </c>
      <c r="E22" s="32" t="n">
        <f aca="false">SUM(E18:E20)</f>
        <v>-44.438</v>
      </c>
      <c r="F22" s="32" t="n">
        <f aca="false">SUM(F18:F20)</f>
        <v>-58.293</v>
      </c>
      <c r="G22" s="32" t="n">
        <f aca="false">SUM(G18:G20)</f>
        <v>-51.563</v>
      </c>
      <c r="H22" s="33" t="n">
        <f aca="false">SUM(H18:H20)</f>
        <v>-70.6130739659923</v>
      </c>
      <c r="I22" s="33" t="n">
        <f aca="false">SUM(I18:I20)</f>
        <v>-85.0543381080896</v>
      </c>
      <c r="J22" s="33" t="n">
        <f aca="false">SUM(J18:J20)</f>
        <v>-102.149606295586</v>
      </c>
      <c r="K22" s="33" t="n">
        <f aca="false">SUM(K18:K20)</f>
        <v>-122.400380540723</v>
      </c>
      <c r="L22" s="33" t="n">
        <f aca="false">SUM(L18:L20)</f>
        <v>-146.402224140404</v>
      </c>
    </row>
    <row r="24" customFormat="false" ht="15" hidden="false" customHeight="false" outlineLevel="0" collapsed="false">
      <c r="B24" s="31" t="s">
        <v>123</v>
      </c>
      <c r="C24" s="36" t="n">
        <f aca="false">0</f>
        <v>0</v>
      </c>
      <c r="D24" s="36" t="n">
        <f aca="false">Balance_Sheet!D8-Balance_Sheet!C8</f>
        <v>3.88</v>
      </c>
      <c r="E24" s="36" t="n">
        <f aca="false">Balance_Sheet!E8-Balance_Sheet!D8</f>
        <v>-1.562</v>
      </c>
      <c r="F24" s="36" t="n">
        <f aca="false">Balance_Sheet!F8-Balance_Sheet!E8</f>
        <v>147.936</v>
      </c>
      <c r="G24" s="36" t="n">
        <f aca="false">Balance_Sheet!G8-Balance_Sheet!F8</f>
        <v>344.789</v>
      </c>
      <c r="H24" s="37" t="n">
        <f aca="false">H16+H22</f>
        <v>156.070998626987</v>
      </c>
      <c r="I24" s="37" t="n">
        <f aca="false">I16+I22</f>
        <v>185.602804137739</v>
      </c>
      <c r="J24" s="37" t="n">
        <f aca="false">J16+J22</f>
        <v>220.671554154719</v>
      </c>
      <c r="K24" s="37" t="n">
        <f aca="false">K16+K22</f>
        <v>262.31791054159</v>
      </c>
      <c r="L24" s="37" t="n">
        <f aca="false">L16+L22</f>
        <v>311.777999265827</v>
      </c>
    </row>
    <row r="25" customFormat="false" ht="15" hidden="false" customHeight="false" outlineLevel="0" collapsed="false">
      <c r="B25" s="34" t="s">
        <v>124</v>
      </c>
      <c r="C25" s="35" t="n">
        <f aca="false">0</f>
        <v>0</v>
      </c>
      <c r="D25" s="35" t="n">
        <f aca="false">Balance_Sheet!C8</f>
        <v>54.896</v>
      </c>
      <c r="E25" s="35" t="n">
        <f aca="false">Balance_Sheet!D8</f>
        <v>58.776</v>
      </c>
      <c r="F25" s="35" t="n">
        <f aca="false">Balance_Sheet!E8</f>
        <v>57.214</v>
      </c>
      <c r="G25" s="35" t="n">
        <f aca="false">Balance_Sheet!F8</f>
        <v>205.15</v>
      </c>
      <c r="H25" s="26" t="n">
        <f aca="false">Balance_Sheet!G8</f>
        <v>549.939</v>
      </c>
      <c r="I25" s="26" t="n">
        <f aca="false">Balance_Sheet!H8</f>
        <v>706.009998626987</v>
      </c>
      <c r="J25" s="26" t="n">
        <f aca="false">Balance_Sheet!I8</f>
        <v>891.612802764725</v>
      </c>
      <c r="K25" s="26" t="n">
        <f aca="false">Balance_Sheet!J8</f>
        <v>1112.28435691944</v>
      </c>
      <c r="L25" s="26" t="n">
        <f aca="false">Balance_Sheet!K8</f>
        <v>1374.60226746103</v>
      </c>
    </row>
    <row r="26" customFormat="false" ht="15" hidden="false" customHeight="false" outlineLevel="0" collapsed="false">
      <c r="B26" s="31" t="s">
        <v>125</v>
      </c>
      <c r="C26" s="33" t="n">
        <f aca="false">Balance_Sheet!C8</f>
        <v>54.896</v>
      </c>
      <c r="D26" s="33" t="n">
        <f aca="false">Balance_Sheet!D8</f>
        <v>58.776</v>
      </c>
      <c r="E26" s="33" t="n">
        <f aca="false">Balance_Sheet!E8</f>
        <v>57.214</v>
      </c>
      <c r="F26" s="33" t="n">
        <f aca="false">Balance_Sheet!F8</f>
        <v>205.15</v>
      </c>
      <c r="G26" s="33" t="n">
        <f aca="false">Balance_Sheet!G8</f>
        <v>549.939</v>
      </c>
      <c r="H26" s="33" t="n">
        <f aca="false">H25+H24</f>
        <v>706.009998626987</v>
      </c>
      <c r="I26" s="33" t="n">
        <f aca="false">I25+I24</f>
        <v>891.612802764725</v>
      </c>
      <c r="J26" s="33" t="n">
        <f aca="false">J25+J24</f>
        <v>1112.28435691944</v>
      </c>
      <c r="K26" s="33" t="n">
        <f aca="false">K25+K24</f>
        <v>1374.60226746103</v>
      </c>
      <c r="L26" s="33" t="n">
        <f aca="false">L25+L24</f>
        <v>1686.38026672686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6F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126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127</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7" customFormat="false" ht="15" hidden="false" customHeight="false" outlineLevel="0" collapsed="false">
      <c r="B7" s="8" t="s">
        <v>128</v>
      </c>
      <c r="C7" s="9"/>
      <c r="D7" s="9"/>
      <c r="E7" s="9"/>
      <c r="F7" s="9"/>
      <c r="G7" s="9"/>
      <c r="H7" s="9"/>
      <c r="I7" s="9"/>
      <c r="J7" s="9"/>
      <c r="K7" s="9"/>
      <c r="L7" s="9"/>
    </row>
    <row r="8" customFormat="false" ht="15" hidden="false" customHeight="false" outlineLevel="0" collapsed="false">
      <c r="B8" s="34" t="s">
        <v>129</v>
      </c>
      <c r="C8" s="40" t="n">
        <f aca="false">IFERROR(Income_Statement!C11/Income_Statement!C9,0)</f>
        <v>0.191927279596005</v>
      </c>
      <c r="D8" s="40" t="n">
        <f aca="false">IFERROR(Income_Statement!D11/Income_Statement!D9,0)</f>
        <v>0.191476476541302</v>
      </c>
      <c r="E8" s="40" t="n">
        <f aca="false">IFERROR(Income_Statement!E11/Income_Statement!E9,0)</f>
        <v>0.183238028185511</v>
      </c>
      <c r="F8" s="40" t="n">
        <f aca="false">IFERROR(Income_Statement!F11/Income_Statement!F9,0)</f>
        <v>0.179116618732073</v>
      </c>
      <c r="G8" s="40" t="n">
        <f aca="false">IFERROR(Income_Statement!G11/Income_Statement!G9,0)</f>
        <v>0.190235194247478</v>
      </c>
      <c r="H8" s="41" t="n">
        <f aca="false">IFERROR(Income_Statement!H11/Income_Statement!H9,0)</f>
        <v>0.187198719460474</v>
      </c>
      <c r="I8" s="41" t="n">
        <f aca="false">IFERROR(Income_Statement!I11/Income_Statement!I9,0)</f>
        <v>0.187198719460474</v>
      </c>
      <c r="J8" s="41" t="n">
        <f aca="false">IFERROR(Income_Statement!J11/Income_Statement!J9,0)</f>
        <v>0.187198719460474</v>
      </c>
      <c r="K8" s="41" t="n">
        <f aca="false">IFERROR(Income_Statement!K11/Income_Statement!K9,0)</f>
        <v>0.187198719460474</v>
      </c>
      <c r="L8" s="41" t="n">
        <f aca="false">IFERROR(Income_Statement!L11/Income_Statement!L9,0)</f>
        <v>0.187198719460474</v>
      </c>
    </row>
    <row r="9" customFormat="false" ht="15" hidden="false" customHeight="false" outlineLevel="0" collapsed="false">
      <c r="B9" s="34" t="s">
        <v>130</v>
      </c>
      <c r="C9" s="40" t="n">
        <f aca="false">IFERROR(Income_Statement!C15/Income_Statement!C9,0)</f>
        <v>0.0619200184148755</v>
      </c>
      <c r="D9" s="40" t="n">
        <f aca="false">IFERROR(Income_Statement!D15/Income_Statement!D9,0)</f>
        <v>0.0662333166121683</v>
      </c>
      <c r="E9" s="40" t="n">
        <f aca="false">IFERROR(Income_Statement!E15/Income_Statement!E9,0)</f>
        <v>0.0608068099150322</v>
      </c>
      <c r="F9" s="40" t="n">
        <f aca="false">IFERROR(Income_Statement!F15/Income_Statement!F9,0)</f>
        <v>0.0609279763808206</v>
      </c>
      <c r="G9" s="40" t="n">
        <f aca="false">IFERROR(Income_Statement!G15/Income_Statement!G9,0)</f>
        <v>0.0799126520139204</v>
      </c>
      <c r="H9" s="41" t="n">
        <f aca="false">IFERROR(Income_Statement!H15/Income_Statement!H9,0)</f>
        <v>0.0659601546673633</v>
      </c>
      <c r="I9" s="41" t="n">
        <f aca="false">IFERROR(Income_Statement!I15/Income_Statement!I9,0)</f>
        <v>0.0659601546673633</v>
      </c>
      <c r="J9" s="41" t="n">
        <f aca="false">IFERROR(Income_Statement!J15/Income_Statement!J9,0)</f>
        <v>0.0659601546673633</v>
      </c>
      <c r="K9" s="41" t="n">
        <f aca="false">IFERROR(Income_Statement!K15/Income_Statement!K9,0)</f>
        <v>0.0659601546673633</v>
      </c>
      <c r="L9" s="41" t="n">
        <f aca="false">IFERROR(Income_Statement!L15/Income_Statement!L9,0)</f>
        <v>0.0659601546673633</v>
      </c>
    </row>
    <row r="10" customFormat="false" ht="15" hidden="false" customHeight="false" outlineLevel="0" collapsed="false">
      <c r="B10" s="34" t="s">
        <v>131</v>
      </c>
      <c r="C10" s="40" t="n">
        <f aca="false">IFERROR(Income_Statement!C18/Income_Statement!C9,0)</f>
        <v>0.0525519858890665</v>
      </c>
      <c r="D10" s="40" t="n">
        <f aca="false">IFERROR(Income_Statement!D18/Income_Statement!D9,0)</f>
        <v>0.0564666626293163</v>
      </c>
      <c r="E10" s="40" t="n">
        <f aca="false">IFERROR(Income_Statement!E18/Income_Statement!E9,0)</f>
        <v>0.0515669389608919</v>
      </c>
      <c r="F10" s="40" t="n">
        <f aca="false">IFERROR(Income_Statement!F18/Income_Statement!F9,0)</f>
        <v>0.0528127478646804</v>
      </c>
      <c r="G10" s="40" t="n">
        <f aca="false">IFERROR(Income_Statement!G18/Income_Statement!G9,0)</f>
        <v>0.0725760357688851</v>
      </c>
      <c r="H10" s="41" t="n">
        <f aca="false">IFERROR(Income_Statement!H18/Income_Statement!H9,0)</f>
        <v>0.057194874222568</v>
      </c>
      <c r="I10" s="41" t="n">
        <f aca="false">IFERROR(Income_Statement!I18/Income_Statement!I9,0)</f>
        <v>0.057194874222568</v>
      </c>
      <c r="J10" s="41" t="n">
        <f aca="false">IFERROR(Income_Statement!J18/Income_Statement!J9,0)</f>
        <v>0.057194874222568</v>
      </c>
      <c r="K10" s="41" t="n">
        <f aca="false">IFERROR(Income_Statement!K18/Income_Statement!K9,0)</f>
        <v>0.057194874222568</v>
      </c>
      <c r="L10" s="41" t="n">
        <f aca="false">IFERROR(Income_Statement!L18/Income_Statement!L9,0)</f>
        <v>0.057194874222568</v>
      </c>
    </row>
    <row r="11" customFormat="false" ht="15" hidden="false" customHeight="false" outlineLevel="0" collapsed="false">
      <c r="B11" s="34" t="s">
        <v>132</v>
      </c>
      <c r="C11" s="40" t="n">
        <f aca="false">IFERROR(Income_Statement!C23/Income_Statement!C9,0)</f>
        <v>0.0437139163461461</v>
      </c>
      <c r="D11" s="40" t="n">
        <f aca="false">IFERROR(Income_Statement!D23/Income_Statement!D9,0)</f>
        <v>0.0525575506211977</v>
      </c>
      <c r="E11" s="40" t="n">
        <f aca="false">IFERROR(Income_Statement!E23/Income_Statement!E9,0)</f>
        <v>0.0466379232934544</v>
      </c>
      <c r="F11" s="40" t="n">
        <f aca="false">IFERROR(Income_Statement!F23/Income_Statement!F9,0)</f>
        <v>0.0594022651148546</v>
      </c>
      <c r="G11" s="40" t="n">
        <f aca="false">IFERROR(Income_Statement!G23/Income_Statement!G9,0)</f>
        <v>0.0621111785448148</v>
      </c>
      <c r="H11" s="41" t="n">
        <f aca="false">IFERROR(Income_Statement!H23/Income_Statement!H9,0)</f>
        <v>0.0457370130213214</v>
      </c>
      <c r="I11" s="41" t="n">
        <f aca="false">IFERROR(Income_Statement!I23/Income_Statement!I9,0)</f>
        <v>0.0459262041045114</v>
      </c>
      <c r="J11" s="41" t="n">
        <f aca="false">IFERROR(Income_Statement!J23/Income_Statement!J9,0)</f>
        <v>0.046077512073812</v>
      </c>
      <c r="K11" s="41" t="n">
        <f aca="false">IFERROR(Income_Statement!K23/Income_Statement!K9,0)</f>
        <v>0.0461985225421059</v>
      </c>
      <c r="L11" s="41" t="n">
        <f aca="false">IFERROR(Income_Statement!L23/Income_Statement!L9,0)</f>
        <v>0.046295302199545</v>
      </c>
    </row>
    <row r="12" customFormat="false" ht="15" hidden="false" customHeight="false" outlineLevel="0" collapsed="false">
      <c r="B12" s="34" t="s">
        <v>133</v>
      </c>
      <c r="C12" s="40" t="n">
        <f aca="false">IFERROR(Income_Statement!C23/Balance_Sheet!C21,0)</f>
        <v>0.164157437441577</v>
      </c>
      <c r="D12" s="40" t="n">
        <f aca="false">IFERROR(Income_Statement!D23/AVERAGE(Balance_Sheet!C21,Balance_Sheet!D21),0)</f>
        <v>0.199906131103559</v>
      </c>
      <c r="E12" s="40" t="n">
        <f aca="false">IFERROR(Income_Statement!E23/AVERAGE(Balance_Sheet!D21,Balance_Sheet!E21),0)</f>
        <v>0.158782535781953</v>
      </c>
      <c r="F12" s="40" t="n">
        <f aca="false">IFERROR(Income_Statement!F23/AVERAGE(Balance_Sheet!E21,Balance_Sheet!F21),0)</f>
        <v>0.21595590740344</v>
      </c>
      <c r="G12" s="40" t="n">
        <f aca="false">IFERROR(Income_Statement!G23/AVERAGE(Balance_Sheet!F21,Balance_Sheet!G21),0)</f>
        <v>0.216863341385848</v>
      </c>
      <c r="H12" s="41" t="n">
        <f aca="false">IFERROR(Income_Statement!H23/AVERAGE(Balance_Sheet!G21,Balance_Sheet!H21),0)</f>
        <v>0.15031675998123</v>
      </c>
      <c r="I12" s="41" t="n">
        <f aca="false">IFERROR(Income_Statement!I23/AVERAGE(Balance_Sheet!H21,Balance_Sheet!I21),0)</f>
        <v>0.148685835245304</v>
      </c>
      <c r="J12" s="41" t="n">
        <f aca="false">IFERROR(Income_Statement!J23/AVERAGE(Balance_Sheet!I21,Balance_Sheet!J21),0)</f>
        <v>0.147356184660229</v>
      </c>
      <c r="K12" s="41" t="n">
        <f aca="false">IFERROR(Income_Statement!K23/AVERAGE(Balance_Sheet!J21,Balance_Sheet!K21),0)</f>
        <v>0.146266330390277</v>
      </c>
      <c r="L12" s="41" t="n">
        <f aca="false">IFERROR(Income_Statement!L23/AVERAGE(Balance_Sheet!K21,Balance_Sheet!L21),0)</f>
        <v>0.145369132315693</v>
      </c>
    </row>
    <row r="13" customFormat="false" ht="15" hidden="false" customHeight="false" outlineLevel="0" collapsed="false">
      <c r="B13" s="34" t="s">
        <v>134</v>
      </c>
      <c r="C13" s="40" t="n">
        <f aca="false">IFERROR(Income_Statement!C23/Balance_Sheet!C13,0)</f>
        <v>0.0650545848732897</v>
      </c>
      <c r="D13" s="40" t="n">
        <f aca="false">IFERROR(Income_Statement!D23/AVERAGE(Balance_Sheet!C13,Balance_Sheet!D13),0)</f>
        <v>0.075704108616505</v>
      </c>
      <c r="E13" s="40" t="n">
        <f aca="false">IFERROR(Income_Statement!E23/AVERAGE(Balance_Sheet!D13,Balance_Sheet!E13),0)</f>
        <v>0.0596464189180193</v>
      </c>
      <c r="F13" s="40" t="n">
        <f aca="false">IFERROR(Income_Statement!F23/AVERAGE(Balance_Sheet!E13,Balance_Sheet!F13),0)</f>
        <v>0.0833286888471516</v>
      </c>
      <c r="G13" s="40" t="n">
        <f aca="false">IFERROR(Income_Statement!G23/AVERAGE(Balance_Sheet!F13,Balance_Sheet!G13),0)</f>
        <v>0.0806814103666773</v>
      </c>
      <c r="H13" s="41" t="n">
        <f aca="false">IFERROR(Income_Statement!H23/AVERAGE(Balance_Sheet!G13,Balance_Sheet!H13),0)</f>
        <v>0.0547941812134788</v>
      </c>
      <c r="I13" s="41" t="n">
        <f aca="false">IFERROR(Income_Statement!I23/AVERAGE(Balance_Sheet!H13,Balance_Sheet!I13),0)</f>
        <v>0.054859625496644</v>
      </c>
      <c r="J13" s="41" t="n">
        <f aca="false">IFERROR(Income_Statement!J23/AVERAGE(Balance_Sheet!I13,Balance_Sheet!J13),0)</f>
        <v>0.0549033737929909</v>
      </c>
      <c r="K13" s="41" t="n">
        <f aca="false">IFERROR(Income_Statement!K23/AVERAGE(Balance_Sheet!J13,Balance_Sheet!K13),0)</f>
        <v>0.054931215982411</v>
      </c>
      <c r="L13" s="41" t="n">
        <f aca="false">IFERROR(Income_Statement!L23/AVERAGE(Balance_Sheet!K13,Balance_Sheet!L13),0)</f>
        <v>0.0549475232272606</v>
      </c>
    </row>
    <row r="14" customFormat="false" ht="15" hidden="false" customHeight="false" outlineLevel="0" collapsed="false">
      <c r="B14" s="34" t="s">
        <v>135</v>
      </c>
      <c r="C14" s="40" t="n">
        <f aca="false">IFERROR((Income_Statement!C18*(1-Tax_Rate))/(Balance_Sheet!C16+Balance_Sheet!C21),0)</f>
        <v>0.119980140303236</v>
      </c>
      <c r="D14" s="40" t="n">
        <f aca="false">IFERROR((Income_Statement!D18*(1-Tax_Rate))/(Balance_Sheet!D16+Balance_Sheet!D21),0)</f>
        <v>0.110292938598172</v>
      </c>
      <c r="E14" s="40" t="n">
        <f aca="false">IFERROR((Income_Statement!E18*(1-Tax_Rate))/(Balance_Sheet!E16+Balance_Sheet!E21),0)</f>
        <v>0.102983342938312</v>
      </c>
      <c r="F14" s="40" t="n">
        <f aca="false">IFERROR((Income_Statement!F18*(1-Tax_Rate))/(Balance_Sheet!F16+Balance_Sheet!F21),0)</f>
        <v>0.134996742530463</v>
      </c>
      <c r="G14" s="40" t="n">
        <f aca="false">IFERROR((Income_Statement!G18*(1-Tax_Rate))/(Balance_Sheet!G16+Balance_Sheet!G21),0)</f>
        <v>0.173956354199034</v>
      </c>
      <c r="H14" s="41" t="n">
        <f aca="false">IFERROR((Income_Statement!H18*(1-Tax_Rate))/(Balance_Sheet!H16+Balance_Sheet!H21),0)</f>
        <v>0.135933268769622</v>
      </c>
      <c r="I14" s="41" t="n">
        <f aca="false">IFERROR((Income_Statement!I18*(1-Tax_Rate))/(Balance_Sheet!I16+Balance_Sheet!I21),0)</f>
        <v>0.134963570561491</v>
      </c>
      <c r="J14" s="41" t="n">
        <f aca="false">IFERROR((Income_Statement!J18*(1-Tax_Rate))/(Balance_Sheet!J16+Balance_Sheet!J21),0)</f>
        <v>0.134148926601274</v>
      </c>
      <c r="K14" s="41" t="n">
        <f aca="false">IFERROR((Income_Statement!K18*(1-Tax_Rate))/(Balance_Sheet!K16+Balance_Sheet!K21),0)</f>
        <v>0.133463607144026</v>
      </c>
      <c r="L14" s="41" t="n">
        <f aca="false">IFERROR((Income_Statement!L18*(1-Tax_Rate))/(Balance_Sheet!L16+Balance_Sheet!L21),0)</f>
        <v>0.132886448955832</v>
      </c>
    </row>
    <row r="16" customFormat="false" ht="15" hidden="false" customHeight="false" outlineLevel="0" collapsed="false">
      <c r="B16" s="8" t="s">
        <v>136</v>
      </c>
      <c r="C16" s="9"/>
      <c r="D16" s="9"/>
      <c r="E16" s="9"/>
      <c r="F16" s="9"/>
      <c r="G16" s="9"/>
      <c r="H16" s="9"/>
      <c r="I16" s="9"/>
      <c r="J16" s="9"/>
      <c r="K16" s="9"/>
      <c r="L16" s="9"/>
    </row>
    <row r="17" customFormat="false" ht="15" hidden="false" customHeight="false" outlineLevel="0" collapsed="false">
      <c r="B17" s="34" t="s">
        <v>137</v>
      </c>
      <c r="C17" s="42" t="n">
        <f aca="false">IFERROR(Balance_Sheet!C16/Income_Statement!C15,0)</f>
        <v>1.47291556027615</v>
      </c>
      <c r="D17" s="42" t="n">
        <f aca="false">IFERROR(Balance_Sheet!D16/Income_Statement!D15,0)</f>
        <v>2.05083348308193</v>
      </c>
      <c r="E17" s="42" t="n">
        <f aca="false">IFERROR(Balance_Sheet!E16/Income_Statement!E15,0)</f>
        <v>1.37104195871545</v>
      </c>
      <c r="F17" s="42" t="n">
        <f aca="false">IFERROR(Balance_Sheet!F16/Income_Statement!F15,0)</f>
        <v>0.175260837852409</v>
      </c>
      <c r="G17" s="42" t="n">
        <f aca="false">IFERROR(Balance_Sheet!G16/Income_Statement!G15,0)</f>
        <v>0.164232874934509</v>
      </c>
      <c r="H17" s="43" t="n">
        <f aca="false">IFERROR(Balance_Sheet!H16/Income_Statement!H15,0)</f>
        <v>0.159131117478139</v>
      </c>
      <c r="I17" s="43" t="n">
        <f aca="false">IFERROR(Balance_Sheet!I16/Income_Statement!I15,0)</f>
        <v>0.127267130311648</v>
      </c>
      <c r="J17" s="43" t="n">
        <f aca="false">IFERROR(Balance_Sheet!J16/Income_Statement!J15,0)</f>
        <v>0.101783502274388</v>
      </c>
      <c r="K17" s="43" t="n">
        <f aca="false">IFERROR(Balance_Sheet!K16/Income_Statement!K15,0)</f>
        <v>0.0814026474068466</v>
      </c>
      <c r="L17" s="43" t="n">
        <f aca="false">IFERROR(Balance_Sheet!L16/Income_Statement!L15,0)</f>
        <v>0.0651028001274704</v>
      </c>
    </row>
    <row r="18" customFormat="false" ht="15" hidden="false" customHeight="false" outlineLevel="0" collapsed="false">
      <c r="B18" s="34" t="s">
        <v>138</v>
      </c>
      <c r="C18" s="42" t="n">
        <f aca="false">IFERROR((Balance_Sheet!C16-Balance_Sheet!C8)/Income_Statement!C15,0)</f>
        <v>1.13392162432536</v>
      </c>
      <c r="D18" s="42" t="n">
        <f aca="false">IFERROR((Balance_Sheet!D16-Balance_Sheet!D8)/Income_Statement!D15,0)</f>
        <v>1.74018794329989</v>
      </c>
      <c r="E18" s="42" t="n">
        <f aca="false">IFERROR((Balance_Sheet!E16-Balance_Sheet!E8)/Income_Statement!E15,0)</f>
        <v>1.06491776262988</v>
      </c>
      <c r="F18" s="42" t="n">
        <f aca="false">IFERROR((Balance_Sheet!F16-Balance_Sheet!F8)/Income_Statement!F15,0)</f>
        <v>-0.637974502901723</v>
      </c>
      <c r="G18" s="42" t="n">
        <f aca="false">IFERROR((Balance_Sheet!G16-Balance_Sheet!G8)/Income_Statement!G15,0)</f>
        <v>-1.15746263993501</v>
      </c>
      <c r="H18" s="43" t="n">
        <f aca="false">IFERROR((Balance_Sheet!H16-Balance_Sheet!H8)/Income_Statement!H15,0)</f>
        <v>-1.57147868842778</v>
      </c>
      <c r="I18" s="43" t="n">
        <f aca="false">IFERROR((Balance_Sheet!I16-Balance_Sheet!I8)/Income_Statement!I15,0)</f>
        <v>-1.71266641780451</v>
      </c>
      <c r="J18" s="43" t="n">
        <f aca="false">IFERROR((Balance_Sheet!J16-Balance_Sheet!J8)/Income_Statement!J15,0)</f>
        <v>-1.8305371929819</v>
      </c>
      <c r="K18" s="43" t="n">
        <f aca="false">IFERROR((Balance_Sheet!K16-Balance_Sheet!K8)/Income_Statement!K15,0)</f>
        <v>-1.92897647477374</v>
      </c>
      <c r="L18" s="43" t="n">
        <f aca="false">IFERROR((Balance_Sheet!L16-Balance_Sheet!L8)/Income_Statement!L15,0)</f>
        <v>-2.01121561022558</v>
      </c>
    </row>
    <row r="19" customFormat="false" ht="15" hidden="false" customHeight="false" outlineLevel="0" collapsed="false">
      <c r="B19" s="34" t="s">
        <v>139</v>
      </c>
      <c r="C19" s="42" t="n">
        <f aca="false">IFERROR(Balance_Sheet!C16/Balance_Sheet!C21,0)</f>
        <v>0.342491481543704</v>
      </c>
      <c r="D19" s="42" t="n">
        <f aca="false">IFERROR(Balance_Sheet!D16/Balance_Sheet!D21,0)</f>
        <v>0.481626381155466</v>
      </c>
      <c r="E19" s="42" t="n">
        <f aca="false">IFERROR(Balance_Sheet!E16/Balance_Sheet!E21,0)</f>
        <v>0.256264732384394</v>
      </c>
      <c r="F19" s="42" t="n">
        <f aca="false">IFERROR(Balance_Sheet!F16/Balance_Sheet!F21,0)</f>
        <v>0.0345993086711915</v>
      </c>
      <c r="G19" s="42" t="n">
        <f aca="false">IFERROR(Balance_Sheet!G16/Balance_Sheet!G21,0)</f>
        <v>0.0400867965525414</v>
      </c>
      <c r="H19" s="43" t="n">
        <f aca="false">IFERROR(Balance_Sheet!H16/Balance_Sheet!H21,0)</f>
        <v>0.0315279328680234</v>
      </c>
      <c r="I19" s="43" t="n">
        <f aca="false">IFERROR(Balance_Sheet!I16/Balance_Sheet!I21,0)</f>
        <v>0.0248734886084192</v>
      </c>
      <c r="J19" s="43" t="n">
        <f aca="false">IFERROR(Balance_Sheet!J16/Balance_Sheet!J21,0)</f>
        <v>0.0196724712049459</v>
      </c>
      <c r="K19" s="43" t="n">
        <f aca="false">IFERROR(Balance_Sheet!K16/Balance_Sheet!K21,0)</f>
        <v>0.0155902668639255</v>
      </c>
      <c r="L19" s="43" t="n">
        <f aca="false">IFERROR(Balance_Sheet!L16/Balance_Sheet!L21,0)</f>
        <v>0.0123752942507995</v>
      </c>
    </row>
    <row r="20" customFormat="false" ht="15" hidden="false" customHeight="false" outlineLevel="0" collapsed="false">
      <c r="B20" s="34" t="s">
        <v>140</v>
      </c>
      <c r="C20" s="42" t="n">
        <f aca="false">IFERROR(Income_Statement!C18/-Income_Statement!C20,0)</f>
        <v>14.7513148009016</v>
      </c>
      <c r="D20" s="42" t="n">
        <f aca="false">IFERROR(Income_Statement!D18/-Income_Statement!D20,0)</f>
        <v>19.2374478234944</v>
      </c>
      <c r="E20" s="42" t="n">
        <f aca="false">IFERROR(Income_Statement!E18/-Income_Statement!E20,0)</f>
        <v>25.5806972240155</v>
      </c>
      <c r="F20" s="42" t="n">
        <f aca="false">IFERROR(Income_Statement!F18/-Income_Statement!F20,0)</f>
        <v>16.3768723786698</v>
      </c>
      <c r="G20" s="42" t="n">
        <f aca="false">IFERROR(Income_Statement!G18/-Income_Statement!G20,0)</f>
        <v>36.7557630580683</v>
      </c>
      <c r="H20" s="43" t="n">
        <f aca="false">IFERROR(Income_Statement!H18/-Income_Statement!H20,0)</f>
        <v>49.4074427646228</v>
      </c>
      <c r="I20" s="43" t="n">
        <f aca="false">IFERROR(Income_Statement!I18/-Income_Statement!I20,0)</f>
        <v>61.7776291460233</v>
      </c>
      <c r="J20" s="43" t="n">
        <f aca="false">IFERROR(Income_Statement!J18/-Income_Statement!J20,0)</f>
        <v>77.2449503425078</v>
      </c>
      <c r="K20" s="43" t="n">
        <f aca="false">IFERROR(Income_Statement!K18/-Income_Statement!K20,0)</f>
        <v>96.5848388145954</v>
      </c>
      <c r="L20" s="43" t="n">
        <f aca="false">IFERROR(Income_Statement!L18/-Income_Statement!L20,0)</f>
        <v>120.766872753206</v>
      </c>
    </row>
    <row r="21" customFormat="false" ht="15" hidden="false" customHeight="false" outlineLevel="0" collapsed="false">
      <c r="B21" s="34" t="s">
        <v>141</v>
      </c>
      <c r="C21" s="42" t="n">
        <f aca="false">IFERROR(Income_Statement!C15/-Income_Statement!C20,0)</f>
        <v>17.3809166040571</v>
      </c>
      <c r="D21" s="42" t="n">
        <f aca="false">IFERROR(Income_Statement!D15/-Income_Statement!D20,0)</f>
        <v>22.5648181276089</v>
      </c>
      <c r="E21" s="42" t="n">
        <f aca="false">IFERROR(Income_Statement!E15/-Income_Statement!E20,0)</f>
        <v>30.1642995480955</v>
      </c>
      <c r="F21" s="42" t="n">
        <f aca="false">IFERROR(Income_Statement!F15/-Income_Statement!F20,0)</f>
        <v>18.8933493109646</v>
      </c>
      <c r="G21" s="42" t="n">
        <f aca="false">IFERROR(Income_Statement!G15/-Income_Statement!G20,0)</f>
        <v>40.4713549265636</v>
      </c>
      <c r="H21" s="43" t="n">
        <f aca="false">IFERROR(Income_Statement!H15/-Income_Statement!H20,0)</f>
        <v>56.9792767406334</v>
      </c>
      <c r="I21" s="43" t="n">
        <f aca="false">IFERROR(Income_Statement!I15/-Income_Statement!I20,0)</f>
        <v>71.2452300812447</v>
      </c>
      <c r="J21" s="43" t="n">
        <f aca="false">IFERROR(Income_Statement!J15/-Income_Statement!J20,0)</f>
        <v>89.0829631347313</v>
      </c>
      <c r="K21" s="43" t="n">
        <f aca="false">IFERROR(Income_Statement!K15/-Income_Statement!K20,0)</f>
        <v>111.386745636365</v>
      </c>
      <c r="L21" s="43" t="n">
        <f aca="false">IFERROR(Income_Statement!L15/-Income_Statement!L20,0)</f>
        <v>139.274746448382</v>
      </c>
    </row>
    <row r="23" customFormat="false" ht="15" hidden="false" customHeight="false" outlineLevel="0" collapsed="false">
      <c r="B23" s="8" t="s">
        <v>142</v>
      </c>
      <c r="C23" s="9"/>
      <c r="D23" s="9"/>
      <c r="E23" s="9"/>
      <c r="F23" s="9"/>
      <c r="G23" s="9"/>
      <c r="H23" s="9"/>
      <c r="I23" s="9"/>
      <c r="J23" s="9"/>
      <c r="K23" s="9"/>
      <c r="L23" s="9"/>
    </row>
    <row r="24" customFormat="false" ht="15" hidden="false" customHeight="false" outlineLevel="0" collapsed="false">
      <c r="B24" s="34" t="s">
        <v>143</v>
      </c>
      <c r="C24" s="42" t="n">
        <f aca="false">IFERROR(Income_Statement!C9/Balance_Sheet!C13,0)</f>
        <v>1.48818935274888</v>
      </c>
      <c r="D24" s="42" t="n">
        <f aca="false">IFERROR(Income_Statement!D9/AVERAGE(Balance_Sheet!C13,Balance_Sheet!D13),0)</f>
        <v>1.4404040470252</v>
      </c>
      <c r="E24" s="42" t="n">
        <f aca="false">IFERROR(Income_Statement!E9/AVERAGE(Balance_Sheet!D13,Balance_Sheet!E13),0)</f>
        <v>1.27892527595436</v>
      </c>
      <c r="F24" s="42" t="n">
        <f aca="false">IFERROR(Income_Statement!F9/AVERAGE(Balance_Sheet!E13,Balance_Sheet!F13),0)</f>
        <v>1.40278638678231</v>
      </c>
      <c r="G24" s="42" t="n">
        <f aca="false">IFERROR(Income_Statement!G9/AVERAGE(Balance_Sheet!F13,Balance_Sheet!G13),0)</f>
        <v>1.29898372977199</v>
      </c>
      <c r="H24" s="43" t="n">
        <f aca="false">IFERROR(Income_Statement!H9/AVERAGE(Balance_Sheet!G13,Balance_Sheet!H13),0)</f>
        <v>1.19802710308028</v>
      </c>
      <c r="I24" s="43" t="n">
        <f aca="false">IFERROR(Income_Statement!I9/AVERAGE(Balance_Sheet!H13,Balance_Sheet!I13),0)</f>
        <v>1.19451686823068</v>
      </c>
      <c r="J24" s="43" t="n">
        <f aca="false">IFERROR(Income_Statement!J9/AVERAGE(Balance_Sheet!I13,Balance_Sheet!J13),0)</f>
        <v>1.19154379917563</v>
      </c>
      <c r="K24" s="43" t="n">
        <f aca="false">IFERROR(Income_Statement!K9/AVERAGE(Balance_Sheet!J13,Balance_Sheet!K13),0)</f>
        <v>1.18902538349243</v>
      </c>
      <c r="L24" s="43" t="n">
        <f aca="false">IFERROR(Income_Statement!L9/AVERAGE(Balance_Sheet!K13,Balance_Sheet!L13),0)</f>
        <v>1.18689198723495</v>
      </c>
    </row>
    <row r="25" customFormat="false" ht="15" hidden="false" customHeight="false" outlineLevel="0" collapsed="false">
      <c r="B25" s="34" t="s">
        <v>144</v>
      </c>
      <c r="C25" s="40" t="n">
        <f aca="false">IFERROR(-Cash_Flow!C14/Income_Statement!C9,0)</f>
        <v>0.0121402054160993</v>
      </c>
      <c r="D25" s="40" t="n">
        <f aca="false">IFERROR(-Cash_Flow!D14/Income_Statement!D9,0)</f>
        <v>0.00844728054696063</v>
      </c>
      <c r="E25" s="40" t="n">
        <f aca="false">IFERROR(-Cash_Flow!E14/Income_Statement!E9,0)</f>
        <v>0.00726501121147722</v>
      </c>
      <c r="F25" s="40" t="n">
        <f aca="false">IFERROR(-Cash_Flow!F14/Income_Statement!F9,0)</f>
        <v>0.0116798909467863</v>
      </c>
      <c r="G25" s="40" t="n">
        <f aca="false">IFERROR(-Cash_Flow!G14/Income_Statement!G9,0)</f>
        <v>0.0182143982054099</v>
      </c>
      <c r="H25" s="41" t="n">
        <f aca="false">IFERROR(-Cash_Flow!H14/Income_Statement!H9,0)</f>
        <v>0.0115493572653467</v>
      </c>
      <c r="I25" s="41" t="n">
        <f aca="false">IFERROR(-Cash_Flow!I14/Income_Statement!I9,0)</f>
        <v>0.0115493572653467</v>
      </c>
      <c r="J25" s="41" t="n">
        <f aca="false">IFERROR(-Cash_Flow!J14/Income_Statement!J9,0)</f>
        <v>0.0115493572653467</v>
      </c>
      <c r="K25" s="41" t="n">
        <f aca="false">IFERROR(-Cash_Flow!K14/Income_Statement!K9,0)</f>
        <v>0.0115493572653467</v>
      </c>
      <c r="L25" s="41" t="n">
        <f aca="false">IFERROR(-Cash_Flow!L14/Income_Statement!L9,0)</f>
        <v>0.0115493572653467</v>
      </c>
    </row>
    <row r="26" customFormat="false" ht="15" hidden="false" customHeight="false" outlineLevel="0" collapsed="false">
      <c r="B26" s="34" t="s">
        <v>145</v>
      </c>
      <c r="C26" s="42" t="n">
        <f aca="false">IFERROR(Cash_Flow!C14/Income_Statement!C17,0)</f>
        <v>1.29591836734694</v>
      </c>
      <c r="D26" s="42" t="n">
        <f aca="false">IFERROR(Cash_Flow!D14/Income_Statement!D17,0)</f>
        <v>0.864910394265233</v>
      </c>
      <c r="E26" s="42" t="n">
        <f aca="false">IFERROR(Cash_Flow!E14/Income_Statement!E17,0)</f>
        <v>0.786267605633803</v>
      </c>
      <c r="F26" s="42" t="n">
        <f aca="false">IFERROR(Cash_Flow!F14/Income_Statement!F17,0)</f>
        <v>1.43925595238095</v>
      </c>
      <c r="G26" s="42" t="n">
        <f aca="false">IFERROR(Cash_Flow!G14/Income_Statement!G17,0)</f>
        <v>2.48267015706806</v>
      </c>
      <c r="H26" s="43" t="n">
        <f aca="false">IFERROR(Cash_Flow!H14/Income_Statement!H17,0)</f>
        <v>1.31762552699663</v>
      </c>
      <c r="I26" s="43" t="n">
        <f aca="false">IFERROR(Cash_Flow!I14/Income_Statement!I17,0)</f>
        <v>1.31762552699663</v>
      </c>
      <c r="J26" s="43" t="n">
        <f aca="false">IFERROR(Cash_Flow!J14/Income_Statement!J17,0)</f>
        <v>1.31762552699663</v>
      </c>
      <c r="K26" s="43" t="n">
        <f aca="false">IFERROR(Cash_Flow!K14/Income_Statement!K17,0)</f>
        <v>1.31762552699663</v>
      </c>
      <c r="L26" s="43" t="n">
        <f aca="false">IFERROR(Cash_Flow!L14/Income_Statement!L17,0)</f>
        <v>1.31762552699663</v>
      </c>
    </row>
    <row r="27" customFormat="false" ht="15" hidden="false" customHeight="false" outlineLevel="0" collapsed="false">
      <c r="B27" s="34" t="s">
        <v>146</v>
      </c>
      <c r="C27" s="40" t="n">
        <f aca="false">IFERROR(Cash_Flow!C16/Income_Statement!C9,0)</f>
        <v>0.0421668526890268</v>
      </c>
      <c r="D27" s="40" t="n">
        <f aca="false">IFERROR(Cash_Flow!D16/Income_Statement!D9,0)</f>
        <v>0.091848204493431</v>
      </c>
      <c r="E27" s="40" t="n">
        <f aca="false">IFERROR(Cash_Flow!E16/Income_Statement!E9,0)</f>
        <v>0.0513466786568091</v>
      </c>
      <c r="F27" s="40" t="n">
        <f aca="false">IFERROR(Cash_Flow!F16/Income_Statement!F9,0)</f>
        <v>0.061147280770483</v>
      </c>
      <c r="G27" s="40" t="n">
        <f aca="false">IFERROR(Cash_Flow!G16/Income_Statement!G9,0)</f>
        <v>0.10461976353817</v>
      </c>
      <c r="H27" s="41" t="n">
        <f aca="false">IFERROR(Cash_Flow!H16/Income_Statement!H9,0)</f>
        <v>0.0366514347742848</v>
      </c>
      <c r="I27" s="41" t="n">
        <f aca="false">IFERROR(Cash_Flow!I16/Income_Statement!I9,0)</f>
        <v>0.0368406258574748</v>
      </c>
      <c r="J27" s="41" t="n">
        <f aca="false">IFERROR(Cash_Flow!J16/Income_Statement!J9,0)</f>
        <v>0.0369919338267754</v>
      </c>
      <c r="K27" s="41" t="n">
        <f aca="false">IFERROR(Cash_Flow!K16/Income_Statement!K9,0)</f>
        <v>0.0371129442950693</v>
      </c>
      <c r="L27" s="41" t="n">
        <f aca="false">IFERROR(Cash_Flow!L16/Income_Statement!L9,0)</f>
        <v>0.0372097239525084</v>
      </c>
    </row>
    <row r="28" customFormat="false" ht="15" hidden="false" customHeight="false" outlineLevel="0" collapsed="false">
      <c r="B28" s="34" t="s">
        <v>147</v>
      </c>
      <c r="C28" s="40" t="n">
        <f aca="false">IFERROR(Cash_Flow!C16/Income_Statement!C23,0)</f>
        <v>0.964609355865785</v>
      </c>
      <c r="D28" s="40" t="n">
        <f aca="false">IFERROR(Cash_Flow!D16/Income_Statement!D23,0)</f>
        <v>1.74757391483892</v>
      </c>
      <c r="E28" s="40" t="n">
        <f aca="false">IFERROR(Cash_Flow!E16/Income_Statement!E23,0)</f>
        <v>1.10096408739571</v>
      </c>
      <c r="F28" s="40" t="n">
        <f aca="false">IFERROR(Cash_Flow!F16/Income_Statement!F23,0)</f>
        <v>1.02937624772817</v>
      </c>
      <c r="G28" s="40" t="n">
        <f aca="false">IFERROR(Cash_Flow!G16/Income_Statement!G23,0)</f>
        <v>1.68439507974694</v>
      </c>
      <c r="H28" s="41" t="n">
        <f aca="false">IFERROR(Cash_Flow!H16/Income_Statement!H23,0)</f>
        <v>0.801351735785606</v>
      </c>
      <c r="I28" s="41" t="n">
        <f aca="false">IFERROR(Cash_Flow!I16/Income_Statement!I23,0)</f>
        <v>0.802170059028585</v>
      </c>
      <c r="J28" s="41" t="n">
        <f aca="false">IFERROR(Cash_Flow!J16/Income_Statement!J23,0)</f>
        <v>0.802819687128889</v>
      </c>
      <c r="K28" s="41" t="n">
        <f aca="false">IFERROR(Cash_Flow!K16/Income_Statement!K23,0)</f>
        <v>0.803336172953239</v>
      </c>
      <c r="L28" s="41" t="n">
        <f aca="false">IFERROR(Cash_Flow!L16/Income_Statement!L23,0)</f>
        <v>0.803747295829815</v>
      </c>
    </row>
    <row r="30" customFormat="false" ht="15" hidden="false" customHeight="false" outlineLevel="0" collapsed="false">
      <c r="B30" s="8" t="s">
        <v>148</v>
      </c>
      <c r="C30" s="9"/>
      <c r="D30" s="9"/>
      <c r="E30" s="9"/>
      <c r="F30" s="9"/>
      <c r="G30" s="9"/>
      <c r="H30" s="9"/>
      <c r="I30" s="9"/>
      <c r="J30" s="9"/>
      <c r="K30" s="9"/>
      <c r="L30" s="9"/>
    </row>
    <row r="31" customFormat="false" ht="15" hidden="false" customHeight="false" outlineLevel="0" collapsed="false">
      <c r="B31" s="34" t="s">
        <v>51</v>
      </c>
      <c r="C31" s="40" t="str">
        <f aca="false">""</f>
        <v/>
      </c>
      <c r="D31" s="40" t="n">
        <f aca="false">IFERROR(Income_Statement!D9/Income_Statement!C9-1,"")</f>
        <v>0.0922969153936657</v>
      </c>
      <c r="E31" s="40" t="n">
        <f aca="false">IFERROR(Income_Statement!E9/Income_Statement!D9-1,"")</f>
        <v>0.0759548129475727</v>
      </c>
      <c r="F31" s="40" t="n">
        <f aca="false">IFERROR(Income_Statement!F9/Income_Statement!E9-1,"")</f>
        <v>0.347057361379161</v>
      </c>
      <c r="G31" s="40" t="n">
        <f aca="false">IFERROR(Income_Statement!G9/Income_Statement!F9-1,"")</f>
        <v>0.257560929425529</v>
      </c>
      <c r="H31" s="41" t="n">
        <f aca="false">IFERROR(Income_Statement!H9/Income_Statement!G9-1,"")</f>
        <v>0.187852364031782</v>
      </c>
      <c r="I31" s="41" t="n">
        <f aca="false">IFERROR(Income_Statement!I9/Income_Statement!H9-1,"")</f>
        <v>0.187852364031782</v>
      </c>
      <c r="J31" s="41" t="n">
        <f aca="false">IFERROR(Income_Statement!J9/Income_Statement!I9-1,"")</f>
        <v>0.187852364031782</v>
      </c>
      <c r="K31" s="41" t="n">
        <f aca="false">IFERROR(Income_Statement!K9/Income_Statement!J9-1,"")</f>
        <v>0.187852364031782</v>
      </c>
      <c r="L31" s="41" t="n">
        <f aca="false">IFERROR(Income_Statement!L9/Income_Statement!K9-1,"")</f>
        <v>0.187852364031782</v>
      </c>
    </row>
    <row r="32" customFormat="false" ht="15" hidden="false" customHeight="false" outlineLevel="0" collapsed="false">
      <c r="B32" s="34" t="s">
        <v>149</v>
      </c>
      <c r="C32" s="40" t="str">
        <f aca="false">""</f>
        <v/>
      </c>
      <c r="D32" s="40" t="n">
        <f aca="false">IFERROR(Income_Statement!D15/Income_Statement!C15-1,"")</f>
        <v>0.168385431461423</v>
      </c>
      <c r="E32" s="40" t="n">
        <f aca="false">IFERROR(Income_Statement!E15/Income_Statement!D15-1,"")</f>
        <v>-0.0121983446613761</v>
      </c>
      <c r="F32" s="40" t="n">
        <f aca="false">IFERROR(Income_Statement!F15/Income_Statement!E15-1,"")</f>
        <v>0.349741570268274</v>
      </c>
      <c r="G32" s="40" t="n">
        <f aca="false">IFERROR(Income_Statement!G15/Income_Statement!F15-1,"")</f>
        <v>0.649406970475377</v>
      </c>
      <c r="H32" s="41" t="n">
        <f aca="false">IFERROR(Income_Statement!H15/Income_Statement!G15-1,"")</f>
        <v>-0.0195429174358879</v>
      </c>
      <c r="I32" s="41" t="n">
        <f aca="false">IFERROR(Income_Statement!I15/Income_Statement!H15-1,"")</f>
        <v>0.187852364031782</v>
      </c>
      <c r="J32" s="41" t="n">
        <f aca="false">IFERROR(Income_Statement!J15/Income_Statement!I15-1,"")</f>
        <v>0.187852364031782</v>
      </c>
      <c r="K32" s="41" t="n">
        <f aca="false">IFERROR(Income_Statement!K15/Income_Statement!J15-1,"")</f>
        <v>0.187852364031783</v>
      </c>
      <c r="L32" s="41" t="n">
        <f aca="false">IFERROR(Income_Statement!L15/Income_Statement!K15-1,"")</f>
        <v>0.187852364031781</v>
      </c>
    </row>
    <row r="33" customFormat="false" ht="15" hidden="false" customHeight="false" outlineLevel="0" collapsed="false">
      <c r="B33" s="34" t="s">
        <v>150</v>
      </c>
      <c r="C33" s="40" t="str">
        <f aca="false">""</f>
        <v/>
      </c>
      <c r="D33" s="40" t="n">
        <f aca="false">IFERROR(Income_Statement!D18/Income_Statement!C18-1,"")</f>
        <v>0.173663761114102</v>
      </c>
      <c r="E33" s="40" t="n">
        <f aca="false">IFERROR(Income_Statement!E18/Income_Statement!D18-1,"")</f>
        <v>-0.0174079079513492</v>
      </c>
      <c r="F33" s="40" t="n">
        <f aca="false">IFERROR(Income_Statement!F18/Income_Statement!E18-1,"")</f>
        <v>0.379601004429078</v>
      </c>
      <c r="G33" s="40" t="n">
        <f aca="false">IFERROR(Income_Statement!G18/Income_Statement!F18-1,"")</f>
        <v>0.72815827022281</v>
      </c>
      <c r="H33" s="41" t="n">
        <f aca="false">IFERROR(Income_Statement!H18/Income_Statement!G18-1,"")</f>
        <v>-0.0638911889300965</v>
      </c>
      <c r="I33" s="41" t="n">
        <f aca="false">IFERROR(Income_Statement!I18/Income_Statement!H18-1,"")</f>
        <v>0.187852364031782</v>
      </c>
      <c r="J33" s="41" t="n">
        <f aca="false">IFERROR(Income_Statement!J18/Income_Statement!I18-1,"")</f>
        <v>0.187852364031782</v>
      </c>
      <c r="K33" s="41" t="n">
        <f aca="false">IFERROR(Income_Statement!K18/Income_Statement!J18-1,"")</f>
        <v>0.187852364031783</v>
      </c>
      <c r="L33" s="41" t="n">
        <f aca="false">IFERROR(Income_Statement!L18/Income_Statement!K18-1,"")</f>
        <v>0.187852364031781</v>
      </c>
    </row>
    <row r="34" customFormat="false" ht="15" hidden="false" customHeight="false" outlineLevel="0" collapsed="false">
      <c r="B34" s="34" t="s">
        <v>151</v>
      </c>
      <c r="C34" s="40" t="str">
        <f aca="false">""</f>
        <v/>
      </c>
      <c r="D34" s="40" t="n">
        <f aca="false">IFERROR(Income_Statement!D23/Income_Statement!C23-1,"")</f>
        <v>0.313276302438683</v>
      </c>
      <c r="E34" s="40" t="n">
        <f aca="false">IFERROR(Income_Statement!E23/Income_Statement!D23-1,"")</f>
        <v>-0.0452314188851664</v>
      </c>
      <c r="F34" s="40" t="n">
        <f aca="false">IFERROR(Income_Statement!F23/Income_Statement!E23-1,"")</f>
        <v>0.715733738873231</v>
      </c>
      <c r="G34" s="40" t="n">
        <f aca="false">IFERROR(Income_Statement!G23/Income_Statement!F23-1,"")</f>
        <v>0.314909309729332</v>
      </c>
      <c r="H34" s="41" t="n">
        <f aca="false">IFERROR(Income_Statement!H23/Income_Statement!G23-1,"")</f>
        <v>-0.125297244167901</v>
      </c>
      <c r="I34" s="41" t="n">
        <f aca="false">IFERROR(Income_Statement!I23/Income_Statement!H23-1,"")</f>
        <v>0.192765913487148</v>
      </c>
      <c r="J34" s="41" t="n">
        <f aca="false">IFERROR(Income_Statement!J23/Income_Statement!I23-1,"")</f>
        <v>0.191765849427211</v>
      </c>
      <c r="K34" s="41" t="n">
        <f aca="false">IFERROR(Income_Statement!K23/Income_Statement!J23-1,"")</f>
        <v>0.190971945892133</v>
      </c>
      <c r="L34" s="41" t="n">
        <f aca="false">IFERROR(Income_Statement!L23/Income_Statement!K23-1,"")</f>
        <v>0.190340754104742</v>
      </c>
    </row>
    <row r="35" customFormat="false" ht="15" hidden="false" customHeight="false" outlineLevel="0" collapsed="false">
      <c r="B35" s="34" t="s">
        <v>152</v>
      </c>
      <c r="C35" s="40" t="str">
        <f aca="false">""</f>
        <v/>
      </c>
      <c r="D35" s="40" t="n">
        <f aca="false">IFERROR(Cash_Flow!D16/Cash_Flow!C16-1,"")</f>
        <v>1.37925062115744</v>
      </c>
      <c r="E35" s="40" t="n">
        <f aca="false">IFERROR(Cash_Flow!E16/Cash_Flow!D16-1,"")</f>
        <v>-0.39849987994466</v>
      </c>
      <c r="F35" s="40" t="n">
        <f aca="false">IFERROR(Cash_Flow!F16/Cash_Flow!E16-1,"")</f>
        <v>0.604171814904227</v>
      </c>
      <c r="G35" s="40" t="n">
        <f aca="false">IFERROR(Cash_Flow!G16/Cash_Flow!F16-1,"")</f>
        <v>1.15162024236487</v>
      </c>
      <c r="H35" s="41" t="n">
        <f aca="false">IFERROR(Cash_Flow!H16/Cash_Flow!G16-1,"")</f>
        <v>-0.58385976062824</v>
      </c>
      <c r="I35" s="41" t="n">
        <f aca="false">IFERROR(Cash_Flow!I16/Cash_Flow!H16-1,"")</f>
        <v>0.193983940511802</v>
      </c>
      <c r="J35" s="41" t="n">
        <f aca="false">IFERROR(Cash_Flow!J16/Cash_Flow!I16-1,"")</f>
        <v>0.192730987150886</v>
      </c>
      <c r="K35" s="41" t="n">
        <f aca="false">IFERROR(Cash_Flow!K16/Cash_Flow!J16-1,"")</f>
        <v>0.19173814549724</v>
      </c>
      <c r="L35" s="41" t="n">
        <f aca="false">IFERROR(Cash_Flow!L16/Cash_Flow!K16-1,"")</f>
        <v>0.190949934086186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2C2C"/>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3"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7" t="s">
        <v>94</v>
      </c>
      <c r="C5" s="28" t="s">
        <v>95</v>
      </c>
      <c r="D5" s="28" t="s">
        <v>95</v>
      </c>
      <c r="E5" s="28" t="s">
        <v>95</v>
      </c>
      <c r="F5" s="28" t="s">
        <v>95</v>
      </c>
      <c r="G5" s="28" t="s">
        <v>95</v>
      </c>
      <c r="H5" s="29" t="s">
        <v>96</v>
      </c>
      <c r="I5" s="29" t="s">
        <v>96</v>
      </c>
      <c r="J5" s="29" t="s">
        <v>96</v>
      </c>
      <c r="K5" s="29" t="s">
        <v>96</v>
      </c>
      <c r="L5" s="29" t="s">
        <v>96</v>
      </c>
    </row>
    <row r="6" customFormat="false" ht="15" hidden="false" customHeight="false" outlineLevel="0" collapsed="false">
      <c r="B6" s="30"/>
      <c r="C6" s="25" t="n">
        <f aca="false">Model_Start_Year+0</f>
        <v>2021</v>
      </c>
      <c r="D6" s="25" t="n">
        <f aca="false">Model_Start_Year+1</f>
        <v>2022</v>
      </c>
      <c r="E6" s="25" t="n">
        <f aca="false">Model_Start_Year+2</f>
        <v>2023</v>
      </c>
      <c r="F6" s="25" t="n">
        <f aca="false">Model_Start_Year+3</f>
        <v>2024</v>
      </c>
      <c r="G6" s="25" t="n">
        <f aca="false">Model_Start_Year+4</f>
        <v>2025</v>
      </c>
      <c r="H6" s="25" t="n">
        <f aca="false">Model_Start_Year+5</f>
        <v>2026</v>
      </c>
      <c r="I6" s="25" t="n">
        <f aca="false">Model_Start_Year+6</f>
        <v>2027</v>
      </c>
      <c r="J6" s="25" t="n">
        <f aca="false">Model_Start_Year+7</f>
        <v>2028</v>
      </c>
      <c r="K6" s="25" t="n">
        <f aca="false">Model_Start_Year+8</f>
        <v>2029</v>
      </c>
      <c r="L6" s="25" t="n">
        <f aca="false">Model_Start_Year+9</f>
        <v>2030</v>
      </c>
    </row>
    <row r="7" customFormat="false" ht="15" hidden="false" customHeight="false" outlineLevel="0" collapsed="false">
      <c r="B7" s="34" t="s">
        <v>155</v>
      </c>
      <c r="C7" s="35" t="n">
        <f aca="false">ABS(Balance_Sheet!C25)&lt;1</f>
        <v>1</v>
      </c>
      <c r="D7" s="35" t="n">
        <f aca="false">ABS(Balance_Sheet!D25)&lt;1</f>
        <v>1</v>
      </c>
      <c r="E7" s="35" t="n">
        <f aca="false">ABS(Balance_Sheet!E25)&lt;1</f>
        <v>1</v>
      </c>
      <c r="F7" s="35" t="n">
        <f aca="false">ABS(Balance_Sheet!F25)&lt;1</f>
        <v>1</v>
      </c>
      <c r="G7" s="35" t="n">
        <f aca="false">ABS(Balance_Sheet!G25)&lt;1</f>
        <v>1</v>
      </c>
      <c r="H7" s="26" t="n">
        <f aca="false">ABS(Balance_Sheet!H25)&lt;1</f>
        <v>1</v>
      </c>
      <c r="I7" s="26" t="n">
        <f aca="false">ABS(Balance_Sheet!I25)&lt;1</f>
        <v>1</v>
      </c>
      <c r="J7" s="26" t="n">
        <f aca="false">ABS(Balance_Sheet!J25)&lt;1</f>
        <v>1</v>
      </c>
      <c r="K7" s="26" t="n">
        <f aca="false">ABS(Balance_Sheet!K25)&lt;1</f>
        <v>1</v>
      </c>
      <c r="L7" s="26" t="n">
        <f aca="false">ABS(Balance_Sheet!L25)&lt;1</f>
        <v>1</v>
      </c>
    </row>
    <row r="8" customFormat="false" ht="15" hidden="false" customHeight="false" outlineLevel="0" collapsed="false">
      <c r="B8" s="34" t="s">
        <v>156</v>
      </c>
      <c r="C8" s="35" t="n">
        <f aca="false">ABS(Balance_Sheet!C8-Cash_Flow!C26)&lt;1</f>
        <v>1</v>
      </c>
      <c r="D8" s="35" t="n">
        <f aca="false">ABS(Balance_Sheet!D8-Cash_Flow!D26)&lt;1</f>
        <v>1</v>
      </c>
      <c r="E8" s="35" t="n">
        <f aca="false">ABS(Balance_Sheet!E8-Cash_Flow!E26)&lt;1</f>
        <v>1</v>
      </c>
      <c r="F8" s="35" t="n">
        <f aca="false">ABS(Balance_Sheet!F8-Cash_Flow!F26)&lt;1</f>
        <v>1</v>
      </c>
      <c r="G8" s="35" t="n">
        <f aca="false">ABS(Balance_Sheet!G8-Cash_Flow!G26)&lt;1</f>
        <v>1</v>
      </c>
      <c r="H8" s="26" t="n">
        <f aca="false">ABS(Balance_Sheet!H8-Cash_Flow!H26)&lt;1</f>
        <v>1</v>
      </c>
      <c r="I8" s="26" t="n">
        <f aca="false">ABS(Balance_Sheet!I8-Cash_Flow!I26)&lt;1</f>
        <v>1</v>
      </c>
      <c r="J8" s="26" t="n">
        <f aca="false">ABS(Balance_Sheet!J8-Cash_Flow!J26)&lt;1</f>
        <v>1</v>
      </c>
      <c r="K8" s="26" t="n">
        <f aca="false">ABS(Balance_Sheet!K8-Cash_Flow!K26)&lt;1</f>
        <v>1</v>
      </c>
      <c r="L8" s="26" t="n">
        <f aca="false">ABS(Balance_Sheet!L8-Cash_Flow!L26)&lt;1</f>
        <v>1</v>
      </c>
    </row>
    <row r="9" customFormat="false" ht="15" hidden="false" customHeight="false" outlineLevel="0" collapsed="false">
      <c r="B9" s="34" t="s">
        <v>157</v>
      </c>
      <c r="C9" s="35" t="n">
        <f aca="false">Income_Statement!C9&gt;0</f>
        <v>1</v>
      </c>
      <c r="D9" s="35" t="n">
        <f aca="false">Income_Statement!D9&gt;0</f>
        <v>1</v>
      </c>
      <c r="E9" s="35" t="n">
        <f aca="false">Income_Statement!E9&gt;0</f>
        <v>1</v>
      </c>
      <c r="F9" s="35" t="n">
        <f aca="false">Income_Statement!F9&gt;0</f>
        <v>1</v>
      </c>
      <c r="G9" s="35" t="n">
        <f aca="false">Income_Statement!G9&gt;0</f>
        <v>1</v>
      </c>
      <c r="H9" s="26" t="n">
        <f aca="false">Income_Statement!H9&gt;0</f>
        <v>1</v>
      </c>
      <c r="I9" s="26" t="n">
        <f aca="false">Income_Statement!I9&gt;0</f>
        <v>1</v>
      </c>
      <c r="J9" s="26" t="n">
        <f aca="false">Income_Statement!J9&gt;0</f>
        <v>1</v>
      </c>
      <c r="K9" s="26" t="n">
        <f aca="false">Income_Statement!K9&gt;0</f>
        <v>1</v>
      </c>
      <c r="L9" s="26" t="n">
        <f aca="false">Income_Statement!L9&gt;0</f>
        <v>1</v>
      </c>
    </row>
    <row r="10" customFormat="false" ht="15" hidden="false" customHeight="false" outlineLevel="0" collapsed="false">
      <c r="B10" s="34" t="s">
        <v>158</v>
      </c>
      <c r="C10" s="35" t="n">
        <f aca="false">Balance_Sheet!C16&gt;=0</f>
        <v>1</v>
      </c>
      <c r="D10" s="35" t="n">
        <f aca="false">Balance_Sheet!D16&gt;=0</f>
        <v>1</v>
      </c>
      <c r="E10" s="35" t="n">
        <f aca="false">Balance_Sheet!E16&gt;=0</f>
        <v>1</v>
      </c>
      <c r="F10" s="35" t="n">
        <f aca="false">Balance_Sheet!F16&gt;=0</f>
        <v>1</v>
      </c>
      <c r="G10" s="35" t="n">
        <f aca="false">Balance_Sheet!G16&gt;=0</f>
        <v>1</v>
      </c>
      <c r="H10" s="26" t="n">
        <f aca="false">Balance_Sheet!H16&gt;=0</f>
        <v>1</v>
      </c>
      <c r="I10" s="26" t="n">
        <f aca="false">Balance_Sheet!I16&gt;=0</f>
        <v>1</v>
      </c>
      <c r="J10" s="26" t="n">
        <f aca="false">Balance_Sheet!J16&gt;=0</f>
        <v>1</v>
      </c>
      <c r="K10" s="26" t="n">
        <f aca="false">Balance_Sheet!K16&gt;=0</f>
        <v>1</v>
      </c>
      <c r="L10" s="26" t="n">
        <f aca="false">Balance_Sheet!L16&gt;=0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4" t="s">
        <v>159</v>
      </c>
    </row>
    <row r="3" customFormat="false" ht="3.75" hidden="false" customHeight="true" outlineLevel="0" collapsed="false">
      <c r="B3" s="45"/>
    </row>
    <row r="5" customFormat="false" ht="19.5" hidden="false" customHeight="true" outlineLevel="0" collapsed="false">
      <c r="B5" s="46" t="s">
        <v>160</v>
      </c>
    </row>
    <row r="6" customFormat="false" ht="48" hidden="false" customHeight="true" outlineLevel="0" collapsed="false">
      <c r="B6" s="47" t="s">
        <v>161</v>
      </c>
    </row>
    <row r="8" customFormat="false" ht="19.5" hidden="false" customHeight="true" outlineLevel="0" collapsed="false">
      <c r="B8" s="46" t="s">
        <v>162</v>
      </c>
    </row>
    <row r="9" customFormat="false" ht="61.5" hidden="false" customHeight="true" outlineLevel="0" collapsed="false">
      <c r="B9" s="47" t="s">
        <v>163</v>
      </c>
    </row>
    <row r="11" customFormat="false" ht="19.5" hidden="false" customHeight="true" outlineLevel="0" collapsed="false">
      <c r="B11" s="46" t="s">
        <v>164</v>
      </c>
    </row>
    <row r="12" customFormat="false" ht="75.75" hidden="false" customHeight="true" outlineLevel="0" collapsed="false">
      <c r="B12" s="47" t="s">
        <v>165</v>
      </c>
    </row>
    <row r="14" customFormat="false" ht="19.5" hidden="false" customHeight="true" outlineLevel="0" collapsed="false">
      <c r="B14" s="46" t="s">
        <v>166</v>
      </c>
    </row>
    <row r="15" customFormat="false" ht="61.5" hidden="false" customHeight="true" outlineLevel="0" collapsed="false">
      <c r="B15" s="47" t="s">
        <v>167</v>
      </c>
    </row>
    <row r="17" customFormat="false" ht="19.5" hidden="false" customHeight="true" outlineLevel="0" collapsed="false">
      <c r="B17" s="46" t="s">
        <v>168</v>
      </c>
    </row>
    <row r="18" customFormat="false" ht="33.75" hidden="false" customHeight="true" outlineLevel="0" collapsed="false">
      <c r="B18" s="47" t="s">
        <v>169</v>
      </c>
    </row>
    <row r="20" customFormat="false" ht="19.5" hidden="false" customHeight="true" outlineLevel="0" collapsed="false">
      <c r="B20" s="46" t="s">
        <v>170</v>
      </c>
    </row>
    <row r="21" customFormat="false" ht="33.75" hidden="false" customHeight="true" outlineLevel="0" collapsed="false">
      <c r="B21" s="47" t="s">
        <v>171</v>
      </c>
    </row>
    <row r="23" customFormat="false" ht="21.75" hidden="false" customHeight="true" outlineLevel="0" collapsed="false">
      <c r="B23" s="48" t="s">
        <v>172</v>
      </c>
    </row>
    <row r="25" customFormat="false" ht="18" hidden="false" customHeight="true" outlineLevel="0" collapsed="false">
      <c r="B25" s="49" t="s">
        <v>173</v>
      </c>
    </row>
    <row r="26" customFormat="false" ht="201.75" hidden="false" customHeight="true" outlineLevel="0" collapsed="false">
      <c r="B26" s="50" t="s">
        <v>174</v>
      </c>
    </row>
    <row r="28" customFormat="false" ht="18" hidden="false" customHeight="true" outlineLevel="0" collapsed="false">
      <c r="B28" s="51" t="s">
        <v>175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2026-05-15T19:26:06Z</dcterms:created>
  <dc:creator>openpyxl</dc:creator>
  <dc:description/>
  <dc:language>en-GB</dc:language>
  <cp:lastModifiedBy/>
  <dcterms:modified xsi:type="dcterms:W3CDTF">2026-05-15T19:26:43Z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