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Historical_Data" sheetId="3" state="visible" r:id="rId5"/>
    <sheet name="Income_Statement" sheetId="4" state="visible" r:id="rId6"/>
    <sheet name="Balance_Sheet" sheetId="5" state="visible" r:id="rId7"/>
    <sheet name="Cash_Flow" sheetId="6" state="visible" r:id="rId8"/>
    <sheet name="Ratios" sheetId="7" state="visible" r:id="rId9"/>
    <sheet name="Checks" sheetId="8" state="visible" r:id="rId10"/>
    <sheet name="Disclaimer" sheetId="9" state="visible" r:id="rId11"/>
  </sheets>
  <definedNames>
    <definedName function="false" hidden="false" name="Buyback_Pct_NI" vbProcedure="false">Assumptions!$C$21</definedName>
    <definedName function="false" hidden="false" name="Capex_Pct_Revenue" vbProcedure="false">Assumptions!$C$14</definedName>
    <definedName function="false" hidden="false" name="COGS_Pct_Revenue" vbProcedure="false">Assumptions!$C$9</definedName>
    <definedName function="false" hidden="false" name="DA_Pct_Revenue" vbProcedure="false">Assumptions!$C$12</definedName>
    <definedName function="false" hidden="false" name="Debt_Paydown_Pct" vbProcedure="false">Assumptions!$C$18</definedName>
    <definedName function="false" hidden="false" name="Dividend_Payout" vbProcedure="false">Assumptions!$C$20</definedName>
    <definedName function="false" hidden="false" name="Interest_Rate" vbProcedure="false">Assumptions!$C$19</definedName>
    <definedName function="false" hidden="false" name="Model_Start_Year" vbProcedure="false">Assumptions!$C$7</definedName>
    <definedName function="false" hidden="false" name="NWC_Pct_Revenue" vbProcedure="false">Assumptions!$C$15</definedName>
    <definedName function="false" hidden="false" name="Other_Assets_Pct_Revenue" vbProcedure="false">Assumptions!$C$16</definedName>
    <definedName function="false" hidden="false" name="Other_Liab_Pct_Revenue" vbProcedure="false">Assumptions!$C$17</definedName>
    <definedName function="false" hidden="false" name="RD_Pct_Revenue" vbProcedure="false">Assumptions!$C$10</definedName>
    <definedName function="false" hidden="false" name="Revenue_Growth" vbProcedure="false">Assumptions!$C$8</definedName>
    <definedName function="false" hidden="false" name="SGA_Pct_Revenue" vbProcedure="false">Assumptions!$C$11</definedName>
    <definedName function="false" hidden="false" name="Tax_Rate" vbProcedure="false">Assumptions!$C$13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<sst xmlns="http://schemas.openxmlformats.org/spreadsheetml/2006/main" count="265" uniqueCount="176">
  <si>
    <t xml:space="preserve">RTX | 3-Statement Seed Model</t>
  </si>
  <si>
    <t xml:space="preserve">FINAMODEL.com</t>
  </si>
  <si>
    <t xml:space="preserve">RTX CORPORATION</t>
  </si>
  <si>
    <t xml:space="preserve">Purpose</t>
  </si>
  <si>
    <t xml:space="preserve">Mechanically generated training seed model from SEC historicals.</t>
  </si>
  <si>
    <t xml:space="preserve">Display units</t>
  </si>
  <si>
    <t xml:space="preserve">USD $mm</t>
  </si>
  <si>
    <t xml:space="preserve">Model family</t>
  </si>
  <si>
    <t xml:space="preserve">general_corporate</t>
  </si>
  <si>
    <t xml:space="preserve">Resolved coverage</t>
  </si>
  <si>
    <t xml:space="preserve">Historical years</t>
  </si>
  <si>
    <t xml:space="preserve">2021-2025</t>
  </si>
  <si>
    <t xml:space="preserve">Forecast years</t>
  </si>
  <si>
    <t xml:space="preserve">2026-2030</t>
  </si>
  <si>
    <t xml:space="preserve">Sheet Navigation</t>
  </si>
  <si>
    <t xml:space="preserve">Assumptions</t>
  </si>
  <si>
    <t xml:space="preserve">Forecast drivers and source notes</t>
  </si>
  <si>
    <t xml:space="preserve">Historical_Data</t>
  </si>
  <si>
    <t xml:space="preserve">Resolved SEC actuals in USD $mm</t>
  </si>
  <si>
    <t xml:space="preserve">Income_Statement</t>
  </si>
  <si>
    <t xml:space="preserve">P&amp;L actuals and forecast</t>
  </si>
  <si>
    <t xml:space="preserve">Balance_Sheet</t>
  </si>
  <si>
    <t xml:space="preserve">Assets, liabilities, and equity</t>
  </si>
  <si>
    <t xml:space="preserve">Cash_Flow</t>
  </si>
  <si>
    <t xml:space="preserve">Indirect cash flow and cash reconciliation</t>
  </si>
  <si>
    <t xml:space="preserve">Ratios</t>
  </si>
  <si>
    <t xml:space="preserve">Profitability, leverage, efficiency, growth</t>
  </si>
  <si>
    <t xml:space="preserve">Checks</t>
  </si>
  <si>
    <t xml:space="preserve">Mechanical model checks</t>
  </si>
  <si>
    <t xml:space="preserve">Tab Colour Legend</t>
  </si>
  <si>
    <t xml:space="preserve">Deep Navy</t>
  </si>
  <si>
    <t xml:space="preserve">Cover</t>
  </si>
  <si>
    <t xml:space="preserve">Navy</t>
  </si>
  <si>
    <t xml:space="preserve">Inputs (Assumptions, Historical_Data)</t>
  </si>
  <si>
    <t xml:space="preserve">Steel Blue</t>
  </si>
  <si>
    <t xml:space="preserve">Outputs (IS, BS, CF, Ratios)</t>
  </si>
  <si>
    <t xml:space="preserve">Burgundy</t>
  </si>
  <si>
    <t xml:space="preserve">About this model</t>
  </si>
  <si>
    <t xml:space="preserve">A 3-statement financial model integrates income statement, balance sheet, and cash flow forecasts into a single coherent framework. This model answers what a company's profitability, financial position, and liquidity look like over a multi-year horizon by linking revenue drivers to operating expenses, working capital mechanics, debt schedules, and balance sheet reconciliation. All three statements flow through linked formulas: revenue feeds COGS and OpEx, operating results impact retained earnings and cash, and debt repayment reduces liabilities while cash balances tie out perfectly each period. Used by investors, lenders, and corporate planners to model the complete financial trajectory of an operating business.
The workbook structure includes segmented revenue build with explicit forecast drivers, detailed operating expense assumptions, working capital mechanics using days sales outstanding, days inventory outstanding, and days payable outstanding, a full debt schedule with interest expense and amortisation, and balance sheet validation rows that confirm assets equal liabilities plus equity. Every formula chains through the three statements: income flows to the balance sheet as retained earnings, which determines the opening cash for the cash flow statement, completing the cycle.
Investment committees, M&amp;A advisors, and corporate development teams use integrated 3-statement models as the backbone for fairness opinions, valuation sensitivity analysis, and covenant monitoring. The model structure ensures all stakeholders see the same numbers regardless of which statement they reference.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</si>
  <si>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</si>
  <si>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</si>
  <si>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</si>
  <si>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</si>
  <si>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Forecast drivers derived from SEC historicals</t>
  </si>
  <si>
    <t xml:space="preserve">Parameter</t>
  </si>
  <si>
    <t xml:space="preserve">Value</t>
  </si>
  <si>
    <t xml:space="preserve">Unit</t>
  </si>
  <si>
    <t xml:space="preserve">Notes</t>
  </si>
  <si>
    <t xml:space="preserve">Model Start Year</t>
  </si>
  <si>
    <t xml:space="preserve">Year</t>
  </si>
  <si>
    <t xml:space="preserve">First actual year; drives year helpers</t>
  </si>
  <si>
    <t xml:space="preserve">Revenue Growth</t>
  </si>
  <si>
    <t xml:space="preserve">%</t>
  </si>
  <si>
    <t xml:space="preserve">[Revenue] Derived from resolved SEC historicals</t>
  </si>
  <si>
    <t xml:space="preserve">COGS % of Revenue</t>
  </si>
  <si>
    <t xml:space="preserve">[Cost Structure] Derived from resolved SEC historicals</t>
  </si>
  <si>
    <t xml:space="preserve">R&amp;D % of Revenue</t>
  </si>
  <si>
    <t xml:space="preserve">Derived from resolved SEC historicals</t>
  </si>
  <si>
    <t xml:space="preserve">SG&amp;A % of Revenue</t>
  </si>
  <si>
    <t xml:space="preserve">D&amp;A % of Revenue</t>
  </si>
  <si>
    <t xml:space="preserve">Effective Tax Rate</t>
  </si>
  <si>
    <t xml:space="preserve">CapEx % of Revenue</t>
  </si>
  <si>
    <t xml:space="preserve">[CapEx &amp; Working Capital] Derived from resolved SEC historicals</t>
  </si>
  <si>
    <t xml:space="preserve">NWC % of Revenue</t>
  </si>
  <si>
    <t xml:space="preserve">Other Assets % of Revenue</t>
  </si>
  <si>
    <t xml:space="preserve">Other Liabilities % of Revenue</t>
  </si>
  <si>
    <t xml:space="preserve">Debt Paydown % of Opening</t>
  </si>
  <si>
    <t xml:space="preserve">[Capital Structure] Derived from resolved SEC historicals</t>
  </si>
  <si>
    <t xml:space="preserve">Interest Rate on Debt</t>
  </si>
  <si>
    <t xml:space="preserve">Dividend Payout Ratio</t>
  </si>
  <si>
    <t xml:space="preserve">Buybacks % of Net Income</t>
  </si>
  <si>
    <t xml:space="preserve">Historical Data</t>
  </si>
  <si>
    <t xml:space="preserve">Resolved SEC actuals · USD $mm</t>
  </si>
  <si>
    <t xml:space="preserve">Line Item</t>
  </si>
  <si>
    <t xml:space="preserve">Revenue</t>
  </si>
  <si>
    <t xml:space="preserve">Cogs</t>
  </si>
  <si>
    <t xml:space="preserve">Rd Expense</t>
  </si>
  <si>
    <t xml:space="preserve">Sga Expense</t>
  </si>
  <si>
    <t xml:space="preserve">Depreciation Amortization</t>
  </si>
  <si>
    <t xml:space="preserve">Tax Expense</t>
  </si>
  <si>
    <t xml:space="preserve">Pretax Income</t>
  </si>
  <si>
    <t xml:space="preserve">Net Income</t>
  </si>
  <si>
    <t xml:space="preserve">Capex</t>
  </si>
  <si>
    <t xml:space="preserve">Cash</t>
  </si>
  <si>
    <t xml:space="preserve">Net Working Capital</t>
  </si>
  <si>
    <t xml:space="preserve">Ppe Net</t>
  </si>
  <si>
    <t xml:space="preserve">Total Assets</t>
  </si>
  <si>
    <t xml:space="preserve">Total Liabilities</t>
  </si>
  <si>
    <t xml:space="preserve">Total Debt</t>
  </si>
  <si>
    <t xml:space="preserve">Dividends Paid</t>
  </si>
  <si>
    <t xml:space="preserve">Share Repurchases</t>
  </si>
  <si>
    <t xml:space="preserve">Interest Expense</t>
  </si>
  <si>
    <t xml:space="preserve">Operating Cash Flow</t>
  </si>
  <si>
    <t xml:space="preserve">RTX | Income Statement</t>
  </si>
  <si>
    <t xml:space="preserve">Period</t>
  </si>
  <si>
    <t xml:space="preserve">Actual</t>
  </si>
  <si>
    <t xml:space="preserve">Forecast</t>
  </si>
  <si>
    <t xml:space="preserve">COGS</t>
  </si>
  <si>
    <t xml:space="preserve">GROSS PROFIT</t>
  </si>
  <si>
    <t xml:space="preserve">R&amp;D</t>
  </si>
  <si>
    <t xml:space="preserve">SG&amp;A</t>
  </si>
  <si>
    <t xml:space="preserve">EBITDA</t>
  </si>
  <si>
    <t xml:space="preserve">D&amp;A</t>
  </si>
  <si>
    <t xml:space="preserve">EBIT</t>
  </si>
  <si>
    <t xml:space="preserve">NET INCOME</t>
  </si>
  <si>
    <t xml:space="preserve">RTX | Balance Sheet</t>
  </si>
  <si>
    <t xml:space="preserve">Cash &amp; Equivalents</t>
  </si>
  <si>
    <t xml:space="preserve">Net PP&amp;E</t>
  </si>
  <si>
    <t xml:space="preserve">Other Assets</t>
  </si>
  <si>
    <t xml:space="preserve">TOTAL ASSETS</t>
  </si>
  <si>
    <t xml:space="preserve">Debt</t>
  </si>
  <si>
    <t xml:space="preserve">Other Liabilities</t>
  </si>
  <si>
    <t xml:space="preserve">Equity</t>
  </si>
  <si>
    <t xml:space="preserve">TOTAL LIABILITIES &amp; EQUITY</t>
  </si>
  <si>
    <t xml:space="preserve">Balance Check</t>
  </si>
  <si>
    <t xml:space="preserve">RTX | Cash Flow Statement</t>
  </si>
  <si>
    <t xml:space="preserve">Change in NWC</t>
  </si>
  <si>
    <t xml:space="preserve">Cash from Operations</t>
  </si>
  <si>
    <t xml:space="preserve">CapEx</t>
  </si>
  <si>
    <t xml:space="preserve">Free Cash Flow</t>
  </si>
  <si>
    <t xml:space="preserve">Debt Repayment</t>
  </si>
  <si>
    <t xml:space="preserve">Dividends</t>
  </si>
  <si>
    <t xml:space="preserve">Cash from Financing</t>
  </si>
  <si>
    <t xml:space="preserve">NET CHANGE IN CASH</t>
  </si>
  <si>
    <t xml:space="preserve">Opening Cash</t>
  </si>
  <si>
    <t xml:space="preserve">Closing Cash</t>
  </si>
  <si>
    <t xml:space="preserve">RTX | Financial Ratios</t>
  </si>
  <si>
    <t xml:space="preserve">Profitability · Leverage · Efficiency · Growth</t>
  </si>
  <si>
    <t xml:space="preserve">Profitability</t>
  </si>
  <si>
    <t xml:space="preserve">Gross Margin</t>
  </si>
  <si>
    <t xml:space="preserve">EBITDA Margin</t>
  </si>
  <si>
    <t xml:space="preserve">EBIT Margin</t>
  </si>
  <si>
    <t xml:space="preserve">Net Margin</t>
  </si>
  <si>
    <t xml:space="preserve">Return on Equity</t>
  </si>
  <si>
    <t xml:space="preserve">Return on Assets</t>
  </si>
  <si>
    <t xml:space="preserve">Return on Invested Capital</t>
  </si>
  <si>
    <t xml:space="preserve">Leverage &amp; Coverage</t>
  </si>
  <si>
    <t xml:space="preserve">Debt / EBITDA</t>
  </si>
  <si>
    <t xml:space="preserve">Net Debt / EBITDA</t>
  </si>
  <si>
    <t xml:space="preserve">Debt / Equity</t>
  </si>
  <si>
    <t xml:space="preserve">Interest Coverage (EBIT / Interest)</t>
  </si>
  <si>
    <t xml:space="preserve">EBITDA / Interest</t>
  </si>
  <si>
    <t xml:space="preserve">Efficiency &amp; Cash</t>
  </si>
  <si>
    <t xml:space="preserve">Asset Turnover</t>
  </si>
  <si>
    <t xml:space="preserve">CapEx / Revenue</t>
  </si>
  <si>
    <t xml:space="preserve">CapEx / D&amp;A</t>
  </si>
  <si>
    <t xml:space="preserve">FCF Margin</t>
  </si>
  <si>
    <t xml:space="preserve">Cash Conversion (FCF / NI)</t>
  </si>
  <si>
    <t xml:space="preserve">Growth (YoY)</t>
  </si>
  <si>
    <t xml:space="preserve">EBITDA Growth</t>
  </si>
  <si>
    <t xml:space="preserve">EBIT Growth</t>
  </si>
  <si>
    <t xml:space="preserve">Net Income Growth</t>
  </si>
  <si>
    <t xml:space="preserve">Free Cash Flow Growth</t>
  </si>
  <si>
    <t xml:space="preserve">RTX | Model Checks</t>
  </si>
  <si>
    <t xml:space="preserve">Mechanical integrity tests · TRUE = pass</t>
  </si>
  <si>
    <t xml:space="preserve">Balance Sheet Balanced</t>
  </si>
  <si>
    <t xml:space="preserve">Cash Reconciles</t>
  </si>
  <si>
    <t xml:space="preserve">Revenue Positive</t>
  </si>
  <si>
    <t xml:space="preserve">Debt Non-Negative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</si>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</sst>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
    <numFmt numFmtId="166" formatCode="0"/>
    <numFmt numFmtId="167" formatCode="#,##0.0;\(#,##0.0\);\-"/>
    <numFmt numFmtId="168" formatCode="0.0\x;\(0.0&quot;x)&quot;;\-"/>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name val="Arial"/>
      <family val="0"/>
      <charset val="1"/>
    </font>
    <font>
      <b val="true"/>
      <sz val="11"/>
      <color theme="3"/>
      <name val="Arial"/>
      <family val="0"/>
      <charset val="1"/>
    </font>
    <font>
      <sz val="11"/>
      <color theme="1"/>
      <name val="Calibri"/>
      <family val="2"/>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C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1E3A5F"/>
        <bgColor rgb="FF1F497D"/>
      </patternFill>
    </fill>
    <fill>
      <patternFill patternType="solid">
        <fgColor rgb="FF2C5282"/>
        <bgColor rgb="FF1F4E79"/>
      </patternFill>
    </fill>
    <fill>
      <patternFill patternType="solid">
        <fgColor rgb="FF4A6FA5"/>
        <bgColor rgb="FF2C5282"/>
      </patternFill>
    </fill>
    <fill>
      <patternFill patternType="solid">
        <fgColor rgb="FF8B2C2C"/>
        <bgColor rgb="FF993366"/>
      </patternFill>
    </fill>
    <fill>
      <patternFill patternType="solid">
        <fgColor rgb="FFD6E4F0"/>
        <bgColor rgb="FFDDEAF6"/>
      </patternFill>
    </fill>
    <fill>
      <patternFill patternType="solid">
        <fgColor rgb="FFE8F0FE"/>
        <bgColor rgb="FFF2F2F2"/>
      </patternFill>
    </fill>
    <fill>
      <patternFill patternType="solid">
        <fgColor rgb="FFDDEAF6"/>
        <bgColor rgb="FFD6E4F0"/>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center" vertical="center" textRotation="0" wrapText="false" indent="0" shrinkToFit="false"/>
      <protection locked="true" hidden="false"/>
    </xf>
    <xf numFmtId="166" fontId="16" fillId="9"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16" fillId="9" borderId="0" xfId="0" applyFont="true" applyBorder="false" applyAlignment="true" applyProtection="false">
      <alignment horizontal="right" vertical="center" textRotation="0" wrapText="false" indent="0" shrinkToFit="false"/>
      <protection locked="true" hidden="false"/>
    </xf>
    <xf numFmtId="166" fontId="15" fillId="2" borderId="0" xfId="0" applyFont="true" applyBorder="false" applyAlignment="true" applyProtection="false">
      <alignment horizontal="center"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1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7" fontId="8" fillId="10" borderId="1" xfId="0" applyFont="true" applyBorder="true" applyAlignment="true" applyProtection="false">
      <alignment horizontal="right" vertical="center" textRotation="0" wrapText="false" indent="0" shrinkToFit="false"/>
      <protection locked="true" hidden="false"/>
    </xf>
    <xf numFmtId="167" fontId="8"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7" fontId="0" fillId="10" borderId="0" xfId="0" applyFont="true" applyBorder="false" applyAlignment="true" applyProtection="false">
      <alignment horizontal="right" vertical="center" textRotation="0" wrapText="false" indent="0" shrinkToFit="false"/>
      <protection locked="true" hidden="false"/>
    </xf>
    <xf numFmtId="167" fontId="8" fillId="10" borderId="2" xfId="0" applyFont="true" applyBorder="true" applyAlignment="true" applyProtection="false">
      <alignment horizontal="right" vertical="center" textRotation="0" wrapText="false" indent="0" shrinkToFit="false"/>
      <protection locked="true" hidden="false"/>
    </xf>
    <xf numFmtId="167" fontId="8" fillId="0" borderId="2"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7" fontId="18" fillId="0" borderId="1" xfId="0" applyFont="true" applyBorder="true" applyAlignment="true" applyProtection="false">
      <alignment horizontal="right" vertical="center" textRotation="0" wrapText="false" indent="0" shrinkToFit="false"/>
      <protection locked="true" hidden="false"/>
    </xf>
    <xf numFmtId="165" fontId="0" fillId="10"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8" fontId="0" fillId="10"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20" fillId="11"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12"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CC"/>
      <rgbColor rgb="FFFFFF00"/>
      <rgbColor rgb="FFFF00FF"/>
      <rgbColor rgb="FF00FFFF"/>
      <rgbColor rgb="FF800000"/>
      <rgbColor rgb="FF008000"/>
      <rgbColor rgb="FF000080"/>
      <rgbColor rgb="FF808000"/>
      <rgbColor rgb="FF800080"/>
      <rgbColor rgb="FF2C5282"/>
      <rgbColor rgb="FFC0C0C0"/>
      <rgbColor rgb="FF808080"/>
      <rgbColor rgb="FF9999FF"/>
      <rgbColor rgb="FF595959"/>
      <rgbColor rgb="FFF2F2F2"/>
      <rgbColor rgb="FFDDEAF6"/>
      <rgbColor rgb="FF660066"/>
      <rgbColor rgb="FFFF8080"/>
      <rgbColor rgb="FF1F4E79"/>
      <rgbColor rgb="FFC6D9F1"/>
      <rgbColor rgb="FF000080"/>
      <rgbColor rgb="FFFF00FF"/>
      <rgbColor rgb="FFFFFF00"/>
      <rgbColor rgb="FF00FFFF"/>
      <rgbColor rgb="FF800080"/>
      <rgbColor rgb="FF800000"/>
      <rgbColor rgb="FF008080"/>
      <rgbColor rgb="FF0000FF"/>
      <rgbColor rgb="FF00CCFF"/>
      <rgbColor rgb="FFE8F0FE"/>
      <rgbColor rgb="FFD6E4F0"/>
      <rgbColor rgb="FFFFFF99"/>
      <rgbColor rgb="FF99CCFF"/>
      <rgbColor rgb="FFFF99CC"/>
      <rgbColor rgb="FFCC99FF"/>
      <rgbColor rgb="FFFFCC99"/>
      <rgbColor rgb="FF3366FF"/>
      <rgbColor rgb="FF33CCCC"/>
      <rgbColor rgb="FF99CC00"/>
      <rgbColor rgb="FFFFCC00"/>
      <rgbColor rgb="FFFF9900"/>
      <rgbColor rgb="FFFF6600"/>
      <rgbColor rgb="FF4A6FA5"/>
      <rgbColor rgb="FF969696"/>
      <rgbColor rgb="FF1E3A5F"/>
      <rgbColor rgb="FF339966"/>
      <rgbColor rgb="FF003300"/>
      <rgbColor rgb="FF404040"/>
      <rgbColor rgb="FF8B2C2C"/>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3A5F"/>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60"/>
    <col collapsed="false" customWidth="true" hidden="false" outlineLevel="0" max="13" min="4"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6" t="s">
        <v>4</v>
      </c>
    </row>
    <row r="6" customFormat="false" ht="15" hidden="false" customHeight="false" outlineLevel="0" collapsed="false">
      <c r="B6" s="5" t="s">
        <v>5</v>
      </c>
      <c r="C6" s="6" t="s">
        <v>6</v>
      </c>
    </row>
    <row r="7" customFormat="false" ht="15" hidden="false" customHeight="false" outlineLevel="0" collapsed="false">
      <c r="B7" s="5" t="s">
        <v>7</v>
      </c>
      <c r="C7" s="6" t="s">
        <v>8</v>
      </c>
    </row>
    <row r="8" customFormat="false" ht="15" hidden="false" customHeight="false" outlineLevel="0" collapsed="false">
      <c r="B8" s="5" t="s">
        <v>9</v>
      </c>
      <c r="C8" s="7" t="n">
        <v>95.1</v>
      </c>
    </row>
    <row r="9" customFormat="false" ht="15" hidden="false" customHeight="false" outlineLevel="0" collapsed="false">
      <c r="B9" s="5" t="s">
        <v>10</v>
      </c>
      <c r="C9" s="6" t="s">
        <v>11</v>
      </c>
    </row>
    <row r="10" customFormat="false" ht="15" hidden="false" customHeight="false" outlineLevel="0" collapsed="false">
      <c r="B10" s="5" t="s">
        <v>12</v>
      </c>
      <c r="C10" s="6" t="s">
        <v>13</v>
      </c>
    </row>
    <row r="13" customFormat="false" ht="15" hidden="false" customHeight="false" outlineLevel="0" collapsed="false">
      <c r="B13" s="8" t="s">
        <v>14</v>
      </c>
      <c r="C13" s="9"/>
      <c r="D13" s="9"/>
    </row>
    <row r="14" customFormat="false" ht="15" hidden="false" customHeight="false" outlineLevel="0" collapsed="false">
      <c r="B14" s="5" t="s">
        <v>15</v>
      </c>
      <c r="C14" s="10" t="s">
        <v>16</v>
      </c>
    </row>
    <row r="15" customFormat="false" ht="15" hidden="false" customHeight="false" outlineLevel="0" collapsed="false">
      <c r="B15" s="5" t="s">
        <v>17</v>
      </c>
      <c r="C15" s="10" t="s">
        <v>18</v>
      </c>
    </row>
    <row r="16" customFormat="false" ht="15" hidden="false" customHeight="false" outlineLevel="0" collapsed="false">
      <c r="B16" s="5" t="s">
        <v>19</v>
      </c>
      <c r="C16" s="10" t="s">
        <v>20</v>
      </c>
    </row>
    <row r="17" customFormat="false" ht="15" hidden="false" customHeight="false" outlineLevel="0" collapsed="false">
      <c r="B17" s="5" t="s">
        <v>21</v>
      </c>
      <c r="C17" s="10" t="s">
        <v>22</v>
      </c>
    </row>
    <row r="18" customFormat="false" ht="15" hidden="false" customHeight="false" outlineLevel="0" collapsed="false">
      <c r="B18" s="5" t="s">
        <v>23</v>
      </c>
      <c r="C18" s="10" t="s">
        <v>24</v>
      </c>
    </row>
    <row r="19" customFormat="false" ht="15" hidden="false" customHeight="false" outlineLevel="0" collapsed="false">
      <c r="B19" s="5" t="s">
        <v>25</v>
      </c>
      <c r="C19" s="10" t="s">
        <v>26</v>
      </c>
    </row>
    <row r="20" customFormat="false" ht="15" hidden="false" customHeight="false" outlineLevel="0" collapsed="false">
      <c r="B20" s="5" t="s">
        <v>27</v>
      </c>
      <c r="C20" s="10" t="s">
        <v>28</v>
      </c>
    </row>
    <row r="23" customFormat="false" ht="15" hidden="false" customHeight="false" outlineLevel="0" collapsed="false">
      <c r="B23" s="8" t="s">
        <v>29</v>
      </c>
      <c r="C23" s="9"/>
      <c r="D23" s="9"/>
    </row>
    <row r="24" customFormat="false" ht="15" hidden="false" customHeight="false" outlineLevel="0" collapsed="false">
      <c r="B24" s="5" t="s">
        <v>30</v>
      </c>
      <c r="C24" s="10" t="s">
        <v>31</v>
      </c>
      <c r="D24" s="11"/>
    </row>
    <row r="25" customFormat="false" ht="15" hidden="false" customHeight="false" outlineLevel="0" collapsed="false">
      <c r="B25" s="5" t="s">
        <v>32</v>
      </c>
      <c r="C25" s="10" t="s">
        <v>33</v>
      </c>
      <c r="D25" s="12"/>
    </row>
    <row r="26" customFormat="false" ht="15" hidden="false" customHeight="false" outlineLevel="0" collapsed="false">
      <c r="B26" s="5" t="s">
        <v>34</v>
      </c>
      <c r="C26" s="10" t="s">
        <v>35</v>
      </c>
      <c r="D26" s="13"/>
    </row>
    <row r="27" customFormat="false" ht="15" hidden="false" customHeight="false" outlineLevel="0" collapsed="false">
      <c r="B27" s="5" t="s">
        <v>36</v>
      </c>
      <c r="C27" s="10" t="s">
        <v>27</v>
      </c>
      <c r="D27" s="14"/>
    </row>
    <row r="30" customFormat="false" ht="19.5" hidden="false" customHeight="true" outlineLevel="0" collapsed="false">
      <c r="B30" s="15" t="s">
        <v>37</v>
      </c>
      <c r="C30" s="16"/>
      <c r="D30" s="16"/>
      <c r="E30" s="16"/>
      <c r="F30" s="16"/>
      <c r="G30" s="16"/>
    </row>
    <row r="31" customFormat="false" ht="233.25" hidden="false" customHeight="true" outlineLevel="0" collapsed="false">
      <c r="B31" s="17" t="s">
        <v>38</v>
      </c>
      <c r="C31" s="17"/>
      <c r="D31" s="17"/>
      <c r="E31" s="17"/>
      <c r="F31" s="17"/>
      <c r="G31" s="17"/>
    </row>
    <row r="33" customFormat="false" ht="19.5" hidden="false" customHeight="true" outlineLevel="0" collapsed="false">
      <c r="B33" s="15" t="s">
        <v>39</v>
      </c>
      <c r="C33" s="16"/>
      <c r="D33" s="16"/>
      <c r="E33" s="16"/>
      <c r="F33" s="16"/>
      <c r="G33" s="16"/>
    </row>
    <row r="34" customFormat="false" ht="57" hidden="false" customHeight="true" outlineLevel="0" collapsed="false">
      <c r="B34" s="17" t="s">
        <v>40</v>
      </c>
      <c r="C34" s="17"/>
      <c r="D34" s="17"/>
      <c r="E34" s="17"/>
      <c r="F34" s="17"/>
      <c r="G34" s="17"/>
    </row>
    <row r="35" customFormat="false" ht="15" hidden="false" customHeight="false" outlineLevel="0" collapsed="false">
      <c r="B35" s="18" t="s">
        <v>41</v>
      </c>
      <c r="C35" s="18"/>
      <c r="D35" s="18"/>
      <c r="E35" s="18"/>
      <c r="F35" s="18"/>
      <c r="G35" s="18"/>
    </row>
    <row r="36" customFormat="false" ht="15" hidden="false" customHeight="false" outlineLevel="0" collapsed="false">
      <c r="B36" s="19" t="s">
        <v>42</v>
      </c>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5282"/>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6"/>
    <col collapsed="false" customWidth="true" hidden="false" outlineLevel="0" max="4" min="4" style="0" width="12"/>
    <col collapsed="false" customWidth="true" hidden="false" outlineLevel="0" max="5" min="5" style="0" width="40"/>
    <col collapsed="false" customWidth="true" hidden="false" outlineLevel="0" max="13" min="6"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43</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0" t="s">
        <v>44</v>
      </c>
      <c r="C5" s="21" t="s">
        <v>45</v>
      </c>
      <c r="D5" s="21" t="s">
        <v>46</v>
      </c>
      <c r="E5" s="21" t="s">
        <v>47</v>
      </c>
    </row>
    <row r="7" customFormat="false" ht="15" hidden="false" customHeight="false" outlineLevel="0" collapsed="false">
      <c r="B7" s="10" t="s">
        <v>48</v>
      </c>
      <c r="C7" s="22" t="n">
        <v>2021</v>
      </c>
      <c r="D7" s="23" t="s">
        <v>49</v>
      </c>
      <c r="E7" s="23" t="s">
        <v>50</v>
      </c>
    </row>
    <row r="8" customFormat="false" ht="15" hidden="false" customHeight="false" outlineLevel="0" collapsed="false">
      <c r="B8" s="10" t="s">
        <v>51</v>
      </c>
      <c r="C8" s="24" t="n">
        <v>0.110310350749499</v>
      </c>
      <c r="D8" s="23" t="s">
        <v>52</v>
      </c>
      <c r="E8" s="23" t="s">
        <v>53</v>
      </c>
    </row>
    <row r="9" customFormat="false" ht="15" hidden="false" customHeight="false" outlineLevel="0" collapsed="false">
      <c r="B9" s="10" t="s">
        <v>54</v>
      </c>
      <c r="C9" s="24" t="n">
        <v>0.55</v>
      </c>
      <c r="D9" s="23" t="s">
        <v>52</v>
      </c>
      <c r="E9" s="23" t="s">
        <v>55</v>
      </c>
    </row>
    <row r="10" customFormat="false" ht="15" hidden="false" customHeight="false" outlineLevel="0" collapsed="false">
      <c r="B10" s="10" t="s">
        <v>56</v>
      </c>
      <c r="C10" s="24" t="n">
        <v>0.0446492156012635</v>
      </c>
      <c r="D10" s="23" t="s">
        <v>52</v>
      </c>
      <c r="E10" s="23" t="s">
        <v>57</v>
      </c>
    </row>
    <row r="11" customFormat="false" ht="15" hidden="false" customHeight="false" outlineLevel="0" collapsed="false">
      <c r="B11" s="10" t="s">
        <v>58</v>
      </c>
      <c r="C11" s="24" t="n">
        <v>0.0850952928674023</v>
      </c>
      <c r="D11" s="23" t="s">
        <v>52</v>
      </c>
      <c r="E11" s="23" t="s">
        <v>57</v>
      </c>
    </row>
    <row r="12" customFormat="false" ht="15" hidden="false" customHeight="false" outlineLevel="0" collapsed="false">
      <c r="B12" s="10" t="s">
        <v>59</v>
      </c>
      <c r="C12" s="24" t="n">
        <v>0.0652557519061845</v>
      </c>
      <c r="D12" s="23" t="s">
        <v>52</v>
      </c>
      <c r="E12" s="23" t="s">
        <v>57</v>
      </c>
    </row>
    <row r="13" customFormat="false" ht="15" hidden="false" customHeight="false" outlineLevel="0" collapsed="false">
      <c r="B13" s="10" t="s">
        <v>60</v>
      </c>
      <c r="C13" s="24" t="n">
        <v>0.156494908312438</v>
      </c>
      <c r="D13" s="23" t="s">
        <v>52</v>
      </c>
      <c r="E13" s="23" t="s">
        <v>57</v>
      </c>
    </row>
    <row r="14" customFormat="false" ht="15" hidden="false" customHeight="false" outlineLevel="0" collapsed="false">
      <c r="B14" s="10" t="s">
        <v>61</v>
      </c>
      <c r="C14" s="24" t="n">
        <v>0.0350415480789536</v>
      </c>
      <c r="D14" s="23" t="s">
        <v>52</v>
      </c>
      <c r="E14" s="23" t="s">
        <v>62</v>
      </c>
    </row>
    <row r="15" customFormat="false" ht="15" hidden="false" customHeight="false" outlineLevel="0" collapsed="false">
      <c r="B15" s="10" t="s">
        <v>63</v>
      </c>
      <c r="C15" s="24" t="n">
        <v>-0.00531050493325595</v>
      </c>
      <c r="D15" s="23" t="s">
        <v>52</v>
      </c>
      <c r="E15" s="23" t="s">
        <v>57</v>
      </c>
    </row>
    <row r="16" customFormat="false" ht="15" hidden="false" customHeight="false" outlineLevel="0" collapsed="false">
      <c r="B16" s="10" t="s">
        <v>64</v>
      </c>
      <c r="C16" s="24" t="n">
        <v>2.03933546140453</v>
      </c>
      <c r="D16" s="23" t="s">
        <v>52</v>
      </c>
      <c r="E16" s="23" t="s">
        <v>57</v>
      </c>
    </row>
    <row r="17" customFormat="false" ht="15" hidden="false" customHeight="false" outlineLevel="0" collapsed="false">
      <c r="B17" s="10" t="s">
        <v>65</v>
      </c>
      <c r="C17" s="24" t="n">
        <v>0.899506674405107</v>
      </c>
      <c r="D17" s="23" t="s">
        <v>52</v>
      </c>
      <c r="E17" s="23" t="s">
        <v>57</v>
      </c>
    </row>
    <row r="18" customFormat="false" ht="15" hidden="false" customHeight="false" outlineLevel="0" collapsed="false">
      <c r="B18" s="10" t="s">
        <v>66</v>
      </c>
      <c r="C18" s="24" t="n">
        <v>0.05</v>
      </c>
      <c r="D18" s="23" t="s">
        <v>52</v>
      </c>
      <c r="E18" s="23" t="s">
        <v>67</v>
      </c>
    </row>
    <row r="19" customFormat="false" ht="15" hidden="false" customHeight="false" outlineLevel="0" collapsed="false">
      <c r="B19" s="10" t="s">
        <v>68</v>
      </c>
      <c r="C19" s="24" t="n">
        <v>0.0416241673194644</v>
      </c>
      <c r="D19" s="23" t="s">
        <v>52</v>
      </c>
      <c r="E19" s="23" t="s">
        <v>57</v>
      </c>
    </row>
    <row r="20" customFormat="false" ht="15" hidden="false" customHeight="false" outlineLevel="0" collapsed="false">
      <c r="B20" s="10" t="s">
        <v>69</v>
      </c>
      <c r="C20" s="24" t="n">
        <v>0.719663268478734</v>
      </c>
      <c r="D20" s="23" t="s">
        <v>52</v>
      </c>
      <c r="E20" s="23" t="s">
        <v>57</v>
      </c>
    </row>
    <row r="21" customFormat="false" ht="15" hidden="false" customHeight="false" outlineLevel="0" collapsed="false">
      <c r="B21" s="10" t="s">
        <v>70</v>
      </c>
      <c r="C21" s="24" t="n">
        <v>1.04207429284714</v>
      </c>
      <c r="D21" s="23" t="s">
        <v>52</v>
      </c>
      <c r="E21" s="23" t="s">
        <v>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5282"/>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71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72</v>
      </c>
      <c r="C3" s="1"/>
      <c r="D3" s="1"/>
      <c r="E3" s="1"/>
      <c r="F3" s="1"/>
      <c r="G3" s="1"/>
      <c r="H3" s="1"/>
      <c r="I3" s="1"/>
      <c r="J3" s="1"/>
      <c r="K3" s="1"/>
      <c r="L3" s="1"/>
      <c r="M3" s="1"/>
      <c r="N3" s="1"/>
      <c r="O3" s="1"/>
      <c r="P3" s="1"/>
      <c r="Q3" s="1"/>
      <c r="R3" s="1"/>
      <c r="S3" s="1"/>
      <c r="T3" s="1"/>
      <c r="U3" s="1"/>
      <c r="V3" s="1"/>
      <c r="W3" s="1"/>
      <c r="X3" s="1"/>
      <c r="Y3" s="1"/>
      <c r="Z3" s="1"/>
      <c r="AA3" s="1"/>
      <c r="AB3" s="1"/>
      <c r="AC3" s="1"/>
      <c r="AD3" s="1"/>
    </row>
    <row r="6" customFormat="false" ht="15" hidden="false" customHeight="false" outlineLevel="0" collapsed="false">
      <c r="B6" s="20" t="s">
        <v>73</v>
      </c>
      <c r="C6" s="25" t="n">
        <v>2021</v>
      </c>
      <c r="D6" s="25" t="n">
        <v>2022</v>
      </c>
      <c r="E6" s="25" t="n">
        <v>2023</v>
      </c>
      <c r="F6" s="25" t="n">
        <v>2024</v>
      </c>
      <c r="G6" s="25" t="n">
        <v>2025</v>
      </c>
    </row>
    <row r="7" customFormat="false" ht="15" hidden="false" customHeight="false" outlineLevel="0" collapsed="false">
      <c r="B7" s="10" t="s">
        <v>74</v>
      </c>
      <c r="C7" s="26" t="n">
        <v>45349</v>
      </c>
      <c r="D7" s="26" t="n">
        <v>56587</v>
      </c>
      <c r="E7" s="26" t="n">
        <v>64388</v>
      </c>
      <c r="F7" s="26" t="n">
        <v>67074</v>
      </c>
      <c r="G7" s="26" t="n">
        <v>68920</v>
      </c>
    </row>
    <row r="8" customFormat="false" ht="15" hidden="false" customHeight="false" outlineLevel="0" collapsed="false">
      <c r="B8" s="10" t="s">
        <v>75</v>
      </c>
      <c r="C8" s="26"/>
      <c r="D8" s="26"/>
      <c r="E8" s="26"/>
      <c r="F8" s="26"/>
      <c r="G8" s="26"/>
    </row>
    <row r="9" customFormat="false" ht="15" hidden="false" customHeight="false" outlineLevel="0" collapsed="false">
      <c r="B9" s="10" t="s">
        <v>76</v>
      </c>
      <c r="C9" s="26" t="n">
        <v>-2452</v>
      </c>
      <c r="D9" s="26" t="n">
        <v>-2582</v>
      </c>
      <c r="E9" s="26" t="n">
        <v>-2732</v>
      </c>
      <c r="F9" s="26" t="n">
        <v>-2711</v>
      </c>
      <c r="G9" s="26" t="n">
        <v>-2805</v>
      </c>
    </row>
    <row r="10" customFormat="false" ht="15" hidden="false" customHeight="false" outlineLevel="0" collapsed="false">
      <c r="B10" s="10" t="s">
        <v>77</v>
      </c>
      <c r="C10" s="26" t="n">
        <v>-3711</v>
      </c>
      <c r="D10" s="26" t="n">
        <v>-5540</v>
      </c>
      <c r="E10" s="26" t="n">
        <v>-5046</v>
      </c>
      <c r="F10" s="26" t="n">
        <v>-5573</v>
      </c>
      <c r="G10" s="26" t="n">
        <v>-5809</v>
      </c>
    </row>
    <row r="11" customFormat="false" ht="15" hidden="false" customHeight="false" outlineLevel="0" collapsed="false">
      <c r="B11" s="10" t="s">
        <v>78</v>
      </c>
      <c r="C11" s="26" t="n">
        <v>-2708</v>
      </c>
      <c r="D11" s="26" t="n">
        <v>-4156</v>
      </c>
      <c r="E11" s="26" t="n">
        <v>-4557</v>
      </c>
      <c r="F11" s="26" t="n">
        <v>-4108</v>
      </c>
      <c r="G11" s="26" t="n">
        <v>-4211</v>
      </c>
    </row>
    <row r="12" customFormat="false" ht="15" hidden="false" customHeight="false" outlineLevel="0" collapsed="false">
      <c r="B12" s="10" t="s">
        <v>79</v>
      </c>
      <c r="C12" s="26" t="n">
        <v>-421</v>
      </c>
      <c r="D12" s="26" t="n">
        <v>-575</v>
      </c>
      <c r="E12" s="26" t="n">
        <v>-964</v>
      </c>
      <c r="F12" s="26" t="n">
        <v>-790</v>
      </c>
      <c r="G12" s="26" t="n">
        <v>-456</v>
      </c>
    </row>
    <row r="13" customFormat="false" ht="15" hidden="false" customHeight="false" outlineLevel="0" collapsed="false">
      <c r="B13" s="10" t="s">
        <v>80</v>
      </c>
      <c r="C13" s="26" t="n">
        <v>4152</v>
      </c>
      <c r="D13" s="26" t="n">
        <v>-2353</v>
      </c>
      <c r="E13" s="26" t="n">
        <v>5109</v>
      </c>
      <c r="F13" s="26" t="n">
        <v>6117</v>
      </c>
      <c r="G13" s="26" t="n">
        <v>3836</v>
      </c>
    </row>
    <row r="14" customFormat="false" ht="15" hidden="false" customHeight="false" outlineLevel="0" collapsed="false">
      <c r="B14" s="10" t="s">
        <v>81</v>
      </c>
      <c r="C14" s="26" t="n">
        <v>5537</v>
      </c>
      <c r="D14" s="26" t="n">
        <v>-3519</v>
      </c>
      <c r="E14" s="26" t="n">
        <v>3864</v>
      </c>
      <c r="F14" s="26" t="n">
        <v>5197</v>
      </c>
      <c r="G14" s="26" t="n">
        <v>3195</v>
      </c>
    </row>
    <row r="15" customFormat="false" ht="15" hidden="false" customHeight="false" outlineLevel="0" collapsed="false">
      <c r="B15" s="10" t="s">
        <v>82</v>
      </c>
      <c r="C15" s="26" t="n">
        <v>-1868</v>
      </c>
      <c r="D15" s="26" t="n">
        <v>-1795</v>
      </c>
      <c r="E15" s="26" t="n">
        <v>-2134</v>
      </c>
      <c r="F15" s="26" t="n">
        <v>-2288</v>
      </c>
      <c r="G15" s="26" t="n">
        <v>-2415</v>
      </c>
    </row>
    <row r="16" customFormat="false" ht="15" hidden="false" customHeight="false" outlineLevel="0" collapsed="false">
      <c r="B16" s="10" t="s">
        <v>83</v>
      </c>
      <c r="C16" s="26" t="n">
        <v>4937</v>
      </c>
      <c r="D16" s="26" t="n">
        <v>8802</v>
      </c>
      <c r="E16" s="26" t="n">
        <v>7832</v>
      </c>
      <c r="F16" s="26" t="n">
        <v>6220</v>
      </c>
      <c r="G16" s="26" t="n">
        <v>6587</v>
      </c>
    </row>
    <row r="17" customFormat="false" ht="15" hidden="false" customHeight="false" outlineLevel="0" collapsed="false">
      <c r="B17" s="10" t="s">
        <v>84</v>
      </c>
      <c r="C17" s="26" t="n">
        <v>7528</v>
      </c>
      <c r="D17" s="26" t="n">
        <v>6601</v>
      </c>
      <c r="E17" s="26" t="n">
        <v>3329</v>
      </c>
      <c r="F17" s="26" t="n">
        <v>1656</v>
      </c>
      <c r="G17" s="26" t="n">
        <v>-366</v>
      </c>
    </row>
    <row r="18" customFormat="false" ht="15" hidden="false" customHeight="false" outlineLevel="0" collapsed="false">
      <c r="B18" s="10" t="s">
        <v>85</v>
      </c>
      <c r="C18" s="26" t="n">
        <v>14962</v>
      </c>
      <c r="D18" s="26" t="n">
        <v>14972</v>
      </c>
      <c r="E18" s="26" t="n">
        <v>15170</v>
      </c>
      <c r="F18" s="26" t="n">
        <v>15748</v>
      </c>
      <c r="G18" s="26" t="n">
        <v>16089</v>
      </c>
    </row>
    <row r="19" customFormat="false" ht="15" hidden="false" customHeight="false" outlineLevel="0" collapsed="false">
      <c r="B19" s="10" t="s">
        <v>86</v>
      </c>
      <c r="C19" s="26" t="n">
        <v>162153</v>
      </c>
      <c r="D19" s="26" t="n">
        <v>161404</v>
      </c>
      <c r="E19" s="26" t="n">
        <v>158864</v>
      </c>
      <c r="F19" s="26" t="n">
        <v>161869</v>
      </c>
      <c r="G19" s="26" t="n">
        <v>162861</v>
      </c>
    </row>
    <row r="20" customFormat="false" ht="15" hidden="false" customHeight="false" outlineLevel="0" collapsed="false">
      <c r="B20" s="10" t="s">
        <v>87</v>
      </c>
      <c r="C20" s="26" t="n">
        <v>88269</v>
      </c>
      <c r="D20" s="26" t="n">
        <v>86705</v>
      </c>
      <c r="E20" s="26" t="n">
        <v>84650</v>
      </c>
      <c r="F20" s="26" t="n">
        <v>100424</v>
      </c>
      <c r="G20" s="26" t="n">
        <v>100903</v>
      </c>
    </row>
    <row r="21" customFormat="false" ht="15" hidden="false" customHeight="false" outlineLevel="0" collapsed="false">
      <c r="B21" s="10" t="s">
        <v>88</v>
      </c>
      <c r="C21" s="26" t="n">
        <v>31273</v>
      </c>
      <c r="D21" s="26" t="n">
        <v>31461</v>
      </c>
      <c r="E21" s="26" t="n">
        <v>31319</v>
      </c>
      <c r="F21" s="26" t="n">
        <v>42544</v>
      </c>
      <c r="G21" s="26" t="n">
        <v>38909</v>
      </c>
    </row>
    <row r="22" customFormat="false" ht="15" hidden="false" customHeight="false" outlineLevel="0" collapsed="false">
      <c r="B22" s="10" t="s">
        <v>89</v>
      </c>
      <c r="C22" s="26" t="n">
        <v>-2442</v>
      </c>
      <c r="D22" s="26" t="n">
        <v>-2732</v>
      </c>
      <c r="E22" s="26" t="n">
        <v>-2957</v>
      </c>
      <c r="F22" s="26" t="n">
        <v>-3128</v>
      </c>
      <c r="G22" s="26" t="n">
        <v>-3239</v>
      </c>
    </row>
    <row r="23" customFormat="false" ht="15" hidden="false" customHeight="false" outlineLevel="0" collapsed="false">
      <c r="B23" s="10" t="s">
        <v>90</v>
      </c>
      <c r="C23" s="26" t="n">
        <v>-151</v>
      </c>
      <c r="D23" s="26" t="n">
        <v>-47</v>
      </c>
      <c r="E23" s="26" t="n">
        <v>-2327</v>
      </c>
      <c r="F23" s="26" t="n">
        <v>-2803</v>
      </c>
      <c r="G23" s="26" t="n">
        <v>-12870</v>
      </c>
    </row>
    <row r="24" customFormat="false" ht="15" hidden="false" customHeight="false" outlineLevel="0" collapsed="false">
      <c r="B24" s="10" t="s">
        <v>91</v>
      </c>
      <c r="C24" s="26" t="n">
        <v>-1591</v>
      </c>
      <c r="D24" s="26" t="n">
        <v>-1366</v>
      </c>
      <c r="E24" s="26" t="n">
        <v>-1322</v>
      </c>
      <c r="F24" s="26" t="n">
        <v>-1276</v>
      </c>
      <c r="G24" s="26"/>
    </row>
    <row r="25" customFormat="false" ht="15" hidden="false" customHeight="false" outlineLevel="0" collapsed="false">
      <c r="B25" s="10" t="s">
        <v>92</v>
      </c>
      <c r="C25" s="26"/>
      <c r="D25" s="26"/>
      <c r="E25" s="26"/>
      <c r="F25" s="26" t="n">
        <v>7168</v>
      </c>
      <c r="G25" s="26" t="n">
        <v>7883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9" customFormat="false" ht="15" hidden="false" customHeight="false" outlineLevel="0" collapsed="false">
      <c r="B9" s="31" t="s">
        <v>74</v>
      </c>
      <c r="C9" s="32" t="n">
        <f aca="false">Historical_Data!C7</f>
        <v>45349</v>
      </c>
      <c r="D9" s="32" t="n">
        <f aca="false">Historical_Data!D7</f>
        <v>56587</v>
      </c>
      <c r="E9" s="32" t="n">
        <f aca="false">Historical_Data!E7</f>
        <v>64388</v>
      </c>
      <c r="F9" s="32" t="n">
        <f aca="false">Historical_Data!F7</f>
        <v>67074</v>
      </c>
      <c r="G9" s="32" t="n">
        <f aca="false">Historical_Data!G7</f>
        <v>68920</v>
      </c>
      <c r="H9" s="33" t="n">
        <f aca="false">G9*(1+Revenue_Growth)</f>
        <v>76522.5893736554</v>
      </c>
      <c r="I9" s="33" t="n">
        <f aca="false">H9*(1+Revenue_Growth)</f>
        <v>84963.8230477232</v>
      </c>
      <c r="J9" s="33" t="n">
        <f aca="false">I9*(1+Revenue_Growth)</f>
        <v>94336.2121691359</v>
      </c>
      <c r="K9" s="33" t="n">
        <f aca="false">J9*(1+Revenue_Growth)</f>
        <v>104742.472821892</v>
      </c>
      <c r="L9" s="33" t="n">
        <f aca="false">K9*(1+Revenue_Growth)</f>
        <v>116296.651737245</v>
      </c>
    </row>
    <row r="10" customFormat="false" ht="15" hidden="false" customHeight="false" outlineLevel="0" collapsed="false">
      <c r="B10" s="34" t="s">
        <v>97</v>
      </c>
      <c r="C10" s="35" t="n">
        <f aca="false">Historical_Data!C8</f>
        <v>0</v>
      </c>
      <c r="D10" s="35" t="n">
        <f aca="false">Historical_Data!D8</f>
        <v>0</v>
      </c>
      <c r="E10" s="35" t="n">
        <f aca="false">Historical_Data!E8</f>
        <v>0</v>
      </c>
      <c r="F10" s="35" t="n">
        <f aca="false">Historical_Data!F8</f>
        <v>0</v>
      </c>
      <c r="G10" s="35" t="n">
        <f aca="false">Historical_Data!G8</f>
        <v>0</v>
      </c>
      <c r="H10" s="26" t="n">
        <f aca="false">-H9*COGS_Pct_Revenue</f>
        <v>-42087.4241555105</v>
      </c>
      <c r="I10" s="26" t="n">
        <f aca="false">-I9*COGS_Pct_Revenue</f>
        <v>-46730.1026762478</v>
      </c>
      <c r="J10" s="26" t="n">
        <f aca="false">-J9*COGS_Pct_Revenue</f>
        <v>-51884.9166930248</v>
      </c>
      <c r="K10" s="26" t="n">
        <f aca="false">-K9*COGS_Pct_Revenue</f>
        <v>-57608.3600520409</v>
      </c>
      <c r="L10" s="26" t="n">
        <f aca="false">-L9*COGS_Pct_Revenue</f>
        <v>-63963.1584554849</v>
      </c>
    </row>
    <row r="11" customFormat="false" ht="15" hidden="false" customHeight="false" outlineLevel="0" collapsed="false">
      <c r="B11" s="31" t="s">
        <v>98</v>
      </c>
      <c r="C11" s="36" t="n">
        <f aca="false">C9+C10</f>
        <v>45349</v>
      </c>
      <c r="D11" s="36" t="n">
        <f aca="false">D9+D10</f>
        <v>56587</v>
      </c>
      <c r="E11" s="36" t="n">
        <f aca="false">E9+E10</f>
        <v>64388</v>
      </c>
      <c r="F11" s="36" t="n">
        <f aca="false">F9+F10</f>
        <v>67074</v>
      </c>
      <c r="G11" s="36" t="n">
        <f aca="false">G9+G10</f>
        <v>68920</v>
      </c>
      <c r="H11" s="37" t="n">
        <f aca="false">H9+H10</f>
        <v>34435.1652181449</v>
      </c>
      <c r="I11" s="37" t="n">
        <f aca="false">I9+I10</f>
        <v>38233.7203714755</v>
      </c>
      <c r="J11" s="37" t="n">
        <f aca="false">J9+J10</f>
        <v>42451.2954761112</v>
      </c>
      <c r="K11" s="37" t="n">
        <f aca="false">K9+K10</f>
        <v>47134.1127698516</v>
      </c>
      <c r="L11" s="37" t="n">
        <f aca="false">L9+L10</f>
        <v>52333.4932817604</v>
      </c>
    </row>
    <row r="13" customFormat="false" ht="15" hidden="false" customHeight="false" outlineLevel="0" collapsed="false">
      <c r="B13" s="34" t="s">
        <v>99</v>
      </c>
      <c r="C13" s="35" t="n">
        <f aca="false">Historical_Data!C9</f>
        <v>-2452</v>
      </c>
      <c r="D13" s="35" t="n">
        <f aca="false">Historical_Data!D9</f>
        <v>-2582</v>
      </c>
      <c r="E13" s="35" t="n">
        <f aca="false">Historical_Data!E9</f>
        <v>-2732</v>
      </c>
      <c r="F13" s="35" t="n">
        <f aca="false">Historical_Data!F9</f>
        <v>-2711</v>
      </c>
      <c r="G13" s="35" t="n">
        <f aca="false">Historical_Data!G9</f>
        <v>-2805</v>
      </c>
      <c r="H13" s="26" t="n">
        <f aca="false">-H9*RD_Pct_Revenue</f>
        <v>-3416.6735913113</v>
      </c>
      <c r="I13" s="26" t="n">
        <f aca="false">-I9*RD_Pct_Revenue</f>
        <v>-3793.5680535654</v>
      </c>
      <c r="J13" s="26" t="n">
        <f aca="false">-J9*RD_Pct_Revenue</f>
        <v>-4212.03787614629</v>
      </c>
      <c r="K13" s="26" t="n">
        <f aca="false">-K9*RD_Pct_Revenue</f>
        <v>-4676.66925163416</v>
      </c>
      <c r="L13" s="26" t="n">
        <f aca="false">-L9*RD_Pct_Revenue</f>
        <v>-5192.55427712132</v>
      </c>
    </row>
    <row r="14" customFormat="false" ht="15" hidden="false" customHeight="false" outlineLevel="0" collapsed="false">
      <c r="B14" s="34" t="s">
        <v>100</v>
      </c>
      <c r="C14" s="35" t="n">
        <f aca="false">Historical_Data!C10</f>
        <v>-3711</v>
      </c>
      <c r="D14" s="35" t="n">
        <f aca="false">Historical_Data!D10</f>
        <v>-5540</v>
      </c>
      <c r="E14" s="35" t="n">
        <f aca="false">Historical_Data!E10</f>
        <v>-5046</v>
      </c>
      <c r="F14" s="35" t="n">
        <f aca="false">Historical_Data!F10</f>
        <v>-5573</v>
      </c>
      <c r="G14" s="35" t="n">
        <f aca="false">Historical_Data!G10</f>
        <v>-5809</v>
      </c>
      <c r="H14" s="26" t="n">
        <f aca="false">-H9*SGA_Pct_Revenue</f>
        <v>-6511.71215372318</v>
      </c>
      <c r="I14" s="26" t="n">
        <f aca="false">-I9*SGA_Pct_Revenue</f>
        <v>-7230.02140538016</v>
      </c>
      <c r="J14" s="26" t="n">
        <f aca="false">-J9*SGA_Pct_Revenue</f>
        <v>-8027.56760253403</v>
      </c>
      <c r="K14" s="26" t="n">
        <f aca="false">-K9*SGA_Pct_Revenue</f>
        <v>-8913.09140043487</v>
      </c>
      <c r="L14" s="26" t="n">
        <f aca="false">-L9*SGA_Pct_Revenue</f>
        <v>-9896.29763907918</v>
      </c>
    </row>
    <row r="15" customFormat="false" ht="15" hidden="false" customHeight="false" outlineLevel="0" collapsed="false">
      <c r="B15" s="31" t="s">
        <v>101</v>
      </c>
      <c r="C15" s="36" t="n">
        <f aca="false">C11+C13+C14</f>
        <v>39186</v>
      </c>
      <c r="D15" s="36" t="n">
        <f aca="false">D11+D13+D14</f>
        <v>48465</v>
      </c>
      <c r="E15" s="36" t="n">
        <f aca="false">E11+E13+E14</f>
        <v>56610</v>
      </c>
      <c r="F15" s="36" t="n">
        <f aca="false">F11+F13+F14</f>
        <v>58790</v>
      </c>
      <c r="G15" s="36" t="n">
        <f aca="false">G11+G13+G14</f>
        <v>60306</v>
      </c>
      <c r="H15" s="37" t="n">
        <f aca="false">H11+H13+H14</f>
        <v>24506.7794731105</v>
      </c>
      <c r="I15" s="37" t="n">
        <f aca="false">I11+I13+I14</f>
        <v>27210.1309125299</v>
      </c>
      <c r="J15" s="37" t="n">
        <f aca="false">J11+J13+J14</f>
        <v>30211.6899974309</v>
      </c>
      <c r="K15" s="37" t="n">
        <f aca="false">K11+K13+K14</f>
        <v>33544.3521177826</v>
      </c>
      <c r="L15" s="37" t="n">
        <f aca="false">L11+L13+L14</f>
        <v>37244.6413655598</v>
      </c>
    </row>
    <row r="17" customFormat="false" ht="15" hidden="false" customHeight="false" outlineLevel="0" collapsed="false">
      <c r="B17" s="34" t="s">
        <v>102</v>
      </c>
      <c r="C17" s="35" t="n">
        <f aca="false">Historical_Data!C11</f>
        <v>-2708</v>
      </c>
      <c r="D17" s="35" t="n">
        <f aca="false">Historical_Data!D11</f>
        <v>-4156</v>
      </c>
      <c r="E17" s="35" t="n">
        <f aca="false">Historical_Data!E11</f>
        <v>-4557</v>
      </c>
      <c r="F17" s="35" t="n">
        <f aca="false">Historical_Data!F11</f>
        <v>-4108</v>
      </c>
      <c r="G17" s="35" t="n">
        <f aca="false">Historical_Data!G11</f>
        <v>-4211</v>
      </c>
      <c r="H17" s="26" t="n">
        <f aca="false">-H9*DA_Pct_Revenue</f>
        <v>-4993.53910738609</v>
      </c>
      <c r="I17" s="26" t="n">
        <f aca="false">-I9*DA_Pct_Revenue</f>
        <v>-5544.37815780319</v>
      </c>
      <c r="J17" s="26" t="n">
        <f aca="false">-J9*DA_Pct_Revenue</f>
        <v>-6155.98045707832</v>
      </c>
      <c r="K17" s="26" t="n">
        <f aca="false">-K9*DA_Pct_Revenue</f>
        <v>-6835.04882050568</v>
      </c>
      <c r="L17" s="26" t="n">
        <f aca="false">-L9*DA_Pct_Revenue</f>
        <v>-7589.02545328561</v>
      </c>
    </row>
    <row r="18" customFormat="false" ht="15" hidden="false" customHeight="false" outlineLevel="0" collapsed="false">
      <c r="B18" s="31" t="s">
        <v>103</v>
      </c>
      <c r="C18" s="36" t="n">
        <f aca="false">C15+C17</f>
        <v>36478</v>
      </c>
      <c r="D18" s="36" t="n">
        <f aca="false">D15+D17</f>
        <v>44309</v>
      </c>
      <c r="E18" s="36" t="n">
        <f aca="false">E15+E17</f>
        <v>52053</v>
      </c>
      <c r="F18" s="36" t="n">
        <f aca="false">F15+F17</f>
        <v>54682</v>
      </c>
      <c r="G18" s="36" t="n">
        <f aca="false">G15+G17</f>
        <v>56095</v>
      </c>
      <c r="H18" s="37" t="n">
        <f aca="false">H15+H17</f>
        <v>19513.2403657244</v>
      </c>
      <c r="I18" s="37" t="n">
        <f aca="false">I15+I17</f>
        <v>21665.7527547267</v>
      </c>
      <c r="J18" s="37" t="n">
        <f aca="false">J15+J17</f>
        <v>24055.7095403525</v>
      </c>
      <c r="K18" s="37" t="n">
        <f aca="false">K15+K17</f>
        <v>26709.3032972769</v>
      </c>
      <c r="L18" s="37" t="n">
        <f aca="false">L15+L17</f>
        <v>29655.6159122742</v>
      </c>
    </row>
    <row r="20" customFormat="false" ht="15" hidden="false" customHeight="false" outlineLevel="0" collapsed="false">
      <c r="B20" s="34" t="s">
        <v>91</v>
      </c>
      <c r="C20" s="35" t="n">
        <f aca="false">Historical_Data!C24</f>
        <v>-1591</v>
      </c>
      <c r="D20" s="35" t="n">
        <f aca="false">Historical_Data!D24</f>
        <v>-1366</v>
      </c>
      <c r="E20" s="35" t="n">
        <f aca="false">Historical_Data!E24</f>
        <v>-1322</v>
      </c>
      <c r="F20" s="35" t="n">
        <f aca="false">Historical_Data!F24</f>
        <v>-1276</v>
      </c>
      <c r="G20" s="35" t="n">
        <f aca="false">Historical_Data!G24</f>
        <v>0</v>
      </c>
      <c r="H20" s="26" t="n">
        <f aca="false">-AVERAGE(Balance_Sheet!G16,Balance_Sheet!H16)*Interest_Rate</f>
        <v>-1579.06585807722</v>
      </c>
      <c r="I20" s="26" t="n">
        <f aca="false">-AVERAGE(Balance_Sheet!H16,Balance_Sheet!I16)*Interest_Rate</f>
        <v>-1500.11256517336</v>
      </c>
      <c r="J20" s="26" t="n">
        <f aca="false">-AVERAGE(Balance_Sheet!I16,Balance_Sheet!J16)*Interest_Rate</f>
        <v>-1425.10693691469</v>
      </c>
      <c r="K20" s="26" t="n">
        <f aca="false">-AVERAGE(Balance_Sheet!J16,Balance_Sheet!K16)*Interest_Rate</f>
        <v>-1353.85159006895</v>
      </c>
      <c r="L20" s="26" t="n">
        <f aca="false">-AVERAGE(Balance_Sheet!K16,Balance_Sheet!L16)*Interest_Rate</f>
        <v>-1286.15901056551</v>
      </c>
    </row>
    <row r="21" customFormat="false" ht="15" hidden="false" customHeight="false" outlineLevel="0" collapsed="false">
      <c r="B21" s="31" t="s">
        <v>80</v>
      </c>
      <c r="C21" s="32" t="n">
        <f aca="false">Historical_Data!C13</f>
        <v>4152</v>
      </c>
      <c r="D21" s="32" t="n">
        <f aca="false">Historical_Data!D13</f>
        <v>-2353</v>
      </c>
      <c r="E21" s="32" t="n">
        <f aca="false">Historical_Data!E13</f>
        <v>5109</v>
      </c>
      <c r="F21" s="32" t="n">
        <f aca="false">Historical_Data!F13</f>
        <v>6117</v>
      </c>
      <c r="G21" s="32" t="n">
        <f aca="false">Historical_Data!G13</f>
        <v>3836</v>
      </c>
      <c r="H21" s="33" t="n">
        <f aca="false">H18+H20</f>
        <v>17934.1745076472</v>
      </c>
      <c r="I21" s="33" t="n">
        <f aca="false">I18+I20</f>
        <v>20165.6401895534</v>
      </c>
      <c r="J21" s="33" t="n">
        <f aca="false">J18+J20</f>
        <v>22630.6026034379</v>
      </c>
      <c r="K21" s="33" t="n">
        <f aca="false">K18+K20</f>
        <v>25355.4517072079</v>
      </c>
      <c r="L21" s="33" t="n">
        <f aca="false">L18+L20</f>
        <v>28369.4569017087</v>
      </c>
    </row>
    <row r="22" customFormat="false" ht="15" hidden="false" customHeight="false" outlineLevel="0" collapsed="false">
      <c r="B22" s="34" t="s">
        <v>79</v>
      </c>
      <c r="C22" s="35" t="n">
        <f aca="false">Historical_Data!C12</f>
        <v>-421</v>
      </c>
      <c r="D22" s="35" t="n">
        <f aca="false">Historical_Data!D12</f>
        <v>-575</v>
      </c>
      <c r="E22" s="35" t="n">
        <f aca="false">Historical_Data!E12</f>
        <v>-964</v>
      </c>
      <c r="F22" s="35" t="n">
        <f aca="false">Historical_Data!F12</f>
        <v>-790</v>
      </c>
      <c r="G22" s="35" t="n">
        <f aca="false">Historical_Data!G12</f>
        <v>-456</v>
      </c>
      <c r="H22" s="26" t="n">
        <f aca="false">-MAX(0,H21*Tax_Rate)</f>
        <v>-2806.6069952335</v>
      </c>
      <c r="I22" s="26" t="n">
        <f aca="false">-MAX(0,I21*Tax_Rate)</f>
        <v>-3155.82001252576</v>
      </c>
      <c r="J22" s="26" t="n">
        <f aca="false">-MAX(0,J21*Tax_Rate)</f>
        <v>-3541.57407948022</v>
      </c>
      <c r="K22" s="26" t="n">
        <f aca="false">-MAX(0,K21*Tax_Rate)</f>
        <v>-3967.99909013995</v>
      </c>
      <c r="L22" s="26" t="n">
        <f aca="false">-MAX(0,L21*Tax_Rate)</f>
        <v>-4439.67555670656</v>
      </c>
    </row>
    <row r="23" customFormat="false" ht="15" hidden="false" customHeight="false" outlineLevel="0" collapsed="false">
      <c r="B23" s="31" t="s">
        <v>104</v>
      </c>
      <c r="C23" s="37" t="n">
        <f aca="false">Historical_Data!C14</f>
        <v>5537</v>
      </c>
      <c r="D23" s="37" t="n">
        <f aca="false">Historical_Data!D14</f>
        <v>-3519</v>
      </c>
      <c r="E23" s="37" t="n">
        <f aca="false">Historical_Data!E14</f>
        <v>3864</v>
      </c>
      <c r="F23" s="37" t="n">
        <f aca="false">Historical_Data!F14</f>
        <v>5197</v>
      </c>
      <c r="G23" s="37" t="n">
        <f aca="false">Historical_Data!G14</f>
        <v>3195</v>
      </c>
      <c r="H23" s="37" t="n">
        <f aca="false">H21+H22</f>
        <v>15127.5675124137</v>
      </c>
      <c r="I23" s="37" t="n">
        <f aca="false">I21+I22</f>
        <v>17009.8201770276</v>
      </c>
      <c r="J23" s="37" t="n">
        <f aca="false">J21+J22</f>
        <v>19089.0285239576</v>
      </c>
      <c r="K23" s="37" t="n">
        <f aca="false">K21+K22</f>
        <v>21387.452617068</v>
      </c>
      <c r="L23" s="37" t="n">
        <f aca="false">L21+L22</f>
        <v>23929.7813450022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105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8" customFormat="false" ht="15" hidden="false" customHeight="false" outlineLevel="0" collapsed="false">
      <c r="B8" s="34" t="s">
        <v>106</v>
      </c>
      <c r="C8" s="35" t="n">
        <f aca="false">Historical_Data!C16</f>
        <v>4937</v>
      </c>
      <c r="D8" s="35" t="n">
        <f aca="false">Historical_Data!D16</f>
        <v>8802</v>
      </c>
      <c r="E8" s="35" t="n">
        <f aca="false">Historical_Data!E16</f>
        <v>7832</v>
      </c>
      <c r="F8" s="35" t="n">
        <f aca="false">Historical_Data!F16</f>
        <v>6220</v>
      </c>
      <c r="G8" s="35" t="n">
        <f aca="false">Historical_Data!G16</f>
        <v>6587</v>
      </c>
      <c r="H8" s="26" t="n">
        <f aca="false">Cash_Flow!H26</f>
        <v>-638.343684601099</v>
      </c>
      <c r="I8" s="26" t="n">
        <f aca="false">Cash_Flow!I26</f>
        <v>-9135.24364426819</v>
      </c>
      <c r="J8" s="26" t="n">
        <f aca="false">Cash_Flow!J26</f>
        <v>-19020.2393937549</v>
      </c>
      <c r="K8" s="26" t="n">
        <f aca="false">Cash_Flow!K26</f>
        <v>-30423.912277761</v>
      </c>
      <c r="L8" s="26" t="n">
        <f aca="false">Cash_Flow!L26</f>
        <v>-43492.3751143585</v>
      </c>
    </row>
    <row r="9" customFormat="false" ht="15" hidden="false" customHeight="false" outlineLevel="0" collapsed="false">
      <c r="B9" s="34" t="s">
        <v>84</v>
      </c>
      <c r="C9" s="35" t="n">
        <f aca="false">Historical_Data!C17</f>
        <v>7528</v>
      </c>
      <c r="D9" s="35" t="n">
        <f aca="false">Historical_Data!D17</f>
        <v>6601</v>
      </c>
      <c r="E9" s="35" t="n">
        <f aca="false">Historical_Data!E17</f>
        <v>3329</v>
      </c>
      <c r="F9" s="35" t="n">
        <f aca="false">Historical_Data!F17</f>
        <v>1656</v>
      </c>
      <c r="G9" s="35" t="n">
        <f aca="false">Historical_Data!G17</f>
        <v>-366</v>
      </c>
      <c r="H9" s="26" t="n">
        <f aca="false">Income_Statement!H9*NWC_Pct_Revenue</f>
        <v>-406.373588374316</v>
      </c>
      <c r="I9" s="26" t="n">
        <f aca="false">Income_Statement!I9*NWC_Pct_Revenue</f>
        <v>-451.20080144322</v>
      </c>
      <c r="J9" s="26" t="n">
        <f aca="false">Income_Statement!J9*NWC_Pct_Revenue</f>
        <v>-500.972920108876</v>
      </c>
      <c r="K9" s="26" t="n">
        <f aca="false">Income_Statement!K9*NWC_Pct_Revenue</f>
        <v>-556.235418642087</v>
      </c>
      <c r="L9" s="26" t="n">
        <f aca="false">Income_Statement!L9*NWC_Pct_Revenue</f>
        <v>-617.59394277179</v>
      </c>
    </row>
    <row r="10" customFormat="false" ht="15" hidden="false" customHeight="false" outlineLevel="0" collapsed="false">
      <c r="B10" s="34" t="s">
        <v>107</v>
      </c>
      <c r="C10" s="35" t="n">
        <f aca="false">Historical_Data!C18</f>
        <v>14962</v>
      </c>
      <c r="D10" s="35" t="n">
        <f aca="false">Historical_Data!D18</f>
        <v>14972</v>
      </c>
      <c r="E10" s="35" t="n">
        <f aca="false">Historical_Data!E18</f>
        <v>15170</v>
      </c>
      <c r="F10" s="35" t="n">
        <f aca="false">Historical_Data!F18</f>
        <v>15748</v>
      </c>
      <c r="G10" s="35" t="n">
        <f aca="false">Historical_Data!G18</f>
        <v>16089</v>
      </c>
      <c r="H10" s="26" t="n">
        <f aca="false">MAX(0,G10-Cash_Flow!H14+Income_Statement!H17)</f>
        <v>13776.9308872769</v>
      </c>
      <c r="I10" s="26" t="n">
        <f aca="false">MAX(0,H10-Cash_Flow!I14+Income_Statement!I17)</f>
        <v>11209.8166197722</v>
      </c>
      <c r="J10" s="26" t="n">
        <f aca="false">MAX(0,I10-Cash_Flow!J14+Income_Statement!J17)</f>
        <v>8359.52307700503</v>
      </c>
      <c r="K10" s="26" t="n">
        <f aca="false">MAX(0,J10-Cash_Flow!K14+Income_Statement!K17)</f>
        <v>5194.81265379618</v>
      </c>
      <c r="L10" s="26" t="n">
        <f aca="false">MAX(0,K10-Cash_Flow!L14+Income_Statement!L17)</f>
        <v>1681.00191378257</v>
      </c>
    </row>
    <row r="11" customFormat="false" ht="15" hidden="false" customHeight="false" outlineLevel="0" collapsed="false">
      <c r="B11" s="34" t="s">
        <v>108</v>
      </c>
      <c r="C11" s="35" t="n">
        <f aca="false">Historical_Data!C19-SUM(C8:C10)</f>
        <v>134726</v>
      </c>
      <c r="D11" s="35" t="n">
        <f aca="false">Historical_Data!D19-SUM(D8:D10)</f>
        <v>131029</v>
      </c>
      <c r="E11" s="35" t="n">
        <f aca="false">Historical_Data!E19-SUM(E8:E10)</f>
        <v>132533</v>
      </c>
      <c r="F11" s="35" t="n">
        <f aca="false">Historical_Data!F19-SUM(F8:F10)</f>
        <v>138245</v>
      </c>
      <c r="G11" s="35" t="n">
        <f aca="false">Historical_Data!G19-SUM(G8:G10)</f>
        <v>140551</v>
      </c>
      <c r="H11" s="26" t="n">
        <f aca="false">Income_Statement!H9*Other_Assets_Pct_Revenue</f>
        <v>156055.230108193</v>
      </c>
      <c r="I11" s="26" t="n">
        <f aca="false">Income_Statement!I9*Other_Assets_Pct_Revenue</f>
        <v>173269.737277721</v>
      </c>
      <c r="J11" s="26" t="n">
        <f aca="false">Income_Statement!J9*Other_Assets_Pct_Revenue</f>
        <v>192383.1827711</v>
      </c>
      <c r="K11" s="26" t="n">
        <f aca="false">Income_Statement!K9*Other_Assets_Pct_Revenue</f>
        <v>213605.039140885</v>
      </c>
      <c r="L11" s="26" t="n">
        <f aca="false">Income_Statement!L9*Other_Assets_Pct_Revenue</f>
        <v>237167.885930377</v>
      </c>
    </row>
    <row r="13" customFormat="false" ht="15" hidden="false" customHeight="false" outlineLevel="0" collapsed="false">
      <c r="B13" s="31" t="s">
        <v>109</v>
      </c>
      <c r="C13" s="36" t="n">
        <f aca="false">SUM(C8:C11)</f>
        <v>162153</v>
      </c>
      <c r="D13" s="36" t="n">
        <f aca="false">SUM(D8:D11)</f>
        <v>161404</v>
      </c>
      <c r="E13" s="36" t="n">
        <f aca="false">SUM(E8:E11)</f>
        <v>158864</v>
      </c>
      <c r="F13" s="36" t="n">
        <f aca="false">SUM(F8:F11)</f>
        <v>161869</v>
      </c>
      <c r="G13" s="36" t="n">
        <f aca="false">SUM(G8:G11)</f>
        <v>162861</v>
      </c>
      <c r="H13" s="37" t="n">
        <f aca="false">SUM(H8:H11)</f>
        <v>168787.443722494</v>
      </c>
      <c r="I13" s="37" t="n">
        <f aca="false">SUM(I8:I11)</f>
        <v>174893.109451782</v>
      </c>
      <c r="J13" s="37" t="n">
        <f aca="false">SUM(J8:J11)</f>
        <v>181221.493534241</v>
      </c>
      <c r="K13" s="37" t="n">
        <f aca="false">SUM(K8:K11)</f>
        <v>187819.704098278</v>
      </c>
      <c r="L13" s="37" t="n">
        <f aca="false">SUM(L8:L11)</f>
        <v>194738.918787029</v>
      </c>
    </row>
    <row r="16" customFormat="false" ht="15" hidden="false" customHeight="false" outlineLevel="0" collapsed="false">
      <c r="B16" s="34" t="s">
        <v>110</v>
      </c>
      <c r="C16" s="35" t="n">
        <f aca="false">Historical_Data!C21</f>
        <v>31273</v>
      </c>
      <c r="D16" s="35" t="n">
        <f aca="false">Historical_Data!D21</f>
        <v>31461</v>
      </c>
      <c r="E16" s="35" t="n">
        <f aca="false">Historical_Data!E21</f>
        <v>31319</v>
      </c>
      <c r="F16" s="35" t="n">
        <f aca="false">Historical_Data!F21</f>
        <v>42544</v>
      </c>
      <c r="G16" s="35" t="n">
        <f aca="false">Historical_Data!G21</f>
        <v>38909</v>
      </c>
      <c r="H16" s="26" t="n">
        <f aca="false">MAX(0,G16-Cash_Flow!H18)</f>
        <v>36963.55</v>
      </c>
      <c r="I16" s="26" t="n">
        <f aca="false">MAX(0,H16-Cash_Flow!I18)</f>
        <v>35115.3725</v>
      </c>
      <c r="J16" s="26" t="n">
        <f aca="false">MAX(0,I16-Cash_Flow!J18)</f>
        <v>33359.603875</v>
      </c>
      <c r="K16" s="26" t="n">
        <f aca="false">MAX(0,J16-Cash_Flow!K18)</f>
        <v>31691.62368125</v>
      </c>
      <c r="L16" s="26" t="n">
        <f aca="false">MAX(0,K16-Cash_Flow!L18)</f>
        <v>30107.0424971875</v>
      </c>
    </row>
    <row r="17" customFormat="false" ht="15" hidden="false" customHeight="false" outlineLevel="0" collapsed="false">
      <c r="B17" s="34" t="s">
        <v>111</v>
      </c>
      <c r="C17" s="35" t="n">
        <f aca="false">Historical_Data!C20-C16</f>
        <v>56996</v>
      </c>
      <c r="D17" s="35" t="n">
        <f aca="false">Historical_Data!D20-D16</f>
        <v>55244</v>
      </c>
      <c r="E17" s="35" t="n">
        <f aca="false">Historical_Data!E20-E16</f>
        <v>53331</v>
      </c>
      <c r="F17" s="35" t="n">
        <f aca="false">Historical_Data!F20-F16</f>
        <v>57880</v>
      </c>
      <c r="G17" s="35" t="n">
        <f aca="false">Historical_Data!G20-G16</f>
        <v>61994</v>
      </c>
      <c r="H17" s="26" t="n">
        <f aca="false">Income_Statement!H9*Other_Liab_Pct_Revenue</f>
        <v>68832.5798843644</v>
      </c>
      <c r="I17" s="26" t="n">
        <f aca="false">Income_Statement!I9*Other_Liab_Pct_Revenue</f>
        <v>76425.5259144015</v>
      </c>
      <c r="J17" s="26" t="n">
        <f aca="false">Income_Statement!J9*Other_Liab_Pct_Revenue</f>
        <v>84856.0524842341</v>
      </c>
      <c r="K17" s="26" t="n">
        <f aca="false">Income_Statement!K9*Other_Liab_Pct_Revenue</f>
        <v>94216.5533969878</v>
      </c>
      <c r="L17" s="26" t="n">
        <f aca="false">Income_Statement!L9*Other_Liab_Pct_Revenue</f>
        <v>104609.614448618</v>
      </c>
    </row>
    <row r="19" customFormat="false" ht="15" hidden="false" customHeight="false" outlineLevel="0" collapsed="false">
      <c r="B19" s="31" t="s">
        <v>87</v>
      </c>
      <c r="C19" s="32" t="n">
        <f aca="false">SUM(C16:C17)</f>
        <v>88269</v>
      </c>
      <c r="D19" s="32" t="n">
        <f aca="false">SUM(D16:D17)</f>
        <v>86705</v>
      </c>
      <c r="E19" s="32" t="n">
        <f aca="false">SUM(E16:E17)</f>
        <v>84650</v>
      </c>
      <c r="F19" s="32" t="n">
        <f aca="false">SUM(F16:F17)</f>
        <v>100424</v>
      </c>
      <c r="G19" s="32" t="n">
        <f aca="false">SUM(G16:G17)</f>
        <v>100903</v>
      </c>
      <c r="H19" s="33" t="n">
        <f aca="false">SUM(H16:H17)</f>
        <v>105796.129884364</v>
      </c>
      <c r="I19" s="33" t="n">
        <f aca="false">SUM(I16:I17)</f>
        <v>111540.898414402</v>
      </c>
      <c r="J19" s="33" t="n">
        <f aca="false">SUM(J16:J17)</f>
        <v>118215.656359234</v>
      </c>
      <c r="K19" s="33" t="n">
        <f aca="false">SUM(K16:K17)</f>
        <v>125908.177078238</v>
      </c>
      <c r="L19" s="33" t="n">
        <f aca="false">SUM(L16:L17)</f>
        <v>134716.656945806</v>
      </c>
    </row>
    <row r="21" customFormat="false" ht="15" hidden="false" customHeight="false" outlineLevel="0" collapsed="false">
      <c r="B21" s="34" t="s">
        <v>112</v>
      </c>
      <c r="C21" s="35" t="n">
        <f aca="false">C13-C19</f>
        <v>73884</v>
      </c>
      <c r="D21" s="35" t="n">
        <f aca="false">D13-D19</f>
        <v>74699</v>
      </c>
      <c r="E21" s="35" t="n">
        <f aca="false">E13-E19</f>
        <v>74214</v>
      </c>
      <c r="F21" s="35" t="n">
        <f aca="false">F13-F19</f>
        <v>61445</v>
      </c>
      <c r="G21" s="35" t="n">
        <f aca="false">G13-G19</f>
        <v>61958</v>
      </c>
      <c r="H21" s="26" t="n">
        <f aca="false">H13-H19</f>
        <v>62991.3138381298</v>
      </c>
      <c r="I21" s="26" t="n">
        <f aca="false">I13-I19</f>
        <v>63352.2110373805</v>
      </c>
      <c r="J21" s="26" t="n">
        <f aca="false">J13-J19</f>
        <v>63005.8371750073</v>
      </c>
      <c r="K21" s="26" t="n">
        <f aca="false">K13-K19</f>
        <v>61911.5270200405</v>
      </c>
      <c r="L21" s="26" t="n">
        <f aca="false">L13-L19</f>
        <v>60022.2618412229</v>
      </c>
    </row>
    <row r="23" customFormat="false" ht="15" hidden="false" customHeight="false" outlineLevel="0" collapsed="false">
      <c r="B23" s="31" t="s">
        <v>113</v>
      </c>
      <c r="C23" s="36" t="n">
        <f aca="false">C19+C21</f>
        <v>162153</v>
      </c>
      <c r="D23" s="36" t="n">
        <f aca="false">D19+D21</f>
        <v>161404</v>
      </c>
      <c r="E23" s="36" t="n">
        <f aca="false">E19+E21</f>
        <v>158864</v>
      </c>
      <c r="F23" s="36" t="n">
        <f aca="false">F19+F21</f>
        <v>161869</v>
      </c>
      <c r="G23" s="36" t="n">
        <f aca="false">G19+G21</f>
        <v>162861</v>
      </c>
      <c r="H23" s="37" t="n">
        <f aca="false">H19+H21</f>
        <v>168787.443722494</v>
      </c>
      <c r="I23" s="37" t="n">
        <f aca="false">I19+I21</f>
        <v>174893.109451782</v>
      </c>
      <c r="J23" s="37" t="n">
        <f aca="false">J19+J21</f>
        <v>181221.493534241</v>
      </c>
      <c r="K23" s="37" t="n">
        <f aca="false">K19+K21</f>
        <v>187819.704098278</v>
      </c>
      <c r="L23" s="37" t="n">
        <f aca="false">L19+L21</f>
        <v>194738.918787029</v>
      </c>
    </row>
    <row r="25" customFormat="false" ht="15" hidden="false" customHeight="false" outlineLevel="0" collapsed="false">
      <c r="B25" s="38" t="s">
        <v>114</v>
      </c>
      <c r="C25" s="39" t="n">
        <f aca="false">C13-C23</f>
        <v>0</v>
      </c>
      <c r="D25" s="39" t="n">
        <f aca="false">D13-D23</f>
        <v>0</v>
      </c>
      <c r="E25" s="39" t="n">
        <f aca="false">E13-E23</f>
        <v>0</v>
      </c>
      <c r="F25" s="39" t="n">
        <f aca="false">F13-F23</f>
        <v>0</v>
      </c>
      <c r="G25" s="39" t="n">
        <f aca="false">G13-G23</f>
        <v>0</v>
      </c>
      <c r="H25" s="39" t="n">
        <f aca="false">H13-H23</f>
        <v>0</v>
      </c>
      <c r="I25" s="39" t="n">
        <f aca="false">I13-I23</f>
        <v>0</v>
      </c>
      <c r="J25" s="39" t="n">
        <f aca="false">J13-J23</f>
        <v>0</v>
      </c>
      <c r="K25" s="39" t="n">
        <f aca="false">K13-K23</f>
        <v>0</v>
      </c>
      <c r="L25" s="39" t="n">
        <f aca="false">L13-L23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8" customFormat="false" ht="15" hidden="false" customHeight="false" outlineLevel="0" collapsed="false">
      <c r="B8" s="34" t="s">
        <v>81</v>
      </c>
      <c r="C8" s="35" t="n">
        <f aca="false">Income_Statement!C23</f>
        <v>5537</v>
      </c>
      <c r="D8" s="35" t="n">
        <f aca="false">Income_Statement!D23</f>
        <v>-3519</v>
      </c>
      <c r="E8" s="35" t="n">
        <f aca="false">Income_Statement!E23</f>
        <v>3864</v>
      </c>
      <c r="F8" s="35" t="n">
        <f aca="false">Income_Statement!F23</f>
        <v>5197</v>
      </c>
      <c r="G8" s="35" t="n">
        <f aca="false">Income_Statement!G23</f>
        <v>3195</v>
      </c>
      <c r="H8" s="26" t="n">
        <f aca="false">Income_Statement!H23</f>
        <v>15127.5675124137</v>
      </c>
      <c r="I8" s="26" t="n">
        <f aca="false">Income_Statement!I23</f>
        <v>17009.8201770276</v>
      </c>
      <c r="J8" s="26" t="n">
        <f aca="false">Income_Statement!J23</f>
        <v>19089.0285239576</v>
      </c>
      <c r="K8" s="26" t="n">
        <f aca="false">Income_Statement!K23</f>
        <v>21387.452617068</v>
      </c>
      <c r="L8" s="26" t="n">
        <f aca="false">Income_Statement!L23</f>
        <v>23929.7813450022</v>
      </c>
    </row>
    <row r="9" customFormat="false" ht="15" hidden="false" customHeight="false" outlineLevel="0" collapsed="false">
      <c r="B9" s="34" t="s">
        <v>102</v>
      </c>
      <c r="C9" s="35" t="n">
        <f aca="false">-Income_Statement!C17</f>
        <v>2708</v>
      </c>
      <c r="D9" s="35" t="n">
        <f aca="false">-Income_Statement!D17</f>
        <v>4156</v>
      </c>
      <c r="E9" s="35" t="n">
        <f aca="false">-Income_Statement!E17</f>
        <v>4557</v>
      </c>
      <c r="F9" s="35" t="n">
        <f aca="false">-Income_Statement!F17</f>
        <v>4108</v>
      </c>
      <c r="G9" s="35" t="n">
        <f aca="false">-Income_Statement!G17</f>
        <v>4211</v>
      </c>
      <c r="H9" s="26" t="n">
        <f aca="false">-Income_Statement!H17</f>
        <v>4993.53910738609</v>
      </c>
      <c r="I9" s="26" t="n">
        <f aca="false">-Income_Statement!I17</f>
        <v>5544.37815780319</v>
      </c>
      <c r="J9" s="26" t="n">
        <f aca="false">-Income_Statement!J17</f>
        <v>6155.98045707832</v>
      </c>
      <c r="K9" s="26" t="n">
        <f aca="false">-Income_Statement!K17</f>
        <v>6835.04882050568</v>
      </c>
      <c r="L9" s="26" t="n">
        <f aca="false">-Income_Statement!L17</f>
        <v>7589.02545328561</v>
      </c>
    </row>
    <row r="10" customFormat="false" ht="15" hidden="false" customHeight="false" outlineLevel="0" collapsed="false">
      <c r="B10" s="34" t="s">
        <v>116</v>
      </c>
      <c r="C10" s="35" t="n">
        <f aca="false">0</f>
        <v>0</v>
      </c>
      <c r="D10" s="35" t="n">
        <f aca="false">-(Balance_Sheet!D9-Balance_Sheet!C9)</f>
        <v>927</v>
      </c>
      <c r="E10" s="35" t="n">
        <f aca="false">-(Balance_Sheet!E9-Balance_Sheet!D9)</f>
        <v>3272</v>
      </c>
      <c r="F10" s="35" t="n">
        <f aca="false">-(Balance_Sheet!F9-Balance_Sheet!E9)</f>
        <v>1673</v>
      </c>
      <c r="G10" s="35" t="n">
        <f aca="false">-(Balance_Sheet!G9-Balance_Sheet!F9)</f>
        <v>2022</v>
      </c>
      <c r="H10" s="26" t="n">
        <f aca="false">-(Balance_Sheet!H9-Balance_Sheet!G9)</f>
        <v>40.3735883743165</v>
      </c>
      <c r="I10" s="26" t="n">
        <f aca="false">-(Balance_Sheet!I9-Balance_Sheet!H9)</f>
        <v>44.8272130689033</v>
      </c>
      <c r="J10" s="26" t="n">
        <f aca="false">-(Balance_Sheet!J9-Balance_Sheet!I9)</f>
        <v>49.7721186656565</v>
      </c>
      <c r="K10" s="26" t="n">
        <f aca="false">-(Balance_Sheet!K9-Balance_Sheet!J9)</f>
        <v>55.2624985332107</v>
      </c>
      <c r="L10" s="26" t="n">
        <f aca="false">-(Balance_Sheet!L9-Balance_Sheet!K9)</f>
        <v>61.3585241297028</v>
      </c>
    </row>
    <row r="12" customFormat="false" ht="15" hidden="false" customHeight="false" outlineLevel="0" collapsed="false">
      <c r="B12" s="31" t="s">
        <v>117</v>
      </c>
      <c r="C12" s="32" t="n">
        <f aca="false">Historical_Data!C25</f>
        <v>0</v>
      </c>
      <c r="D12" s="32" t="n">
        <f aca="false">Historical_Data!D25</f>
        <v>0</v>
      </c>
      <c r="E12" s="32" t="n">
        <f aca="false">Historical_Data!E25</f>
        <v>0</v>
      </c>
      <c r="F12" s="32" t="n">
        <f aca="false">Historical_Data!F25</f>
        <v>7168</v>
      </c>
      <c r="G12" s="32" t="n">
        <f aca="false">Historical_Data!G25</f>
        <v>7883</v>
      </c>
      <c r="H12" s="33" t="n">
        <f aca="false">SUM(H8:H10)</f>
        <v>20161.4802081741</v>
      </c>
      <c r="I12" s="33" t="n">
        <f aca="false">SUM(I8:I10)</f>
        <v>22599.0255478997</v>
      </c>
      <c r="J12" s="33" t="n">
        <f aca="false">SUM(J8:J10)</f>
        <v>25294.7810997016</v>
      </c>
      <c r="K12" s="33" t="n">
        <f aca="false">SUM(K8:K10)</f>
        <v>28277.7639361069</v>
      </c>
      <c r="L12" s="33" t="n">
        <f aca="false">SUM(L8:L10)</f>
        <v>31580.1653224175</v>
      </c>
    </row>
    <row r="14" customFormat="false" ht="15" hidden="false" customHeight="false" outlineLevel="0" collapsed="false">
      <c r="B14" s="34" t="s">
        <v>118</v>
      </c>
      <c r="C14" s="35" t="n">
        <f aca="false">Historical_Data!C15</f>
        <v>-1868</v>
      </c>
      <c r="D14" s="35" t="n">
        <f aca="false">Historical_Data!D15</f>
        <v>-1795</v>
      </c>
      <c r="E14" s="35" t="n">
        <f aca="false">Historical_Data!E15</f>
        <v>-2134</v>
      </c>
      <c r="F14" s="35" t="n">
        <f aca="false">Historical_Data!F15</f>
        <v>-2288</v>
      </c>
      <c r="G14" s="35" t="n">
        <f aca="false">Historical_Data!G15</f>
        <v>-2415</v>
      </c>
      <c r="H14" s="26" t="n">
        <f aca="false">-Income_Statement!H9*Capex_Pct_Revenue</f>
        <v>-2681.46999466297</v>
      </c>
      <c r="I14" s="26" t="n">
        <f aca="false">-Income_Statement!I9*Capex_Pct_Revenue</f>
        <v>-2977.2638902985</v>
      </c>
      <c r="J14" s="26" t="n">
        <f aca="false">-Income_Statement!J9*Capex_Pct_Revenue</f>
        <v>-3305.68691431115</v>
      </c>
      <c r="K14" s="26" t="n">
        <f aca="false">-Income_Statement!K9*Capex_Pct_Revenue</f>
        <v>-3670.33839729684</v>
      </c>
      <c r="L14" s="26" t="n">
        <f aca="false">-Income_Statement!L9*Capex_Pct_Revenue</f>
        <v>-4075.214713272</v>
      </c>
    </row>
    <row r="16" customFormat="false" ht="15" hidden="false" customHeight="false" outlineLevel="0" collapsed="false">
      <c r="B16" s="31" t="s">
        <v>119</v>
      </c>
      <c r="C16" s="32" t="n">
        <f aca="false">C12+C14</f>
        <v>-1868</v>
      </c>
      <c r="D16" s="32" t="n">
        <f aca="false">D12+D14</f>
        <v>-1795</v>
      </c>
      <c r="E16" s="32" t="n">
        <f aca="false">E12+E14</f>
        <v>-2134</v>
      </c>
      <c r="F16" s="32" t="n">
        <f aca="false">F12+F14</f>
        <v>4880</v>
      </c>
      <c r="G16" s="32" t="n">
        <f aca="false">G12+G14</f>
        <v>5468</v>
      </c>
      <c r="H16" s="33" t="n">
        <f aca="false">H12+H14</f>
        <v>17480.0102135111</v>
      </c>
      <c r="I16" s="33" t="n">
        <f aca="false">I12+I14</f>
        <v>19621.7616576012</v>
      </c>
      <c r="J16" s="33" t="n">
        <f aca="false">J12+J14</f>
        <v>21989.0941853905</v>
      </c>
      <c r="K16" s="33" t="n">
        <f aca="false">K12+K14</f>
        <v>24607.42553881</v>
      </c>
      <c r="L16" s="33" t="n">
        <f aca="false">L12+L14</f>
        <v>27504.9506091455</v>
      </c>
    </row>
    <row r="18" customFormat="false" ht="15" hidden="false" customHeight="false" outlineLevel="0" collapsed="false">
      <c r="B18" s="34" t="s">
        <v>120</v>
      </c>
      <c r="C18" s="35" t="n">
        <f aca="false">0</f>
        <v>0</v>
      </c>
      <c r="D18" s="35" t="n">
        <f aca="false">0</f>
        <v>0</v>
      </c>
      <c r="E18" s="35" t="n">
        <f aca="false">0</f>
        <v>0</v>
      </c>
      <c r="F18" s="35" t="n">
        <f aca="false">0</f>
        <v>0</v>
      </c>
      <c r="G18" s="35" t="n">
        <f aca="false">0</f>
        <v>0</v>
      </c>
      <c r="H18" s="26" t="n">
        <f aca="false">Balance_Sheet!G16*Debt_Paydown_Pct</f>
        <v>1945.45</v>
      </c>
      <c r="I18" s="26" t="n">
        <f aca="false">Balance_Sheet!H16*Debt_Paydown_Pct</f>
        <v>1848.1775</v>
      </c>
      <c r="J18" s="26" t="n">
        <f aca="false">Balance_Sheet!I16*Debt_Paydown_Pct</f>
        <v>1755.768625</v>
      </c>
      <c r="K18" s="26" t="n">
        <f aca="false">Balance_Sheet!J16*Debt_Paydown_Pct</f>
        <v>1667.98019375</v>
      </c>
      <c r="L18" s="26" t="n">
        <f aca="false">Balance_Sheet!K16*Debt_Paydown_Pct</f>
        <v>1584.5811840625</v>
      </c>
    </row>
    <row r="19" customFormat="false" ht="15" hidden="false" customHeight="false" outlineLevel="0" collapsed="false">
      <c r="B19" s="34" t="s">
        <v>121</v>
      </c>
      <c r="C19" s="35" t="n">
        <f aca="false">Historical_Data!C22</f>
        <v>-2442</v>
      </c>
      <c r="D19" s="35" t="n">
        <f aca="false">Historical_Data!D22</f>
        <v>-2732</v>
      </c>
      <c r="E19" s="35" t="n">
        <f aca="false">Historical_Data!E22</f>
        <v>-2957</v>
      </c>
      <c r="F19" s="35" t="n">
        <f aca="false">Historical_Data!F22</f>
        <v>-3128</v>
      </c>
      <c r="G19" s="35" t="n">
        <f aca="false">Historical_Data!G22</f>
        <v>-3239</v>
      </c>
      <c r="H19" s="26" t="n">
        <f aca="false">-MAX(0,Income_Statement!H23*Dividend_Payout)</f>
        <v>-10886.7546801163</v>
      </c>
      <c r="I19" s="26" t="n">
        <f aca="false">-MAX(0,Income_Statement!I23*Dividend_Payout)</f>
        <v>-12241.3427848352</v>
      </c>
      <c r="J19" s="26" t="n">
        <f aca="false">-MAX(0,Income_Statement!J23*Dividend_Payout)</f>
        <v>-13737.6726596351</v>
      </c>
      <c r="K19" s="26" t="n">
        <f aca="false">-MAX(0,Income_Statement!K23*Dividend_Payout)</f>
        <v>-15391.7640548332</v>
      </c>
      <c r="L19" s="26" t="n">
        <f aca="false">-MAX(0,Income_Statement!L23*Dividend_Payout)</f>
        <v>-17221.3846567257</v>
      </c>
    </row>
    <row r="20" customFormat="false" ht="15" hidden="false" customHeight="false" outlineLevel="0" collapsed="false">
      <c r="B20" s="34" t="s">
        <v>90</v>
      </c>
      <c r="C20" s="35" t="n">
        <f aca="false">Historical_Data!C23</f>
        <v>-151</v>
      </c>
      <c r="D20" s="35" t="n">
        <f aca="false">Historical_Data!D23</f>
        <v>-47</v>
      </c>
      <c r="E20" s="35" t="n">
        <f aca="false">Historical_Data!E23</f>
        <v>-2327</v>
      </c>
      <c r="F20" s="35" t="n">
        <f aca="false">Historical_Data!F23</f>
        <v>-2803</v>
      </c>
      <c r="G20" s="35" t="n">
        <f aca="false">Historical_Data!G23</f>
        <v>-12870</v>
      </c>
      <c r="H20" s="26" t="n">
        <f aca="false">-MAX(0,Income_Statement!H23*Buyback_Pct_NI)</f>
        <v>-15764.0492179959</v>
      </c>
      <c r="I20" s="26" t="n">
        <f aca="false">-MAX(0,Income_Statement!I23*Buyback_Pct_NI)</f>
        <v>-17725.4963324331</v>
      </c>
      <c r="J20" s="26" t="n">
        <f aca="false">-MAX(0,Income_Statement!J23*Buyback_Pct_NI)</f>
        <v>-19892.1859002421</v>
      </c>
      <c r="K20" s="26" t="n">
        <f aca="false">-MAX(0,Income_Statement!K23*Buyback_Pct_NI)</f>
        <v>-22287.3145617329</v>
      </c>
      <c r="L20" s="26" t="n">
        <f aca="false">-MAX(0,Income_Statement!L23*Buyback_Pct_NI)</f>
        <v>-24936.6099730799</v>
      </c>
    </row>
    <row r="22" customFormat="false" ht="15" hidden="false" customHeight="false" outlineLevel="0" collapsed="false">
      <c r="B22" s="31" t="s">
        <v>122</v>
      </c>
      <c r="C22" s="32" t="n">
        <f aca="false">SUM(C18:C20)</f>
        <v>-2593</v>
      </c>
      <c r="D22" s="32" t="n">
        <f aca="false">SUM(D18:D20)</f>
        <v>-2779</v>
      </c>
      <c r="E22" s="32" t="n">
        <f aca="false">SUM(E18:E20)</f>
        <v>-5284</v>
      </c>
      <c r="F22" s="32" t="n">
        <f aca="false">SUM(F18:F20)</f>
        <v>-5931</v>
      </c>
      <c r="G22" s="32" t="n">
        <f aca="false">SUM(G18:G20)</f>
        <v>-16109</v>
      </c>
      <c r="H22" s="33" t="n">
        <f aca="false">SUM(H18:H20)</f>
        <v>-24705.3538981122</v>
      </c>
      <c r="I22" s="33" t="n">
        <f aca="false">SUM(I18:I20)</f>
        <v>-28118.6616172683</v>
      </c>
      <c r="J22" s="33" t="n">
        <f aca="false">SUM(J18:J20)</f>
        <v>-31874.0899348772</v>
      </c>
      <c r="K22" s="33" t="n">
        <f aca="false">SUM(K18:K20)</f>
        <v>-36011.0984228161</v>
      </c>
      <c r="L22" s="33" t="n">
        <f aca="false">SUM(L18:L20)</f>
        <v>-40573.4134457431</v>
      </c>
    </row>
    <row r="24" customFormat="false" ht="15" hidden="false" customHeight="false" outlineLevel="0" collapsed="false">
      <c r="B24" s="31" t="s">
        <v>123</v>
      </c>
      <c r="C24" s="36" t="n">
        <f aca="false">0</f>
        <v>0</v>
      </c>
      <c r="D24" s="36" t="n">
        <f aca="false">Balance_Sheet!D8-Balance_Sheet!C8</f>
        <v>3865</v>
      </c>
      <c r="E24" s="36" t="n">
        <f aca="false">Balance_Sheet!E8-Balance_Sheet!D8</f>
        <v>-970</v>
      </c>
      <c r="F24" s="36" t="n">
        <f aca="false">Balance_Sheet!F8-Balance_Sheet!E8</f>
        <v>-1612</v>
      </c>
      <c r="G24" s="36" t="n">
        <f aca="false">Balance_Sheet!G8-Balance_Sheet!F8</f>
        <v>367</v>
      </c>
      <c r="H24" s="37" t="n">
        <f aca="false">H16+H22</f>
        <v>-7225.3436846011</v>
      </c>
      <c r="I24" s="37" t="n">
        <f aca="false">I16+I22</f>
        <v>-8496.89995966709</v>
      </c>
      <c r="J24" s="37" t="n">
        <f aca="false">J16+J22</f>
        <v>-9884.99574948675</v>
      </c>
      <c r="K24" s="37" t="n">
        <f aca="false">K16+K22</f>
        <v>-11403.672884006</v>
      </c>
      <c r="L24" s="37" t="n">
        <f aca="false">L16+L22</f>
        <v>-13068.4628365976</v>
      </c>
    </row>
    <row r="25" customFormat="false" ht="15" hidden="false" customHeight="false" outlineLevel="0" collapsed="false">
      <c r="B25" s="34" t="s">
        <v>124</v>
      </c>
      <c r="C25" s="35" t="n">
        <f aca="false">0</f>
        <v>0</v>
      </c>
      <c r="D25" s="35" t="n">
        <f aca="false">Balance_Sheet!C8</f>
        <v>4937</v>
      </c>
      <c r="E25" s="35" t="n">
        <f aca="false">Balance_Sheet!D8</f>
        <v>8802</v>
      </c>
      <c r="F25" s="35" t="n">
        <f aca="false">Balance_Sheet!E8</f>
        <v>7832</v>
      </c>
      <c r="G25" s="35" t="n">
        <f aca="false">Balance_Sheet!F8</f>
        <v>6220</v>
      </c>
      <c r="H25" s="26" t="n">
        <f aca="false">Balance_Sheet!G8</f>
        <v>6587</v>
      </c>
      <c r="I25" s="26" t="n">
        <f aca="false">Balance_Sheet!H8</f>
        <v>-638.343684601099</v>
      </c>
      <c r="J25" s="26" t="n">
        <f aca="false">Balance_Sheet!I8</f>
        <v>-9135.24364426819</v>
      </c>
      <c r="K25" s="26" t="n">
        <f aca="false">Balance_Sheet!J8</f>
        <v>-19020.2393937549</v>
      </c>
      <c r="L25" s="26" t="n">
        <f aca="false">Balance_Sheet!K8</f>
        <v>-30423.912277761</v>
      </c>
    </row>
    <row r="26" customFormat="false" ht="15" hidden="false" customHeight="false" outlineLevel="0" collapsed="false">
      <c r="B26" s="31" t="s">
        <v>125</v>
      </c>
      <c r="C26" s="33" t="n">
        <f aca="false">Balance_Sheet!C8</f>
        <v>4937</v>
      </c>
      <c r="D26" s="33" t="n">
        <f aca="false">Balance_Sheet!D8</f>
        <v>8802</v>
      </c>
      <c r="E26" s="33" t="n">
        <f aca="false">Balance_Sheet!E8</f>
        <v>7832</v>
      </c>
      <c r="F26" s="33" t="n">
        <f aca="false">Balance_Sheet!F8</f>
        <v>6220</v>
      </c>
      <c r="G26" s="33" t="n">
        <f aca="false">Balance_Sheet!G8</f>
        <v>6587</v>
      </c>
      <c r="H26" s="33" t="n">
        <f aca="false">H25+H24</f>
        <v>-638.343684601099</v>
      </c>
      <c r="I26" s="33" t="n">
        <f aca="false">I25+I24</f>
        <v>-9135.24364426819</v>
      </c>
      <c r="J26" s="33" t="n">
        <f aca="false">J25+J24</f>
        <v>-19020.2393937549</v>
      </c>
      <c r="K26" s="33" t="n">
        <f aca="false">K25+K24</f>
        <v>-30423.912277761</v>
      </c>
      <c r="L26" s="33" t="n">
        <f aca="false">L25+L24</f>
        <v>-43492.3751143585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126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127</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7" customFormat="false" ht="15" hidden="false" customHeight="false" outlineLevel="0" collapsed="false">
      <c r="B7" s="8" t="s">
        <v>128</v>
      </c>
      <c r="C7" s="9"/>
      <c r="D7" s="9"/>
      <c r="E7" s="9"/>
      <c r="F7" s="9"/>
      <c r="G7" s="9"/>
      <c r="H7" s="9"/>
      <c r="I7" s="9"/>
      <c r="J7" s="9"/>
      <c r="K7" s="9"/>
      <c r="L7" s="9"/>
    </row>
    <row r="8" customFormat="false" ht="15" hidden="false" customHeight="false" outlineLevel="0" collapsed="false">
      <c r="B8" s="34" t="s">
        <v>129</v>
      </c>
      <c r="C8" s="40" t="n">
        <f aca="false">IFERROR(Income_Statement!C11/Income_Statement!C9,0)</f>
        <v>1</v>
      </c>
      <c r="D8" s="40" t="n">
        <f aca="false">IFERROR(Income_Statement!D11/Income_Statement!D9,0)</f>
        <v>1</v>
      </c>
      <c r="E8" s="40" t="n">
        <f aca="false">IFERROR(Income_Statement!E11/Income_Statement!E9,0)</f>
        <v>1</v>
      </c>
      <c r="F8" s="40" t="n">
        <f aca="false">IFERROR(Income_Statement!F11/Income_Statement!F9,0)</f>
        <v>1</v>
      </c>
      <c r="G8" s="40" t="n">
        <f aca="false">IFERROR(Income_Statement!G11/Income_Statement!G9,0)</f>
        <v>1</v>
      </c>
      <c r="H8" s="41" t="n">
        <f aca="false">IFERROR(Income_Statement!H11/Income_Statement!H9,0)</f>
        <v>0.45</v>
      </c>
      <c r="I8" s="41" t="n">
        <f aca="false">IFERROR(Income_Statement!I11/Income_Statement!I9,0)</f>
        <v>0.45</v>
      </c>
      <c r="J8" s="41" t="n">
        <f aca="false">IFERROR(Income_Statement!J11/Income_Statement!J9,0)</f>
        <v>0.45</v>
      </c>
      <c r="K8" s="41" t="n">
        <f aca="false">IFERROR(Income_Statement!K11/Income_Statement!K9,0)</f>
        <v>0.45</v>
      </c>
      <c r="L8" s="41" t="n">
        <f aca="false">IFERROR(Income_Statement!L11/Income_Statement!L9,0)</f>
        <v>0.45</v>
      </c>
    </row>
    <row r="9" customFormat="false" ht="15" hidden="false" customHeight="false" outlineLevel="0" collapsed="false">
      <c r="B9" s="34" t="s">
        <v>130</v>
      </c>
      <c r="C9" s="40" t="n">
        <f aca="false">IFERROR(Income_Statement!C15/Income_Statement!C9,0)</f>
        <v>0.864098436569715</v>
      </c>
      <c r="D9" s="40" t="n">
        <f aca="false">IFERROR(Income_Statement!D15/Income_Statement!D9,0)</f>
        <v>0.856468800254475</v>
      </c>
      <c r="E9" s="40" t="n">
        <f aca="false">IFERROR(Income_Statement!E15/Income_Statement!E9,0)</f>
        <v>0.879201093371436</v>
      </c>
      <c r="F9" s="40" t="n">
        <f aca="false">IFERROR(Income_Statement!F15/Income_Statement!F9,0)</f>
        <v>0.876494617884724</v>
      </c>
      <c r="G9" s="40" t="n">
        <f aca="false">IFERROR(Income_Statement!G15/Income_Statement!G9,0)</f>
        <v>0.87501450957632</v>
      </c>
      <c r="H9" s="41" t="n">
        <f aca="false">IFERROR(Income_Statement!H15/Income_Statement!H9,0)</f>
        <v>0.320255491531334</v>
      </c>
      <c r="I9" s="41" t="n">
        <f aca="false">IFERROR(Income_Statement!I15/Income_Statement!I9,0)</f>
        <v>0.320255491531334</v>
      </c>
      <c r="J9" s="41" t="n">
        <f aca="false">IFERROR(Income_Statement!J15/Income_Statement!J9,0)</f>
        <v>0.320255491531334</v>
      </c>
      <c r="K9" s="41" t="n">
        <f aca="false">IFERROR(Income_Statement!K15/Income_Statement!K9,0)</f>
        <v>0.320255491531334</v>
      </c>
      <c r="L9" s="41" t="n">
        <f aca="false">IFERROR(Income_Statement!L15/Income_Statement!L9,0)</f>
        <v>0.320255491531334</v>
      </c>
    </row>
    <row r="10" customFormat="false" ht="15" hidden="false" customHeight="false" outlineLevel="0" collapsed="false">
      <c r="B10" s="34" t="s">
        <v>131</v>
      </c>
      <c r="C10" s="40" t="n">
        <f aca="false">IFERROR(Income_Statement!C18/Income_Statement!C9,0)</f>
        <v>0.804383779135152</v>
      </c>
      <c r="D10" s="40" t="n">
        <f aca="false">IFERROR(Income_Statement!D18/Income_Statement!D9,0)</f>
        <v>0.783024369554845</v>
      </c>
      <c r="E10" s="40" t="n">
        <f aca="false">IFERROR(Income_Statement!E18/Income_Statement!E9,0)</f>
        <v>0.808427036093682</v>
      </c>
      <c r="F10" s="40" t="n">
        <f aca="false">IFERROR(Income_Statement!F18/Income_Statement!F9,0)</f>
        <v>0.815248829650834</v>
      </c>
      <c r="G10" s="40" t="n">
        <f aca="false">IFERROR(Income_Statement!G18/Income_Statement!G9,0)</f>
        <v>0.813914683691236</v>
      </c>
      <c r="H10" s="41" t="n">
        <f aca="false">IFERROR(Income_Statement!H18/Income_Statement!H9,0)</f>
        <v>0.25499973962515</v>
      </c>
      <c r="I10" s="41" t="n">
        <f aca="false">IFERROR(Income_Statement!I18/Income_Statement!I9,0)</f>
        <v>0.25499973962515</v>
      </c>
      <c r="J10" s="41" t="n">
        <f aca="false">IFERROR(Income_Statement!J18/Income_Statement!J9,0)</f>
        <v>0.25499973962515</v>
      </c>
      <c r="K10" s="41" t="n">
        <f aca="false">IFERROR(Income_Statement!K18/Income_Statement!K9,0)</f>
        <v>0.25499973962515</v>
      </c>
      <c r="L10" s="41" t="n">
        <f aca="false">IFERROR(Income_Statement!L18/Income_Statement!L9,0)</f>
        <v>0.25499973962515</v>
      </c>
    </row>
    <row r="11" customFormat="false" ht="15" hidden="false" customHeight="false" outlineLevel="0" collapsed="false">
      <c r="B11" s="34" t="s">
        <v>132</v>
      </c>
      <c r="C11" s="40" t="n">
        <f aca="false">IFERROR(Income_Statement!C23/Income_Statement!C9,0)</f>
        <v>0.122097510419193</v>
      </c>
      <c r="D11" s="40" t="n">
        <f aca="false">IFERROR(Income_Statement!D23/Income_Statement!D9,0)</f>
        <v>-0.0621874282078923</v>
      </c>
      <c r="E11" s="40" t="n">
        <f aca="false">IFERROR(Income_Statement!E23/Income_Statement!E9,0)</f>
        <v>0.0600111822078648</v>
      </c>
      <c r="F11" s="40" t="n">
        <f aca="false">IFERROR(Income_Statement!F23/Income_Statement!F9,0)</f>
        <v>0.0774815875003727</v>
      </c>
      <c r="G11" s="40" t="n">
        <f aca="false">IFERROR(Income_Statement!G23/Income_Statement!G9,0)</f>
        <v>0.0463580963435868</v>
      </c>
      <c r="H11" s="41" t="n">
        <f aca="false">IFERROR(Income_Statement!H23/Income_Statement!H9,0)</f>
        <v>0.197687606185758</v>
      </c>
      <c r="I11" s="41" t="n">
        <f aca="false">IFERROR(Income_Statement!I23/Income_Statement!I9,0)</f>
        <v>0.200200739171934</v>
      </c>
      <c r="J11" s="41" t="n">
        <f aca="false">IFERROR(Income_Statement!J23/Income_Statement!J9,0)</f>
        <v>0.202351017547035</v>
      </c>
      <c r="K11" s="41" t="n">
        <f aca="false">IFERROR(Income_Statement!K23/Income_Statement!K9,0)</f>
        <v>0.204190831482811</v>
      </c>
      <c r="L11" s="41" t="n">
        <f aca="false">IFERROR(Income_Statement!L23/Income_Statement!L9,0)</f>
        <v>0.205765006881435</v>
      </c>
    </row>
    <row r="12" customFormat="false" ht="15" hidden="false" customHeight="false" outlineLevel="0" collapsed="false">
      <c r="B12" s="34" t="s">
        <v>133</v>
      </c>
      <c r="C12" s="40" t="n">
        <f aca="false">IFERROR(Income_Statement!C23/Balance_Sheet!C21,0)</f>
        <v>0.0749418006604948</v>
      </c>
      <c r="D12" s="40" t="n">
        <f aca="false">IFERROR(Income_Statement!D23/AVERAGE(Balance_Sheet!C21,Balance_Sheet!D21),0)</f>
        <v>-0.0473674646493879</v>
      </c>
      <c r="E12" s="40" t="n">
        <f aca="false">IFERROR(Income_Statement!E23/AVERAGE(Balance_Sheet!D21,Balance_Sheet!E21),0)</f>
        <v>0.0518960735462989</v>
      </c>
      <c r="F12" s="40" t="n">
        <f aca="false">IFERROR(Income_Statement!F23/AVERAGE(Balance_Sheet!E21,Balance_Sheet!F21),0)</f>
        <v>0.076618580411178</v>
      </c>
      <c r="G12" s="40" t="n">
        <f aca="false">IFERROR(Income_Statement!G23/AVERAGE(Balance_Sheet!F21,Balance_Sheet!G21),0)</f>
        <v>0.0517815612262263</v>
      </c>
      <c r="H12" s="41" t="n">
        <f aca="false">IFERROR(Income_Statement!H23/AVERAGE(Balance_Sheet!G21,Balance_Sheet!H21),0)</f>
        <v>0.242139265078498</v>
      </c>
      <c r="I12" s="41" t="n">
        <f aca="false">IFERROR(Income_Statement!I23/AVERAGE(Balance_Sheet!H21,Balance_Sheet!I21),0)</f>
        <v>0.269263030199416</v>
      </c>
      <c r="J12" s="41" t="n">
        <f aca="false">IFERROR(Income_Statement!J23/AVERAGE(Balance_Sheet!I21,Balance_Sheet!J21),0)</f>
        <v>0.302141870565649</v>
      </c>
      <c r="K12" s="41" t="n">
        <f aca="false">IFERROR(Income_Statement!K23/AVERAGE(Balance_Sheet!J21,Balance_Sheet!K21),0)</f>
        <v>0.342425614803612</v>
      </c>
      <c r="L12" s="41" t="n">
        <f aca="false">IFERROR(Income_Statement!L23/AVERAGE(Balance_Sheet!K21,Balance_Sheet!L21),0)</f>
        <v>0.392504515253431</v>
      </c>
    </row>
    <row r="13" customFormat="false" ht="15" hidden="false" customHeight="false" outlineLevel="0" collapsed="false">
      <c r="B13" s="34" t="s">
        <v>134</v>
      </c>
      <c r="C13" s="40" t="n">
        <f aca="false">IFERROR(Income_Statement!C23/Balance_Sheet!C13,0)</f>
        <v>0.0341467626254217</v>
      </c>
      <c r="D13" s="40" t="n">
        <f aca="false">IFERROR(Income_Statement!D23/AVERAGE(Balance_Sheet!C13,Balance_Sheet!D13),0)</f>
        <v>-0.0217519633325813</v>
      </c>
      <c r="E13" s="40" t="n">
        <f aca="false">IFERROR(Income_Statement!E23/AVERAGE(Balance_Sheet!D13,Balance_Sheet!E13),0)</f>
        <v>0.0241297912997864</v>
      </c>
      <c r="F13" s="40" t="n">
        <f aca="false">IFERROR(Income_Statement!F23/AVERAGE(Balance_Sheet!E13,Balance_Sheet!F13),0)</f>
        <v>0.0324070176751379</v>
      </c>
      <c r="G13" s="40" t="n">
        <f aca="false">IFERROR(Income_Statement!G23/AVERAGE(Balance_Sheet!F13,Balance_Sheet!G13),0)</f>
        <v>0.0196778862439565</v>
      </c>
      <c r="H13" s="41" t="n">
        <f aca="false">IFERROR(Income_Statement!H23/AVERAGE(Balance_Sheet!G13,Balance_Sheet!H13),0)</f>
        <v>0.0912265249468296</v>
      </c>
      <c r="I13" s="41" t="n">
        <f aca="false">IFERROR(Income_Statement!I23/AVERAGE(Balance_Sheet!H13,Balance_Sheet!I13),0)</f>
        <v>0.0989862243872852</v>
      </c>
      <c r="J13" s="41" t="n">
        <f aca="false">IFERROR(Income_Statement!J23/AVERAGE(Balance_Sheet!I13,Balance_Sheet!J13),0)</f>
        <v>0.107207221292786</v>
      </c>
      <c r="K13" s="41" t="n">
        <f aca="false">IFERROR(Income_Statement!K23/AVERAGE(Balance_Sheet!J13,Balance_Sheet!K13),0)</f>
        <v>0.115908211626632</v>
      </c>
      <c r="L13" s="41" t="n">
        <f aca="false">IFERROR(Income_Statement!L23/AVERAGE(Balance_Sheet!K13,Balance_Sheet!L13),0)</f>
        <v>0.125103865988018</v>
      </c>
    </row>
    <row r="14" customFormat="false" ht="15" hidden="false" customHeight="false" outlineLevel="0" collapsed="false">
      <c r="B14" s="34" t="s">
        <v>135</v>
      </c>
      <c r="C14" s="40" t="n">
        <f aca="false">IFERROR((Income_Statement!C18*(1-Tax_Rate))/(Balance_Sheet!C16+Balance_Sheet!C21),0)</f>
        <v>0.292604189303412</v>
      </c>
      <c r="D14" s="40" t="n">
        <f aca="false">IFERROR((Income_Statement!D18*(1-Tax_Rate))/(Balance_Sheet!D16+Balance_Sheet!D21),0)</f>
        <v>0.352061672075963</v>
      </c>
      <c r="E14" s="40" t="n">
        <f aca="false">IFERROR((Income_Statement!E18*(1-Tax_Rate))/(Balance_Sheet!E16+Balance_Sheet!E21),0)</f>
        <v>0.416049676760944</v>
      </c>
      <c r="F14" s="40" t="n">
        <f aca="false">IFERROR((Income_Statement!F18*(1-Tax_Rate))/(Balance_Sheet!F16+Balance_Sheet!F21),0)</f>
        <v>0.443552158628887</v>
      </c>
      <c r="G14" s="40" t="n">
        <f aca="false">IFERROR((Income_Statement!G18*(1-Tax_Rate))/(Balance_Sheet!G16+Balance_Sheet!G21),0)</f>
        <v>0.469097109244984</v>
      </c>
      <c r="H14" s="41" t="n">
        <f aca="false">IFERROR((Income_Statement!H18*(1-Tax_Rate))/(Balance_Sheet!H16+Balance_Sheet!H21),0)</f>
        <v>0.16466950153088</v>
      </c>
      <c r="I14" s="41" t="n">
        <f aca="false">IFERROR((Income_Statement!I18*(1-Tax_Rate))/(Balance_Sheet!I16+Balance_Sheet!I21),0)</f>
        <v>0.185595828671048</v>
      </c>
      <c r="J14" s="41" t="n">
        <f aca="false">IFERROR((Income_Statement!J18*(1-Tax_Rate))/(Balance_Sheet!J16+Balance_Sheet!J21),0)</f>
        <v>0.210564215348889</v>
      </c>
      <c r="K14" s="41" t="n">
        <f aca="false">IFERROR((Income_Statement!K18*(1-Tax_Rate))/(Balance_Sheet!K16+Balance_Sheet!K21),0)</f>
        <v>0.240690972022695</v>
      </c>
      <c r="L14" s="41" t="n">
        <f aca="false">IFERROR((Income_Statement!L18*(1-Tax_Rate))/(Balance_Sheet!L16+Balance_Sheet!L21),0)</f>
        <v>0.2775419515634</v>
      </c>
    </row>
    <row r="16" customFormat="false" ht="15" hidden="false" customHeight="false" outlineLevel="0" collapsed="false">
      <c r="B16" s="8" t="s">
        <v>136</v>
      </c>
      <c r="C16" s="9"/>
      <c r="D16" s="9"/>
      <c r="E16" s="9"/>
      <c r="F16" s="9"/>
      <c r="G16" s="9"/>
      <c r="H16" s="9"/>
      <c r="I16" s="9"/>
      <c r="J16" s="9"/>
      <c r="K16" s="9"/>
      <c r="L16" s="9"/>
    </row>
    <row r="17" customFormat="false" ht="15" hidden="false" customHeight="false" outlineLevel="0" collapsed="false">
      <c r="B17" s="34" t="s">
        <v>137</v>
      </c>
      <c r="C17" s="42" t="n">
        <f aca="false">IFERROR(Balance_Sheet!C16/Income_Statement!C15,0)</f>
        <v>0.798065635686215</v>
      </c>
      <c r="D17" s="42" t="n">
        <f aca="false">IFERROR(Balance_Sheet!D16/Income_Statement!D15,0)</f>
        <v>0.649148870318787</v>
      </c>
      <c r="E17" s="42" t="n">
        <f aca="false">IFERROR(Balance_Sheet!E16/Income_Statement!E15,0)</f>
        <v>0.553241476770889</v>
      </c>
      <c r="F17" s="42" t="n">
        <f aca="false">IFERROR(Balance_Sheet!F16/Income_Statement!F15,0)</f>
        <v>0.723660486477292</v>
      </c>
      <c r="G17" s="42" t="n">
        <f aca="false">IFERROR(Balance_Sheet!G16/Income_Statement!G15,0)</f>
        <v>0.645192849799357</v>
      </c>
      <c r="H17" s="43" t="n">
        <f aca="false">IFERROR(Balance_Sheet!H16/Income_Statement!H15,0)</f>
        <v>1.50829896031657</v>
      </c>
      <c r="I17" s="43" t="n">
        <f aca="false">IFERROR(Balance_Sheet!I16/Income_Statement!I15,0)</f>
        <v>1.29052567269457</v>
      </c>
      <c r="J17" s="43" t="n">
        <f aca="false">IFERROR(Balance_Sheet!J16/Income_Statement!J15,0)</f>
        <v>1.10419522634572</v>
      </c>
      <c r="K17" s="43" t="n">
        <f aca="false">IFERROR(Balance_Sheet!K16/Income_Statement!K15,0)</f>
        <v>0.944767797868709</v>
      </c>
      <c r="L17" s="43" t="n">
        <f aca="false">IFERROR(Balance_Sheet!L16/Income_Statement!L15,0)</f>
        <v>0.808359038866394</v>
      </c>
    </row>
    <row r="18" customFormat="false" ht="15" hidden="false" customHeight="false" outlineLevel="0" collapsed="false">
      <c r="B18" s="34" t="s">
        <v>138</v>
      </c>
      <c r="C18" s="42" t="n">
        <f aca="false">IFERROR((Balance_Sheet!C16-Balance_Sheet!C8)/Income_Statement!C15,0)</f>
        <v>0.672076762108916</v>
      </c>
      <c r="D18" s="42" t="n">
        <f aca="false">IFERROR((Balance_Sheet!D16-Balance_Sheet!D8)/Income_Statement!D15,0)</f>
        <v>0.467533271432993</v>
      </c>
      <c r="E18" s="42" t="n">
        <f aca="false">IFERROR((Balance_Sheet!E16-Balance_Sheet!E8)/Income_Statement!E15,0)</f>
        <v>0.414891361950186</v>
      </c>
      <c r="F18" s="42" t="n">
        <f aca="false">IFERROR((Balance_Sheet!F16-Balance_Sheet!F8)/Income_Statement!F15,0)</f>
        <v>0.617860180302773</v>
      </c>
      <c r="G18" s="42" t="n">
        <f aca="false">IFERROR((Balance_Sheet!G16-Balance_Sheet!G8)/Income_Statement!G15,0)</f>
        <v>0.535966570490499</v>
      </c>
      <c r="H18" s="43" t="n">
        <f aca="false">IFERROR((Balance_Sheet!H16-Balance_Sheet!H8)/Income_Statement!H15,0)</f>
        <v>1.53434659686145</v>
      </c>
      <c r="I18" s="43" t="n">
        <f aca="false">IFERROR((Balance_Sheet!I16-Balance_Sheet!I8)/Income_Statement!I15,0)</f>
        <v>1.62625517262364</v>
      </c>
      <c r="J18" s="43" t="n">
        <f aca="false">IFERROR((Balance_Sheet!J16-Balance_Sheet!J8)/Income_Statement!J15,0)</f>
        <v>1.73376078177716</v>
      </c>
      <c r="K18" s="43" t="n">
        <f aca="false">IFERROR((Balance_Sheet!K16-Balance_Sheet!K8)/Income_Statement!K15,0)</f>
        <v>1.85174349890282</v>
      </c>
      <c r="L18" s="43" t="n">
        <f aca="false">IFERROR((Balance_Sheet!L16-Balance_Sheet!L8)/Income_Statement!L15,0)</f>
        <v>1.97610756643246</v>
      </c>
    </row>
    <row r="19" customFormat="false" ht="15" hidden="false" customHeight="false" outlineLevel="0" collapsed="false">
      <c r="B19" s="34" t="s">
        <v>139</v>
      </c>
      <c r="C19" s="42" t="n">
        <f aca="false">IFERROR(Balance_Sheet!C16/Balance_Sheet!C21,0)</f>
        <v>0.423271614963998</v>
      </c>
      <c r="D19" s="42" t="n">
        <f aca="false">IFERROR(Balance_Sheet!D16/Balance_Sheet!D21,0)</f>
        <v>0.421170296791122</v>
      </c>
      <c r="E19" s="42" t="n">
        <f aca="false">IFERROR(Balance_Sheet!E16/Balance_Sheet!E21,0)</f>
        <v>0.422009324386234</v>
      </c>
      <c r="F19" s="42" t="n">
        <f aca="false">IFERROR(Balance_Sheet!F16/Balance_Sheet!F21,0)</f>
        <v>0.692391569696477</v>
      </c>
      <c r="G19" s="42" t="n">
        <f aca="false">IFERROR(Balance_Sheet!G16/Balance_Sheet!G21,0)</f>
        <v>0.627989928661351</v>
      </c>
      <c r="H19" s="43" t="n">
        <f aca="false">IFERROR(Balance_Sheet!H16/Balance_Sheet!H21,0)</f>
        <v>0.586803921807157</v>
      </c>
      <c r="I19" s="43" t="n">
        <f aca="false">IFERROR(Balance_Sheet!I16/Balance_Sheet!I21,0)</f>
        <v>0.554288033913772</v>
      </c>
      <c r="J19" s="43" t="n">
        <f aca="false">IFERROR(Balance_Sheet!J16/Balance_Sheet!J21,0)</f>
        <v>0.529468464681124</v>
      </c>
      <c r="K19" s="43" t="n">
        <f aca="false">IFERROR(Balance_Sheet!K16/Balance_Sheet!K21,0)</f>
        <v>0.511885673099156</v>
      </c>
      <c r="L19" s="43" t="n">
        <f aca="false">IFERROR(Balance_Sheet!L16/Balance_Sheet!L21,0)</f>
        <v>0.501597933393942</v>
      </c>
    </row>
    <row r="20" customFormat="false" ht="15" hidden="false" customHeight="false" outlineLevel="0" collapsed="false">
      <c r="B20" s="34" t="s">
        <v>140</v>
      </c>
      <c r="C20" s="42" t="n">
        <f aca="false">IFERROR(Income_Statement!C18/-Income_Statement!C20,0)</f>
        <v>22.9277184160905</v>
      </c>
      <c r="D20" s="42" t="n">
        <f aca="false">IFERROR(Income_Statement!D18/-Income_Statement!D20,0)</f>
        <v>32.4370424597365</v>
      </c>
      <c r="E20" s="42" t="n">
        <f aca="false">IFERROR(Income_Statement!E18/-Income_Statement!E20,0)</f>
        <v>39.374432677761</v>
      </c>
      <c r="F20" s="42" t="n">
        <f aca="false">IFERROR(Income_Statement!F18/-Income_Statement!F20,0)</f>
        <v>42.8542319749216</v>
      </c>
      <c r="G20" s="42" t="n">
        <f aca="false">IFERROR(Income_Statement!G18/-Income_Statement!G20,0)</f>
        <v>0</v>
      </c>
      <c r="H20" s="43" t="n">
        <f aca="false">IFERROR(Income_Statement!H18/-Income_Statement!H20,0)</f>
        <v>12.3574582186744</v>
      </c>
      <c r="I20" s="43" t="n">
        <f aca="false">IFERROR(Income_Statement!I18/-Income_Statement!I20,0)</f>
        <v>14.4427513359459</v>
      </c>
      <c r="J20" s="43" t="n">
        <f aca="false">IFERROR(Income_Statement!J18/-Income_Statement!J20,0)</f>
        <v>16.8799329490546</v>
      </c>
      <c r="K20" s="43" t="n">
        <f aca="false">IFERROR(Income_Statement!K18/-Income_Statement!K20,0)</f>
        <v>19.7283834455714</v>
      </c>
      <c r="L20" s="43" t="n">
        <f aca="false">IFERROR(Income_Statement!L18/-Income_Statement!L20,0)</f>
        <v>23.0575035191295</v>
      </c>
    </row>
    <row r="21" customFormat="false" ht="15" hidden="false" customHeight="false" outlineLevel="0" collapsed="false">
      <c r="B21" s="34" t="s">
        <v>141</v>
      </c>
      <c r="C21" s="42" t="n">
        <f aca="false">IFERROR(Income_Statement!C15/-Income_Statement!C20,0)</f>
        <v>24.629792583281</v>
      </c>
      <c r="D21" s="42" t="n">
        <f aca="false">IFERROR(Income_Statement!D15/-Income_Statement!D20,0)</f>
        <v>35.4795021961933</v>
      </c>
      <c r="E21" s="42" t="n">
        <f aca="false">IFERROR(Income_Statement!E15/-Income_Statement!E20,0)</f>
        <v>42.821482602118</v>
      </c>
      <c r="F21" s="42" t="n">
        <f aca="false">IFERROR(Income_Statement!F15/-Income_Statement!F20,0)</f>
        <v>46.0736677115987</v>
      </c>
      <c r="G21" s="42" t="n">
        <f aca="false">IFERROR(Income_Statement!G15/-Income_Statement!G20,0)</f>
        <v>0</v>
      </c>
      <c r="H21" s="43" t="n">
        <f aca="false">IFERROR(Income_Statement!H15/-Income_Statement!H20,0)</f>
        <v>15.5197956739763</v>
      </c>
      <c r="I21" s="43" t="n">
        <f aca="false">IFERROR(Income_Statement!I15/-Income_Statement!I20,0)</f>
        <v>18.138726082456</v>
      </c>
      <c r="J21" s="43" t="n">
        <f aca="false">IFERROR(Income_Statement!J15/-Income_Statement!J20,0)</f>
        <v>21.1995950723798</v>
      </c>
      <c r="K21" s="43" t="n">
        <f aca="false">IFERROR(Income_Statement!K15/-Income_Statement!K20,0)</f>
        <v>24.7769787795383</v>
      </c>
      <c r="L21" s="43" t="n">
        <f aca="false">IFERROR(Income_Statement!L15/-Income_Statement!L20,0)</f>
        <v>28.9580378939179</v>
      </c>
    </row>
    <row r="23" customFormat="false" ht="15" hidden="false" customHeight="false" outlineLevel="0" collapsed="false">
      <c r="B23" s="8" t="s">
        <v>142</v>
      </c>
      <c r="C23" s="9"/>
      <c r="D23" s="9"/>
      <c r="E23" s="9"/>
      <c r="F23" s="9"/>
      <c r="G23" s="9"/>
      <c r="H23" s="9"/>
      <c r="I23" s="9"/>
      <c r="J23" s="9"/>
      <c r="K23" s="9"/>
      <c r="L23" s="9"/>
    </row>
    <row r="24" customFormat="false" ht="15" hidden="false" customHeight="false" outlineLevel="0" collapsed="false">
      <c r="B24" s="34" t="s">
        <v>143</v>
      </c>
      <c r="C24" s="42" t="n">
        <f aca="false">IFERROR(Income_Statement!C9/Balance_Sheet!C13,0)</f>
        <v>0.279667967906853</v>
      </c>
      <c r="D24" s="42" t="n">
        <f aca="false">IFERROR(Income_Statement!D9/AVERAGE(Balance_Sheet!C13,Balance_Sheet!D13),0)</f>
        <v>0.349780718698715</v>
      </c>
      <c r="E24" s="42" t="n">
        <f aca="false">IFERROR(Income_Statement!E9/AVERAGE(Balance_Sheet!D13,Balance_Sheet!E13),0)</f>
        <v>0.402088251089712</v>
      </c>
      <c r="F24" s="42" t="n">
        <f aca="false">IFERROR(Income_Statement!F9/AVERAGE(Balance_Sheet!E13,Balance_Sheet!F13),0)</f>
        <v>0.418254435932692</v>
      </c>
      <c r="G24" s="42" t="n">
        <f aca="false">IFERROR(Income_Statement!G9/AVERAGE(Balance_Sheet!F13,Balance_Sheet!G13),0)</f>
        <v>0.42447571828904</v>
      </c>
      <c r="H24" s="43" t="n">
        <f aca="false">IFERROR(Income_Statement!H9/AVERAGE(Balance_Sheet!G13,Balance_Sheet!H13),0)</f>
        <v>0.461468104687899</v>
      </c>
      <c r="I24" s="43" t="n">
        <f aca="false">IFERROR(Income_Statement!I9/AVERAGE(Balance_Sheet!H13,Balance_Sheet!I13),0)</f>
        <v>0.494434859714853</v>
      </c>
      <c r="J24" s="43" t="n">
        <f aca="false">IFERROR(Income_Statement!J9/AVERAGE(Balance_Sheet!I13,Balance_Sheet!J13),0)</f>
        <v>0.529808165001526</v>
      </c>
      <c r="K24" s="43" t="n">
        <f aca="false">IFERROR(Income_Statement!K9/AVERAGE(Balance_Sheet!J13,Balance_Sheet!K13),0)</f>
        <v>0.567646503934186</v>
      </c>
      <c r="L24" s="43" t="n">
        <f aca="false">IFERROR(Income_Statement!L9/AVERAGE(Balance_Sheet!K13,Balance_Sheet!L13),0)</f>
        <v>0.607993885277612</v>
      </c>
    </row>
    <row r="25" customFormat="false" ht="15" hidden="false" customHeight="false" outlineLevel="0" collapsed="false">
      <c r="B25" s="34" t="s">
        <v>144</v>
      </c>
      <c r="C25" s="40" t="n">
        <f aca="false">IFERROR(-Cash_Flow!C14/Income_Statement!C9,0)</f>
        <v>0.0411916470043441</v>
      </c>
      <c r="D25" s="40" t="n">
        <f aca="false">IFERROR(-Cash_Flow!D14/Income_Statement!D9,0)</f>
        <v>0.0317210666760917</v>
      </c>
      <c r="E25" s="40" t="n">
        <f aca="false">IFERROR(-Cash_Flow!E14/Income_Statement!E9,0)</f>
        <v>0.0331428216437846</v>
      </c>
      <c r="F25" s="40" t="n">
        <f aca="false">IFERROR(-Cash_Flow!F14/Income_Statement!F9,0)</f>
        <v>0.0341115782568506</v>
      </c>
      <c r="G25" s="40" t="n">
        <f aca="false">IFERROR(-Cash_Flow!G14/Income_Statement!G9,0)</f>
        <v>0.035040626813697</v>
      </c>
      <c r="H25" s="41" t="n">
        <f aca="false">IFERROR(-Cash_Flow!H14/Income_Statement!H9,0)</f>
        <v>0.0350415480789536</v>
      </c>
      <c r="I25" s="41" t="n">
        <f aca="false">IFERROR(-Cash_Flow!I14/Income_Statement!I9,0)</f>
        <v>0.0350415480789536</v>
      </c>
      <c r="J25" s="41" t="n">
        <f aca="false">IFERROR(-Cash_Flow!J14/Income_Statement!J9,0)</f>
        <v>0.0350415480789536</v>
      </c>
      <c r="K25" s="41" t="n">
        <f aca="false">IFERROR(-Cash_Flow!K14/Income_Statement!K9,0)</f>
        <v>0.0350415480789536</v>
      </c>
      <c r="L25" s="41" t="n">
        <f aca="false">IFERROR(-Cash_Flow!L14/Income_Statement!L9,0)</f>
        <v>0.0350415480789536</v>
      </c>
    </row>
    <row r="26" customFormat="false" ht="15" hidden="false" customHeight="false" outlineLevel="0" collapsed="false">
      <c r="B26" s="34" t="s">
        <v>145</v>
      </c>
      <c r="C26" s="42" t="n">
        <f aca="false">IFERROR(Cash_Flow!C14/Income_Statement!C17,0)</f>
        <v>0.689807976366322</v>
      </c>
      <c r="D26" s="42" t="n">
        <f aca="false">IFERROR(Cash_Flow!D14/Income_Statement!D17,0)</f>
        <v>0.431905678537055</v>
      </c>
      <c r="E26" s="42" t="n">
        <f aca="false">IFERROR(Cash_Flow!E14/Income_Statement!E17,0)</f>
        <v>0.468290542023261</v>
      </c>
      <c r="F26" s="42" t="n">
        <f aca="false">IFERROR(Cash_Flow!F14/Income_Statement!F17,0)</f>
        <v>0.556962025316456</v>
      </c>
      <c r="G26" s="42" t="n">
        <f aca="false">IFERROR(Cash_Flow!G14/Income_Statement!G17,0)</f>
        <v>0.573497981477084</v>
      </c>
      <c r="H26" s="43" t="n">
        <f aca="false">IFERROR(Cash_Flow!H14/Income_Statement!H17,0)</f>
        <v>0.536987883142185</v>
      </c>
      <c r="I26" s="43" t="n">
        <f aca="false">IFERROR(Cash_Flow!I14/Income_Statement!I17,0)</f>
        <v>0.536987883142185</v>
      </c>
      <c r="J26" s="43" t="n">
        <f aca="false">IFERROR(Cash_Flow!J14/Income_Statement!J17,0)</f>
        <v>0.536987883142185</v>
      </c>
      <c r="K26" s="43" t="n">
        <f aca="false">IFERROR(Cash_Flow!K14/Income_Statement!K17,0)</f>
        <v>0.536987883142185</v>
      </c>
      <c r="L26" s="43" t="n">
        <f aca="false">IFERROR(Cash_Flow!L14/Income_Statement!L17,0)</f>
        <v>0.536987883142185</v>
      </c>
    </row>
    <row r="27" customFormat="false" ht="15" hidden="false" customHeight="false" outlineLevel="0" collapsed="false">
      <c r="B27" s="34" t="s">
        <v>146</v>
      </c>
      <c r="C27" s="40" t="n">
        <f aca="false">IFERROR(Cash_Flow!C16/Income_Statement!C9,0)</f>
        <v>-0.0411916470043441</v>
      </c>
      <c r="D27" s="40" t="n">
        <f aca="false">IFERROR(Cash_Flow!D16/Income_Statement!D9,0)</f>
        <v>-0.0317210666760917</v>
      </c>
      <c r="E27" s="40" t="n">
        <f aca="false">IFERROR(Cash_Flow!E16/Income_Statement!E9,0)</f>
        <v>-0.0331428216437846</v>
      </c>
      <c r="F27" s="40" t="n">
        <f aca="false">IFERROR(Cash_Flow!F16/Income_Statement!F9,0)</f>
        <v>0.0727554641142619</v>
      </c>
      <c r="G27" s="40" t="n">
        <f aca="false">IFERROR(Cash_Flow!G16/Income_Statement!G9,0)</f>
        <v>0.0793383633197911</v>
      </c>
      <c r="H27" s="41" t="n">
        <f aca="false">IFERROR(Cash_Flow!H16/Income_Statement!H9,0)</f>
        <v>0.228429413544244</v>
      </c>
      <c r="I27" s="41" t="n">
        <f aca="false">IFERROR(Cash_Flow!I16/Income_Statement!I9,0)</f>
        <v>0.23094254653042</v>
      </c>
      <c r="J27" s="41" t="n">
        <f aca="false">IFERROR(Cash_Flow!J16/Income_Statement!J9,0)</f>
        <v>0.233092824905521</v>
      </c>
      <c r="K27" s="41" t="n">
        <f aca="false">IFERROR(Cash_Flow!K16/Income_Statement!K9,0)</f>
        <v>0.234932638841297</v>
      </c>
      <c r="L27" s="41" t="n">
        <f aca="false">IFERROR(Cash_Flow!L16/Income_Statement!L9,0)</f>
        <v>0.236506814239921</v>
      </c>
    </row>
    <row r="28" customFormat="false" ht="15" hidden="false" customHeight="false" outlineLevel="0" collapsed="false">
      <c r="B28" s="34" t="s">
        <v>147</v>
      </c>
      <c r="C28" s="40" t="n">
        <f aca="false">IFERROR(Cash_Flow!C16/Income_Statement!C23,0)</f>
        <v>-0.337366805129131</v>
      </c>
      <c r="D28" s="40" t="n">
        <f aca="false">IFERROR(Cash_Flow!D16/Income_Statement!D23,0)</f>
        <v>0.510088093208298</v>
      </c>
      <c r="E28" s="40" t="n">
        <f aca="false">IFERROR(Cash_Flow!E16/Income_Statement!E23,0)</f>
        <v>-0.552277432712215</v>
      </c>
      <c r="F28" s="40" t="n">
        <f aca="false">IFERROR(Cash_Flow!F16/Income_Statement!F23,0)</f>
        <v>0.939003271117953</v>
      </c>
      <c r="G28" s="40" t="n">
        <f aca="false">IFERROR(Cash_Flow!G16/Income_Statement!G23,0)</f>
        <v>1.71142410015649</v>
      </c>
      <c r="H28" s="41" t="n">
        <f aca="false">IFERROR(Cash_Flow!H16/Income_Statement!H23,0)</f>
        <v>1.1555070039626</v>
      </c>
      <c r="I28" s="41" t="n">
        <f aca="false">IFERROR(Cash_Flow!I16/Income_Statement!I23,0)</f>
        <v>1.15355491436065</v>
      </c>
      <c r="J28" s="41" t="n">
        <f aca="false">IFERROR(Cash_Flow!J16/Income_Statement!J23,0)</f>
        <v>1.15192316663958</v>
      </c>
      <c r="K28" s="41" t="n">
        <f aca="false">IFERROR(Cash_Flow!K16/Income_Statement!K23,0)</f>
        <v>1.15055429832594</v>
      </c>
      <c r="L28" s="41" t="n">
        <f aca="false">IFERROR(Cash_Flow!L16/Income_Statement!L23,0)</f>
        <v>1.14940250446083</v>
      </c>
    </row>
    <row r="30" customFormat="false" ht="15" hidden="false" customHeight="false" outlineLevel="0" collapsed="false">
      <c r="B30" s="8" t="s">
        <v>148</v>
      </c>
      <c r="C30" s="9"/>
      <c r="D30" s="9"/>
      <c r="E30" s="9"/>
      <c r="F30" s="9"/>
      <c r="G30" s="9"/>
      <c r="H30" s="9"/>
      <c r="I30" s="9"/>
      <c r="J30" s="9"/>
      <c r="K30" s="9"/>
      <c r="L30" s="9"/>
    </row>
    <row r="31" customFormat="false" ht="15" hidden="false" customHeight="false" outlineLevel="0" collapsed="false">
      <c r="B31" s="34" t="s">
        <v>51</v>
      </c>
      <c r="C31" s="40" t="str">
        <f aca="false">""</f>
        <v/>
      </c>
      <c r="D31" s="40" t="n">
        <f aca="false">IFERROR(Income_Statement!D9/Income_Statement!C9-1,"")</f>
        <v>0.247811418112858</v>
      </c>
      <c r="E31" s="40" t="n">
        <f aca="false">IFERROR(Income_Statement!E9/Income_Statement!D9-1,"")</f>
        <v>0.137858518741054</v>
      </c>
      <c r="F31" s="40" t="n">
        <f aca="false">IFERROR(Income_Statement!F9/Income_Statement!E9-1,"")</f>
        <v>0.0417158476734796</v>
      </c>
      <c r="G31" s="40" t="n">
        <f aca="false">IFERROR(Income_Statement!G9/Income_Statement!F9-1,"")</f>
        <v>0.0275218415481409</v>
      </c>
      <c r="H31" s="41" t="n">
        <f aca="false">IFERROR(Income_Statement!H9/Income_Statement!G9-1,"")</f>
        <v>0.110310350749499</v>
      </c>
      <c r="I31" s="41" t="n">
        <f aca="false">IFERROR(Income_Statement!I9/Income_Statement!H9-1,"")</f>
        <v>0.110310350749499</v>
      </c>
      <c r="J31" s="41" t="n">
        <f aca="false">IFERROR(Income_Statement!J9/Income_Statement!I9-1,"")</f>
        <v>0.110310350749499</v>
      </c>
      <c r="K31" s="41" t="n">
        <f aca="false">IFERROR(Income_Statement!K9/Income_Statement!J9-1,"")</f>
        <v>0.110310350749499</v>
      </c>
      <c r="L31" s="41" t="n">
        <f aca="false">IFERROR(Income_Statement!L9/Income_Statement!K9-1,"")</f>
        <v>0.110310350749499</v>
      </c>
    </row>
    <row r="32" customFormat="false" ht="15" hidden="false" customHeight="false" outlineLevel="0" collapsed="false">
      <c r="B32" s="34" t="s">
        <v>149</v>
      </c>
      <c r="C32" s="40" t="str">
        <f aca="false">""</f>
        <v/>
      </c>
      <c r="D32" s="40" t="n">
        <f aca="false">IFERROR(Income_Statement!D15/Income_Statement!C15-1,"")</f>
        <v>0.236793752870923</v>
      </c>
      <c r="E32" s="40" t="n">
        <f aca="false">IFERROR(Income_Statement!E15/Income_Statement!D15-1,"")</f>
        <v>0.168059424326834</v>
      </c>
      <c r="F32" s="40" t="n">
        <f aca="false">IFERROR(Income_Statement!F15/Income_Statement!E15-1,"")</f>
        <v>0.0385090973326268</v>
      </c>
      <c r="G32" s="40" t="n">
        <f aca="false">IFERROR(Income_Statement!G15/Income_Statement!F15-1,"")</f>
        <v>0.0257866984180983</v>
      </c>
      <c r="H32" s="41" t="n">
        <f aca="false">IFERROR(Income_Statement!H15/Income_Statement!G15-1,"")</f>
        <v>-0.593626181920365</v>
      </c>
      <c r="I32" s="41" t="n">
        <f aca="false">IFERROR(Income_Statement!I15/Income_Statement!H15-1,"")</f>
        <v>0.110310350749499</v>
      </c>
      <c r="J32" s="41" t="n">
        <f aca="false">IFERROR(Income_Statement!J15/Income_Statement!I15-1,"")</f>
        <v>0.110310350749498</v>
      </c>
      <c r="K32" s="41" t="n">
        <f aca="false">IFERROR(Income_Statement!K15/Income_Statement!J15-1,"")</f>
        <v>0.110310350749499</v>
      </c>
      <c r="L32" s="41" t="n">
        <f aca="false">IFERROR(Income_Statement!L15/Income_Statement!K15-1,"")</f>
        <v>0.110310350749498</v>
      </c>
    </row>
    <row r="33" customFormat="false" ht="15" hidden="false" customHeight="false" outlineLevel="0" collapsed="false">
      <c r="B33" s="34" t="s">
        <v>150</v>
      </c>
      <c r="C33" s="40" t="str">
        <f aca="false">""</f>
        <v/>
      </c>
      <c r="D33" s="40" t="n">
        <f aca="false">IFERROR(Income_Statement!D18/Income_Statement!C18-1,"")</f>
        <v>0.214677339766435</v>
      </c>
      <c r="E33" s="40" t="n">
        <f aca="false">IFERROR(Income_Statement!E18/Income_Statement!D18-1,"")</f>
        <v>0.174772619558103</v>
      </c>
      <c r="F33" s="40" t="n">
        <f aca="false">IFERROR(Income_Statement!F18/Income_Statement!E18-1,"")</f>
        <v>0.0505062148195108</v>
      </c>
      <c r="G33" s="40" t="n">
        <f aca="false">IFERROR(Income_Statement!G18/Income_Statement!F18-1,"")</f>
        <v>0.0258403130829157</v>
      </c>
      <c r="H33" s="41" t="n">
        <f aca="false">IFERROR(Income_Statement!H18/Income_Statement!G18-1,"")</f>
        <v>-0.652139399844471</v>
      </c>
      <c r="I33" s="41" t="n">
        <f aca="false">IFERROR(Income_Statement!I18/Income_Statement!H18-1,"")</f>
        <v>0.110310350749499</v>
      </c>
      <c r="J33" s="41" t="n">
        <f aca="false">IFERROR(Income_Statement!J18/Income_Statement!I18-1,"")</f>
        <v>0.110310350749498</v>
      </c>
      <c r="K33" s="41" t="n">
        <f aca="false">IFERROR(Income_Statement!K18/Income_Statement!J18-1,"")</f>
        <v>0.110310350749499</v>
      </c>
      <c r="L33" s="41" t="n">
        <f aca="false">IFERROR(Income_Statement!L18/Income_Statement!K18-1,"")</f>
        <v>0.110310350749498</v>
      </c>
    </row>
    <row r="34" customFormat="false" ht="15" hidden="false" customHeight="false" outlineLevel="0" collapsed="false">
      <c r="B34" s="34" t="s">
        <v>151</v>
      </c>
      <c r="C34" s="40" t="str">
        <f aca="false">""</f>
        <v/>
      </c>
      <c r="D34" s="40" t="n">
        <f aca="false">IFERROR(Income_Statement!D23/Income_Statement!C23-1,"")</f>
        <v>-1.63554271266029</v>
      </c>
      <c r="E34" s="40" t="n">
        <f aca="false">IFERROR(Income_Statement!E23/Income_Statement!D23-1,"")</f>
        <v>-2.09803921568627</v>
      </c>
      <c r="F34" s="40" t="n">
        <f aca="false">IFERROR(Income_Statement!F23/Income_Statement!E23-1,"")</f>
        <v>0.344979296066253</v>
      </c>
      <c r="G34" s="40" t="n">
        <f aca="false">IFERROR(Income_Statement!G23/Income_Statement!F23-1,"")</f>
        <v>-0.385222243602078</v>
      </c>
      <c r="H34" s="41" t="n">
        <f aca="false">IFERROR(Income_Statement!H23/Income_Statement!G23-1,"")</f>
        <v>3.73476291468346</v>
      </c>
      <c r="I34" s="41" t="n">
        <f aca="false">IFERROR(Income_Statement!I23/Income_Statement!H23-1,"")</f>
        <v>0.124425335604641</v>
      </c>
      <c r="J34" s="41" t="n">
        <f aca="false">IFERROR(Income_Statement!J23/Income_Statement!I23-1,"")</f>
        <v>0.122235762946987</v>
      </c>
      <c r="K34" s="41" t="n">
        <f aca="false">IFERROR(Income_Statement!K23/Income_Statement!J23-1,"")</f>
        <v>0.120405503623494</v>
      </c>
      <c r="L34" s="41" t="n">
        <f aca="false">IFERROR(Income_Statement!L23/Income_Statement!K23-1,"")</f>
        <v>0.118870104516576</v>
      </c>
    </row>
    <row r="35" customFormat="false" ht="15" hidden="false" customHeight="false" outlineLevel="0" collapsed="false">
      <c r="B35" s="34" t="s">
        <v>152</v>
      </c>
      <c r="C35" s="40" t="str">
        <f aca="false">""</f>
        <v/>
      </c>
      <c r="D35" s="40" t="n">
        <f aca="false">IFERROR(Cash_Flow!D16/Cash_Flow!C16-1,"")</f>
        <v>-0.0390792291220556</v>
      </c>
      <c r="E35" s="40" t="n">
        <f aca="false">IFERROR(Cash_Flow!E16/Cash_Flow!D16-1,"")</f>
        <v>0.188857938718663</v>
      </c>
      <c r="F35" s="40" t="n">
        <f aca="false">IFERROR(Cash_Flow!F16/Cash_Flow!E16-1,"")</f>
        <v>-3.28678537956889</v>
      </c>
      <c r="G35" s="40" t="n">
        <f aca="false">IFERROR(Cash_Flow!G16/Cash_Flow!F16-1,"")</f>
        <v>0.120491803278689</v>
      </c>
      <c r="H35" s="41" t="n">
        <f aca="false">IFERROR(Cash_Flow!H16/Cash_Flow!G16-1,"")</f>
        <v>2.1967831407299</v>
      </c>
      <c r="I35" s="41" t="n">
        <f aca="false">IFERROR(Cash_Flow!I16/Cash_Flow!H16-1,"")</f>
        <v>0.122525754729516</v>
      </c>
      <c r="J35" s="41" t="n">
        <f aca="false">IFERROR(Cash_Flow!J16/Cash_Flow!I16-1,"")</f>
        <v>0.120648317368191</v>
      </c>
      <c r="K35" s="41" t="n">
        <f aca="false">IFERROR(Cash_Flow!K16/Cash_Flow!J16-1,"")</f>
        <v>0.119074088788942</v>
      </c>
      <c r="L35" s="41" t="n">
        <f aca="false">IFERROR(Cash_Flow!L16/Cash_Flow!K16-1,"")</f>
        <v>0.117750028980706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2C2C"/>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7" customFormat="false" ht="15" hidden="false" customHeight="false" outlineLevel="0" collapsed="false">
      <c r="B7" s="34" t="s">
        <v>155</v>
      </c>
      <c r="C7" s="35" t="n">
        <f aca="false">ABS(Balance_Sheet!C25)&lt;1</f>
        <v>1</v>
      </c>
      <c r="D7" s="35" t="n">
        <f aca="false">ABS(Balance_Sheet!D25)&lt;1</f>
        <v>1</v>
      </c>
      <c r="E7" s="35" t="n">
        <f aca="false">ABS(Balance_Sheet!E25)&lt;1</f>
        <v>1</v>
      </c>
      <c r="F7" s="35" t="n">
        <f aca="false">ABS(Balance_Sheet!F25)&lt;1</f>
        <v>1</v>
      </c>
      <c r="G7" s="35" t="n">
        <f aca="false">ABS(Balance_Sheet!G25)&lt;1</f>
        <v>1</v>
      </c>
      <c r="H7" s="26" t="n">
        <f aca="false">ABS(Balance_Sheet!H25)&lt;1</f>
        <v>1</v>
      </c>
      <c r="I7" s="26" t="n">
        <f aca="false">ABS(Balance_Sheet!I25)&lt;1</f>
        <v>1</v>
      </c>
      <c r="J7" s="26" t="n">
        <f aca="false">ABS(Balance_Sheet!J25)&lt;1</f>
        <v>1</v>
      </c>
      <c r="K7" s="26" t="n">
        <f aca="false">ABS(Balance_Sheet!K25)&lt;1</f>
        <v>1</v>
      </c>
      <c r="L7" s="26" t="n">
        <f aca="false">ABS(Balance_Sheet!L25)&lt;1</f>
        <v>1</v>
      </c>
    </row>
    <row r="8" customFormat="false" ht="15" hidden="false" customHeight="false" outlineLevel="0" collapsed="false">
      <c r="B8" s="34" t="s">
        <v>156</v>
      </c>
      <c r="C8" s="35" t="n">
        <f aca="false">ABS(Balance_Sheet!C8-Cash_Flow!C26)&lt;1</f>
        <v>1</v>
      </c>
      <c r="D8" s="35" t="n">
        <f aca="false">ABS(Balance_Sheet!D8-Cash_Flow!D26)&lt;1</f>
        <v>1</v>
      </c>
      <c r="E8" s="35" t="n">
        <f aca="false">ABS(Balance_Sheet!E8-Cash_Flow!E26)&lt;1</f>
        <v>1</v>
      </c>
      <c r="F8" s="35" t="n">
        <f aca="false">ABS(Balance_Sheet!F8-Cash_Flow!F26)&lt;1</f>
        <v>1</v>
      </c>
      <c r="G8" s="35" t="n">
        <f aca="false">ABS(Balance_Sheet!G8-Cash_Flow!G26)&lt;1</f>
        <v>1</v>
      </c>
      <c r="H8" s="26" t="n">
        <f aca="false">ABS(Balance_Sheet!H8-Cash_Flow!H26)&lt;1</f>
        <v>1</v>
      </c>
      <c r="I8" s="26" t="n">
        <f aca="false">ABS(Balance_Sheet!I8-Cash_Flow!I26)&lt;1</f>
        <v>1</v>
      </c>
      <c r="J8" s="26" t="n">
        <f aca="false">ABS(Balance_Sheet!J8-Cash_Flow!J26)&lt;1</f>
        <v>1</v>
      </c>
      <c r="K8" s="26" t="n">
        <f aca="false">ABS(Balance_Sheet!K8-Cash_Flow!K26)&lt;1</f>
        <v>1</v>
      </c>
      <c r="L8" s="26" t="n">
        <f aca="false">ABS(Balance_Sheet!L8-Cash_Flow!L26)&lt;1</f>
        <v>1</v>
      </c>
    </row>
    <row r="9" customFormat="false" ht="15" hidden="false" customHeight="false" outlineLevel="0" collapsed="false">
      <c r="B9" s="34" t="s">
        <v>157</v>
      </c>
      <c r="C9" s="35" t="n">
        <f aca="false">Income_Statement!C9&gt;0</f>
        <v>1</v>
      </c>
      <c r="D9" s="35" t="n">
        <f aca="false">Income_Statement!D9&gt;0</f>
        <v>1</v>
      </c>
      <c r="E9" s="35" t="n">
        <f aca="false">Income_Statement!E9&gt;0</f>
        <v>1</v>
      </c>
      <c r="F9" s="35" t="n">
        <f aca="false">Income_Statement!F9&gt;0</f>
        <v>1</v>
      </c>
      <c r="G9" s="35" t="n">
        <f aca="false">Income_Statement!G9&gt;0</f>
        <v>1</v>
      </c>
      <c r="H9" s="26" t="n">
        <f aca="false">Income_Statement!H9&gt;0</f>
        <v>1</v>
      </c>
      <c r="I9" s="26" t="n">
        <f aca="false">Income_Statement!I9&gt;0</f>
        <v>1</v>
      </c>
      <c r="J9" s="26" t="n">
        <f aca="false">Income_Statement!J9&gt;0</f>
        <v>1</v>
      </c>
      <c r="K9" s="26" t="n">
        <f aca="false">Income_Statement!K9&gt;0</f>
        <v>1</v>
      </c>
      <c r="L9" s="26" t="n">
        <f aca="false">Income_Statement!L9&gt;0</f>
        <v>1</v>
      </c>
    </row>
    <row r="10" customFormat="false" ht="15" hidden="false" customHeight="false" outlineLevel="0" collapsed="false">
      <c r="B10" s="34" t="s">
        <v>158</v>
      </c>
      <c r="C10" s="35" t="n">
        <f aca="false">Balance_Sheet!C16&gt;=0</f>
        <v>1</v>
      </c>
      <c r="D10" s="35" t="n">
        <f aca="false">Balance_Sheet!D16&gt;=0</f>
        <v>1</v>
      </c>
      <c r="E10" s="35" t="n">
        <f aca="false">Balance_Sheet!E16&gt;=0</f>
        <v>1</v>
      </c>
      <c r="F10" s="35" t="n">
        <f aca="false">Balance_Sheet!F16&gt;=0</f>
        <v>1</v>
      </c>
      <c r="G10" s="35" t="n">
        <f aca="false">Balance_Sheet!G16&gt;=0</f>
        <v>1</v>
      </c>
      <c r="H10" s="26" t="n">
        <f aca="false">Balance_Sheet!H16&gt;=0</f>
        <v>1</v>
      </c>
      <c r="I10" s="26" t="n">
        <f aca="false">Balance_Sheet!I16&gt;=0</f>
        <v>1</v>
      </c>
      <c r="J10" s="26" t="n">
        <f aca="false">Balance_Sheet!J16&gt;=0</f>
        <v>1</v>
      </c>
      <c r="K10" s="26" t="n">
        <f aca="false">Balance_Sheet!K16&gt;=0</f>
        <v>1</v>
      </c>
      <c r="L10" s="26" t="n">
        <f aca="false">Balance_Sheet!L16&gt;=0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4" t="s">
        <v>159</v>
      </c>
    </row>
    <row r="3" customFormat="false" ht="3.75" hidden="false" customHeight="true" outlineLevel="0" collapsed="false">
      <c r="B3" s="45"/>
    </row>
    <row r="5" customFormat="false" ht="19.5" hidden="false" customHeight="true" outlineLevel="0" collapsed="false">
      <c r="B5" s="46" t="s">
        <v>160</v>
      </c>
    </row>
    <row r="6" customFormat="false" ht="48" hidden="false" customHeight="true" outlineLevel="0" collapsed="false">
      <c r="B6" s="47" t="s">
        <v>161</v>
      </c>
    </row>
    <row r="8" customFormat="false" ht="19.5" hidden="false" customHeight="true" outlineLevel="0" collapsed="false">
      <c r="B8" s="46" t="s">
        <v>162</v>
      </c>
    </row>
    <row r="9" customFormat="false" ht="61.5" hidden="false" customHeight="true" outlineLevel="0" collapsed="false">
      <c r="B9" s="47" t="s">
        <v>163</v>
      </c>
    </row>
    <row r="11" customFormat="false" ht="19.5" hidden="false" customHeight="true" outlineLevel="0" collapsed="false">
      <c r="B11" s="46" t="s">
        <v>164</v>
      </c>
    </row>
    <row r="12" customFormat="false" ht="75.75" hidden="false" customHeight="true" outlineLevel="0" collapsed="false">
      <c r="B12" s="47" t="s">
        <v>165</v>
      </c>
    </row>
    <row r="14" customFormat="false" ht="19.5" hidden="false" customHeight="true" outlineLevel="0" collapsed="false">
      <c r="B14" s="46" t="s">
        <v>166</v>
      </c>
    </row>
    <row r="15" customFormat="false" ht="61.5" hidden="false" customHeight="true" outlineLevel="0" collapsed="false">
      <c r="B15" s="47" t="s">
        <v>167</v>
      </c>
    </row>
    <row r="17" customFormat="false" ht="19.5" hidden="false" customHeight="true" outlineLevel="0" collapsed="false">
      <c r="B17" s="46" t="s">
        <v>168</v>
      </c>
    </row>
    <row r="18" customFormat="false" ht="33.75" hidden="false" customHeight="true" outlineLevel="0" collapsed="false">
      <c r="B18" s="47" t="s">
        <v>169</v>
      </c>
    </row>
    <row r="20" customFormat="false" ht="19.5" hidden="false" customHeight="true" outlineLevel="0" collapsed="false">
      <c r="B20" s="46" t="s">
        <v>170</v>
      </c>
    </row>
    <row r="21" customFormat="false" ht="33.75" hidden="false" customHeight="true" outlineLevel="0" collapsed="false">
      <c r="B21" s="47" t="s">
        <v>171</v>
      </c>
    </row>
    <row r="23" customFormat="false" ht="21.75" hidden="false" customHeight="true" outlineLevel="0" collapsed="false">
      <c r="B23" s="48" t="s">
        <v>172</v>
      </c>
    </row>
    <row r="25" customFormat="false" ht="18" hidden="false" customHeight="true" outlineLevel="0" collapsed="false">
      <c r="B25" s="49" t="s">
        <v>173</v>
      </c>
    </row>
    <row r="26" customFormat="false" ht="201.75" hidden="false" customHeight="true" outlineLevel="0" collapsed="false">
      <c r="B26" s="50" t="s">
        <v>174</v>
      </c>
    </row>
    <row r="28" customFormat="false" ht="18" hidden="false" customHeight="true" outlineLevel="0" collapsed="false">
      <c r="B28" s="51" t="s">
        <v>175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2026-05-15T19:26:15Z</dcterms:created>
  <dc:creator>openpyxl</dc:creator>
  <dc:description/>
  <dc:language>en-GB</dc:language>
  <cp:lastModifiedBy/>
  <dcterms:modified xsi:type="dcterms:W3CDTF">2026-05-15T19:26:56Z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