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3.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ool_CF" sheetId="3" state="visible" r:id="rId5"/>
    <sheet name="Waterfall" sheetId="4" state="visible" r:id="rId6"/>
    <sheet name="Returns" sheetId="5" state="visible" r:id="rId7"/>
    <sheet name="Checks" sheetId="6" state="visible" r:id="rId8"/>
    <sheet name="Disclaimer" sheetId="7" state="visible" r:id="rId9"/>
  </sheets>
  <definedNames>
    <definedName function="false" hidden="false" name="AAA_Coupon" vbProcedure="false">Assumptions!$C$35</definedName>
    <definedName function="false" hidden="false" name="AAA_Pct" vbProcedure="false">Assumptions!$C$18</definedName>
    <definedName function="false" hidden="false" name="AAA_Size" vbProcedure="false">Assumptions!$C$26</definedName>
    <definedName function="false" hidden="false" name="AA_Coupon" vbProcedure="false">Assumptions!$C$36</definedName>
    <definedName function="false" hidden="false" name="AA_Pct" vbProcedure="false">Assumptions!$C$19</definedName>
    <definedName function="false" hidden="false" name="AA_Size" vbProcedure="false">Assumptions!$C$27</definedName>
    <definedName function="false" hidden="false" name="Annual_CDR" vbProcedure="false">Assumptions!$C$11</definedName>
    <definedName function="false" hidden="false" name="Annual_CPR" vbProcedure="false">Assumptions!$C$10</definedName>
    <definedName function="false" hidden="false" name="A_Coupon" vbProcedure="false">Assumptions!$C$37</definedName>
    <definedName function="false" hidden="false" name="A_Pct" vbProcedure="false">Assumptions!$C$20</definedName>
    <definedName function="false" hidden="false" name="A_Size" vbProcedure="false">Assumptions!$C$28</definedName>
    <definedName function="false" hidden="false" name="BBB_Coupon" vbProcedure="false">Assumptions!$C$38</definedName>
    <definedName function="false" hidden="false" name="BBB_Pct" vbProcedure="false">Assumptions!$C$21</definedName>
    <definedName function="false" hidden="false" name="BBB_Size" vbProcedure="false">Assumptions!$C$29</definedName>
    <definedName function="false" hidden="false" name="BB_Coupon" vbProcedure="false">Assumptions!$C$39</definedName>
    <definedName function="false" hidden="false" name="BB_Pct" vbProcedure="false">Assumptions!$C$22</definedName>
    <definedName function="false" hidden="false" name="BB_Size" vbProcedure="false">Assumptions!$C$30</definedName>
    <definedName function="false" hidden="false" name="Equity_Hurdle_Rate" vbProcedure="false">Assumptions!$C$46</definedName>
    <definedName function="false" hidden="false" name="Equity_Pct" vbProcedure="false">Assumptions!$C$23</definedName>
    <definedName function="false" hidden="false" name="Equity_Size" vbProcedure="false">Assumptions!$C$31</definedName>
    <definedName function="false" hidden="false" name="IC_Trig_A" vbProcedure="false">Assumptions!$C$58</definedName>
    <definedName function="false" hidden="false" name="IC_Trig_AA" vbProcedure="false">Assumptions!$C$57</definedName>
    <definedName function="false" hidden="false" name="IC_Trig_AAA" vbProcedure="false">Assumptions!$C$56</definedName>
    <definedName function="false" hidden="false" name="IC_Trig_BB" vbProcedure="false">Assumptions!$C$60</definedName>
    <definedName function="false" hidden="false" name="IC_Trig_BBB" vbProcedure="false">Assumptions!$C$59</definedName>
    <definedName function="false" hidden="false" name="Incentive_Fee_Rate" vbProcedure="false">Assumptions!$C$45</definedName>
    <definedName function="false" hidden="false" name="Model_Start_Year" vbProcedure="false">Assumptions!$C$7</definedName>
    <definedName function="false" hidden="false" name="OC_Trig_A" vbProcedure="false">Assumptions!$C$51</definedName>
    <definedName function="false" hidden="false" name="OC_Trig_AA" vbProcedure="false">Assumptions!$C$50</definedName>
    <definedName function="false" hidden="false" name="OC_Trig_AAA" vbProcedure="false">Assumptions!$C$49</definedName>
    <definedName function="false" hidden="false" name="OC_Trig_BB" vbProcedure="false">Assumptions!$C$53</definedName>
    <definedName function="false" hidden="false" name="OC_Trig_BBB" vbProcedure="false">Assumptions!$C$52</definedName>
    <definedName function="false" hidden="false" name="Pool_Size" vbProcedure="false">Assumptions!$C$8</definedName>
    <definedName function="false" hidden="false" name="Recovery_Lag" vbProcedure="false">Assumptions!$C$13</definedName>
    <definedName function="false" hidden="false" name="Recovery_Rate" vbProcedure="false">Assumptions!$C$12</definedName>
    <definedName function="false" hidden="false" name="Reinvest_Period" vbProcedure="false">Assumptions!$C$14</definedName>
    <definedName function="false" hidden="false" name="Sched_Amort_Pct" vbProcedure="false">Assumptions!$C$15</definedName>
    <definedName function="false" hidden="false" name="Sr_Mgmt_Fee" vbProcedure="false">Assumptions!$C$43</definedName>
    <definedName function="false" hidden="false" name="Sub_Mgmt_Fee" vbProcedure="false">Assumptions!$C$44</definedName>
    <definedName function="false" hidden="false" name="Trustee_Fee" vbProcedure="false">Assumptions!$C$42</definedName>
    <definedName function="false" hidden="false" name="WAC" vbProcedure="false">Assumptions!$C$9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<sst xmlns="http://schemas.openxmlformats.org/spreadsheetml/2006/main" count="335" uniqueCount="295">
  <si>
    <t xml:space="preserve">CLO Cash Flow Model</t>
  </si>
  <si>
    <t xml:space="preserve">Collateralised Loan Obligation</t>
  </si>
  <si>
    <t xml:space="preserve">FINAMODEL.com</t>
  </si>
  <si>
    <t xml:space="preserve">Annual cash-flow projection over a 10-year horizon</t>
  </si>
  <si>
    <t xml:space="preserve">Deal Metadata</t>
  </si>
  <si>
    <t xml:space="preserve">Deal Name</t>
  </si>
  <si>
    <t xml:space="preserve">Sample CLO I</t>
  </si>
  <si>
    <t xml:space="preserve">Deal Date</t>
  </si>
  <si>
    <t xml:space="preserve">April 2026</t>
  </si>
  <si>
    <t xml:space="preserve">Manager</t>
  </si>
  <si>
    <t xml:space="preserve">[ASSUMPTION] Sample Mgr LLC</t>
  </si>
  <si>
    <t xml:space="preserve">Deal Summary</t>
  </si>
  <si>
    <t xml:space="preserve">Pool Size</t>
  </si>
  <si>
    <t xml:space="preserve">Number of Tranches (rated + equity)</t>
  </si>
  <si>
    <t xml:space="preserve">Reinvestment Period (years)</t>
  </si>
  <si>
    <t xml:space="preserve">Projected Equity IRR</t>
  </si>
  <si>
    <t xml:space="preserve">AAA WAL (years)</t>
  </si>
  <si>
    <t xml:space="preserve">This model projects annual collateral pool cash flows and distributes them through a sequential-pay CLO waterfall with OC/IC test triggers. Edit assumptions to flex the deal; outputs flow through to all sheets.</t>
  </si>
  <si>
    <t xml:space="preserve">About this model</t>
  </si>
  <si>
    <t xml:space="preserve">An ABS/CLO cash flow model projects the financial performance of asset-backed securities or collateralized loan obligations by simulating a diversified loan pool through prepayment, default, and recovery scenarios. The model answers whether a CLO structure can generate target returns for equity investors (typically 12% cash-on-cash) while protecting each rated tranche through interest and principal waterfalls, overcollateralisation (OC) tests, and interest coverage (IC) mechanics that trigger automatic amortisation when leverage ratios breach trigger levels. The pool performance is driven by weighted average coupon (WAC), conditional prepayment rate (CPR), conditional default rate (CDR), and recovery rates, all of which vary by credit cycle and economic assumptions.
The workbook contains a detailed collateral pool roll-forward tracking performing balances, scheduled amortisation, prepayments, defaults, and reinvested principal during the reinvestment period, plus a combined interest and principal waterfall that prioritises senior fee recovery and sequential tranche payments according to the deal's capital structure. Overcollateralisation and interest coverage tests divert excess cash to senior tranche pay-down (turbo amortisation) whenever credit metrics weaken, automatically protecting rated investors. Equity returns are tracked separately from tranche payments, with incentive fee mechanics that align the CLO manager's upside with equity holder returns above a specified hurdle.
Structured credit investors, rating agencies, and commercial lenders rely on CLO models to stress test collateral performance, confirm that DSCR and subordination levels will weather recession scenarios, and project equity distribution waterfalls across the reinvestment and amortisation periods.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</si>
  <si>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</si>
  <si>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</si>
  <si>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</si>
  <si>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</si>
  <si>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</si>
  <si>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CLO inputs &amp; named ranges</t>
  </si>
  <si>
    <t xml:space="preserve">Sample CLO I -- 10-year projection</t>
  </si>
  <si>
    <t xml:space="preserve">Collateral Pool</t>
  </si>
  <si>
    <t xml:space="preserve">Model Start Year</t>
  </si>
  <si>
    <t xml:space="preserve">Pool Size ($)</t>
  </si>
  <si>
    <t xml:space="preserve">Weighted Average Coupon</t>
  </si>
  <si>
    <t xml:space="preserve">Annual CPR</t>
  </si>
  <si>
    <t xml:space="preserve">Annual CDR</t>
  </si>
  <si>
    <t xml:space="preserve">Recovery Rate</t>
  </si>
  <si>
    <t xml:space="preserve">Recovery Lag (years)</t>
  </si>
  <si>
    <t xml:space="preserve">Scheduled Amort (% original/yr)</t>
  </si>
  <si>
    <t xml:space="preserve">Capital Structure</t>
  </si>
  <si>
    <t xml:space="preserve">AAA (% of pool)</t>
  </si>
  <si>
    <t xml:space="preserve">AA (% of pool)</t>
  </si>
  <si>
    <t xml:space="preserve">A (% of pool)</t>
  </si>
  <si>
    <t xml:space="preserve">BBB (% of pool)</t>
  </si>
  <si>
    <t xml:space="preserve">BB (% of pool)</t>
  </si>
  <si>
    <t xml:space="preserve">Equity (% of pool)</t>
  </si>
  <si>
    <t xml:space="preserve">Tranche Sizes ($)</t>
  </si>
  <si>
    <t xml:space="preserve">AAA Size</t>
  </si>
  <si>
    <t xml:space="preserve">AA Size</t>
  </si>
  <si>
    <t xml:space="preserve">A Size</t>
  </si>
  <si>
    <t xml:space="preserve">BBB Size</t>
  </si>
  <si>
    <t xml:space="preserve">BB Size</t>
  </si>
  <si>
    <t xml:space="preserve">Equity Size</t>
  </si>
  <si>
    <t xml:space="preserve">Total Capital Structure</t>
  </si>
  <si>
    <t xml:space="preserve">Coupons (All-in Annual)</t>
  </si>
  <si>
    <t xml:space="preserve">AAA Coupon</t>
  </si>
  <si>
    <t xml:space="preserve">AA Coupon</t>
  </si>
  <si>
    <t xml:space="preserve">A Coupon</t>
  </si>
  <si>
    <t xml:space="preserve">BBB Coupon</t>
  </si>
  <si>
    <t xml:space="preserve">BB Coupon</t>
  </si>
  <si>
    <t xml:space="preserve">Fees</t>
  </si>
  <si>
    <t xml:space="preserve">Trustee Fee (annual)</t>
  </si>
  <si>
    <t xml:space="preserve">Senior Mgmt Fee (annual)</t>
  </si>
  <si>
    <t xml:space="preserve">Sub Mgmt Fee (annual)</t>
  </si>
  <si>
    <t xml:space="preserve">Incentive Fee Rate</t>
  </si>
  <si>
    <t xml:space="preserve">Equity Hurdle Rate (annual)</t>
  </si>
  <si>
    <t xml:space="preserve">OC Triggers</t>
  </si>
  <si>
    <t xml:space="preserve">OC Trigger AAA</t>
  </si>
  <si>
    <t xml:space="preserve">OC Trigger AA</t>
  </si>
  <si>
    <t xml:space="preserve">OC Trigger A</t>
  </si>
  <si>
    <t xml:space="preserve">OC Trigger BBB</t>
  </si>
  <si>
    <t xml:space="preserve">OC Trigger BB</t>
  </si>
  <si>
    <t xml:space="preserve">IC Triggers</t>
  </si>
  <si>
    <t xml:space="preserve">IC Trigger AAA</t>
  </si>
  <si>
    <t xml:space="preserve">IC Trigger AA</t>
  </si>
  <si>
    <t xml:space="preserve">IC Trigger A</t>
  </si>
  <si>
    <t xml:space="preserve">IC Trigger BBB</t>
  </si>
  <si>
    <t xml:space="preserve">IC Trigger BB</t>
  </si>
  <si>
    <t xml:space="preserve">Collateral Pool Cash Flows</t>
  </si>
  <si>
    <t xml:space="preserve">Pool roll-forward, defaults, recoveries, interest &amp; principal</t>
  </si>
  <si>
    <t xml:space="preserve">Year</t>
  </si>
  <si>
    <t xml:space="preserve">Year Index</t>
  </si>
  <si>
    <t xml:space="preserve">Opening Performing Balance</t>
  </si>
  <si>
    <t xml:space="preserve">Less: Defaults</t>
  </si>
  <si>
    <t xml:space="preserve">Less: Prepayments</t>
  </si>
  <si>
    <t xml:space="preserve">Less: Scheduled Amortisation</t>
  </si>
  <si>
    <t xml:space="preserve">Plus: Reinvestment</t>
  </si>
  <si>
    <t xml:space="preserve">Closing Performing Balance</t>
  </si>
  <si>
    <t xml:space="preserve">Cumulative Tracking</t>
  </si>
  <si>
    <t xml:space="preserve">Cumulative Defaults</t>
  </si>
  <si>
    <t xml:space="preserve">Cumulative Prepayments</t>
  </si>
  <si>
    <t xml:space="preserve">Cumulative Scheduled Amort</t>
  </si>
  <si>
    <t xml:space="preserve">Cumulative Reinvestment</t>
  </si>
  <si>
    <t xml:space="preserve">Loss &amp; Recovery</t>
  </si>
  <si>
    <t xml:space="preserve">Gross Defaults (positive)</t>
  </si>
  <si>
    <t xml:space="preserve">Net Loss (after recovery)</t>
  </si>
  <si>
    <t xml:space="preserve">Cumulative Net Loss</t>
  </si>
  <si>
    <t xml:space="preserve">Gross Recovery (calculated)</t>
  </si>
  <si>
    <t xml:space="preserve">Recovery Cash Received</t>
  </si>
  <si>
    <t xml:space="preserve">Cumulative Recoveries Received</t>
  </si>
  <si>
    <t xml:space="preserve">Defaulted Not-Yet-Recovered (gross)</t>
  </si>
  <si>
    <t xml:space="preserve">Pool Cash Flows</t>
  </si>
  <si>
    <t xml:space="preserve">Interest Income</t>
  </si>
  <si>
    <t xml:space="preserve">Principal Collections</t>
  </si>
  <si>
    <t xml:space="preserve">Total Pool Cash Flows</t>
  </si>
  <si>
    <t xml:space="preserve">CLO Waterfall</t>
  </si>
  <si>
    <t xml:space="preserve">Combined interest + principal waterfall with OC/IC tests</t>
  </si>
  <si>
    <t xml:space="preserve">Available Cash</t>
  </si>
  <si>
    <t xml:space="preserve">Recovery Cash</t>
  </si>
  <si>
    <t xml:space="preserve">Total Available Cash</t>
  </si>
  <si>
    <t xml:space="preserve">Interest Proceeds Available</t>
  </si>
  <si>
    <t xml:space="preserve">Principal Proceeds Available</t>
  </si>
  <si>
    <t xml:space="preserve">Interest Waterfall</t>
  </si>
  <si>
    <t xml:space="preserve">Trustee Fee</t>
  </si>
  <si>
    <t xml:space="preserve">Senior Management Fee</t>
  </si>
  <si>
    <t xml:space="preserve">After Senior Fees</t>
  </si>
  <si>
    <t xml:space="preserve">AAA Interest Due</t>
  </si>
  <si>
    <t xml:space="preserve">AAA Interest Paid</t>
  </si>
  <si>
    <t xml:space="preserve">After AAA Interest</t>
  </si>
  <si>
    <t xml:space="preserve">AA Interest Due</t>
  </si>
  <si>
    <t xml:space="preserve">AA Interest Paid</t>
  </si>
  <si>
    <t xml:space="preserve">After AA Interest</t>
  </si>
  <si>
    <t xml:space="preserve">OC/IC Test -- AAA</t>
  </si>
  <si>
    <t xml:space="preserve">OC Numerator (Pool Balance)</t>
  </si>
  <si>
    <t xml:space="preserve">OC Denominator (AAA Bal)</t>
  </si>
  <si>
    <t xml:space="preserve">OC Ratio AAA</t>
  </si>
  <si>
    <t xml:space="preserve">OC AAA Pass?</t>
  </si>
  <si>
    <t xml:space="preserve">IC Numerator</t>
  </si>
  <si>
    <t xml:space="preserve">IC Denominator</t>
  </si>
  <si>
    <t xml:space="preserve">IC Ratio AAA</t>
  </si>
  <si>
    <t xml:space="preserve">IC AAA Pass?</t>
  </si>
  <si>
    <t xml:space="preserve">AAA OC/IC Cure (interest diverted)</t>
  </si>
  <si>
    <t xml:space="preserve">After AAA Cure</t>
  </si>
  <si>
    <t xml:space="preserve">A Interest</t>
  </si>
  <si>
    <t xml:space="preserve">A Interest Due</t>
  </si>
  <si>
    <t xml:space="preserve">A Interest Paid</t>
  </si>
  <si>
    <t xml:space="preserve">After A Interest</t>
  </si>
  <si>
    <t xml:space="preserve">OC/IC Test -- AA</t>
  </si>
  <si>
    <t xml:space="preserve">OC Numerator</t>
  </si>
  <si>
    <t xml:space="preserve">OC Denominator (AAA+AA)</t>
  </si>
  <si>
    <t xml:space="preserve">OC Ratio AA</t>
  </si>
  <si>
    <t xml:space="preserve">OC AA Pass?</t>
  </si>
  <si>
    <t xml:space="preserve">IC Numerator (after fees)</t>
  </si>
  <si>
    <t xml:space="preserve">IC Denom (AAA+AA int due)</t>
  </si>
  <si>
    <t xml:space="preserve">IC Ratio AA</t>
  </si>
  <si>
    <t xml:space="preserve">IC AA Pass?</t>
  </si>
  <si>
    <t xml:space="preserve">AA OC/IC Cure (interest diverted)</t>
  </si>
  <si>
    <t xml:space="preserve">After AA Cure</t>
  </si>
  <si>
    <t xml:space="preserve">BBB Interest</t>
  </si>
  <si>
    <t xml:space="preserve">BBB Interest Due</t>
  </si>
  <si>
    <t xml:space="preserve">BBB Interest Paid</t>
  </si>
  <si>
    <t xml:space="preserve">After BBB Interest</t>
  </si>
  <si>
    <t xml:space="preserve">OC/IC Test -- A</t>
  </si>
  <si>
    <t xml:space="preserve">OC Denominator (AAA+AA+A)</t>
  </si>
  <si>
    <t xml:space="preserve">OC Ratio A</t>
  </si>
  <si>
    <t xml:space="preserve">OC A Pass?</t>
  </si>
  <si>
    <t xml:space="preserve">IC Denom (AAA+AA+A int)</t>
  </si>
  <si>
    <t xml:space="preserve">IC Ratio A</t>
  </si>
  <si>
    <t xml:space="preserve">IC A Pass?</t>
  </si>
  <si>
    <t xml:space="preserve">A OC/IC Cure (interest diverted)</t>
  </si>
  <si>
    <t xml:space="preserve">After A Cure</t>
  </si>
  <si>
    <t xml:space="preserve">BB Interest</t>
  </si>
  <si>
    <t xml:space="preserve">BB Interest Due</t>
  </si>
  <si>
    <t xml:space="preserve">BB Interest Paid</t>
  </si>
  <si>
    <t xml:space="preserve">After BB Interest</t>
  </si>
  <si>
    <t xml:space="preserve">OC/IC Test -- BBB</t>
  </si>
  <si>
    <t xml:space="preserve">OC Denom (AAA+AA+A+BBB)</t>
  </si>
  <si>
    <t xml:space="preserve">OC Ratio BBB</t>
  </si>
  <si>
    <t xml:space="preserve">OC BBB Pass?</t>
  </si>
  <si>
    <t xml:space="preserve">IC Denom (AAA+AA+A+BBB int)</t>
  </si>
  <si>
    <t xml:space="preserve">IC Ratio BBB</t>
  </si>
  <si>
    <t xml:space="preserve">IC BBB Pass?</t>
  </si>
  <si>
    <t xml:space="preserve">BBB OC/IC Cure</t>
  </si>
  <si>
    <t xml:space="preserve">After BBB Cure</t>
  </si>
  <si>
    <t xml:space="preserve">OC/IC Test -- BB</t>
  </si>
  <si>
    <t xml:space="preserve">OC Denom (AAA+AA+A+BBB+BB)</t>
  </si>
  <si>
    <t xml:space="preserve">OC Ratio BB</t>
  </si>
  <si>
    <t xml:space="preserve">OC BB Pass?</t>
  </si>
  <si>
    <t xml:space="preserve">IC Denom (AAA+AA+A+BBB+BB int)</t>
  </si>
  <si>
    <t xml:space="preserve">IC Ratio BB</t>
  </si>
  <si>
    <t xml:space="preserve">IC BB Pass?</t>
  </si>
  <si>
    <t xml:space="preserve">BB OC/IC Cure</t>
  </si>
  <si>
    <t xml:space="preserve">After BB Cure</t>
  </si>
  <si>
    <t xml:space="preserve">Subordinated Fees &amp; Equity</t>
  </si>
  <si>
    <t xml:space="preserve">Sub Management Fee</t>
  </si>
  <si>
    <t xml:space="preserve">After Sub Mgmt Fee</t>
  </si>
  <si>
    <t xml:space="preserve">Gross Equity Distribution (from interest)</t>
  </si>
  <si>
    <t xml:space="preserve">Incentive Fee Calculation</t>
  </si>
  <si>
    <t xml:space="preserve">Cumulative Hurdle</t>
  </si>
  <si>
    <t xml:space="preserve">Cumulative Equity Dist (pre-incentive)</t>
  </si>
  <si>
    <t xml:space="preserve">Cumulative Excess over Hurdle</t>
  </si>
  <si>
    <t xml:space="preserve">Prior Cumulative Excess</t>
  </si>
  <si>
    <t xml:space="preserve">Incentive Fee This Period</t>
  </si>
  <si>
    <t xml:space="preserve">Net Equity from Interest</t>
  </si>
  <si>
    <t xml:space="preserve">Principal Waterfall</t>
  </si>
  <si>
    <t xml:space="preserve">Principal from Pool</t>
  </si>
  <si>
    <t xml:space="preserve">Interest Diverted by OC/IC Cure</t>
  </si>
  <si>
    <t xml:space="preserve">Total Principal Available</t>
  </si>
  <si>
    <t xml:space="preserve">AAA Principal Paid</t>
  </si>
  <si>
    <t xml:space="preserve">After AAA Principal</t>
  </si>
  <si>
    <t xml:space="preserve">AA Principal Paid</t>
  </si>
  <si>
    <t xml:space="preserve">After AA Principal</t>
  </si>
  <si>
    <t xml:space="preserve">A Principal Paid</t>
  </si>
  <si>
    <t xml:space="preserve">After A Principal</t>
  </si>
  <si>
    <t xml:space="preserve">BBB Principal Paid</t>
  </si>
  <si>
    <t xml:space="preserve">After BBB Principal</t>
  </si>
  <si>
    <t xml:space="preserve">BB Principal Paid</t>
  </si>
  <si>
    <t xml:space="preserve">After BB Principal</t>
  </si>
  <si>
    <t xml:space="preserve">Equity Principal Return</t>
  </si>
  <si>
    <t xml:space="preserve">Tranche Balances</t>
  </si>
  <si>
    <t xml:space="preserve">AAA Opening Balance</t>
  </si>
  <si>
    <t xml:space="preserve">AAA Closing Balance</t>
  </si>
  <si>
    <t xml:space="preserve">AA Opening Balance</t>
  </si>
  <si>
    <t xml:space="preserve">AA Closing Balance</t>
  </si>
  <si>
    <t xml:space="preserve">A Opening Balance</t>
  </si>
  <si>
    <t xml:space="preserve">A Closing Balance</t>
  </si>
  <si>
    <t xml:space="preserve">BBB Opening Balance</t>
  </si>
  <si>
    <t xml:space="preserve">BBB Closing Balance</t>
  </si>
  <si>
    <t xml:space="preserve">BB Opening Balance</t>
  </si>
  <si>
    <t xml:space="preserve">BB Closing Balance</t>
  </si>
  <si>
    <t xml:space="preserve">Equity Notional (CONSTANT)</t>
  </si>
  <si>
    <t xml:space="preserve">Total Distributions</t>
  </si>
  <si>
    <t xml:space="preserve">Total Fees</t>
  </si>
  <si>
    <t xml:space="preserve">Total Tranche Interest</t>
  </si>
  <si>
    <t xml:space="preserve">Total Tranche Principal</t>
  </si>
  <si>
    <t xml:space="preserve">Total Equity</t>
  </si>
  <si>
    <t xml:space="preserve">Total All Distributions</t>
  </si>
  <si>
    <t xml:space="preserve">Cash Conservation Check</t>
  </si>
  <si>
    <t xml:space="preserve">Tranche Returns</t>
  </si>
  <si>
    <t xml:space="preserve">Per-tranche cash flows, balances, WAL &amp; equity IRR</t>
  </si>
  <si>
    <t xml:space="preserve">AAA Tranche</t>
  </si>
  <si>
    <t xml:space="preserve">Opening Balance</t>
  </si>
  <si>
    <t xml:space="preserve">Interest Received</t>
  </si>
  <si>
    <t xml:space="preserve">Principal Received</t>
  </si>
  <si>
    <t xml:space="preserve">Closing Balance</t>
  </si>
  <si>
    <t xml:space="preserve">Total Cash Flow</t>
  </si>
  <si>
    <t xml:space="preserve">AA Tranche</t>
  </si>
  <si>
    <t xml:space="preserve">A Tranche</t>
  </si>
  <si>
    <t xml:space="preserve">BBB Tranche</t>
  </si>
  <si>
    <t xml:space="preserve">BB Tranche</t>
  </si>
  <si>
    <t xml:space="preserve">Equity</t>
  </si>
  <si>
    <t xml:space="preserve">Equity Notional (constant)</t>
  </si>
  <si>
    <t xml:space="preserve">Interest Distribution (net)</t>
  </si>
  <si>
    <t xml:space="preserve">Principal Return</t>
  </si>
  <si>
    <t xml:space="preserve">Total Equity Cash Flow</t>
  </si>
  <si>
    <t xml:space="preserve">Cumulative Equity Distributions</t>
  </si>
  <si>
    <t xml:space="preserve">Cash-on-Cash Return</t>
  </si>
  <si>
    <t xml:space="preserve">Terminal Liquidation (Year 10)</t>
  </si>
  <si>
    <t xml:space="preserve">Pool Closing Balance</t>
  </si>
  <si>
    <t xml:space="preserve">Uncollected Recoveries</t>
  </si>
  <si>
    <t xml:space="preserve">Total Liquidation Proceeds</t>
  </si>
  <si>
    <t xml:space="preserve">AAA Terminal Payment</t>
  </si>
  <si>
    <t xml:space="preserve">AA Terminal Payment</t>
  </si>
  <si>
    <t xml:space="preserve">A Terminal Payment</t>
  </si>
  <si>
    <t xml:space="preserve">BBB Terminal Payment</t>
  </si>
  <si>
    <t xml:space="preserve">BB Terminal Payment</t>
  </si>
  <si>
    <t xml:space="preserve">Equity Terminal Residual</t>
  </si>
  <si>
    <t xml:space="preserve">Equity IRR</t>
  </si>
  <si>
    <t xml:space="preserve">Equity Cash Flow (for IRR)</t>
  </si>
  <si>
    <t xml:space="preserve">Weighted Average Life (years)</t>
  </si>
  <si>
    <t xml:space="preserve">AAA WAL</t>
  </si>
  <si>
    <t xml:space="preserve">AA WAL</t>
  </si>
  <si>
    <t xml:space="preserve">A WAL</t>
  </si>
  <si>
    <t xml:space="preserve">BBB WAL</t>
  </si>
  <si>
    <t xml:space="preserve">BB WAL</t>
  </si>
  <si>
    <t xml:space="preserve">Model Checks</t>
  </si>
  <si>
    <t xml:space="preserve">Integrity tests across all sheets</t>
  </si>
  <si>
    <t xml:space="preserve">Cash Conservation (Waterfall)</t>
  </si>
  <si>
    <t xml:space="preserve">Pool Cash Reconciliation</t>
  </si>
  <si>
    <t xml:space="preserve">Pool Balance Tie-Out</t>
  </si>
  <si>
    <t xml:space="preserve">Capital Structure = Pool</t>
  </si>
  <si>
    <t xml:space="preserve">No Negative Balances</t>
  </si>
  <si>
    <t xml:space="preserve">No Overpayment AAA</t>
  </si>
  <si>
    <t xml:space="preserve">No Overpayment AA</t>
  </si>
  <si>
    <t xml:space="preserve">No Overpayment A</t>
  </si>
  <si>
    <t xml:space="preserve">No Overpayment BBB</t>
  </si>
  <si>
    <t xml:space="preserve">No Overpayment BB</t>
  </si>
  <si>
    <t xml:space="preserve">Equity Notional Constant</t>
  </si>
  <si>
    <t xml:space="preserve">Cumulative Loss &lt;= Pool</t>
  </si>
  <si>
    <t xml:space="preserve">Cumulative Recovery &lt;= Expected</t>
  </si>
  <si>
    <t xml:space="preserve">ALL CHECKS PASS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</si>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</sst>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
    <numFmt numFmtId="167" formatCode="0.00%"/>
    <numFmt numFmtId="168" formatCode="0.0"/>
    <numFmt numFmtId="169" formatCode="0.00\x"/>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22"/>
      <color theme="0"/>
      <name val="Arial"/>
      <family val="0"/>
      <charset val="1"/>
    </font>
    <font>
      <sz val="11"/>
      <color theme="0"/>
      <name val="Calibri"/>
      <family val="0"/>
      <charset val="1"/>
    </font>
    <font>
      <sz val="14"/>
      <color theme="0"/>
      <name val="Arial"/>
      <family val="0"/>
      <charset val="1"/>
    </font>
    <font>
      <b val="true"/>
      <u val="single"/>
      <sz val="11"/>
      <color theme="0"/>
      <name val="Arial"/>
      <family val="0"/>
      <charset val="1"/>
    </font>
    <font>
      <i val="true"/>
      <sz val="10"/>
      <color theme="0"/>
      <name val="Arial"/>
      <family val="0"/>
      <charset val="1"/>
    </font>
    <font>
      <sz val="11"/>
      <color theme="1"/>
      <name val="Arial"/>
      <family val="0"/>
      <charset val="1"/>
    </font>
    <font>
      <b val="true"/>
      <sz val="11"/>
      <color theme="0"/>
      <name val="Arial"/>
      <family val="0"/>
      <charset val="1"/>
    </font>
    <font>
      <b val="true"/>
      <sz val="10"/>
      <color rgb="FF26251E"/>
      <name val="Arial"/>
      <family val="0"/>
      <charset val="1"/>
    </font>
    <font>
      <sz val="10"/>
      <color rgb="FF26251E"/>
      <name val="Arial"/>
      <family val="0"/>
      <charset val="1"/>
    </font>
    <font>
      <i val="true"/>
      <sz val="10"/>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4"/>
      <color theme="0"/>
      <name val="Arial"/>
      <family val="0"/>
      <charset val="1"/>
    </font>
    <font>
      <b val="true"/>
      <sz val="10"/>
      <color theme="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9">
    <fill>
      <patternFill patternType="none"/>
    </fill>
    <fill>
      <patternFill patternType="gray125"/>
    </fill>
    <fill>
      <patternFill patternType="solid">
        <fgColor theme="3"/>
        <bgColor rgb="FF1F4E79"/>
      </patternFill>
    </fill>
    <fill>
      <patternFill patternType="solid">
        <fgColor rgb="FFFFF2CC"/>
        <bgColor rgb="FFEBF1DE"/>
      </patternFill>
    </fill>
    <fill>
      <patternFill patternType="solid">
        <fgColor rgb="FFEBF1DE"/>
        <bgColor rgb="FFF2F2F2"/>
      </patternFill>
    </fill>
    <fill>
      <patternFill patternType="solid">
        <fgColor rgb="FFD6E4F0"/>
        <bgColor rgb="FFD9D9D9"/>
      </patternFill>
    </fill>
    <fill>
      <patternFill patternType="solid">
        <fgColor rgb="FFD9D9D9"/>
        <bgColor rgb="FFD6E4F0"/>
      </patternFill>
    </fill>
    <fill>
      <patternFill patternType="solid">
        <fgColor rgb="FF1F4E79"/>
        <bgColor rgb="FF1F497D"/>
      </patternFill>
    </fill>
    <fill>
      <patternFill patternType="solid">
        <fgColor rgb="FFF2F2F2"/>
        <bgColor rgb="FFEBF1DE"/>
      </patternFill>
    </fill>
  </fills>
  <borders count="2">
    <border diagonalUp="false" diagonalDown="false">
      <left/>
      <right/>
      <top/>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5" fontId="13" fillId="4" borderId="0" xfId="0" applyFont="true" applyBorder="false" applyAlignment="true" applyProtection="false">
      <alignment horizontal="right" vertical="center" textRotation="0" wrapText="false" indent="0" shrinkToFit="false"/>
      <protection locked="true" hidden="false"/>
    </xf>
    <xf numFmtId="164" fontId="13" fillId="4" borderId="0" xfId="0" applyFont="true" applyBorder="false" applyAlignment="true" applyProtection="false">
      <alignment horizontal="right" vertical="center" textRotation="0" wrapText="false" indent="0" shrinkToFit="false"/>
      <protection locked="true" hidden="false"/>
    </xf>
    <xf numFmtId="166" fontId="13" fillId="4" borderId="0" xfId="0" applyFont="true" applyBorder="false" applyAlignment="true" applyProtection="false">
      <alignment horizontal="right" vertical="center" textRotation="0" wrapText="false" indent="0" shrinkToFit="false"/>
      <protection locked="true" hidden="false"/>
    </xf>
    <xf numFmtId="167" fontId="13" fillId="4" borderId="0" xfId="0" applyFont="true" applyBorder="false" applyAlignment="true" applyProtection="false">
      <alignment horizontal="right" vertical="center" textRotation="0" wrapText="false" indent="0" shrinkToFit="false"/>
      <protection locked="true" hidden="false"/>
    </xf>
    <xf numFmtId="168" fontId="13" fillId="4" borderId="0" xfId="0" applyFont="true" applyBorder="false" applyAlignment="true" applyProtection="false">
      <alignment horizontal="right" vertical="center"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5" borderId="0" xfId="0" applyFont="true" applyBorder="false" applyAlignment="true" applyProtection="false">
      <alignment horizontal="left" vertical="center" textRotation="0" wrapText="false" indent="0" shrinkToFit="false"/>
      <protection locked="true" hidden="false"/>
    </xf>
    <xf numFmtId="164" fontId="16" fillId="5"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left" vertical="top" textRotation="0" wrapText="true" indent="0" shrinkToFit="false"/>
      <protection locked="true" hidden="false"/>
    </xf>
    <xf numFmtId="164" fontId="18"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20"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6" fontId="13" fillId="3" borderId="0" xfId="0" applyFont="true" applyBorder="false" applyAlignment="true" applyProtection="false">
      <alignment horizontal="right" vertical="center" textRotation="0" wrapText="false" indent="0" shrinkToFit="false"/>
      <protection locked="true" hidden="false"/>
    </xf>
    <xf numFmtId="165" fontId="13" fillId="3" borderId="0" xfId="0" applyFont="true" applyBorder="false" applyAlignment="true" applyProtection="false">
      <alignment horizontal="right" vertical="center" textRotation="0" wrapText="false" indent="0" shrinkToFit="false"/>
      <protection locked="true" hidden="false"/>
    </xf>
    <xf numFmtId="167" fontId="13" fillId="3" borderId="0" xfId="0" applyFont="true" applyBorder="false" applyAlignment="true" applyProtection="false">
      <alignment horizontal="right" vertical="center" textRotation="0" wrapText="false" indent="0" shrinkToFit="false"/>
      <protection locked="true" hidden="false"/>
    </xf>
    <xf numFmtId="169" fontId="13" fillId="3" borderId="0" xfId="0" applyFont="true" applyBorder="false" applyAlignment="true" applyProtection="false">
      <alignment horizontal="right" vertical="center" textRotation="0" wrapText="false" indent="0" shrinkToFit="false"/>
      <protection locked="true" hidden="false"/>
    </xf>
    <xf numFmtId="164" fontId="21" fillId="2" borderId="0" xfId="0" applyFont="true" applyBorder="false" applyAlignment="true" applyProtection="false">
      <alignment horizontal="left" vertical="center" textRotation="0" wrapText="false" indent="0" shrinkToFit="false"/>
      <protection locked="true" hidden="false"/>
    </xf>
    <xf numFmtId="166" fontId="21" fillId="2" borderId="0" xfId="0" applyFont="true" applyBorder="false" applyAlignment="true" applyProtection="false">
      <alignment horizontal="center" vertical="center" textRotation="0" wrapText="false" indent="0" shrinkToFit="false"/>
      <protection locked="true" hidden="false"/>
    </xf>
    <xf numFmtId="166" fontId="13" fillId="0" borderId="0" xfId="0" applyFont="true" applyBorder="false" applyAlignment="true" applyProtection="false">
      <alignment horizontal="center" vertical="center" textRotation="0" wrapText="false" indent="0" shrinkToFit="false"/>
      <protection locked="true" hidden="false"/>
    </xf>
    <xf numFmtId="165" fontId="13"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9" fontId="13"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xf numFmtId="164" fontId="12" fillId="6" borderId="0" xfId="0" applyFont="true" applyBorder="false" applyAlignment="true" applyProtection="false">
      <alignment horizontal="left" vertical="center" textRotation="0" wrapText="fals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7" fontId="13" fillId="0" borderId="0" xfId="0" applyFont="true" applyBorder="false" applyAlignment="true" applyProtection="false">
      <alignment horizontal="right" vertical="center" textRotation="0" wrapText="false" indent="0" shrinkToFit="false"/>
      <protection locked="true" hidden="false"/>
    </xf>
    <xf numFmtId="167" fontId="12" fillId="4"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2" fillId="4"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6" fillId="0" borderId="1" xfId="0" applyFont="true" applyBorder="true" applyAlignment="false" applyProtection="false">
      <alignment horizontal="general" vertical="bottom" textRotation="0" wrapText="false" indent="0" shrinkToFit="false"/>
      <protection locked="true" hidden="false"/>
    </xf>
    <xf numFmtId="164" fontId="23" fillId="7"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true" applyProtection="false">
      <alignment horizontal="left" vertical="center" textRotation="0" wrapText="false" indent="1" shrinkToFit="false"/>
      <protection locked="true" hidden="false"/>
    </xf>
    <xf numFmtId="164" fontId="26" fillId="8" borderId="0" xfId="0" applyFont="true" applyBorder="false" applyAlignment="true" applyProtection="false">
      <alignment horizontal="left" vertical="top" textRotation="0" wrapText="true" indent="1"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charset val="1"/>
        <family val="0"/>
        <b val="1"/>
        <color rgb="FF006100"/>
        <sz val="10"/>
      </font>
      <fill>
        <patternFill>
          <bgColor rgb="FFC6EFCE"/>
        </patternFill>
      </fill>
    </dxf>
    <dxf>
      <font>
        <name val="Arial"/>
        <charset val="1"/>
        <family val="0"/>
        <b val="1"/>
        <color rgb="FF9C0006"/>
        <sz val="10"/>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2CC"/>
      <rgbColor rgb="FFD6E4F0"/>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BF1DE"/>
      <rgbColor rgb="FFC6EFCE"/>
      <rgbColor rgb="FFF2F2F2"/>
      <rgbColor rgb="FF99CCFF"/>
      <rgbColor rgb="FFFF99CC"/>
      <rgbColor rgb="FFCC99FF"/>
      <rgbColor rgb="FFFFC7CE"/>
      <rgbColor rgb="FF4472C4"/>
      <rgbColor rgb="FF33CCCC"/>
      <rgbColor rgb="FF99CC00"/>
      <rgbColor rgb="FFFFC000"/>
      <rgbColor rgb="FFFF9900"/>
      <rgbColor rgb="FFED7D31"/>
      <rgbColor rgb="FF595959"/>
      <rgbColor rgb="FF70AD47"/>
      <rgbColor rgb="FF1F4E79"/>
      <rgbColor rgb="FF339966"/>
      <rgbColor rgb="FF404040"/>
      <rgbColor rgb="FF26251E"/>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28"/>
  </cols>
  <sheetData>
    <row r="1" customFormat="false" ht="26.8" hidden="false" customHeight="false" outlineLevel="0" collapsed="false">
      <c r="A1" s="1"/>
      <c r="B1" s="2" t="s">
        <v>0</v>
      </c>
      <c r="C1" s="1"/>
      <c r="D1" s="1"/>
      <c r="E1" s="3"/>
      <c r="F1" s="3"/>
      <c r="G1" s="3"/>
      <c r="H1" s="3"/>
      <c r="I1" s="3"/>
      <c r="J1" s="3"/>
      <c r="K1" s="3"/>
      <c r="L1" s="3"/>
      <c r="M1" s="3"/>
      <c r="N1" s="3"/>
      <c r="O1" s="3"/>
      <c r="P1" s="3"/>
      <c r="Q1" s="3"/>
      <c r="R1" s="3"/>
      <c r="S1" s="3"/>
      <c r="T1" s="3"/>
      <c r="U1" s="3"/>
      <c r="V1" s="3"/>
      <c r="W1" s="3"/>
      <c r="X1" s="3"/>
      <c r="Y1" s="3"/>
      <c r="Z1" s="3"/>
      <c r="AA1" s="3"/>
      <c r="AB1" s="3"/>
      <c r="AC1" s="3"/>
      <c r="AD1" s="3"/>
    </row>
    <row r="2" customFormat="false" ht="21.75" hidden="false" customHeight="true" outlineLevel="0" collapsed="false">
      <c r="A2" s="1"/>
      <c r="B2" s="4" t="s">
        <v>1</v>
      </c>
      <c r="C2" s="1"/>
      <c r="D2" s="5" t="s">
        <v>2</v>
      </c>
      <c r="E2" s="3"/>
      <c r="F2" s="3"/>
      <c r="G2" s="3"/>
      <c r="H2" s="3"/>
      <c r="I2" s="3"/>
      <c r="J2" s="3"/>
      <c r="K2" s="3"/>
      <c r="L2" s="3"/>
      <c r="M2" s="3"/>
      <c r="N2" s="3"/>
      <c r="O2" s="3"/>
      <c r="P2" s="3"/>
      <c r="Q2" s="3"/>
      <c r="R2" s="3"/>
      <c r="S2" s="3"/>
      <c r="T2" s="3"/>
      <c r="U2" s="3"/>
      <c r="V2" s="3"/>
      <c r="W2" s="3"/>
      <c r="X2" s="3"/>
      <c r="Y2" s="3"/>
      <c r="Z2" s="3"/>
      <c r="AA2" s="3"/>
      <c r="AB2" s="3"/>
      <c r="AC2" s="3"/>
      <c r="AD2" s="3"/>
    </row>
    <row r="3" customFormat="false" ht="15" hidden="false" customHeight="false" outlineLevel="0" collapsed="false">
      <c r="A3" s="1"/>
      <c r="B3" s="6" t="s">
        <v>3</v>
      </c>
      <c r="C3" s="1"/>
      <c r="D3" s="1"/>
      <c r="E3" s="3"/>
      <c r="F3" s="3"/>
      <c r="G3" s="3"/>
      <c r="H3" s="3"/>
      <c r="I3" s="3"/>
      <c r="J3" s="3"/>
      <c r="K3" s="3"/>
      <c r="L3" s="3"/>
      <c r="M3" s="3"/>
      <c r="N3" s="3"/>
      <c r="O3" s="3"/>
      <c r="P3" s="3"/>
      <c r="Q3" s="3"/>
      <c r="R3" s="3"/>
      <c r="S3" s="3"/>
      <c r="T3" s="3"/>
      <c r="U3" s="3"/>
      <c r="V3" s="3"/>
      <c r="W3" s="3"/>
      <c r="X3" s="3"/>
      <c r="Y3" s="3"/>
      <c r="Z3" s="3"/>
      <c r="AA3" s="3"/>
      <c r="AB3" s="3"/>
      <c r="AC3" s="3"/>
      <c r="AD3" s="3"/>
    </row>
    <row r="4" customFormat="false" ht="15" hidden="false" customHeight="false" outlineLevel="0" collapsed="false">
      <c r="A4" s="7"/>
      <c r="B4" s="7"/>
      <c r="C4" s="7"/>
      <c r="D4" s="7"/>
    </row>
    <row r="5" customFormat="false" ht="15" hidden="false" customHeight="false" outlineLevel="0" collapsed="false">
      <c r="A5" s="7"/>
      <c r="B5" s="7"/>
      <c r="C5" s="7"/>
      <c r="D5" s="7"/>
    </row>
    <row r="6" customFormat="false" ht="15" hidden="false" customHeight="false" outlineLevel="0" collapsed="false">
      <c r="A6" s="7"/>
      <c r="B6" s="8" t="s">
        <v>4</v>
      </c>
      <c r="C6" s="9"/>
      <c r="D6" s="7"/>
    </row>
    <row r="7" customFormat="false" ht="15" hidden="false" customHeight="false" outlineLevel="0" collapsed="false">
      <c r="A7" s="7"/>
      <c r="B7" s="10" t="s">
        <v>5</v>
      </c>
      <c r="C7" s="11" t="s">
        <v>6</v>
      </c>
      <c r="D7" s="7"/>
    </row>
    <row r="8" customFormat="false" ht="15" hidden="false" customHeight="false" outlineLevel="0" collapsed="false">
      <c r="A8" s="7"/>
      <c r="B8" s="10" t="s">
        <v>7</v>
      </c>
      <c r="C8" s="11" t="s">
        <v>8</v>
      </c>
      <c r="D8" s="7"/>
    </row>
    <row r="9" customFormat="false" ht="15" hidden="false" customHeight="false" outlineLevel="0" collapsed="false">
      <c r="A9" s="7"/>
      <c r="B9" s="10" t="s">
        <v>9</v>
      </c>
      <c r="C9" s="11" t="s">
        <v>10</v>
      </c>
      <c r="D9" s="7"/>
    </row>
    <row r="10" customFormat="false" ht="15" hidden="false" customHeight="false" outlineLevel="0" collapsed="false">
      <c r="A10" s="7"/>
      <c r="B10" s="7"/>
      <c r="C10" s="7"/>
      <c r="D10" s="7"/>
    </row>
    <row r="11" customFormat="false" ht="15" hidden="false" customHeight="false" outlineLevel="0" collapsed="false">
      <c r="A11" s="7"/>
      <c r="B11" s="8" t="s">
        <v>11</v>
      </c>
      <c r="C11" s="9"/>
      <c r="D11" s="7"/>
    </row>
    <row r="12" customFormat="false" ht="15" hidden="false" customHeight="false" outlineLevel="0" collapsed="false">
      <c r="A12" s="7"/>
      <c r="B12" s="12" t="s">
        <v>12</v>
      </c>
      <c r="C12" s="13" t="n">
        <f aca="false">Pool_Size</f>
        <v>500000000</v>
      </c>
      <c r="D12" s="7"/>
    </row>
    <row r="13" customFormat="false" ht="15" hidden="false" customHeight="false" outlineLevel="0" collapsed="false">
      <c r="A13" s="7"/>
      <c r="B13" s="12" t="s">
        <v>13</v>
      </c>
      <c r="C13" s="14" t="str">
        <f aca="false">"5 rated + equity"</f>
        <v>5 rated + equity</v>
      </c>
      <c r="D13" s="7"/>
    </row>
    <row r="14" customFormat="false" ht="15" hidden="false" customHeight="false" outlineLevel="0" collapsed="false">
      <c r="A14" s="7"/>
      <c r="B14" s="12" t="s">
        <v>14</v>
      </c>
      <c r="C14" s="15" t="n">
        <f aca="false">Reinvest_Period</f>
        <v>5</v>
      </c>
      <c r="D14" s="7"/>
    </row>
    <row r="15" customFormat="false" ht="15" hidden="false" customHeight="false" outlineLevel="0" collapsed="false">
      <c r="A15" s="7"/>
      <c r="B15" s="12" t="s">
        <v>15</v>
      </c>
      <c r="C15" s="16" t="n">
        <f aca="false">Returns!C65</f>
        <v>0.116230788081895</v>
      </c>
      <c r="D15" s="7"/>
    </row>
    <row r="16" customFormat="false" ht="15" hidden="false" customHeight="false" outlineLevel="0" collapsed="false">
      <c r="A16" s="7"/>
      <c r="B16" s="12" t="s">
        <v>16</v>
      </c>
      <c r="C16" s="17" t="n">
        <f aca="false">Returns!C68</f>
        <v>6.7159560625417</v>
      </c>
      <c r="D16" s="7"/>
    </row>
    <row r="17" customFormat="false" ht="15" hidden="false" customHeight="false" outlineLevel="0" collapsed="false">
      <c r="A17" s="7"/>
      <c r="B17" s="7"/>
      <c r="C17" s="7"/>
      <c r="D17" s="7"/>
    </row>
    <row r="18" customFormat="false" ht="15" hidden="false" customHeight="true" outlineLevel="0" collapsed="false">
      <c r="A18" s="7"/>
      <c r="B18" s="18" t="s">
        <v>17</v>
      </c>
      <c r="C18" s="18"/>
      <c r="D18" s="18"/>
    </row>
    <row r="19" customFormat="false" ht="15" hidden="false" customHeight="false" outlineLevel="0" collapsed="false">
      <c r="A19" s="7"/>
      <c r="B19" s="18"/>
      <c r="C19" s="18"/>
      <c r="D19" s="18"/>
    </row>
    <row r="20" customFormat="false" ht="15" hidden="false" customHeight="false" outlineLevel="0" collapsed="false">
      <c r="A20" s="7"/>
      <c r="B20" s="18"/>
      <c r="C20" s="18"/>
      <c r="D20" s="18"/>
    </row>
    <row r="23" customFormat="false" ht="19.5" hidden="false" customHeight="true" outlineLevel="0" collapsed="false">
      <c r="B23" s="19" t="s">
        <v>18</v>
      </c>
      <c r="C23" s="20"/>
      <c r="D23" s="20"/>
      <c r="E23" s="20"/>
      <c r="F23" s="20"/>
      <c r="G23" s="20"/>
    </row>
    <row r="24" customFormat="false" ht="258.75" hidden="false" customHeight="true" outlineLevel="0" collapsed="false">
      <c r="B24" s="21" t="s">
        <v>19</v>
      </c>
      <c r="C24" s="21"/>
      <c r="D24" s="21"/>
      <c r="E24" s="21"/>
      <c r="F24" s="21"/>
      <c r="G24" s="21"/>
    </row>
    <row r="26" customFormat="false" ht="19.5" hidden="false" customHeight="true" outlineLevel="0" collapsed="false">
      <c r="B26" s="19" t="s">
        <v>20</v>
      </c>
      <c r="C26" s="20"/>
      <c r="D26" s="20"/>
      <c r="E26" s="20"/>
      <c r="F26" s="20"/>
      <c r="G26" s="20"/>
    </row>
    <row r="27" customFormat="false" ht="57" hidden="false" customHeight="true" outlineLevel="0" collapsed="false">
      <c r="B27" s="21" t="s">
        <v>21</v>
      </c>
      <c r="C27" s="21"/>
      <c r="D27" s="21"/>
      <c r="E27" s="21"/>
      <c r="F27" s="21"/>
      <c r="G27" s="21"/>
    </row>
    <row r="28" customFormat="false" ht="15" hidden="false" customHeight="false" outlineLevel="0" collapsed="false">
      <c r="B28" s="22" t="s">
        <v>22</v>
      </c>
      <c r="C28" s="22"/>
      <c r="D28" s="22"/>
      <c r="E28" s="22"/>
      <c r="F28" s="22"/>
      <c r="G28" s="22"/>
    </row>
    <row r="29" customFormat="false" ht="15" hidden="false" customHeight="false" outlineLevel="0" collapsed="false">
      <c r="B29" s="23" t="s">
        <v>23</v>
      </c>
    </row>
  </sheetData>
  <mergeCells count="4">
    <mergeCell ref="B18:D20"/>
    <mergeCell ref="B24:G24"/>
    <mergeCell ref="B27:G27"/>
    <mergeCell ref="B28:G28"/>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D6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20"/>
  </cols>
  <sheetData>
    <row r="1" customFormat="false" ht="17.35" hidden="false" customHeight="false" outlineLevel="0" collapsed="false">
      <c r="A1" s="1"/>
      <c r="B1" s="24" t="s">
        <v>24</v>
      </c>
      <c r="C1" s="1"/>
      <c r="D1" s="3"/>
      <c r="E1" s="3"/>
      <c r="F1" s="3"/>
      <c r="G1" s="3"/>
      <c r="H1" s="3"/>
      <c r="I1" s="3"/>
      <c r="J1" s="3"/>
      <c r="K1" s="3"/>
      <c r="L1" s="3"/>
      <c r="M1" s="3"/>
      <c r="N1" s="3"/>
      <c r="O1" s="3"/>
      <c r="P1" s="3"/>
      <c r="Q1" s="3"/>
      <c r="R1" s="3"/>
      <c r="S1" s="3"/>
      <c r="T1" s="3"/>
      <c r="U1" s="3"/>
      <c r="V1" s="3"/>
      <c r="W1" s="3"/>
      <c r="X1" s="3"/>
      <c r="Y1" s="3"/>
      <c r="Z1" s="3"/>
      <c r="AA1" s="3"/>
      <c r="AB1" s="3"/>
      <c r="AC1" s="3"/>
      <c r="AD1" s="3"/>
    </row>
    <row r="2" customFormat="false" ht="21.75" hidden="false" customHeight="true" outlineLevel="0" collapsed="false">
      <c r="A2" s="1"/>
      <c r="B2" s="25" t="s">
        <v>25</v>
      </c>
      <c r="C2" s="1"/>
      <c r="D2" s="3"/>
      <c r="E2" s="3"/>
      <c r="F2" s="3"/>
      <c r="G2" s="3"/>
      <c r="H2" s="3"/>
      <c r="I2" s="3"/>
      <c r="J2" s="3"/>
      <c r="K2" s="3"/>
      <c r="L2" s="3"/>
      <c r="M2" s="3"/>
      <c r="N2" s="3"/>
      <c r="O2" s="3"/>
      <c r="P2" s="3"/>
      <c r="Q2" s="3"/>
      <c r="R2" s="3"/>
      <c r="S2" s="3"/>
      <c r="T2" s="3"/>
      <c r="U2" s="3"/>
      <c r="V2" s="3"/>
      <c r="W2" s="3"/>
      <c r="X2" s="3"/>
      <c r="Y2" s="3"/>
      <c r="Z2" s="3"/>
      <c r="AA2" s="3"/>
      <c r="AB2" s="3"/>
      <c r="AC2" s="3"/>
      <c r="AD2" s="3"/>
    </row>
    <row r="3" customFormat="false" ht="15" hidden="false" customHeight="false" outlineLevel="0" collapsed="false">
      <c r="A3" s="1"/>
      <c r="B3" s="26" t="s">
        <v>26</v>
      </c>
      <c r="C3" s="1"/>
      <c r="D3" s="3"/>
      <c r="E3" s="3"/>
      <c r="F3" s="3"/>
      <c r="G3" s="3"/>
      <c r="H3" s="3"/>
      <c r="I3" s="3"/>
      <c r="J3" s="3"/>
      <c r="K3" s="3"/>
      <c r="L3" s="3"/>
      <c r="M3" s="3"/>
      <c r="N3" s="3"/>
      <c r="O3" s="3"/>
      <c r="P3" s="3"/>
      <c r="Q3" s="3"/>
      <c r="R3" s="3"/>
      <c r="S3" s="3"/>
      <c r="T3" s="3"/>
      <c r="U3" s="3"/>
      <c r="V3" s="3"/>
      <c r="W3" s="3"/>
      <c r="X3" s="3"/>
      <c r="Y3" s="3"/>
      <c r="Z3" s="3"/>
      <c r="AA3" s="3"/>
      <c r="AB3" s="3"/>
      <c r="AC3" s="3"/>
      <c r="AD3" s="3"/>
    </row>
    <row r="4" customFormat="false" ht="15" hidden="false" customHeight="false" outlineLevel="0" collapsed="false">
      <c r="A4" s="7"/>
      <c r="B4" s="7"/>
      <c r="C4" s="7"/>
    </row>
    <row r="5" customFormat="false" ht="15" hidden="false" customHeight="false" outlineLevel="0" collapsed="false">
      <c r="A5" s="7"/>
      <c r="B5" s="7"/>
      <c r="C5" s="7"/>
    </row>
    <row r="6" customFormat="false" ht="15" hidden="false" customHeight="false" outlineLevel="0" collapsed="false">
      <c r="A6" s="7"/>
      <c r="B6" s="27" t="s">
        <v>27</v>
      </c>
      <c r="C6" s="9"/>
    </row>
    <row r="7" customFormat="false" ht="15" hidden="false" customHeight="false" outlineLevel="0" collapsed="false">
      <c r="A7" s="7"/>
      <c r="B7" s="28" t="s">
        <v>28</v>
      </c>
      <c r="C7" s="29" t="n">
        <v>2025</v>
      </c>
    </row>
    <row r="8" customFormat="false" ht="15" hidden="false" customHeight="false" outlineLevel="0" collapsed="false">
      <c r="A8" s="7"/>
      <c r="B8" s="28" t="s">
        <v>29</v>
      </c>
      <c r="C8" s="30" t="n">
        <v>500000000</v>
      </c>
    </row>
    <row r="9" customFormat="false" ht="15" hidden="false" customHeight="false" outlineLevel="0" collapsed="false">
      <c r="A9" s="7"/>
      <c r="B9" s="28" t="s">
        <v>30</v>
      </c>
      <c r="C9" s="31" t="n">
        <v>0.085</v>
      </c>
    </row>
    <row r="10" customFormat="false" ht="15" hidden="false" customHeight="false" outlineLevel="0" collapsed="false">
      <c r="A10" s="7"/>
      <c r="B10" s="28" t="s">
        <v>31</v>
      </c>
      <c r="C10" s="31" t="n">
        <v>0.2</v>
      </c>
    </row>
    <row r="11" customFormat="false" ht="15" hidden="false" customHeight="false" outlineLevel="0" collapsed="false">
      <c r="A11" s="7"/>
      <c r="B11" s="28" t="s">
        <v>32</v>
      </c>
      <c r="C11" s="31" t="n">
        <v>0.02</v>
      </c>
    </row>
    <row r="12" customFormat="false" ht="15" hidden="false" customHeight="false" outlineLevel="0" collapsed="false">
      <c r="A12" s="7"/>
      <c r="B12" s="28" t="s">
        <v>33</v>
      </c>
      <c r="C12" s="31" t="n">
        <v>0.7</v>
      </c>
    </row>
    <row r="13" customFormat="false" ht="15" hidden="false" customHeight="false" outlineLevel="0" collapsed="false">
      <c r="A13" s="7"/>
      <c r="B13" s="28" t="s">
        <v>34</v>
      </c>
      <c r="C13" s="29" t="n">
        <v>1</v>
      </c>
    </row>
    <row r="14" customFormat="false" ht="15" hidden="false" customHeight="false" outlineLevel="0" collapsed="false">
      <c r="A14" s="7"/>
      <c r="B14" s="28" t="s">
        <v>14</v>
      </c>
      <c r="C14" s="29" t="n">
        <v>5</v>
      </c>
    </row>
    <row r="15" customFormat="false" ht="15" hidden="false" customHeight="false" outlineLevel="0" collapsed="false">
      <c r="A15" s="7"/>
      <c r="B15" s="28" t="s">
        <v>35</v>
      </c>
      <c r="C15" s="31" t="n">
        <v>0.01</v>
      </c>
    </row>
    <row r="16" customFormat="false" ht="15" hidden="false" customHeight="false" outlineLevel="0" collapsed="false">
      <c r="A16" s="7"/>
      <c r="B16" s="7"/>
      <c r="C16" s="7"/>
    </row>
    <row r="17" customFormat="false" ht="15" hidden="false" customHeight="false" outlineLevel="0" collapsed="false">
      <c r="A17" s="7"/>
      <c r="B17" s="27" t="s">
        <v>36</v>
      </c>
      <c r="C17" s="9"/>
    </row>
    <row r="18" customFormat="false" ht="15" hidden="false" customHeight="false" outlineLevel="0" collapsed="false">
      <c r="A18" s="7"/>
      <c r="B18" s="28" t="s">
        <v>37</v>
      </c>
      <c r="C18" s="31" t="n">
        <v>0.65</v>
      </c>
    </row>
    <row r="19" customFormat="false" ht="15" hidden="false" customHeight="false" outlineLevel="0" collapsed="false">
      <c r="A19" s="7"/>
      <c r="B19" s="28" t="s">
        <v>38</v>
      </c>
      <c r="C19" s="31" t="n">
        <v>0.1</v>
      </c>
    </row>
    <row r="20" customFormat="false" ht="15" hidden="false" customHeight="false" outlineLevel="0" collapsed="false">
      <c r="A20" s="7"/>
      <c r="B20" s="28" t="s">
        <v>39</v>
      </c>
      <c r="C20" s="31" t="n">
        <v>0.075</v>
      </c>
    </row>
    <row r="21" customFormat="false" ht="15" hidden="false" customHeight="false" outlineLevel="0" collapsed="false">
      <c r="A21" s="7"/>
      <c r="B21" s="28" t="s">
        <v>40</v>
      </c>
      <c r="C21" s="31" t="n">
        <v>0.05</v>
      </c>
    </row>
    <row r="22" customFormat="false" ht="15" hidden="false" customHeight="false" outlineLevel="0" collapsed="false">
      <c r="A22" s="7"/>
      <c r="B22" s="28" t="s">
        <v>41</v>
      </c>
      <c r="C22" s="31" t="n">
        <v>0.03</v>
      </c>
    </row>
    <row r="23" customFormat="false" ht="15" hidden="false" customHeight="false" outlineLevel="0" collapsed="false">
      <c r="A23" s="7"/>
      <c r="B23" s="28" t="s">
        <v>42</v>
      </c>
      <c r="C23" s="31" t="n">
        <v>0.095</v>
      </c>
    </row>
    <row r="24" customFormat="false" ht="15" hidden="false" customHeight="false" outlineLevel="0" collapsed="false">
      <c r="A24" s="7"/>
      <c r="B24" s="7"/>
      <c r="C24" s="7"/>
    </row>
    <row r="25" customFormat="false" ht="15" hidden="false" customHeight="false" outlineLevel="0" collapsed="false">
      <c r="A25" s="7"/>
      <c r="B25" s="27" t="s">
        <v>43</v>
      </c>
      <c r="C25" s="9"/>
    </row>
    <row r="26" customFormat="false" ht="15" hidden="false" customHeight="false" outlineLevel="0" collapsed="false">
      <c r="A26" s="7"/>
      <c r="B26" s="28" t="s">
        <v>44</v>
      </c>
      <c r="C26" s="13" t="n">
        <f aca="false">Pool_Size*AAA_Pct</f>
        <v>325000000</v>
      </c>
    </row>
    <row r="27" customFormat="false" ht="15" hidden="false" customHeight="false" outlineLevel="0" collapsed="false">
      <c r="A27" s="7"/>
      <c r="B27" s="28" t="s">
        <v>45</v>
      </c>
      <c r="C27" s="13" t="n">
        <f aca="false">Pool_Size*AA_Pct</f>
        <v>50000000</v>
      </c>
    </row>
    <row r="28" customFormat="false" ht="15" hidden="false" customHeight="false" outlineLevel="0" collapsed="false">
      <c r="A28" s="7"/>
      <c r="B28" s="28" t="s">
        <v>46</v>
      </c>
      <c r="C28" s="13" t="n">
        <f aca="false">Pool_Size*A_Pct</f>
        <v>37500000</v>
      </c>
    </row>
    <row r="29" customFormat="false" ht="15" hidden="false" customHeight="false" outlineLevel="0" collapsed="false">
      <c r="A29" s="7"/>
      <c r="B29" s="28" t="s">
        <v>47</v>
      </c>
      <c r="C29" s="13" t="n">
        <f aca="false">Pool_Size*BBB_Pct</f>
        <v>25000000</v>
      </c>
    </row>
    <row r="30" customFormat="false" ht="15" hidden="false" customHeight="false" outlineLevel="0" collapsed="false">
      <c r="A30" s="7"/>
      <c r="B30" s="28" t="s">
        <v>48</v>
      </c>
      <c r="C30" s="13" t="n">
        <f aca="false">Pool_Size*BB_Pct</f>
        <v>15000000</v>
      </c>
    </row>
    <row r="31" customFormat="false" ht="15" hidden="false" customHeight="false" outlineLevel="0" collapsed="false">
      <c r="A31" s="7"/>
      <c r="B31" s="28" t="s">
        <v>49</v>
      </c>
      <c r="C31" s="13" t="n">
        <f aca="false">Pool_Size*Equity_Pct</f>
        <v>47500000</v>
      </c>
    </row>
    <row r="32" customFormat="false" ht="15" hidden="false" customHeight="false" outlineLevel="0" collapsed="false">
      <c r="A32" s="7"/>
      <c r="B32" s="28" t="s">
        <v>50</v>
      </c>
      <c r="C32" s="13" t="n">
        <f aca="false">SUM(C26:C31)</f>
        <v>500000000</v>
      </c>
    </row>
    <row r="33" customFormat="false" ht="15" hidden="false" customHeight="false" outlineLevel="0" collapsed="false">
      <c r="A33" s="7"/>
      <c r="B33" s="7"/>
      <c r="C33" s="7"/>
    </row>
    <row r="34" customFormat="false" ht="15" hidden="false" customHeight="false" outlineLevel="0" collapsed="false">
      <c r="A34" s="7"/>
      <c r="B34" s="27" t="s">
        <v>51</v>
      </c>
      <c r="C34" s="9"/>
    </row>
    <row r="35" customFormat="false" ht="15" hidden="false" customHeight="false" outlineLevel="0" collapsed="false">
      <c r="A35" s="7"/>
      <c r="B35" s="28" t="s">
        <v>52</v>
      </c>
      <c r="C35" s="31" t="n">
        <v>0.07</v>
      </c>
    </row>
    <row r="36" customFormat="false" ht="15" hidden="false" customHeight="false" outlineLevel="0" collapsed="false">
      <c r="A36" s="7"/>
      <c r="B36" s="28" t="s">
        <v>53</v>
      </c>
      <c r="C36" s="31" t="n">
        <v>0.075</v>
      </c>
    </row>
    <row r="37" customFormat="false" ht="15" hidden="false" customHeight="false" outlineLevel="0" collapsed="false">
      <c r="A37" s="7"/>
      <c r="B37" s="28" t="s">
        <v>54</v>
      </c>
      <c r="C37" s="31" t="n">
        <v>0.08</v>
      </c>
    </row>
    <row r="38" customFormat="false" ht="15" hidden="false" customHeight="false" outlineLevel="0" collapsed="false">
      <c r="A38" s="7"/>
      <c r="B38" s="28" t="s">
        <v>55</v>
      </c>
      <c r="C38" s="31" t="n">
        <v>0.09</v>
      </c>
    </row>
    <row r="39" customFormat="false" ht="15" hidden="false" customHeight="false" outlineLevel="0" collapsed="false">
      <c r="A39" s="7"/>
      <c r="B39" s="28" t="s">
        <v>56</v>
      </c>
      <c r="C39" s="31" t="n">
        <v>0.1</v>
      </c>
    </row>
    <row r="40" customFormat="false" ht="15" hidden="false" customHeight="false" outlineLevel="0" collapsed="false">
      <c r="A40" s="7"/>
      <c r="B40" s="7"/>
      <c r="C40" s="7"/>
    </row>
    <row r="41" customFormat="false" ht="15" hidden="false" customHeight="false" outlineLevel="0" collapsed="false">
      <c r="A41" s="7"/>
      <c r="B41" s="27" t="s">
        <v>57</v>
      </c>
      <c r="C41" s="9"/>
    </row>
    <row r="42" customFormat="false" ht="15" hidden="false" customHeight="false" outlineLevel="0" collapsed="false">
      <c r="A42" s="7"/>
      <c r="B42" s="28" t="s">
        <v>58</v>
      </c>
      <c r="C42" s="31" t="n">
        <v>0.0002</v>
      </c>
    </row>
    <row r="43" customFormat="false" ht="15" hidden="false" customHeight="false" outlineLevel="0" collapsed="false">
      <c r="A43" s="7"/>
      <c r="B43" s="28" t="s">
        <v>59</v>
      </c>
      <c r="C43" s="31" t="n">
        <v>0.002</v>
      </c>
    </row>
    <row r="44" customFormat="false" ht="15" hidden="false" customHeight="false" outlineLevel="0" collapsed="false">
      <c r="A44" s="7"/>
      <c r="B44" s="28" t="s">
        <v>60</v>
      </c>
      <c r="C44" s="31" t="n">
        <v>0.002</v>
      </c>
    </row>
    <row r="45" customFormat="false" ht="15" hidden="false" customHeight="false" outlineLevel="0" collapsed="false">
      <c r="A45" s="7"/>
      <c r="B45" s="28" t="s">
        <v>61</v>
      </c>
      <c r="C45" s="31" t="n">
        <v>0.2</v>
      </c>
    </row>
    <row r="46" customFormat="false" ht="15" hidden="false" customHeight="false" outlineLevel="0" collapsed="false">
      <c r="A46" s="7"/>
      <c r="B46" s="28" t="s">
        <v>62</v>
      </c>
      <c r="C46" s="31" t="n">
        <v>0.12</v>
      </c>
    </row>
    <row r="47" customFormat="false" ht="15" hidden="false" customHeight="false" outlineLevel="0" collapsed="false">
      <c r="A47" s="7"/>
      <c r="B47" s="7"/>
      <c r="C47" s="7"/>
    </row>
    <row r="48" customFormat="false" ht="15" hidden="false" customHeight="false" outlineLevel="0" collapsed="false">
      <c r="A48" s="7"/>
      <c r="B48" s="27" t="s">
        <v>63</v>
      </c>
      <c r="C48" s="9"/>
    </row>
    <row r="49" customFormat="false" ht="15" hidden="false" customHeight="false" outlineLevel="0" collapsed="false">
      <c r="A49" s="7"/>
      <c r="B49" s="28" t="s">
        <v>64</v>
      </c>
      <c r="C49" s="32" t="n">
        <v>1.2</v>
      </c>
    </row>
    <row r="50" customFormat="false" ht="15" hidden="false" customHeight="false" outlineLevel="0" collapsed="false">
      <c r="A50" s="7"/>
      <c r="B50" s="28" t="s">
        <v>65</v>
      </c>
      <c r="C50" s="32" t="n">
        <v>1.15</v>
      </c>
    </row>
    <row r="51" customFormat="false" ht="15" hidden="false" customHeight="false" outlineLevel="0" collapsed="false">
      <c r="A51" s="7"/>
      <c r="B51" s="28" t="s">
        <v>66</v>
      </c>
      <c r="C51" s="32" t="n">
        <v>1.1</v>
      </c>
    </row>
    <row r="52" customFormat="false" ht="15" hidden="false" customHeight="false" outlineLevel="0" collapsed="false">
      <c r="A52" s="7"/>
      <c r="B52" s="28" t="s">
        <v>67</v>
      </c>
      <c r="C52" s="32" t="n">
        <v>1.05</v>
      </c>
    </row>
    <row r="53" customFormat="false" ht="15" hidden="false" customHeight="false" outlineLevel="0" collapsed="false">
      <c r="A53" s="7"/>
      <c r="B53" s="28" t="s">
        <v>68</v>
      </c>
      <c r="C53" s="32" t="n">
        <v>1.02</v>
      </c>
    </row>
    <row r="54" customFormat="false" ht="15" hidden="false" customHeight="false" outlineLevel="0" collapsed="false">
      <c r="A54" s="7"/>
      <c r="B54" s="7"/>
      <c r="C54" s="7"/>
    </row>
    <row r="55" customFormat="false" ht="15" hidden="false" customHeight="false" outlineLevel="0" collapsed="false">
      <c r="A55" s="7"/>
      <c r="B55" s="27" t="s">
        <v>69</v>
      </c>
      <c r="C55" s="9"/>
    </row>
    <row r="56" customFormat="false" ht="15" hidden="false" customHeight="false" outlineLevel="0" collapsed="false">
      <c r="A56" s="7"/>
      <c r="B56" s="28" t="s">
        <v>70</v>
      </c>
      <c r="C56" s="32" t="n">
        <v>1.2</v>
      </c>
    </row>
    <row r="57" customFormat="false" ht="15" hidden="false" customHeight="false" outlineLevel="0" collapsed="false">
      <c r="A57" s="7"/>
      <c r="B57" s="28" t="s">
        <v>71</v>
      </c>
      <c r="C57" s="32" t="n">
        <v>1.15</v>
      </c>
    </row>
    <row r="58" customFormat="false" ht="15" hidden="false" customHeight="false" outlineLevel="0" collapsed="false">
      <c r="A58" s="7"/>
      <c r="B58" s="28" t="s">
        <v>72</v>
      </c>
      <c r="C58" s="32" t="n">
        <v>1.1</v>
      </c>
    </row>
    <row r="59" customFormat="false" ht="15" hidden="false" customHeight="false" outlineLevel="0" collapsed="false">
      <c r="A59" s="7"/>
      <c r="B59" s="28" t="s">
        <v>73</v>
      </c>
      <c r="C59" s="32" t="n">
        <v>1.05</v>
      </c>
    </row>
    <row r="60" customFormat="false" ht="15" hidden="false" customHeight="false" outlineLevel="0" collapsed="false">
      <c r="A60" s="7"/>
      <c r="B60" s="28" t="s">
        <v>74</v>
      </c>
      <c r="C60" s="32" t="n">
        <v>1.02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7" topLeftCell="C8" activePane="bottomRight" state="frozen"/>
      <selection pane="topLeft" activeCell="A1" activeCellId="0" sqref="A1"/>
      <selection pane="topRight" activeCell="C1" activeCellId="0" sqref="C1"/>
      <selection pane="bottomLeft" activeCell="A8" activeCellId="0" sqref="A8"/>
      <selection pane="bottomRigh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12" min="3" style="0" width="16"/>
  </cols>
  <sheetData>
    <row r="1" customFormat="false" ht="17.35" hidden="false" customHeight="false" outlineLevel="0" collapsed="false">
      <c r="A1" s="1"/>
      <c r="B1" s="24" t="s">
        <v>75</v>
      </c>
      <c r="C1" s="1"/>
      <c r="D1" s="1"/>
      <c r="E1" s="1"/>
      <c r="F1" s="1"/>
      <c r="G1" s="1"/>
      <c r="H1" s="1"/>
      <c r="I1" s="1"/>
      <c r="J1" s="1"/>
      <c r="K1" s="1"/>
      <c r="L1" s="1"/>
      <c r="M1" s="3"/>
      <c r="N1" s="3"/>
      <c r="O1" s="3"/>
      <c r="P1" s="3"/>
      <c r="Q1" s="3"/>
      <c r="R1" s="3"/>
      <c r="S1" s="3"/>
      <c r="T1" s="3"/>
      <c r="U1" s="3"/>
      <c r="V1" s="3"/>
      <c r="W1" s="3"/>
      <c r="X1" s="3"/>
      <c r="Y1" s="3"/>
      <c r="Z1" s="3"/>
      <c r="AA1" s="3"/>
      <c r="AB1" s="3"/>
      <c r="AC1" s="3"/>
      <c r="AD1" s="3"/>
    </row>
    <row r="2" customFormat="false" ht="21.75" hidden="false" customHeight="true" outlineLevel="0" collapsed="false">
      <c r="A2" s="1"/>
      <c r="B2" s="25" t="s">
        <v>76</v>
      </c>
      <c r="C2" s="1"/>
      <c r="D2" s="1"/>
      <c r="E2" s="1"/>
      <c r="F2" s="1"/>
      <c r="G2" s="1"/>
      <c r="H2" s="1"/>
      <c r="I2" s="1"/>
      <c r="J2" s="1"/>
      <c r="K2" s="1"/>
      <c r="L2" s="1"/>
      <c r="M2" s="3"/>
      <c r="N2" s="3"/>
      <c r="O2" s="3"/>
      <c r="P2" s="3"/>
      <c r="Q2" s="3"/>
      <c r="R2" s="3"/>
      <c r="S2" s="3"/>
      <c r="T2" s="3"/>
      <c r="U2" s="3"/>
      <c r="V2" s="3"/>
      <c r="W2" s="3"/>
      <c r="X2" s="3"/>
      <c r="Y2" s="3"/>
      <c r="Z2" s="3"/>
      <c r="AA2" s="3"/>
      <c r="AB2" s="3"/>
      <c r="AC2" s="3"/>
      <c r="AD2" s="3"/>
    </row>
    <row r="3" customFormat="false" ht="15" hidden="false" customHeight="false" outlineLevel="0" collapsed="false">
      <c r="A3" s="1"/>
      <c r="B3" s="26" t="s">
        <v>26</v>
      </c>
      <c r="C3" s="1"/>
      <c r="D3" s="1"/>
      <c r="E3" s="1"/>
      <c r="F3" s="1"/>
      <c r="G3" s="1"/>
      <c r="H3" s="1"/>
      <c r="I3" s="1"/>
      <c r="J3" s="1"/>
      <c r="K3" s="1"/>
      <c r="L3" s="1"/>
      <c r="M3" s="3"/>
      <c r="N3" s="3"/>
      <c r="O3" s="3"/>
      <c r="P3" s="3"/>
      <c r="Q3" s="3"/>
      <c r="R3" s="3"/>
      <c r="S3" s="3"/>
      <c r="T3" s="3"/>
      <c r="U3" s="3"/>
      <c r="V3" s="3"/>
      <c r="W3" s="3"/>
      <c r="X3" s="3"/>
      <c r="Y3" s="3"/>
      <c r="Z3" s="3"/>
      <c r="AA3" s="3"/>
      <c r="AB3" s="3"/>
      <c r="AC3" s="3"/>
      <c r="AD3" s="3"/>
    </row>
    <row r="4" customFormat="false" ht="15" hidden="false" customHeight="false" outlineLevel="0" collapsed="false">
      <c r="A4" s="7"/>
      <c r="B4" s="7"/>
      <c r="C4" s="7"/>
      <c r="D4" s="7"/>
      <c r="E4" s="7"/>
      <c r="F4" s="7"/>
      <c r="G4" s="7"/>
      <c r="H4" s="7"/>
      <c r="I4" s="7"/>
      <c r="J4" s="7"/>
      <c r="K4" s="7"/>
      <c r="L4" s="7"/>
    </row>
    <row r="5" customFormat="false" ht="15" hidden="false" customHeight="false" outlineLevel="0" collapsed="false">
      <c r="A5" s="7"/>
      <c r="B5" s="7"/>
      <c r="C5" s="7"/>
      <c r="D5" s="7"/>
      <c r="E5" s="7"/>
      <c r="F5" s="7"/>
      <c r="G5" s="7"/>
      <c r="H5" s="7"/>
      <c r="I5" s="7"/>
      <c r="J5" s="7"/>
      <c r="K5" s="7"/>
      <c r="L5" s="7"/>
    </row>
    <row r="6" customFormat="false" ht="15" hidden="false" customHeight="false" outlineLevel="0" collapsed="false">
      <c r="A6" s="7"/>
      <c r="B6" s="33" t="s">
        <v>77</v>
      </c>
      <c r="C6" s="34" t="n">
        <f aca="false">Model_Start_Year+0</f>
        <v>2025</v>
      </c>
      <c r="D6" s="34" t="n">
        <f aca="false">Model_Start_Year+1</f>
        <v>2026</v>
      </c>
      <c r="E6" s="34" t="n">
        <f aca="false">Model_Start_Year+2</f>
        <v>2027</v>
      </c>
      <c r="F6" s="34" t="n">
        <f aca="false">Model_Start_Year+3</f>
        <v>2028</v>
      </c>
      <c r="G6" s="34" t="n">
        <f aca="false">Model_Start_Year+4</f>
        <v>2029</v>
      </c>
      <c r="H6" s="34" t="n">
        <f aca="false">Model_Start_Year+5</f>
        <v>2030</v>
      </c>
      <c r="I6" s="34" t="n">
        <f aca="false">Model_Start_Year+6</f>
        <v>2031</v>
      </c>
      <c r="J6" s="34" t="n">
        <f aca="false">Model_Start_Year+7</f>
        <v>2032</v>
      </c>
      <c r="K6" s="34" t="n">
        <f aca="false">Model_Start_Year+8</f>
        <v>2033</v>
      </c>
      <c r="L6" s="34" t="n">
        <f aca="false">Model_Start_Year+9</f>
        <v>2034</v>
      </c>
    </row>
    <row r="7" customFormat="false" ht="15" hidden="false" customHeight="false" outlineLevel="0" collapsed="false">
      <c r="A7" s="7"/>
      <c r="B7" s="28" t="s">
        <v>78</v>
      </c>
      <c r="C7" s="35" t="n">
        <v>1</v>
      </c>
      <c r="D7" s="35" t="n">
        <v>2</v>
      </c>
      <c r="E7" s="35" t="n">
        <v>3</v>
      </c>
      <c r="F7" s="35" t="n">
        <v>4</v>
      </c>
      <c r="G7" s="35" t="n">
        <v>5</v>
      </c>
      <c r="H7" s="35" t="n">
        <v>6</v>
      </c>
      <c r="I7" s="35" t="n">
        <v>7</v>
      </c>
      <c r="J7" s="35" t="n">
        <v>8</v>
      </c>
      <c r="K7" s="35" t="n">
        <v>9</v>
      </c>
      <c r="L7" s="35" t="n">
        <v>10</v>
      </c>
    </row>
    <row r="8" customFormat="false" ht="15" hidden="false" customHeight="false" outlineLevel="0" collapsed="false">
      <c r="A8" s="7"/>
      <c r="B8" s="7"/>
      <c r="C8" s="7"/>
      <c r="D8" s="7"/>
      <c r="E8" s="7"/>
      <c r="F8" s="7"/>
      <c r="G8" s="7"/>
      <c r="H8" s="7"/>
      <c r="I8" s="7"/>
      <c r="J8" s="7"/>
      <c r="K8" s="7"/>
      <c r="L8" s="7"/>
    </row>
    <row r="9" customFormat="false" ht="15" hidden="false" customHeight="false" outlineLevel="0" collapsed="false">
      <c r="A9" s="7"/>
      <c r="B9" s="27" t="s">
        <v>27</v>
      </c>
      <c r="C9" s="9"/>
      <c r="D9" s="9"/>
      <c r="E9" s="9"/>
      <c r="F9" s="9"/>
      <c r="G9" s="9"/>
      <c r="H9" s="9"/>
      <c r="I9" s="9"/>
      <c r="J9" s="9"/>
      <c r="K9" s="9"/>
      <c r="L9" s="9"/>
    </row>
    <row r="10" customFormat="false" ht="15" hidden="false" customHeight="false" outlineLevel="0" collapsed="false">
      <c r="A10" s="7"/>
      <c r="B10" s="12" t="s">
        <v>79</v>
      </c>
      <c r="C10" s="36" t="n">
        <f aca="false">Pool_Size</f>
        <v>500000000</v>
      </c>
      <c r="D10" s="36" t="n">
        <f aca="false">C15</f>
        <v>490000000</v>
      </c>
      <c r="E10" s="36" t="n">
        <f aca="false">D15</f>
        <v>480200000</v>
      </c>
      <c r="F10" s="36" t="n">
        <f aca="false">E15</f>
        <v>470596000</v>
      </c>
      <c r="G10" s="36" t="n">
        <f aca="false">F15</f>
        <v>461184080</v>
      </c>
      <c r="H10" s="36" t="n">
        <f aca="false">G15</f>
        <v>451960398.4</v>
      </c>
      <c r="I10" s="36" t="n">
        <f aca="false">H15</f>
        <v>347529110.752</v>
      </c>
      <c r="J10" s="36" t="n">
        <f aca="false">I15</f>
        <v>266072706.38656</v>
      </c>
      <c r="K10" s="36" t="n">
        <f aca="false">J15</f>
        <v>202536710.981517</v>
      </c>
      <c r="L10" s="36" t="n">
        <f aca="false">K15</f>
        <v>152978634.565583</v>
      </c>
    </row>
    <row r="11" customFormat="false" ht="15" hidden="false" customHeight="false" outlineLevel="0" collapsed="false">
      <c r="A11" s="7"/>
      <c r="B11" s="37" t="s">
        <v>80</v>
      </c>
      <c r="C11" s="36" t="n">
        <f aca="false">-C10*Annual_CDR</f>
        <v>-10000000</v>
      </c>
      <c r="D11" s="36" t="n">
        <f aca="false">-D10*Annual_CDR</f>
        <v>-9800000</v>
      </c>
      <c r="E11" s="36" t="n">
        <f aca="false">-E10*Annual_CDR</f>
        <v>-9604000</v>
      </c>
      <c r="F11" s="36" t="n">
        <f aca="false">-F10*Annual_CDR</f>
        <v>-9411920</v>
      </c>
      <c r="G11" s="36" t="n">
        <f aca="false">-G10*Annual_CDR</f>
        <v>-9223681.6</v>
      </c>
      <c r="H11" s="36" t="n">
        <f aca="false">-H10*Annual_CDR</f>
        <v>-9039207.968</v>
      </c>
      <c r="I11" s="36" t="n">
        <f aca="false">-I10*Annual_CDR</f>
        <v>-6950582.21504</v>
      </c>
      <c r="J11" s="36" t="n">
        <f aca="false">-J10*Annual_CDR</f>
        <v>-5321454.1277312</v>
      </c>
      <c r="K11" s="36" t="n">
        <f aca="false">-K10*Annual_CDR</f>
        <v>-4050734.21963034</v>
      </c>
      <c r="L11" s="36" t="n">
        <f aca="false">-L10*Annual_CDR</f>
        <v>-3059572.69131166</v>
      </c>
    </row>
    <row r="12" customFormat="false" ht="15" hidden="false" customHeight="false" outlineLevel="0" collapsed="false">
      <c r="A12" s="7"/>
      <c r="B12" s="37" t="s">
        <v>81</v>
      </c>
      <c r="C12" s="36" t="n">
        <f aca="false">-C10*Annual_CPR</f>
        <v>-100000000</v>
      </c>
      <c r="D12" s="36" t="n">
        <f aca="false">-D10*Annual_CPR</f>
        <v>-98000000</v>
      </c>
      <c r="E12" s="36" t="n">
        <f aca="false">-E10*Annual_CPR</f>
        <v>-96040000</v>
      </c>
      <c r="F12" s="36" t="n">
        <f aca="false">-F10*Annual_CPR</f>
        <v>-94119200</v>
      </c>
      <c r="G12" s="36" t="n">
        <f aca="false">-G10*Annual_CPR</f>
        <v>-92236816</v>
      </c>
      <c r="H12" s="36" t="n">
        <f aca="false">-H10*Annual_CPR</f>
        <v>-90392079.68</v>
      </c>
      <c r="I12" s="36" t="n">
        <f aca="false">-I10*Annual_CPR</f>
        <v>-69505822.1504</v>
      </c>
      <c r="J12" s="36" t="n">
        <f aca="false">-J10*Annual_CPR</f>
        <v>-53214541.277312</v>
      </c>
      <c r="K12" s="36" t="n">
        <f aca="false">-K10*Annual_CPR</f>
        <v>-40507342.1963034</v>
      </c>
      <c r="L12" s="36" t="n">
        <f aca="false">-L10*Annual_CPR</f>
        <v>-30595726.9131166</v>
      </c>
    </row>
    <row r="13" customFormat="false" ht="15" hidden="false" customHeight="false" outlineLevel="0" collapsed="false">
      <c r="A13" s="7"/>
      <c r="B13" s="37" t="s">
        <v>82</v>
      </c>
      <c r="C13" s="36" t="n">
        <f aca="false">-Pool_Size*Sched_Amort_Pct</f>
        <v>-5000000</v>
      </c>
      <c r="D13" s="36" t="n">
        <f aca="false">-Pool_Size*Sched_Amort_Pct</f>
        <v>-5000000</v>
      </c>
      <c r="E13" s="36" t="n">
        <f aca="false">-Pool_Size*Sched_Amort_Pct</f>
        <v>-5000000</v>
      </c>
      <c r="F13" s="36" t="n">
        <f aca="false">-Pool_Size*Sched_Amort_Pct</f>
        <v>-5000000</v>
      </c>
      <c r="G13" s="36" t="n">
        <f aca="false">-Pool_Size*Sched_Amort_Pct</f>
        <v>-5000000</v>
      </c>
      <c r="H13" s="36" t="n">
        <f aca="false">-Pool_Size*Sched_Amort_Pct</f>
        <v>-5000000</v>
      </c>
      <c r="I13" s="36" t="n">
        <f aca="false">-Pool_Size*Sched_Amort_Pct</f>
        <v>-5000000</v>
      </c>
      <c r="J13" s="36" t="n">
        <f aca="false">-Pool_Size*Sched_Amort_Pct</f>
        <v>-5000000</v>
      </c>
      <c r="K13" s="36" t="n">
        <f aca="false">-Pool_Size*Sched_Amort_Pct</f>
        <v>-5000000</v>
      </c>
      <c r="L13" s="36" t="n">
        <f aca="false">-Pool_Size*Sched_Amort_Pct</f>
        <v>-5000000</v>
      </c>
    </row>
    <row r="14" customFormat="false" ht="15" hidden="false" customHeight="false" outlineLevel="0" collapsed="false">
      <c r="A14" s="7"/>
      <c r="B14" s="37" t="s">
        <v>83</v>
      </c>
      <c r="C14" s="36" t="n">
        <f aca="false">IF(C7&lt;=Reinvest_Period,-(C12+C13),0)</f>
        <v>105000000</v>
      </c>
      <c r="D14" s="36" t="n">
        <f aca="false">IF(D7&lt;=Reinvest_Period,-(D12+D13),0)</f>
        <v>103000000</v>
      </c>
      <c r="E14" s="36" t="n">
        <f aca="false">IF(E7&lt;=Reinvest_Period,-(E12+E13),0)</f>
        <v>101040000</v>
      </c>
      <c r="F14" s="36" t="n">
        <f aca="false">IF(F7&lt;=Reinvest_Period,-(F12+F13),0)</f>
        <v>99119200</v>
      </c>
      <c r="G14" s="36" t="n">
        <f aca="false">IF(G7&lt;=Reinvest_Period,-(G12+G13),0)</f>
        <v>97236816</v>
      </c>
      <c r="H14" s="36" t="n">
        <f aca="false">IF(H7&lt;=Reinvest_Period,-(H12+H13),0)</f>
        <v>0</v>
      </c>
      <c r="I14" s="36" t="n">
        <f aca="false">IF(I7&lt;=Reinvest_Period,-(I12+I13),0)</f>
        <v>0</v>
      </c>
      <c r="J14" s="36" t="n">
        <f aca="false">IF(J7&lt;=Reinvest_Period,-(J12+J13),0)</f>
        <v>0</v>
      </c>
      <c r="K14" s="36" t="n">
        <f aca="false">IF(K7&lt;=Reinvest_Period,-(K12+K13),0)</f>
        <v>0</v>
      </c>
      <c r="L14" s="36" t="n">
        <f aca="false">IF(L7&lt;=Reinvest_Period,-(L12+L13),0)</f>
        <v>0</v>
      </c>
    </row>
    <row r="15" customFormat="false" ht="15" hidden="false" customHeight="false" outlineLevel="0" collapsed="false">
      <c r="A15" s="7"/>
      <c r="B15" s="12" t="s">
        <v>84</v>
      </c>
      <c r="C15" s="36" t="n">
        <f aca="false">MAX(0,C10+C11+C12+C13+C14)</f>
        <v>490000000</v>
      </c>
      <c r="D15" s="36" t="n">
        <f aca="false">MAX(0,D10+D11+D12+D13+D14)</f>
        <v>480200000</v>
      </c>
      <c r="E15" s="36" t="n">
        <f aca="false">MAX(0,E10+E11+E12+E13+E14)</f>
        <v>470596000</v>
      </c>
      <c r="F15" s="36" t="n">
        <f aca="false">MAX(0,F10+F11+F12+F13+F14)</f>
        <v>461184080</v>
      </c>
      <c r="G15" s="36" t="n">
        <f aca="false">MAX(0,G10+G11+G12+G13+G14)</f>
        <v>451960398.4</v>
      </c>
      <c r="H15" s="36" t="n">
        <f aca="false">MAX(0,H10+H11+H12+H13+H14)</f>
        <v>347529110.752</v>
      </c>
      <c r="I15" s="36" t="n">
        <f aca="false">MAX(0,I10+I11+I12+I13+I14)</f>
        <v>266072706.38656</v>
      </c>
      <c r="J15" s="36" t="n">
        <f aca="false">MAX(0,J10+J11+J12+J13+J14)</f>
        <v>202536710.981517</v>
      </c>
      <c r="K15" s="36" t="n">
        <f aca="false">MAX(0,K10+K11+K12+K13+K14)</f>
        <v>152978634.565583</v>
      </c>
      <c r="L15" s="36" t="n">
        <f aca="false">MAX(0,L10+L11+L12+L13+L14)</f>
        <v>114323334.961155</v>
      </c>
    </row>
    <row r="16" customFormat="false" ht="15" hidden="false" customHeight="false" outlineLevel="0" collapsed="false">
      <c r="A16" s="7"/>
      <c r="B16" s="7"/>
      <c r="C16" s="7"/>
      <c r="D16" s="7"/>
      <c r="E16" s="7"/>
      <c r="F16" s="7"/>
      <c r="G16" s="7"/>
      <c r="H16" s="7"/>
      <c r="I16" s="7"/>
      <c r="J16" s="7"/>
      <c r="K16" s="7"/>
      <c r="L16" s="7"/>
    </row>
    <row r="17" customFormat="false" ht="15" hidden="false" customHeight="false" outlineLevel="0" collapsed="false">
      <c r="A17" s="7"/>
      <c r="B17" s="27" t="s">
        <v>85</v>
      </c>
      <c r="C17" s="9"/>
      <c r="D17" s="9"/>
      <c r="E17" s="9"/>
      <c r="F17" s="9"/>
      <c r="G17" s="9"/>
      <c r="H17" s="9"/>
      <c r="I17" s="9"/>
      <c r="J17" s="9"/>
      <c r="K17" s="9"/>
      <c r="L17" s="9"/>
    </row>
    <row r="18" customFormat="false" ht="15" hidden="false" customHeight="false" outlineLevel="0" collapsed="false">
      <c r="A18" s="7"/>
      <c r="B18" s="37" t="s">
        <v>86</v>
      </c>
      <c r="C18" s="36" t="n">
        <f aca="false">-C11</f>
        <v>10000000</v>
      </c>
      <c r="D18" s="36" t="n">
        <f aca="false">C18-D11</f>
        <v>19800000</v>
      </c>
      <c r="E18" s="36" t="n">
        <f aca="false">D18-E11</f>
        <v>29404000</v>
      </c>
      <c r="F18" s="36" t="n">
        <f aca="false">E18-F11</f>
        <v>38815920</v>
      </c>
      <c r="G18" s="36" t="n">
        <f aca="false">F18-G11</f>
        <v>48039601.6</v>
      </c>
      <c r="H18" s="36" t="n">
        <f aca="false">G18-H11</f>
        <v>57078809.568</v>
      </c>
      <c r="I18" s="36" t="n">
        <f aca="false">H18-I11</f>
        <v>64029391.78304</v>
      </c>
      <c r="J18" s="36" t="n">
        <f aca="false">I18-J11</f>
        <v>69350845.9107712</v>
      </c>
      <c r="K18" s="36" t="n">
        <f aca="false">J18-K11</f>
        <v>73401580.1304015</v>
      </c>
      <c r="L18" s="36" t="n">
        <f aca="false">K18-L11</f>
        <v>76461152.8217132</v>
      </c>
    </row>
    <row r="19" customFormat="false" ht="15" hidden="false" customHeight="false" outlineLevel="0" collapsed="false">
      <c r="A19" s="7"/>
      <c r="B19" s="37" t="s">
        <v>87</v>
      </c>
      <c r="C19" s="36" t="n">
        <f aca="false">-C12</f>
        <v>100000000</v>
      </c>
      <c r="D19" s="36" t="n">
        <f aca="false">C19-D12</f>
        <v>198000000</v>
      </c>
      <c r="E19" s="36" t="n">
        <f aca="false">D19-E12</f>
        <v>294040000</v>
      </c>
      <c r="F19" s="36" t="n">
        <f aca="false">E19-F12</f>
        <v>388159200</v>
      </c>
      <c r="G19" s="36" t="n">
        <f aca="false">F19-G12</f>
        <v>480396016</v>
      </c>
      <c r="H19" s="36" t="n">
        <f aca="false">G19-H12</f>
        <v>570788095.68</v>
      </c>
      <c r="I19" s="36" t="n">
        <f aca="false">H19-I12</f>
        <v>640293917.8304</v>
      </c>
      <c r="J19" s="36" t="n">
        <f aca="false">I19-J12</f>
        <v>693508459.107712</v>
      </c>
      <c r="K19" s="36" t="n">
        <f aca="false">J19-K12</f>
        <v>734015801.304016</v>
      </c>
      <c r="L19" s="36" t="n">
        <f aca="false">K19-L12</f>
        <v>764611528.217132</v>
      </c>
    </row>
    <row r="20" customFormat="false" ht="15" hidden="false" customHeight="false" outlineLevel="0" collapsed="false">
      <c r="A20" s="7"/>
      <c r="B20" s="37" t="s">
        <v>88</v>
      </c>
      <c r="C20" s="36" t="n">
        <f aca="false">-C13</f>
        <v>5000000</v>
      </c>
      <c r="D20" s="36" t="n">
        <f aca="false">C20-D13</f>
        <v>10000000</v>
      </c>
      <c r="E20" s="36" t="n">
        <f aca="false">D20-E13</f>
        <v>15000000</v>
      </c>
      <c r="F20" s="36" t="n">
        <f aca="false">E20-F13</f>
        <v>20000000</v>
      </c>
      <c r="G20" s="36" t="n">
        <f aca="false">F20-G13</f>
        <v>25000000</v>
      </c>
      <c r="H20" s="36" t="n">
        <f aca="false">G20-H13</f>
        <v>30000000</v>
      </c>
      <c r="I20" s="36" t="n">
        <f aca="false">H20-I13</f>
        <v>35000000</v>
      </c>
      <c r="J20" s="36" t="n">
        <f aca="false">I20-J13</f>
        <v>40000000</v>
      </c>
      <c r="K20" s="36" t="n">
        <f aca="false">J20-K13</f>
        <v>45000000</v>
      </c>
      <c r="L20" s="36" t="n">
        <f aca="false">K20-L13</f>
        <v>50000000</v>
      </c>
    </row>
    <row r="21" customFormat="false" ht="15" hidden="false" customHeight="false" outlineLevel="0" collapsed="false">
      <c r="A21" s="7"/>
      <c r="B21" s="37" t="s">
        <v>89</v>
      </c>
      <c r="C21" s="36" t="n">
        <f aca="false">C14</f>
        <v>105000000</v>
      </c>
      <c r="D21" s="36" t="n">
        <f aca="false">C21+D14</f>
        <v>208000000</v>
      </c>
      <c r="E21" s="36" t="n">
        <f aca="false">D21+E14</f>
        <v>309040000</v>
      </c>
      <c r="F21" s="36" t="n">
        <f aca="false">E21+F14</f>
        <v>408159200</v>
      </c>
      <c r="G21" s="36" t="n">
        <f aca="false">F21+G14</f>
        <v>505396016</v>
      </c>
      <c r="H21" s="36" t="n">
        <f aca="false">G21+H14</f>
        <v>505396016</v>
      </c>
      <c r="I21" s="36" t="n">
        <f aca="false">H21+I14</f>
        <v>505396016</v>
      </c>
      <c r="J21" s="36" t="n">
        <f aca="false">I21+J14</f>
        <v>505396016</v>
      </c>
      <c r="K21" s="36" t="n">
        <f aca="false">J21+K14</f>
        <v>505396016</v>
      </c>
      <c r="L21" s="36" t="n">
        <f aca="false">K21+L14</f>
        <v>505396016</v>
      </c>
    </row>
    <row r="22" customFormat="false" ht="15" hidden="false" customHeight="false" outlineLevel="0" collapsed="false">
      <c r="A22" s="7"/>
      <c r="B22" s="7"/>
      <c r="C22" s="7"/>
      <c r="D22" s="7"/>
      <c r="E22" s="7"/>
      <c r="F22" s="7"/>
      <c r="G22" s="7"/>
      <c r="H22" s="7"/>
      <c r="I22" s="7"/>
      <c r="J22" s="7"/>
      <c r="K22" s="7"/>
      <c r="L22" s="7"/>
    </row>
    <row r="23" customFormat="false" ht="15" hidden="false" customHeight="false" outlineLevel="0" collapsed="false">
      <c r="A23" s="7"/>
      <c r="B23" s="27" t="s">
        <v>90</v>
      </c>
      <c r="C23" s="9"/>
      <c r="D23" s="9"/>
      <c r="E23" s="9"/>
      <c r="F23" s="9"/>
      <c r="G23" s="9"/>
      <c r="H23" s="9"/>
      <c r="I23" s="9"/>
      <c r="J23" s="9"/>
      <c r="K23" s="9"/>
      <c r="L23" s="9"/>
    </row>
    <row r="24" customFormat="false" ht="15" hidden="false" customHeight="false" outlineLevel="0" collapsed="false">
      <c r="A24" s="7"/>
      <c r="B24" s="37" t="s">
        <v>91</v>
      </c>
      <c r="C24" s="36" t="n">
        <f aca="false">-C11</f>
        <v>10000000</v>
      </c>
      <c r="D24" s="36" t="n">
        <f aca="false">-D11</f>
        <v>9800000</v>
      </c>
      <c r="E24" s="36" t="n">
        <f aca="false">-E11</f>
        <v>9604000</v>
      </c>
      <c r="F24" s="36" t="n">
        <f aca="false">-F11</f>
        <v>9411920</v>
      </c>
      <c r="G24" s="36" t="n">
        <f aca="false">-G11</f>
        <v>9223681.6</v>
      </c>
      <c r="H24" s="36" t="n">
        <f aca="false">-H11</f>
        <v>9039207.968</v>
      </c>
      <c r="I24" s="36" t="n">
        <f aca="false">-I11</f>
        <v>6950582.21504</v>
      </c>
      <c r="J24" s="36" t="n">
        <f aca="false">-J11</f>
        <v>5321454.1277312</v>
      </c>
      <c r="K24" s="36" t="n">
        <f aca="false">-K11</f>
        <v>4050734.21963034</v>
      </c>
      <c r="L24" s="36" t="n">
        <f aca="false">-L11</f>
        <v>3059572.69131166</v>
      </c>
    </row>
    <row r="25" customFormat="false" ht="15" hidden="false" customHeight="false" outlineLevel="0" collapsed="false">
      <c r="A25" s="7"/>
      <c r="B25" s="37" t="s">
        <v>92</v>
      </c>
      <c r="C25" s="36" t="n">
        <f aca="false">C24*(1-Recovery_Rate)</f>
        <v>3000000</v>
      </c>
      <c r="D25" s="36" t="n">
        <f aca="false">D24*(1-Recovery_Rate)</f>
        <v>2940000</v>
      </c>
      <c r="E25" s="36" t="n">
        <f aca="false">E24*(1-Recovery_Rate)</f>
        <v>2881200</v>
      </c>
      <c r="F25" s="36" t="n">
        <f aca="false">F24*(1-Recovery_Rate)</f>
        <v>2823576</v>
      </c>
      <c r="G25" s="36" t="n">
        <f aca="false">G24*(1-Recovery_Rate)</f>
        <v>2767104.48</v>
      </c>
      <c r="H25" s="36" t="n">
        <f aca="false">H24*(1-Recovery_Rate)</f>
        <v>2711762.3904</v>
      </c>
      <c r="I25" s="36" t="n">
        <f aca="false">I24*(1-Recovery_Rate)</f>
        <v>2085174.664512</v>
      </c>
      <c r="J25" s="36" t="n">
        <f aca="false">J24*(1-Recovery_Rate)</f>
        <v>1596436.23831936</v>
      </c>
      <c r="K25" s="36" t="n">
        <f aca="false">K24*(1-Recovery_Rate)</f>
        <v>1215220.2658891</v>
      </c>
      <c r="L25" s="36" t="n">
        <f aca="false">L24*(1-Recovery_Rate)</f>
        <v>917871.807393499</v>
      </c>
    </row>
    <row r="26" customFormat="false" ht="15" hidden="false" customHeight="false" outlineLevel="0" collapsed="false">
      <c r="A26" s="7"/>
      <c r="B26" s="37" t="s">
        <v>93</v>
      </c>
      <c r="C26" s="36" t="n">
        <f aca="false">C25</f>
        <v>3000000</v>
      </c>
      <c r="D26" s="36" t="n">
        <f aca="false">C26+D25</f>
        <v>5940000</v>
      </c>
      <c r="E26" s="36" t="n">
        <f aca="false">D26+E25</f>
        <v>8821200</v>
      </c>
      <c r="F26" s="36" t="n">
        <f aca="false">E26+F25</f>
        <v>11644776</v>
      </c>
      <c r="G26" s="36" t="n">
        <f aca="false">F26+G25</f>
        <v>14411880.48</v>
      </c>
      <c r="H26" s="36" t="n">
        <f aca="false">G26+H25</f>
        <v>17123642.8704</v>
      </c>
      <c r="I26" s="36" t="n">
        <f aca="false">H26+I25</f>
        <v>19208817.534912</v>
      </c>
      <c r="J26" s="36" t="n">
        <f aca="false">I26+J25</f>
        <v>20805253.7732314</v>
      </c>
      <c r="K26" s="36" t="n">
        <f aca="false">J26+K25</f>
        <v>22020474.0391205</v>
      </c>
      <c r="L26" s="36" t="n">
        <f aca="false">K26+L25</f>
        <v>22938345.846514</v>
      </c>
    </row>
    <row r="27" customFormat="false" ht="15" hidden="false" customHeight="false" outlineLevel="0" collapsed="false">
      <c r="A27" s="7"/>
      <c r="B27" s="37" t="s">
        <v>94</v>
      </c>
      <c r="C27" s="36" t="n">
        <f aca="false">C24*Recovery_Rate</f>
        <v>7000000</v>
      </c>
      <c r="D27" s="36" t="n">
        <f aca="false">D24*Recovery_Rate</f>
        <v>6860000</v>
      </c>
      <c r="E27" s="36" t="n">
        <f aca="false">E24*Recovery_Rate</f>
        <v>6722800</v>
      </c>
      <c r="F27" s="36" t="n">
        <f aca="false">F24*Recovery_Rate</f>
        <v>6588344</v>
      </c>
      <c r="G27" s="36" t="n">
        <f aca="false">G24*Recovery_Rate</f>
        <v>6456577.12</v>
      </c>
      <c r="H27" s="36" t="n">
        <f aca="false">H24*Recovery_Rate</f>
        <v>6327445.5776</v>
      </c>
      <c r="I27" s="36" t="n">
        <f aca="false">I24*Recovery_Rate</f>
        <v>4865407.550528</v>
      </c>
      <c r="J27" s="36" t="n">
        <f aca="false">J24*Recovery_Rate</f>
        <v>3725017.88941184</v>
      </c>
      <c r="K27" s="36" t="n">
        <f aca="false">K24*Recovery_Rate</f>
        <v>2835513.95374123</v>
      </c>
      <c r="L27" s="36" t="n">
        <f aca="false">L24*Recovery_Rate</f>
        <v>2141700.88391816</v>
      </c>
    </row>
    <row r="28" customFormat="false" ht="15" hidden="false" customHeight="false" outlineLevel="0" collapsed="false">
      <c r="A28" s="7"/>
      <c r="B28" s="37" t="s">
        <v>95</v>
      </c>
      <c r="C28" s="36" t="n">
        <f aca="false">IFERROR(IF(C7&lt;=Recovery_Lag,0,INDEX($C$27:$L$27,1,C7-Recovery_Lag)),0)</f>
        <v>0</v>
      </c>
      <c r="D28" s="36" t="n">
        <f aca="false">IFERROR(IF(D7&lt;=Recovery_Lag,0,INDEX($C$27:$L$27,1,D7-Recovery_Lag)),0)</f>
        <v>7000000</v>
      </c>
      <c r="E28" s="36" t="n">
        <f aca="false">IFERROR(IF(E7&lt;=Recovery_Lag,0,INDEX($C$27:$L$27,1,E7-Recovery_Lag)),0)</f>
        <v>6860000</v>
      </c>
      <c r="F28" s="36" t="n">
        <f aca="false">IFERROR(IF(F7&lt;=Recovery_Lag,0,INDEX($C$27:$L$27,1,F7-Recovery_Lag)),0)</f>
        <v>6722800</v>
      </c>
      <c r="G28" s="36" t="n">
        <f aca="false">IFERROR(IF(G7&lt;=Recovery_Lag,0,INDEX($C$27:$L$27,1,G7-Recovery_Lag)),0)</f>
        <v>6588344</v>
      </c>
      <c r="H28" s="36" t="n">
        <f aca="false">IFERROR(IF(H7&lt;=Recovery_Lag,0,INDEX($C$27:$L$27,1,H7-Recovery_Lag)),0)</f>
        <v>6456577.12</v>
      </c>
      <c r="I28" s="36" t="n">
        <f aca="false">IFERROR(IF(I7&lt;=Recovery_Lag,0,INDEX($C$27:$L$27,1,I7-Recovery_Lag)),0)</f>
        <v>6327445.5776</v>
      </c>
      <c r="J28" s="36" t="n">
        <f aca="false">IFERROR(IF(J7&lt;=Recovery_Lag,0,INDEX($C$27:$L$27,1,J7-Recovery_Lag)),0)</f>
        <v>4865407.550528</v>
      </c>
      <c r="K28" s="36" t="n">
        <f aca="false">IFERROR(IF(K7&lt;=Recovery_Lag,0,INDEX($C$27:$L$27,1,K7-Recovery_Lag)),0)</f>
        <v>3725017.88941184</v>
      </c>
      <c r="L28" s="36" t="n">
        <f aca="false">IFERROR(IF(L7&lt;=Recovery_Lag,0,INDEX($C$27:$L$27,1,L7-Recovery_Lag)),0)</f>
        <v>2835513.95374123</v>
      </c>
    </row>
    <row r="29" customFormat="false" ht="15" hidden="false" customHeight="false" outlineLevel="0" collapsed="false">
      <c r="A29" s="7"/>
      <c r="B29" s="37" t="s">
        <v>96</v>
      </c>
      <c r="C29" s="36" t="n">
        <f aca="false">C28</f>
        <v>0</v>
      </c>
      <c r="D29" s="36" t="n">
        <f aca="false">C29+D28</f>
        <v>7000000</v>
      </c>
      <c r="E29" s="36" t="n">
        <f aca="false">D29+E28</f>
        <v>13860000</v>
      </c>
      <c r="F29" s="36" t="n">
        <f aca="false">E29+F28</f>
        <v>20582800</v>
      </c>
      <c r="G29" s="36" t="n">
        <f aca="false">F29+G28</f>
        <v>27171144</v>
      </c>
      <c r="H29" s="36" t="n">
        <f aca="false">G29+H28</f>
        <v>33627721.12</v>
      </c>
      <c r="I29" s="36" t="n">
        <f aca="false">H29+I28</f>
        <v>39955166.6976</v>
      </c>
      <c r="J29" s="36" t="n">
        <f aca="false">I29+J28</f>
        <v>44820574.248128</v>
      </c>
      <c r="K29" s="36" t="n">
        <f aca="false">J29+K28</f>
        <v>48545592.1375398</v>
      </c>
      <c r="L29" s="36" t="n">
        <f aca="false">K29+L28</f>
        <v>51381106.0912811</v>
      </c>
    </row>
    <row r="30" customFormat="false" ht="15" hidden="false" customHeight="false" outlineLevel="0" collapsed="false">
      <c r="A30" s="7"/>
      <c r="B30" s="37" t="s">
        <v>97</v>
      </c>
      <c r="C30" s="36" t="n">
        <f aca="false">C18*Recovery_Rate-C29</f>
        <v>7000000</v>
      </c>
      <c r="D30" s="36" t="n">
        <f aca="false">D18*Recovery_Rate-D29</f>
        <v>6860000</v>
      </c>
      <c r="E30" s="36" t="n">
        <f aca="false">E18*Recovery_Rate-E29</f>
        <v>6722800</v>
      </c>
      <c r="F30" s="36" t="n">
        <f aca="false">F18*Recovery_Rate-F29</f>
        <v>6588344</v>
      </c>
      <c r="G30" s="36" t="n">
        <f aca="false">G18*Recovery_Rate-G29</f>
        <v>6456577.12</v>
      </c>
      <c r="H30" s="36" t="n">
        <f aca="false">H18*Recovery_Rate-H29</f>
        <v>6327445.5776</v>
      </c>
      <c r="I30" s="36" t="n">
        <f aca="false">I18*Recovery_Rate-I29</f>
        <v>4865407.550528</v>
      </c>
      <c r="J30" s="36" t="n">
        <f aca="false">J18*Recovery_Rate-J29</f>
        <v>3725017.88941184</v>
      </c>
      <c r="K30" s="36" t="n">
        <f aca="false">K18*Recovery_Rate-K29</f>
        <v>2835513.95374124</v>
      </c>
      <c r="L30" s="36" t="n">
        <f aca="false">L18*Recovery_Rate-L29</f>
        <v>2141700.88391816</v>
      </c>
    </row>
    <row r="31" customFormat="false" ht="15" hidden="false" customHeight="false" outlineLevel="0" collapsed="false">
      <c r="A31" s="7"/>
      <c r="B31" s="7"/>
      <c r="C31" s="7"/>
      <c r="D31" s="7"/>
      <c r="E31" s="7"/>
      <c r="F31" s="7"/>
      <c r="G31" s="7"/>
      <c r="H31" s="7"/>
      <c r="I31" s="7"/>
      <c r="J31" s="7"/>
      <c r="K31" s="7"/>
      <c r="L31" s="7"/>
    </row>
    <row r="32" customFormat="false" ht="15" hidden="false" customHeight="false" outlineLevel="0" collapsed="false">
      <c r="A32" s="7"/>
      <c r="B32" s="27" t="s">
        <v>98</v>
      </c>
      <c r="C32" s="9"/>
      <c r="D32" s="9"/>
      <c r="E32" s="9"/>
      <c r="F32" s="9"/>
      <c r="G32" s="9"/>
      <c r="H32" s="9"/>
      <c r="I32" s="9"/>
      <c r="J32" s="9"/>
      <c r="K32" s="9"/>
      <c r="L32" s="9"/>
    </row>
    <row r="33" customFormat="false" ht="15" hidden="false" customHeight="false" outlineLevel="0" collapsed="false">
      <c r="A33" s="7"/>
      <c r="B33" s="37" t="s">
        <v>99</v>
      </c>
      <c r="C33" s="36" t="n">
        <f aca="false">C10*WAC</f>
        <v>42500000</v>
      </c>
      <c r="D33" s="36" t="n">
        <f aca="false">D10*WAC</f>
        <v>41650000</v>
      </c>
      <c r="E33" s="36" t="n">
        <f aca="false">E10*WAC</f>
        <v>40817000</v>
      </c>
      <c r="F33" s="36" t="n">
        <f aca="false">F10*WAC</f>
        <v>40000660</v>
      </c>
      <c r="G33" s="36" t="n">
        <f aca="false">G10*WAC</f>
        <v>39200646.8</v>
      </c>
      <c r="H33" s="36" t="n">
        <f aca="false">H10*WAC</f>
        <v>38416633.864</v>
      </c>
      <c r="I33" s="36" t="n">
        <f aca="false">I10*WAC</f>
        <v>29539974.41392</v>
      </c>
      <c r="J33" s="36" t="n">
        <f aca="false">J10*WAC</f>
        <v>22616180.0428576</v>
      </c>
      <c r="K33" s="36" t="n">
        <f aca="false">K10*WAC</f>
        <v>17215620.4334289</v>
      </c>
      <c r="L33" s="36" t="n">
        <f aca="false">L10*WAC</f>
        <v>13003183.9380746</v>
      </c>
    </row>
    <row r="34" customFormat="false" ht="15" hidden="false" customHeight="false" outlineLevel="0" collapsed="false">
      <c r="A34" s="7"/>
      <c r="B34" s="37" t="s">
        <v>100</v>
      </c>
      <c r="C34" s="36" t="n">
        <f aca="false">-C12-C13</f>
        <v>105000000</v>
      </c>
      <c r="D34" s="36" t="n">
        <f aca="false">-D12-D13</f>
        <v>103000000</v>
      </c>
      <c r="E34" s="36" t="n">
        <f aca="false">-E12-E13</f>
        <v>101040000</v>
      </c>
      <c r="F34" s="36" t="n">
        <f aca="false">-F12-F13</f>
        <v>99119200</v>
      </c>
      <c r="G34" s="36" t="n">
        <f aca="false">-G12-G13</f>
        <v>97236816</v>
      </c>
      <c r="H34" s="36" t="n">
        <f aca="false">-H12-H13</f>
        <v>95392079.68</v>
      </c>
      <c r="I34" s="36" t="n">
        <f aca="false">-I12-I13</f>
        <v>74505822.1504</v>
      </c>
      <c r="J34" s="36" t="n">
        <f aca="false">-J12-J13</f>
        <v>58214541.277312</v>
      </c>
      <c r="K34" s="36" t="n">
        <f aca="false">-K12-K13</f>
        <v>45507342.1963034</v>
      </c>
      <c r="L34" s="36" t="n">
        <f aca="false">-L12-L13</f>
        <v>35595726.9131166</v>
      </c>
    </row>
    <row r="35" customFormat="false" ht="15" hidden="false" customHeight="false" outlineLevel="0" collapsed="false">
      <c r="A35" s="7"/>
      <c r="B35" s="12" t="s">
        <v>101</v>
      </c>
      <c r="C35" s="36" t="n">
        <f aca="false">C33+C34+C28</f>
        <v>147500000</v>
      </c>
      <c r="D35" s="36" t="n">
        <f aca="false">D33+D34+D28</f>
        <v>151650000</v>
      </c>
      <c r="E35" s="36" t="n">
        <f aca="false">E33+E34+E28</f>
        <v>148717000</v>
      </c>
      <c r="F35" s="36" t="n">
        <f aca="false">F33+F34+F28</f>
        <v>145842660</v>
      </c>
      <c r="G35" s="36" t="n">
        <f aca="false">G33+G34+G28</f>
        <v>143025806.8</v>
      </c>
      <c r="H35" s="36" t="n">
        <f aca="false">H33+H34+H28</f>
        <v>140265290.664</v>
      </c>
      <c r="I35" s="36" t="n">
        <f aca="false">I33+I34+I28</f>
        <v>110373242.14192</v>
      </c>
      <c r="J35" s="36" t="n">
        <f aca="false">J33+J34+J28</f>
        <v>85696128.8706976</v>
      </c>
      <c r="K35" s="36" t="n">
        <f aca="false">K33+K34+K28</f>
        <v>66447980.5191441</v>
      </c>
      <c r="L35" s="36" t="n">
        <f aca="false">L33+L34+L28</f>
        <v>51434424.8049324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7" topLeftCell="C8" activePane="bottomRight" state="frozen"/>
      <selection pane="topLeft" activeCell="A1" activeCellId="0" sqref="A1"/>
      <selection pane="topRight" activeCell="C1" activeCellId="0" sqref="C1"/>
      <selection pane="bottomLeft" activeCell="A8" activeCellId="0" sqref="A8"/>
      <selection pane="bottomRigh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12" min="3" style="0" width="16"/>
  </cols>
  <sheetData>
    <row r="1" customFormat="false" ht="17.35" hidden="false" customHeight="false" outlineLevel="0" collapsed="false">
      <c r="A1" s="1"/>
      <c r="B1" s="24" t="s">
        <v>102</v>
      </c>
      <c r="C1" s="1"/>
      <c r="D1" s="1"/>
      <c r="E1" s="1"/>
      <c r="F1" s="1"/>
      <c r="G1" s="1"/>
      <c r="H1" s="1"/>
      <c r="I1" s="1"/>
      <c r="J1" s="1"/>
      <c r="K1" s="1"/>
      <c r="L1" s="1"/>
      <c r="M1" s="3"/>
      <c r="N1" s="3"/>
      <c r="O1" s="3"/>
      <c r="P1" s="3"/>
      <c r="Q1" s="3"/>
      <c r="R1" s="3"/>
      <c r="S1" s="3"/>
      <c r="T1" s="3"/>
      <c r="U1" s="3"/>
      <c r="V1" s="3"/>
      <c r="W1" s="3"/>
      <c r="X1" s="3"/>
      <c r="Y1" s="3"/>
      <c r="Z1" s="3"/>
      <c r="AA1" s="3"/>
      <c r="AB1" s="3"/>
      <c r="AC1" s="3"/>
      <c r="AD1" s="3"/>
    </row>
    <row r="2" customFormat="false" ht="21.75" hidden="false" customHeight="true" outlineLevel="0" collapsed="false">
      <c r="A2" s="1"/>
      <c r="B2" s="25" t="s">
        <v>103</v>
      </c>
      <c r="C2" s="1"/>
      <c r="D2" s="1"/>
      <c r="E2" s="1"/>
      <c r="F2" s="1"/>
      <c r="G2" s="1"/>
      <c r="H2" s="1"/>
      <c r="I2" s="1"/>
      <c r="J2" s="1"/>
      <c r="K2" s="1"/>
      <c r="L2" s="1"/>
      <c r="M2" s="3"/>
      <c r="N2" s="3"/>
      <c r="O2" s="3"/>
      <c r="P2" s="3"/>
      <c r="Q2" s="3"/>
      <c r="R2" s="3"/>
      <c r="S2" s="3"/>
      <c r="T2" s="3"/>
      <c r="U2" s="3"/>
      <c r="V2" s="3"/>
      <c r="W2" s="3"/>
      <c r="X2" s="3"/>
      <c r="Y2" s="3"/>
      <c r="Z2" s="3"/>
      <c r="AA2" s="3"/>
      <c r="AB2" s="3"/>
      <c r="AC2" s="3"/>
      <c r="AD2" s="3"/>
    </row>
    <row r="3" customFormat="false" ht="15" hidden="false" customHeight="false" outlineLevel="0" collapsed="false">
      <c r="A3" s="1"/>
      <c r="B3" s="26" t="s">
        <v>26</v>
      </c>
      <c r="C3" s="1"/>
      <c r="D3" s="1"/>
      <c r="E3" s="1"/>
      <c r="F3" s="1"/>
      <c r="G3" s="1"/>
      <c r="H3" s="1"/>
      <c r="I3" s="1"/>
      <c r="J3" s="1"/>
      <c r="K3" s="1"/>
      <c r="L3" s="1"/>
      <c r="M3" s="3"/>
      <c r="N3" s="3"/>
      <c r="O3" s="3"/>
      <c r="P3" s="3"/>
      <c r="Q3" s="3"/>
      <c r="R3" s="3"/>
      <c r="S3" s="3"/>
      <c r="T3" s="3"/>
      <c r="U3" s="3"/>
      <c r="V3" s="3"/>
      <c r="W3" s="3"/>
      <c r="X3" s="3"/>
      <c r="Y3" s="3"/>
      <c r="Z3" s="3"/>
      <c r="AA3" s="3"/>
      <c r="AB3" s="3"/>
      <c r="AC3" s="3"/>
      <c r="AD3" s="3"/>
    </row>
    <row r="4" customFormat="false" ht="15" hidden="false" customHeight="false" outlineLevel="0" collapsed="false">
      <c r="A4" s="7"/>
      <c r="B4" s="7"/>
      <c r="C4" s="7"/>
      <c r="D4" s="7"/>
      <c r="E4" s="7"/>
      <c r="F4" s="7"/>
      <c r="G4" s="7"/>
      <c r="H4" s="7"/>
      <c r="I4" s="7"/>
      <c r="J4" s="7"/>
      <c r="K4" s="7"/>
      <c r="L4" s="7"/>
    </row>
    <row r="5" customFormat="false" ht="15" hidden="false" customHeight="false" outlineLevel="0" collapsed="false">
      <c r="A5" s="7"/>
      <c r="B5" s="7"/>
      <c r="C5" s="7"/>
      <c r="D5" s="7"/>
      <c r="E5" s="7"/>
      <c r="F5" s="7"/>
      <c r="G5" s="7"/>
      <c r="H5" s="7"/>
      <c r="I5" s="7"/>
      <c r="J5" s="7"/>
      <c r="K5" s="7"/>
      <c r="L5" s="7"/>
    </row>
    <row r="6" customFormat="false" ht="15" hidden="false" customHeight="false" outlineLevel="0" collapsed="false">
      <c r="A6" s="7"/>
      <c r="B6" s="33" t="s">
        <v>77</v>
      </c>
      <c r="C6" s="34" t="n">
        <f aca="false">Model_Start_Year+0</f>
        <v>2025</v>
      </c>
      <c r="D6" s="34" t="n">
        <f aca="false">Model_Start_Year+1</f>
        <v>2026</v>
      </c>
      <c r="E6" s="34" t="n">
        <f aca="false">Model_Start_Year+2</f>
        <v>2027</v>
      </c>
      <c r="F6" s="34" t="n">
        <f aca="false">Model_Start_Year+3</f>
        <v>2028</v>
      </c>
      <c r="G6" s="34" t="n">
        <f aca="false">Model_Start_Year+4</f>
        <v>2029</v>
      </c>
      <c r="H6" s="34" t="n">
        <f aca="false">Model_Start_Year+5</f>
        <v>2030</v>
      </c>
      <c r="I6" s="34" t="n">
        <f aca="false">Model_Start_Year+6</f>
        <v>2031</v>
      </c>
      <c r="J6" s="34" t="n">
        <f aca="false">Model_Start_Year+7</f>
        <v>2032</v>
      </c>
      <c r="K6" s="34" t="n">
        <f aca="false">Model_Start_Year+8</f>
        <v>2033</v>
      </c>
      <c r="L6" s="34" t="n">
        <f aca="false">Model_Start_Year+9</f>
        <v>2034</v>
      </c>
    </row>
    <row r="7" customFormat="false" ht="15" hidden="false" customHeight="false" outlineLevel="0" collapsed="false">
      <c r="A7" s="7"/>
      <c r="B7" s="28" t="s">
        <v>78</v>
      </c>
      <c r="C7" s="35" t="n">
        <v>1</v>
      </c>
      <c r="D7" s="35" t="n">
        <v>2</v>
      </c>
      <c r="E7" s="35" t="n">
        <v>3</v>
      </c>
      <c r="F7" s="35" t="n">
        <v>4</v>
      </c>
      <c r="G7" s="35" t="n">
        <v>5</v>
      </c>
      <c r="H7" s="35" t="n">
        <v>6</v>
      </c>
      <c r="I7" s="35" t="n">
        <v>7</v>
      </c>
      <c r="J7" s="35" t="n">
        <v>8</v>
      </c>
      <c r="K7" s="35" t="n">
        <v>9</v>
      </c>
      <c r="L7" s="35" t="n">
        <v>10</v>
      </c>
    </row>
    <row r="8" customFormat="false" ht="15" hidden="false" customHeight="false" outlineLevel="0" collapsed="false">
      <c r="A8" s="7"/>
      <c r="B8" s="7"/>
      <c r="C8" s="7"/>
      <c r="D8" s="7"/>
      <c r="E8" s="7"/>
      <c r="F8" s="7"/>
      <c r="G8" s="7"/>
      <c r="H8" s="7"/>
      <c r="I8" s="7"/>
      <c r="J8" s="7"/>
      <c r="K8" s="7"/>
      <c r="L8" s="7"/>
    </row>
    <row r="9" customFormat="false" ht="15" hidden="false" customHeight="false" outlineLevel="0" collapsed="false">
      <c r="A9" s="7"/>
      <c r="B9" s="27" t="s">
        <v>104</v>
      </c>
      <c r="C9" s="9"/>
      <c r="D9" s="9"/>
      <c r="E9" s="9"/>
      <c r="F9" s="9"/>
      <c r="G9" s="9"/>
      <c r="H9" s="9"/>
      <c r="I9" s="9"/>
      <c r="J9" s="9"/>
      <c r="K9" s="9"/>
      <c r="L9" s="9"/>
    </row>
    <row r="10" customFormat="false" ht="15" hidden="false" customHeight="false" outlineLevel="0" collapsed="false">
      <c r="A10" s="7"/>
      <c r="B10" s="37" t="s">
        <v>99</v>
      </c>
      <c r="C10" s="36" t="n">
        <f aca="false">Pool_CF!C33</f>
        <v>42500000</v>
      </c>
      <c r="D10" s="36" t="n">
        <f aca="false">Pool_CF!D33</f>
        <v>41650000</v>
      </c>
      <c r="E10" s="36" t="n">
        <f aca="false">Pool_CF!E33</f>
        <v>40817000</v>
      </c>
      <c r="F10" s="36" t="n">
        <f aca="false">Pool_CF!F33</f>
        <v>40000660</v>
      </c>
      <c r="G10" s="36" t="n">
        <f aca="false">Pool_CF!G33</f>
        <v>39200646.8</v>
      </c>
      <c r="H10" s="36" t="n">
        <f aca="false">Pool_CF!H33</f>
        <v>38416633.864</v>
      </c>
      <c r="I10" s="36" t="n">
        <f aca="false">Pool_CF!I33</f>
        <v>29539974.41392</v>
      </c>
      <c r="J10" s="36" t="n">
        <f aca="false">Pool_CF!J33</f>
        <v>22616180.0428576</v>
      </c>
      <c r="K10" s="36" t="n">
        <f aca="false">Pool_CF!K33</f>
        <v>17215620.4334289</v>
      </c>
      <c r="L10" s="36" t="n">
        <f aca="false">Pool_CF!L33</f>
        <v>13003183.9380746</v>
      </c>
    </row>
    <row r="11" customFormat="false" ht="15" hidden="false" customHeight="false" outlineLevel="0" collapsed="false">
      <c r="A11" s="7"/>
      <c r="B11" s="37" t="s">
        <v>100</v>
      </c>
      <c r="C11" s="36" t="n">
        <f aca="false">Pool_CF!C34</f>
        <v>105000000</v>
      </c>
      <c r="D11" s="36" t="n">
        <f aca="false">Pool_CF!D34</f>
        <v>103000000</v>
      </c>
      <c r="E11" s="36" t="n">
        <f aca="false">Pool_CF!E34</f>
        <v>101040000</v>
      </c>
      <c r="F11" s="36" t="n">
        <f aca="false">Pool_CF!F34</f>
        <v>99119200</v>
      </c>
      <c r="G11" s="36" t="n">
        <f aca="false">Pool_CF!G34</f>
        <v>97236816</v>
      </c>
      <c r="H11" s="36" t="n">
        <f aca="false">Pool_CF!H34</f>
        <v>95392079.68</v>
      </c>
      <c r="I11" s="36" t="n">
        <f aca="false">Pool_CF!I34</f>
        <v>74505822.1504</v>
      </c>
      <c r="J11" s="36" t="n">
        <f aca="false">Pool_CF!J34</f>
        <v>58214541.277312</v>
      </c>
      <c r="K11" s="36" t="n">
        <f aca="false">Pool_CF!K34</f>
        <v>45507342.1963034</v>
      </c>
      <c r="L11" s="36" t="n">
        <f aca="false">Pool_CF!L34</f>
        <v>35595726.9131166</v>
      </c>
    </row>
    <row r="12" customFormat="false" ht="15" hidden="false" customHeight="false" outlineLevel="0" collapsed="false">
      <c r="A12" s="7"/>
      <c r="B12" s="37" t="s">
        <v>105</v>
      </c>
      <c r="C12" s="36" t="n">
        <f aca="false">Pool_CF!C28</f>
        <v>0</v>
      </c>
      <c r="D12" s="36" t="n">
        <f aca="false">Pool_CF!D28</f>
        <v>7000000</v>
      </c>
      <c r="E12" s="36" t="n">
        <f aca="false">Pool_CF!E28</f>
        <v>6860000</v>
      </c>
      <c r="F12" s="36" t="n">
        <f aca="false">Pool_CF!F28</f>
        <v>6722800</v>
      </c>
      <c r="G12" s="36" t="n">
        <f aca="false">Pool_CF!G28</f>
        <v>6588344</v>
      </c>
      <c r="H12" s="36" t="n">
        <f aca="false">Pool_CF!H28</f>
        <v>6456577.12</v>
      </c>
      <c r="I12" s="36" t="n">
        <f aca="false">Pool_CF!I28</f>
        <v>6327445.5776</v>
      </c>
      <c r="J12" s="36" t="n">
        <f aca="false">Pool_CF!J28</f>
        <v>4865407.550528</v>
      </c>
      <c r="K12" s="36" t="n">
        <f aca="false">Pool_CF!K28</f>
        <v>3725017.88941184</v>
      </c>
      <c r="L12" s="36" t="n">
        <f aca="false">Pool_CF!L28</f>
        <v>2835513.95374123</v>
      </c>
    </row>
    <row r="13" customFormat="false" ht="15" hidden="false" customHeight="false" outlineLevel="0" collapsed="false">
      <c r="A13" s="7"/>
      <c r="B13" s="12" t="s">
        <v>106</v>
      </c>
      <c r="C13" s="36" t="n">
        <f aca="false">C14+C15</f>
        <v>42500000</v>
      </c>
      <c r="D13" s="36" t="n">
        <f aca="false">D14+D15</f>
        <v>48650000</v>
      </c>
      <c r="E13" s="36" t="n">
        <f aca="false">E14+E15</f>
        <v>47677000</v>
      </c>
      <c r="F13" s="36" t="n">
        <f aca="false">F14+F15</f>
        <v>46723460</v>
      </c>
      <c r="G13" s="36" t="n">
        <f aca="false">G14+G15</f>
        <v>45788990.8</v>
      </c>
      <c r="H13" s="36" t="n">
        <f aca="false">H14+H15</f>
        <v>140265290.664</v>
      </c>
      <c r="I13" s="36" t="n">
        <f aca="false">I14+I15</f>
        <v>110373242.14192</v>
      </c>
      <c r="J13" s="36" t="n">
        <f aca="false">J14+J15</f>
        <v>85696128.8706976</v>
      </c>
      <c r="K13" s="36" t="n">
        <f aca="false">K14+K15</f>
        <v>66447980.5191441</v>
      </c>
      <c r="L13" s="36" t="n">
        <f aca="false">L14+L15</f>
        <v>51434424.8049324</v>
      </c>
    </row>
    <row r="14" customFormat="false" ht="15" hidden="false" customHeight="false" outlineLevel="0" collapsed="false">
      <c r="A14" s="7"/>
      <c r="B14" s="37" t="s">
        <v>107</v>
      </c>
      <c r="C14" s="36" t="n">
        <f aca="false">C10</f>
        <v>42500000</v>
      </c>
      <c r="D14" s="36" t="n">
        <f aca="false">D10</f>
        <v>41650000</v>
      </c>
      <c r="E14" s="36" t="n">
        <f aca="false">E10</f>
        <v>40817000</v>
      </c>
      <c r="F14" s="36" t="n">
        <f aca="false">F10</f>
        <v>40000660</v>
      </c>
      <c r="G14" s="36" t="n">
        <f aca="false">G10</f>
        <v>39200646.8</v>
      </c>
      <c r="H14" s="36" t="n">
        <f aca="false">H10</f>
        <v>38416633.864</v>
      </c>
      <c r="I14" s="36" t="n">
        <f aca="false">I10</f>
        <v>29539974.41392</v>
      </c>
      <c r="J14" s="36" t="n">
        <f aca="false">J10</f>
        <v>22616180.0428576</v>
      </c>
      <c r="K14" s="36" t="n">
        <f aca="false">K10</f>
        <v>17215620.4334289</v>
      </c>
      <c r="L14" s="36" t="n">
        <f aca="false">L10</f>
        <v>13003183.9380746</v>
      </c>
    </row>
    <row r="15" customFormat="false" ht="15" hidden="false" customHeight="false" outlineLevel="0" collapsed="false">
      <c r="A15" s="7"/>
      <c r="B15" s="37" t="s">
        <v>108</v>
      </c>
      <c r="C15" s="36" t="n">
        <f aca="false">IF(C7&lt;=Reinvest_Period,0,C11)+C12</f>
        <v>0</v>
      </c>
      <c r="D15" s="36" t="n">
        <f aca="false">IF(D7&lt;=Reinvest_Period,0,D11)+D12</f>
        <v>7000000</v>
      </c>
      <c r="E15" s="36" t="n">
        <f aca="false">IF(E7&lt;=Reinvest_Period,0,E11)+E12</f>
        <v>6860000</v>
      </c>
      <c r="F15" s="36" t="n">
        <f aca="false">IF(F7&lt;=Reinvest_Period,0,F11)+F12</f>
        <v>6722800</v>
      </c>
      <c r="G15" s="36" t="n">
        <f aca="false">IF(G7&lt;=Reinvest_Period,0,G11)+G12</f>
        <v>6588344</v>
      </c>
      <c r="H15" s="36" t="n">
        <f aca="false">IF(H7&lt;=Reinvest_Period,0,H11)+H12</f>
        <v>101848656.8</v>
      </c>
      <c r="I15" s="36" t="n">
        <f aca="false">IF(I7&lt;=Reinvest_Period,0,I11)+I12</f>
        <v>80833267.728</v>
      </c>
      <c r="J15" s="36" t="n">
        <f aca="false">IF(J7&lt;=Reinvest_Period,0,J11)+J12</f>
        <v>63079948.82784</v>
      </c>
      <c r="K15" s="36" t="n">
        <f aca="false">IF(K7&lt;=Reinvest_Period,0,K11)+K12</f>
        <v>49232360.0857152</v>
      </c>
      <c r="L15" s="36" t="n">
        <f aca="false">IF(L7&lt;=Reinvest_Period,0,L11)+L12</f>
        <v>38431240.8668579</v>
      </c>
    </row>
    <row r="16" customFormat="false" ht="15" hidden="false" customHeight="false" outlineLevel="0" collapsed="false">
      <c r="A16" s="7"/>
      <c r="B16" s="7"/>
      <c r="C16" s="7"/>
      <c r="D16" s="7"/>
      <c r="E16" s="7"/>
      <c r="F16" s="7"/>
      <c r="G16" s="7"/>
      <c r="H16" s="7"/>
      <c r="I16" s="7"/>
      <c r="J16" s="7"/>
      <c r="K16" s="7"/>
      <c r="L16" s="7"/>
    </row>
    <row r="17" customFormat="false" ht="15" hidden="false" customHeight="false" outlineLevel="0" collapsed="false">
      <c r="A17" s="7"/>
      <c r="B17" s="27" t="s">
        <v>109</v>
      </c>
      <c r="C17" s="9"/>
      <c r="D17" s="9"/>
      <c r="E17" s="9"/>
      <c r="F17" s="9"/>
      <c r="G17" s="9"/>
      <c r="H17" s="9"/>
      <c r="I17" s="9"/>
      <c r="J17" s="9"/>
      <c r="K17" s="9"/>
      <c r="L17" s="9"/>
    </row>
    <row r="18" customFormat="false" ht="15" hidden="false" customHeight="false" outlineLevel="0" collapsed="false">
      <c r="A18" s="7"/>
      <c r="B18" s="37" t="s">
        <v>110</v>
      </c>
      <c r="C18" s="36" t="n">
        <f aca="false">MIN(Pool_CF!C10*Trustee_Fee,C14)</f>
        <v>100000</v>
      </c>
      <c r="D18" s="36" t="n">
        <f aca="false">MIN(Pool_CF!D10*Trustee_Fee,D14)</f>
        <v>98000</v>
      </c>
      <c r="E18" s="36" t="n">
        <f aca="false">MIN(Pool_CF!E10*Trustee_Fee,E14)</f>
        <v>96040</v>
      </c>
      <c r="F18" s="36" t="n">
        <f aca="false">MIN(Pool_CF!F10*Trustee_Fee,F14)</f>
        <v>94119.2</v>
      </c>
      <c r="G18" s="36" t="n">
        <f aca="false">MIN(Pool_CF!G10*Trustee_Fee,G14)</f>
        <v>92236.816</v>
      </c>
      <c r="H18" s="36" t="n">
        <f aca="false">MIN(Pool_CF!H10*Trustee_Fee,H14)</f>
        <v>90392.07968</v>
      </c>
      <c r="I18" s="36" t="n">
        <f aca="false">MIN(Pool_CF!I10*Trustee_Fee,I14)</f>
        <v>69505.8221504</v>
      </c>
      <c r="J18" s="36" t="n">
        <f aca="false">MIN(Pool_CF!J10*Trustee_Fee,J14)</f>
        <v>53214.541277312</v>
      </c>
      <c r="K18" s="36" t="n">
        <f aca="false">MIN(Pool_CF!K10*Trustee_Fee,K14)</f>
        <v>40507.3421963034</v>
      </c>
      <c r="L18" s="36" t="n">
        <f aca="false">MIN(Pool_CF!L10*Trustee_Fee,L14)</f>
        <v>30595.7269131166</v>
      </c>
    </row>
    <row r="19" customFormat="false" ht="15" hidden="false" customHeight="false" outlineLevel="0" collapsed="false">
      <c r="A19" s="7"/>
      <c r="B19" s="37" t="s">
        <v>111</v>
      </c>
      <c r="C19" s="36" t="n">
        <f aca="false">MIN(Pool_CF!C10*Sr_Mgmt_Fee,C14-C18)</f>
        <v>1000000</v>
      </c>
      <c r="D19" s="36" t="n">
        <f aca="false">MIN(Pool_CF!D10*Sr_Mgmt_Fee,D14-D18)</f>
        <v>980000</v>
      </c>
      <c r="E19" s="36" t="n">
        <f aca="false">MIN(Pool_CF!E10*Sr_Mgmt_Fee,E14-E18)</f>
        <v>960400</v>
      </c>
      <c r="F19" s="36" t="n">
        <f aca="false">MIN(Pool_CF!F10*Sr_Mgmt_Fee,F14-F18)</f>
        <v>941192</v>
      </c>
      <c r="G19" s="36" t="n">
        <f aca="false">MIN(Pool_CF!G10*Sr_Mgmt_Fee,G14-G18)</f>
        <v>922368.16</v>
      </c>
      <c r="H19" s="36" t="n">
        <f aca="false">MIN(Pool_CF!H10*Sr_Mgmt_Fee,H14-H18)</f>
        <v>903920.7968</v>
      </c>
      <c r="I19" s="36" t="n">
        <f aca="false">MIN(Pool_CF!I10*Sr_Mgmt_Fee,I14-I18)</f>
        <v>695058.221504</v>
      </c>
      <c r="J19" s="36" t="n">
        <f aca="false">MIN(Pool_CF!J10*Sr_Mgmt_Fee,J14-J18)</f>
        <v>532145.41277312</v>
      </c>
      <c r="K19" s="36" t="n">
        <f aca="false">MIN(Pool_CF!K10*Sr_Mgmt_Fee,K14-K18)</f>
        <v>405073.421963034</v>
      </c>
      <c r="L19" s="36" t="n">
        <f aca="false">MIN(Pool_CF!L10*Sr_Mgmt_Fee,L14-L18)</f>
        <v>305957.269131166</v>
      </c>
    </row>
    <row r="20" customFormat="false" ht="15" hidden="false" customHeight="false" outlineLevel="0" collapsed="false">
      <c r="A20" s="7"/>
      <c r="B20" s="12" t="s">
        <v>112</v>
      </c>
      <c r="C20" s="36" t="n">
        <f aca="false">C14-C18-C19</f>
        <v>41400000</v>
      </c>
      <c r="D20" s="36" t="n">
        <f aca="false">D14-D18-D19</f>
        <v>40572000</v>
      </c>
      <c r="E20" s="36" t="n">
        <f aca="false">E14-E18-E19</f>
        <v>39760560</v>
      </c>
      <c r="F20" s="36" t="n">
        <f aca="false">F14-F18-F19</f>
        <v>38965348.8</v>
      </c>
      <c r="G20" s="36" t="n">
        <f aca="false">G14-G18-G19</f>
        <v>38186041.824</v>
      </c>
      <c r="H20" s="36" t="n">
        <f aca="false">H14-H18-H19</f>
        <v>37422320.98752</v>
      </c>
      <c r="I20" s="36" t="n">
        <f aca="false">I14-I18-I19</f>
        <v>28775410.3702656</v>
      </c>
      <c r="J20" s="36" t="n">
        <f aca="false">J14-J18-J19</f>
        <v>22030820.0888072</v>
      </c>
      <c r="K20" s="36" t="n">
        <f aca="false">K14-K18-K19</f>
        <v>16770039.6692696</v>
      </c>
      <c r="L20" s="36" t="n">
        <f aca="false">L14-L18-L19</f>
        <v>12666630.9420303</v>
      </c>
    </row>
    <row r="21" customFormat="false" ht="15" hidden="false" customHeight="false" outlineLevel="0" collapsed="false">
      <c r="A21" s="7"/>
      <c r="B21" s="37" t="s">
        <v>113</v>
      </c>
      <c r="C21" s="36" t="n">
        <f aca="false">C133*AAA_Coupon</f>
        <v>22750000</v>
      </c>
      <c r="D21" s="36" t="n">
        <f aca="false">D133*AAA_Coupon</f>
        <v>22750000</v>
      </c>
      <c r="E21" s="36" t="n">
        <f aca="false">E133*AAA_Coupon</f>
        <v>22260000</v>
      </c>
      <c r="F21" s="36" t="n">
        <f aca="false">F133*AAA_Coupon</f>
        <v>21779800</v>
      </c>
      <c r="G21" s="36" t="n">
        <f aca="false">G133*AAA_Coupon</f>
        <v>21309204</v>
      </c>
      <c r="H21" s="36" t="n">
        <f aca="false">H133*AAA_Coupon</f>
        <v>20848019.92</v>
      </c>
      <c r="I21" s="36" t="n">
        <f aca="false">I133*AAA_Coupon</f>
        <v>12820912.8692736</v>
      </c>
      <c r="J21" s="36" t="n">
        <f aca="false">J133*AAA_Coupon</f>
        <v>6518269.30324416</v>
      </c>
      <c r="K21" s="36" t="n">
        <f aca="false">K133*AAA_Coupon</f>
        <v>1751794.33030595</v>
      </c>
      <c r="L21" s="36" t="n">
        <f aca="false">L133*AAA_Coupon</f>
        <v>0</v>
      </c>
    </row>
    <row r="22" customFormat="false" ht="15" hidden="false" customHeight="false" outlineLevel="0" collapsed="false">
      <c r="A22" s="7"/>
      <c r="B22" s="37" t="s">
        <v>114</v>
      </c>
      <c r="C22" s="36" t="n">
        <f aca="false">MIN(C21,C20)</f>
        <v>22750000</v>
      </c>
      <c r="D22" s="36" t="n">
        <f aca="false">MIN(D21,D20)</f>
        <v>22750000</v>
      </c>
      <c r="E22" s="36" t="n">
        <f aca="false">MIN(E21,E20)</f>
        <v>22260000</v>
      </c>
      <c r="F22" s="36" t="n">
        <f aca="false">MIN(F21,F20)</f>
        <v>21779800</v>
      </c>
      <c r="G22" s="36" t="n">
        <f aca="false">MIN(G21,G20)</f>
        <v>21309204</v>
      </c>
      <c r="H22" s="36" t="n">
        <f aca="false">MIN(H21,H20)</f>
        <v>20848019.92</v>
      </c>
      <c r="I22" s="36" t="n">
        <f aca="false">MIN(I21,I20)</f>
        <v>12820912.8692736</v>
      </c>
      <c r="J22" s="36" t="n">
        <f aca="false">MIN(J21,J20)</f>
        <v>6518269.30324416</v>
      </c>
      <c r="K22" s="36" t="n">
        <f aca="false">MIN(K21,K20)</f>
        <v>1751794.33030595</v>
      </c>
      <c r="L22" s="36" t="n">
        <f aca="false">MIN(L21,L20)</f>
        <v>0</v>
      </c>
    </row>
    <row r="23" customFormat="false" ht="15" hidden="false" customHeight="false" outlineLevel="0" collapsed="false">
      <c r="A23" s="7"/>
      <c r="B23" s="12" t="s">
        <v>115</v>
      </c>
      <c r="C23" s="36" t="n">
        <f aca="false">C20-C22</f>
        <v>18650000</v>
      </c>
      <c r="D23" s="36" t="n">
        <f aca="false">D20-D22</f>
        <v>17822000</v>
      </c>
      <c r="E23" s="36" t="n">
        <f aca="false">E20-E22</f>
        <v>17500560</v>
      </c>
      <c r="F23" s="36" t="n">
        <f aca="false">F20-F22</f>
        <v>17185548.8</v>
      </c>
      <c r="G23" s="36" t="n">
        <f aca="false">G20-G22</f>
        <v>16876837.824</v>
      </c>
      <c r="H23" s="36" t="n">
        <f aca="false">H20-H22</f>
        <v>16574301.06752</v>
      </c>
      <c r="I23" s="36" t="n">
        <f aca="false">I20-I22</f>
        <v>15954497.500992</v>
      </c>
      <c r="J23" s="36" t="n">
        <f aca="false">J20-J22</f>
        <v>15512550.785563</v>
      </c>
      <c r="K23" s="36" t="n">
        <f aca="false">K20-K22</f>
        <v>15018245.3389636</v>
      </c>
      <c r="L23" s="36" t="n">
        <f aca="false">L20-L22</f>
        <v>12666630.9420303</v>
      </c>
    </row>
    <row r="24" customFormat="false" ht="15" hidden="false" customHeight="false" outlineLevel="0" collapsed="false">
      <c r="A24" s="7"/>
      <c r="B24" s="37" t="s">
        <v>116</v>
      </c>
      <c r="C24" s="36" t="n">
        <f aca="false">C135*AA_Coupon</f>
        <v>3750000</v>
      </c>
      <c r="D24" s="36" t="n">
        <f aca="false">D135*AA_Coupon</f>
        <v>3750000</v>
      </c>
      <c r="E24" s="36" t="n">
        <f aca="false">E135*AA_Coupon</f>
        <v>3750000</v>
      </c>
      <c r="F24" s="36" t="n">
        <f aca="false">F135*AA_Coupon</f>
        <v>3750000</v>
      </c>
      <c r="G24" s="36" t="n">
        <f aca="false">G135*AA_Coupon</f>
        <v>3750000</v>
      </c>
      <c r="H24" s="36" t="n">
        <f aca="false">H135*AA_Coupon</f>
        <v>3750000</v>
      </c>
      <c r="I24" s="36" t="n">
        <f aca="false">I135*AA_Coupon</f>
        <v>3750000</v>
      </c>
      <c r="J24" s="36" t="n">
        <f aca="false">J135*AA_Coupon</f>
        <v>3750000</v>
      </c>
      <c r="K24" s="36" t="n">
        <f aca="false">K135*AA_Coupon</f>
        <v>3750000</v>
      </c>
      <c r="L24" s="36" t="n">
        <f aca="false">L135*AA_Coupon</f>
        <v>1595627.08990546</v>
      </c>
    </row>
    <row r="25" customFormat="false" ht="15" hidden="false" customHeight="false" outlineLevel="0" collapsed="false">
      <c r="A25" s="7"/>
      <c r="B25" s="37" t="s">
        <v>117</v>
      </c>
      <c r="C25" s="36" t="n">
        <f aca="false">MIN(C24,C23)</f>
        <v>3750000</v>
      </c>
      <c r="D25" s="36" t="n">
        <f aca="false">MIN(D24,D23)</f>
        <v>3750000</v>
      </c>
      <c r="E25" s="36" t="n">
        <f aca="false">MIN(E24,E23)</f>
        <v>3750000</v>
      </c>
      <c r="F25" s="36" t="n">
        <f aca="false">MIN(F24,F23)</f>
        <v>3750000</v>
      </c>
      <c r="G25" s="36" t="n">
        <f aca="false">MIN(G24,G23)</f>
        <v>3750000</v>
      </c>
      <c r="H25" s="36" t="n">
        <f aca="false">MIN(H24,H23)</f>
        <v>3750000</v>
      </c>
      <c r="I25" s="36" t="n">
        <f aca="false">MIN(I24,I23)</f>
        <v>3750000</v>
      </c>
      <c r="J25" s="36" t="n">
        <f aca="false">MIN(J24,J23)</f>
        <v>3750000</v>
      </c>
      <c r="K25" s="36" t="n">
        <f aca="false">MIN(K24,K23)</f>
        <v>3750000</v>
      </c>
      <c r="L25" s="36" t="n">
        <f aca="false">MIN(L24,L23)</f>
        <v>1595627.08990546</v>
      </c>
    </row>
    <row r="26" customFormat="false" ht="15" hidden="false" customHeight="false" outlineLevel="0" collapsed="false">
      <c r="A26" s="7"/>
      <c r="B26" s="12" t="s">
        <v>118</v>
      </c>
      <c r="C26" s="36" t="n">
        <f aca="false">C23-C25</f>
        <v>14900000</v>
      </c>
      <c r="D26" s="36" t="n">
        <f aca="false">D23-D25</f>
        <v>14072000</v>
      </c>
      <c r="E26" s="36" t="n">
        <f aca="false">E23-E25</f>
        <v>13750560</v>
      </c>
      <c r="F26" s="36" t="n">
        <f aca="false">F23-F25</f>
        <v>13435548.8</v>
      </c>
      <c r="G26" s="36" t="n">
        <f aca="false">G23-G25</f>
        <v>13126837.824</v>
      </c>
      <c r="H26" s="36" t="n">
        <f aca="false">H23-H25</f>
        <v>12824301.06752</v>
      </c>
      <c r="I26" s="36" t="n">
        <f aca="false">I23-I25</f>
        <v>12204497.500992</v>
      </c>
      <c r="J26" s="36" t="n">
        <f aca="false">J23-J25</f>
        <v>11762550.785563</v>
      </c>
      <c r="K26" s="36" t="n">
        <f aca="false">K23-K25</f>
        <v>11268245.3389636</v>
      </c>
      <c r="L26" s="36" t="n">
        <f aca="false">L23-L25</f>
        <v>11071003.8521248</v>
      </c>
    </row>
    <row r="27" customFormat="false" ht="15" hidden="false" customHeight="false" outlineLevel="0" collapsed="false">
      <c r="A27" s="7"/>
      <c r="B27" s="7"/>
      <c r="C27" s="7"/>
      <c r="D27" s="7"/>
      <c r="E27" s="7"/>
      <c r="F27" s="7"/>
      <c r="G27" s="7"/>
      <c r="H27" s="7"/>
      <c r="I27" s="7"/>
      <c r="J27" s="7"/>
      <c r="K27" s="7"/>
      <c r="L27" s="7"/>
    </row>
    <row r="28" customFormat="false" ht="15" hidden="false" customHeight="false" outlineLevel="0" collapsed="false">
      <c r="A28" s="7"/>
      <c r="B28" s="27" t="s">
        <v>119</v>
      </c>
      <c r="C28" s="9"/>
      <c r="D28" s="9"/>
      <c r="E28" s="9"/>
      <c r="F28" s="9"/>
      <c r="G28" s="9"/>
      <c r="H28" s="9"/>
      <c r="I28" s="9"/>
      <c r="J28" s="9"/>
      <c r="K28" s="9"/>
      <c r="L28" s="9"/>
    </row>
    <row r="29" customFormat="false" ht="15" hidden="false" customHeight="false" outlineLevel="0" collapsed="false">
      <c r="A29" s="7"/>
      <c r="B29" s="37" t="s">
        <v>120</v>
      </c>
      <c r="C29" s="36" t="n">
        <f aca="false">Pool_CF!C15</f>
        <v>490000000</v>
      </c>
      <c r="D29" s="36" t="n">
        <f aca="false">Pool_CF!D15</f>
        <v>480200000</v>
      </c>
      <c r="E29" s="36" t="n">
        <f aca="false">Pool_CF!E15</f>
        <v>470596000</v>
      </c>
      <c r="F29" s="36" t="n">
        <f aca="false">Pool_CF!F15</f>
        <v>461184080</v>
      </c>
      <c r="G29" s="36" t="n">
        <f aca="false">Pool_CF!G15</f>
        <v>451960398.4</v>
      </c>
      <c r="H29" s="36" t="n">
        <f aca="false">Pool_CF!H15</f>
        <v>347529110.752</v>
      </c>
      <c r="I29" s="36" t="n">
        <f aca="false">Pool_CF!I15</f>
        <v>266072706.38656</v>
      </c>
      <c r="J29" s="36" t="n">
        <f aca="false">Pool_CF!J15</f>
        <v>202536710.981517</v>
      </c>
      <c r="K29" s="36" t="n">
        <f aca="false">Pool_CF!K15</f>
        <v>152978634.565583</v>
      </c>
      <c r="L29" s="36" t="n">
        <f aca="false">Pool_CF!L15</f>
        <v>114323334.961155</v>
      </c>
    </row>
    <row r="30" customFormat="false" ht="15" hidden="false" customHeight="false" outlineLevel="0" collapsed="false">
      <c r="A30" s="7"/>
      <c r="B30" s="37" t="s">
        <v>121</v>
      </c>
      <c r="C30" s="36" t="n">
        <f aca="false">C133</f>
        <v>325000000</v>
      </c>
      <c r="D30" s="36" t="n">
        <f aca="false">D133</f>
        <v>325000000</v>
      </c>
      <c r="E30" s="36" t="n">
        <f aca="false">E133</f>
        <v>318000000</v>
      </c>
      <c r="F30" s="36" t="n">
        <f aca="false">F133</f>
        <v>311140000</v>
      </c>
      <c r="G30" s="36" t="n">
        <f aca="false">G133</f>
        <v>304417200</v>
      </c>
      <c r="H30" s="36" t="n">
        <f aca="false">H133</f>
        <v>297828856</v>
      </c>
      <c r="I30" s="36" t="n">
        <f aca="false">I133</f>
        <v>183155898.13248</v>
      </c>
      <c r="J30" s="36" t="n">
        <f aca="false">J133</f>
        <v>93118132.903488</v>
      </c>
      <c r="K30" s="36" t="n">
        <f aca="false">K133</f>
        <v>25025633.290085</v>
      </c>
      <c r="L30" s="36" t="n">
        <f aca="false">L133</f>
        <v>0</v>
      </c>
    </row>
    <row r="31" customFormat="false" ht="15" hidden="false" customHeight="false" outlineLevel="0" collapsed="false">
      <c r="A31" s="7"/>
      <c r="B31" s="37" t="s">
        <v>122</v>
      </c>
      <c r="C31" s="38" t="n">
        <f aca="false">IF(C30=0,999,C29/C30)</f>
        <v>1.50769230769231</v>
      </c>
      <c r="D31" s="38" t="n">
        <f aca="false">IF(D30=0,999,D29/D30)</f>
        <v>1.47753846153846</v>
      </c>
      <c r="E31" s="38" t="n">
        <f aca="false">IF(E30=0,999,E29/E30)</f>
        <v>1.47986163522013</v>
      </c>
      <c r="F31" s="38" t="n">
        <f aca="false">IF(F30=0,999,F29/F30)</f>
        <v>1.48223976345054</v>
      </c>
      <c r="G31" s="38" t="n">
        <f aca="false">IF(G30=0,999,G29/G30)</f>
        <v>1.48467431669433</v>
      </c>
      <c r="H31" s="38" t="n">
        <f aca="false">IF(H30=0,999,H29/H30)</f>
        <v>1.16687521625507</v>
      </c>
      <c r="I31" s="38" t="n">
        <f aca="false">IF(I30=0,999,I29/I30)</f>
        <v>1.45271164674208</v>
      </c>
      <c r="J31" s="38" t="n">
        <f aca="false">IF(J30=0,999,J29/J30)</f>
        <v>2.17505124583453</v>
      </c>
      <c r="K31" s="38" t="n">
        <f aca="false">IF(K30=0,999,K29/K30)</f>
        <v>6.11287765597493</v>
      </c>
      <c r="L31" s="38" t="n">
        <f aca="false">IF(L30=0,999,L29/L30)</f>
        <v>999</v>
      </c>
    </row>
    <row r="32" customFormat="false" ht="15" hidden="false" customHeight="false" outlineLevel="0" collapsed="false">
      <c r="A32" s="7"/>
      <c r="B32" s="37" t="s">
        <v>123</v>
      </c>
      <c r="C32" s="39" t="b">
        <f aca="false">C31&gt;=OC_Trig_AAA</f>
        <v>1</v>
      </c>
      <c r="D32" s="39" t="b">
        <f aca="false">D31&gt;=OC_Trig_AAA</f>
        <v>1</v>
      </c>
      <c r="E32" s="39" t="b">
        <f aca="false">E31&gt;=OC_Trig_AAA</f>
        <v>1</v>
      </c>
      <c r="F32" s="39" t="b">
        <f aca="false">F31&gt;=OC_Trig_AAA</f>
        <v>1</v>
      </c>
      <c r="G32" s="39" t="b">
        <f aca="false">G31&gt;=OC_Trig_AAA</f>
        <v>1</v>
      </c>
      <c r="H32" s="39" t="b">
        <f aca="false">H31&gt;=OC_Trig_AAA</f>
        <v>0</v>
      </c>
      <c r="I32" s="39" t="b">
        <f aca="false">I31&gt;=OC_Trig_AAA</f>
        <v>1</v>
      </c>
      <c r="J32" s="39" t="b">
        <f aca="false">J31&gt;=OC_Trig_AAA</f>
        <v>1</v>
      </c>
      <c r="K32" s="39" t="b">
        <f aca="false">K31&gt;=OC_Trig_AAA</f>
        <v>1</v>
      </c>
      <c r="L32" s="39" t="b">
        <f aca="false">L31&gt;=OC_Trig_AAA</f>
        <v>1</v>
      </c>
    </row>
    <row r="33" customFormat="false" ht="15" hidden="false" customHeight="false" outlineLevel="0" collapsed="false">
      <c r="A33" s="7"/>
      <c r="B33" s="37" t="s">
        <v>124</v>
      </c>
      <c r="C33" s="36" t="n">
        <f aca="false">C20</f>
        <v>41400000</v>
      </c>
      <c r="D33" s="36" t="n">
        <f aca="false">D20</f>
        <v>40572000</v>
      </c>
      <c r="E33" s="36" t="n">
        <f aca="false">E20</f>
        <v>39760560</v>
      </c>
      <c r="F33" s="36" t="n">
        <f aca="false">F20</f>
        <v>38965348.8</v>
      </c>
      <c r="G33" s="36" t="n">
        <f aca="false">G20</f>
        <v>38186041.824</v>
      </c>
      <c r="H33" s="36" t="n">
        <f aca="false">H20</f>
        <v>37422320.98752</v>
      </c>
      <c r="I33" s="36" t="n">
        <f aca="false">I20</f>
        <v>28775410.3702656</v>
      </c>
      <c r="J33" s="36" t="n">
        <f aca="false">J20</f>
        <v>22030820.0888072</v>
      </c>
      <c r="K33" s="36" t="n">
        <f aca="false">K20</f>
        <v>16770039.6692696</v>
      </c>
      <c r="L33" s="36" t="n">
        <f aca="false">L20</f>
        <v>12666630.9420303</v>
      </c>
    </row>
    <row r="34" customFormat="false" ht="15" hidden="false" customHeight="false" outlineLevel="0" collapsed="false">
      <c r="A34" s="7"/>
      <c r="B34" s="37" t="s">
        <v>125</v>
      </c>
      <c r="C34" s="36" t="n">
        <f aca="false">C21</f>
        <v>22750000</v>
      </c>
      <c r="D34" s="36" t="n">
        <f aca="false">D21</f>
        <v>22750000</v>
      </c>
      <c r="E34" s="36" t="n">
        <f aca="false">E21</f>
        <v>22260000</v>
      </c>
      <c r="F34" s="36" t="n">
        <f aca="false">F21</f>
        <v>21779800</v>
      </c>
      <c r="G34" s="36" t="n">
        <f aca="false">G21</f>
        <v>21309204</v>
      </c>
      <c r="H34" s="36" t="n">
        <f aca="false">H21</f>
        <v>20848019.92</v>
      </c>
      <c r="I34" s="36" t="n">
        <f aca="false">I21</f>
        <v>12820912.8692736</v>
      </c>
      <c r="J34" s="36" t="n">
        <f aca="false">J21</f>
        <v>6518269.30324416</v>
      </c>
      <c r="K34" s="36" t="n">
        <f aca="false">K21</f>
        <v>1751794.33030595</v>
      </c>
      <c r="L34" s="36" t="n">
        <f aca="false">L21</f>
        <v>0</v>
      </c>
    </row>
    <row r="35" customFormat="false" ht="15" hidden="false" customHeight="false" outlineLevel="0" collapsed="false">
      <c r="A35" s="7"/>
      <c r="B35" s="37" t="s">
        <v>126</v>
      </c>
      <c r="C35" s="38" t="n">
        <f aca="false">IF(C34=0,999,C33/C34)</f>
        <v>1.81978021978022</v>
      </c>
      <c r="D35" s="38" t="n">
        <f aca="false">IF(D34=0,999,D33/D34)</f>
        <v>1.78338461538462</v>
      </c>
      <c r="E35" s="38" t="n">
        <f aca="false">IF(E34=0,999,E33/E34)</f>
        <v>1.78618867924528</v>
      </c>
      <c r="F35" s="38" t="n">
        <f aca="false">IF(F34=0,999,F33/F34)</f>
        <v>1.78905907308607</v>
      </c>
      <c r="G35" s="38" t="n">
        <f aca="false">IF(G34=0,999,G33/G34)</f>
        <v>1.7919975717535</v>
      </c>
      <c r="H35" s="38" t="n">
        <f aca="false">IF(H34=0,999,H33/H34)</f>
        <v>1.79500600685919</v>
      </c>
      <c r="I35" s="38" t="n">
        <f aca="false">IF(I34=0,999,I33/I34)</f>
        <v>2.24441197469084</v>
      </c>
      <c r="J35" s="38" t="n">
        <f aca="false">IF(J34=0,999,J33/J34)</f>
        <v>3.3798573001337</v>
      </c>
      <c r="K35" s="38" t="n">
        <f aca="false">IF(K34=0,999,K33/K34)</f>
        <v>9.5730642456987</v>
      </c>
      <c r="L35" s="38" t="n">
        <f aca="false">IF(L34=0,999,L33/L34)</f>
        <v>999</v>
      </c>
    </row>
    <row r="36" customFormat="false" ht="15" hidden="false" customHeight="false" outlineLevel="0" collapsed="false">
      <c r="A36" s="7"/>
      <c r="B36" s="37" t="s">
        <v>127</v>
      </c>
      <c r="C36" s="39" t="b">
        <f aca="false">C35&gt;=IC_Trig_AAA</f>
        <v>1</v>
      </c>
      <c r="D36" s="39" t="b">
        <f aca="false">D35&gt;=IC_Trig_AAA</f>
        <v>1</v>
      </c>
      <c r="E36" s="39" t="b">
        <f aca="false">E35&gt;=IC_Trig_AAA</f>
        <v>1</v>
      </c>
      <c r="F36" s="39" t="b">
        <f aca="false">F35&gt;=IC_Trig_AAA</f>
        <v>1</v>
      </c>
      <c r="G36" s="39" t="b">
        <f aca="false">G35&gt;=IC_Trig_AAA</f>
        <v>1</v>
      </c>
      <c r="H36" s="39" t="b">
        <f aca="false">H35&gt;=IC_Trig_AAA</f>
        <v>1</v>
      </c>
      <c r="I36" s="39" t="b">
        <f aca="false">I35&gt;=IC_Trig_AAA</f>
        <v>1</v>
      </c>
      <c r="J36" s="39" t="b">
        <f aca="false">J35&gt;=IC_Trig_AAA</f>
        <v>1</v>
      </c>
      <c r="K36" s="39" t="b">
        <f aca="false">K35&gt;=IC_Trig_AAA</f>
        <v>1</v>
      </c>
      <c r="L36" s="39" t="b">
        <f aca="false">L35&gt;=IC_Trig_AAA</f>
        <v>1</v>
      </c>
    </row>
    <row r="37" customFormat="false" ht="15" hidden="false" customHeight="false" outlineLevel="0" collapsed="false">
      <c r="A37" s="7"/>
      <c r="B37" s="37" t="s">
        <v>128</v>
      </c>
      <c r="C37" s="36" t="n">
        <f aca="false">IF(AND(C32,C36),0,C26)</f>
        <v>0</v>
      </c>
      <c r="D37" s="36" t="n">
        <f aca="false">IF(AND(D32,D36),0,D26)</f>
        <v>0</v>
      </c>
      <c r="E37" s="36" t="n">
        <f aca="false">IF(AND(E32,E36),0,E26)</f>
        <v>0</v>
      </c>
      <c r="F37" s="36" t="n">
        <f aca="false">IF(AND(F32,F36),0,F26)</f>
        <v>0</v>
      </c>
      <c r="G37" s="36" t="n">
        <f aca="false">IF(AND(G32,G36),0,G26)</f>
        <v>0</v>
      </c>
      <c r="H37" s="36" t="n">
        <f aca="false">IF(AND(H32,H36),0,H26)</f>
        <v>12824301.06752</v>
      </c>
      <c r="I37" s="36" t="n">
        <f aca="false">IF(AND(I32,I36),0,I26)</f>
        <v>0</v>
      </c>
      <c r="J37" s="36" t="n">
        <f aca="false">IF(AND(J32,J36),0,J26)</f>
        <v>0</v>
      </c>
      <c r="K37" s="36" t="n">
        <f aca="false">IF(AND(K32,K36),0,K26)</f>
        <v>0</v>
      </c>
      <c r="L37" s="36" t="n">
        <f aca="false">IF(AND(L32,L36),0,L26)</f>
        <v>0</v>
      </c>
    </row>
    <row r="38" customFormat="false" ht="15" hidden="false" customHeight="false" outlineLevel="0" collapsed="false">
      <c r="A38" s="7"/>
      <c r="B38" s="12" t="s">
        <v>129</v>
      </c>
      <c r="C38" s="36" t="n">
        <f aca="false">C26-C37</f>
        <v>14900000</v>
      </c>
      <c r="D38" s="36" t="n">
        <f aca="false">D26-D37</f>
        <v>14072000</v>
      </c>
      <c r="E38" s="36" t="n">
        <f aca="false">E26-E37</f>
        <v>13750560</v>
      </c>
      <c r="F38" s="36" t="n">
        <f aca="false">F26-F37</f>
        <v>13435548.8</v>
      </c>
      <c r="G38" s="36" t="n">
        <f aca="false">G26-G37</f>
        <v>13126837.824</v>
      </c>
      <c r="H38" s="36" t="n">
        <f aca="false">H26-H37</f>
        <v>0</v>
      </c>
      <c r="I38" s="36" t="n">
        <f aca="false">I26-I37</f>
        <v>12204497.500992</v>
      </c>
      <c r="J38" s="36" t="n">
        <f aca="false">J26-J37</f>
        <v>11762550.785563</v>
      </c>
      <c r="K38" s="36" t="n">
        <f aca="false">K26-K37</f>
        <v>11268245.3389636</v>
      </c>
      <c r="L38" s="36" t="n">
        <f aca="false">L26-L37</f>
        <v>11071003.8521248</v>
      </c>
    </row>
    <row r="39" customFormat="false" ht="15" hidden="false" customHeight="false" outlineLevel="0" collapsed="false">
      <c r="A39" s="7"/>
      <c r="B39" s="7"/>
      <c r="C39" s="7"/>
      <c r="D39" s="7"/>
      <c r="E39" s="7"/>
      <c r="F39" s="7"/>
      <c r="G39" s="7"/>
      <c r="H39" s="7"/>
      <c r="I39" s="7"/>
      <c r="J39" s="7"/>
      <c r="K39" s="7"/>
      <c r="L39" s="7"/>
    </row>
    <row r="40" customFormat="false" ht="15" hidden="false" customHeight="false" outlineLevel="0" collapsed="false">
      <c r="A40" s="7"/>
      <c r="B40" s="40" t="s">
        <v>130</v>
      </c>
      <c r="C40" s="41"/>
      <c r="D40" s="41"/>
      <c r="E40" s="41"/>
      <c r="F40" s="41"/>
      <c r="G40" s="41"/>
      <c r="H40" s="41"/>
      <c r="I40" s="41"/>
      <c r="J40" s="41"/>
      <c r="K40" s="41"/>
      <c r="L40" s="41"/>
    </row>
    <row r="41" customFormat="false" ht="15" hidden="false" customHeight="false" outlineLevel="0" collapsed="false">
      <c r="A41" s="7"/>
      <c r="B41" s="37" t="s">
        <v>131</v>
      </c>
      <c r="C41" s="36" t="n">
        <f aca="false">C137*A_Coupon</f>
        <v>3000000</v>
      </c>
      <c r="D41" s="36" t="n">
        <f aca="false">D137*A_Coupon</f>
        <v>3000000</v>
      </c>
      <c r="E41" s="36" t="n">
        <f aca="false">E137*A_Coupon</f>
        <v>3000000</v>
      </c>
      <c r="F41" s="36" t="n">
        <f aca="false">F137*A_Coupon</f>
        <v>3000000</v>
      </c>
      <c r="G41" s="36" t="n">
        <f aca="false">G137*A_Coupon</f>
        <v>3000000</v>
      </c>
      <c r="H41" s="36" t="n">
        <f aca="false">H137*A_Coupon</f>
        <v>3000000</v>
      </c>
      <c r="I41" s="36" t="n">
        <f aca="false">I137*A_Coupon</f>
        <v>3000000</v>
      </c>
      <c r="J41" s="36" t="n">
        <f aca="false">J137*A_Coupon</f>
        <v>3000000</v>
      </c>
      <c r="K41" s="36" t="n">
        <f aca="false">K137*A_Coupon</f>
        <v>3000000</v>
      </c>
      <c r="L41" s="36" t="n">
        <f aca="false">L137*A_Coupon</f>
        <v>3000000</v>
      </c>
    </row>
    <row r="42" customFormat="false" ht="15" hidden="false" customHeight="false" outlineLevel="0" collapsed="false">
      <c r="A42" s="7"/>
      <c r="B42" s="37" t="s">
        <v>132</v>
      </c>
      <c r="C42" s="36" t="n">
        <f aca="false">MIN(C41,C38)</f>
        <v>3000000</v>
      </c>
      <c r="D42" s="36" t="n">
        <f aca="false">MIN(D41,D38)</f>
        <v>3000000</v>
      </c>
      <c r="E42" s="36" t="n">
        <f aca="false">MIN(E41,E38)</f>
        <v>3000000</v>
      </c>
      <c r="F42" s="36" t="n">
        <f aca="false">MIN(F41,F38)</f>
        <v>3000000</v>
      </c>
      <c r="G42" s="36" t="n">
        <f aca="false">MIN(G41,G38)</f>
        <v>3000000</v>
      </c>
      <c r="H42" s="36" t="n">
        <f aca="false">MIN(H41,H38)</f>
        <v>0</v>
      </c>
      <c r="I42" s="36" t="n">
        <f aca="false">MIN(I41,I38)</f>
        <v>3000000</v>
      </c>
      <c r="J42" s="36" t="n">
        <f aca="false">MIN(J41,J38)</f>
        <v>3000000</v>
      </c>
      <c r="K42" s="36" t="n">
        <f aca="false">MIN(K41,K38)</f>
        <v>3000000</v>
      </c>
      <c r="L42" s="36" t="n">
        <f aca="false">MIN(L41,L38)</f>
        <v>3000000</v>
      </c>
    </row>
    <row r="43" customFormat="false" ht="15" hidden="false" customHeight="false" outlineLevel="0" collapsed="false">
      <c r="A43" s="7"/>
      <c r="B43" s="12" t="s">
        <v>133</v>
      </c>
      <c r="C43" s="36" t="n">
        <f aca="false">C38-C42</f>
        <v>11900000</v>
      </c>
      <c r="D43" s="36" t="n">
        <f aca="false">D38-D42</f>
        <v>11072000</v>
      </c>
      <c r="E43" s="36" t="n">
        <f aca="false">E38-E42</f>
        <v>10750560</v>
      </c>
      <c r="F43" s="36" t="n">
        <f aca="false">F38-F42</f>
        <v>10435548.8</v>
      </c>
      <c r="G43" s="36" t="n">
        <f aca="false">G38-G42</f>
        <v>10126837.824</v>
      </c>
      <c r="H43" s="36" t="n">
        <f aca="false">H38-H42</f>
        <v>0</v>
      </c>
      <c r="I43" s="36" t="n">
        <f aca="false">I38-I42</f>
        <v>9204497.500992</v>
      </c>
      <c r="J43" s="36" t="n">
        <f aca="false">J38-J42</f>
        <v>8762550.78556301</v>
      </c>
      <c r="K43" s="36" t="n">
        <f aca="false">K38-K42</f>
        <v>8268245.33896364</v>
      </c>
      <c r="L43" s="36" t="n">
        <f aca="false">L38-L42</f>
        <v>8071003.85212482</v>
      </c>
    </row>
    <row r="44" customFormat="false" ht="15" hidden="false" customHeight="false" outlineLevel="0" collapsed="false">
      <c r="A44" s="7"/>
      <c r="B44" s="7"/>
      <c r="C44" s="7"/>
      <c r="D44" s="7"/>
      <c r="E44" s="7"/>
      <c r="F44" s="7"/>
      <c r="G44" s="7"/>
      <c r="H44" s="7"/>
      <c r="I44" s="7"/>
      <c r="J44" s="7"/>
      <c r="K44" s="7"/>
      <c r="L44" s="7"/>
    </row>
    <row r="45" customFormat="false" ht="15" hidden="false" customHeight="false" outlineLevel="0" collapsed="false">
      <c r="A45" s="7"/>
      <c r="B45" s="27" t="s">
        <v>134</v>
      </c>
      <c r="C45" s="9"/>
      <c r="D45" s="9"/>
      <c r="E45" s="9"/>
      <c r="F45" s="9"/>
      <c r="G45" s="9"/>
      <c r="H45" s="9"/>
      <c r="I45" s="9"/>
      <c r="J45" s="9"/>
      <c r="K45" s="9"/>
      <c r="L45" s="9"/>
    </row>
    <row r="46" customFormat="false" ht="15" hidden="false" customHeight="false" outlineLevel="0" collapsed="false">
      <c r="A46" s="7"/>
      <c r="B46" s="37" t="s">
        <v>135</v>
      </c>
      <c r="C46" s="36" t="n">
        <f aca="false">Pool_CF!C15</f>
        <v>490000000</v>
      </c>
      <c r="D46" s="36" t="n">
        <f aca="false">Pool_CF!D15</f>
        <v>480200000</v>
      </c>
      <c r="E46" s="36" t="n">
        <f aca="false">Pool_CF!E15</f>
        <v>470596000</v>
      </c>
      <c r="F46" s="36" t="n">
        <f aca="false">Pool_CF!F15</f>
        <v>461184080</v>
      </c>
      <c r="G46" s="36" t="n">
        <f aca="false">Pool_CF!G15</f>
        <v>451960398.4</v>
      </c>
      <c r="H46" s="36" t="n">
        <f aca="false">Pool_CF!H15</f>
        <v>347529110.752</v>
      </c>
      <c r="I46" s="36" t="n">
        <f aca="false">Pool_CF!I15</f>
        <v>266072706.38656</v>
      </c>
      <c r="J46" s="36" t="n">
        <f aca="false">Pool_CF!J15</f>
        <v>202536710.981517</v>
      </c>
      <c r="K46" s="36" t="n">
        <f aca="false">Pool_CF!K15</f>
        <v>152978634.565583</v>
      </c>
      <c r="L46" s="36" t="n">
        <f aca="false">Pool_CF!L15</f>
        <v>114323334.961155</v>
      </c>
    </row>
    <row r="47" customFormat="false" ht="15" hidden="false" customHeight="false" outlineLevel="0" collapsed="false">
      <c r="A47" s="7"/>
      <c r="B47" s="37" t="s">
        <v>136</v>
      </c>
      <c r="C47" s="36" t="n">
        <f aca="false">C133+C135</f>
        <v>375000000</v>
      </c>
      <c r="D47" s="36" t="n">
        <f aca="false">D133+D135</f>
        <v>375000000</v>
      </c>
      <c r="E47" s="36" t="n">
        <f aca="false">E133+E135</f>
        <v>368000000</v>
      </c>
      <c r="F47" s="36" t="n">
        <f aca="false">F133+F135</f>
        <v>361140000</v>
      </c>
      <c r="G47" s="36" t="n">
        <f aca="false">G133+G135</f>
        <v>354417200</v>
      </c>
      <c r="H47" s="36" t="n">
        <f aca="false">H133+H135</f>
        <v>347828856</v>
      </c>
      <c r="I47" s="36" t="n">
        <f aca="false">I133+I135</f>
        <v>233155898.13248</v>
      </c>
      <c r="J47" s="36" t="n">
        <f aca="false">J133+J135</f>
        <v>143118132.903488</v>
      </c>
      <c r="K47" s="36" t="n">
        <f aca="false">K133+K135</f>
        <v>75025633.290085</v>
      </c>
      <c r="L47" s="36" t="n">
        <f aca="false">L133+L135</f>
        <v>21275027.8654062</v>
      </c>
    </row>
    <row r="48" customFormat="false" ht="15" hidden="false" customHeight="false" outlineLevel="0" collapsed="false">
      <c r="A48" s="7"/>
      <c r="B48" s="37" t="s">
        <v>137</v>
      </c>
      <c r="C48" s="38" t="n">
        <f aca="false">IF(C47=0,999,C46/C47)</f>
        <v>1.30666666666667</v>
      </c>
      <c r="D48" s="38" t="n">
        <f aca="false">IF(D47=0,999,D46/D47)</f>
        <v>1.28053333333333</v>
      </c>
      <c r="E48" s="38" t="n">
        <f aca="false">IF(E47=0,999,E46/E47)</f>
        <v>1.27879347826087</v>
      </c>
      <c r="F48" s="38" t="n">
        <f aca="false">IF(F47=0,999,F46/F47)</f>
        <v>1.27702298277676</v>
      </c>
      <c r="G48" s="38" t="n">
        <f aca="false">IF(G47=0,999,G46/G47)</f>
        <v>1.27522140121868</v>
      </c>
      <c r="H48" s="38" t="n">
        <f aca="false">IF(H47=0,999,H46/H47)</f>
        <v>0.999138239272477</v>
      </c>
      <c r="I48" s="38" t="n">
        <f aca="false">IF(I47=0,999,I46/I47)</f>
        <v>1.14117939334898</v>
      </c>
      <c r="J48" s="38" t="n">
        <f aca="false">IF(J47=0,999,J46/J47)</f>
        <v>1.41517155703881</v>
      </c>
      <c r="K48" s="38" t="n">
        <f aca="false">IF(K47=0,999,K46/K47)</f>
        <v>2.0390182375948</v>
      </c>
      <c r="L48" s="38" t="n">
        <f aca="false">IF(L47=0,999,L46/L47)</f>
        <v>5.37359272497349</v>
      </c>
    </row>
    <row r="49" customFormat="false" ht="15" hidden="false" customHeight="false" outlineLevel="0" collapsed="false">
      <c r="A49" s="7"/>
      <c r="B49" s="37" t="s">
        <v>138</v>
      </c>
      <c r="C49" s="39" t="b">
        <f aca="false">C48&gt;=OC_Trig_AA</f>
        <v>1</v>
      </c>
      <c r="D49" s="39" t="b">
        <f aca="false">D48&gt;=OC_Trig_AA</f>
        <v>1</v>
      </c>
      <c r="E49" s="39" t="b">
        <f aca="false">E48&gt;=OC_Trig_AA</f>
        <v>1</v>
      </c>
      <c r="F49" s="39" t="b">
        <f aca="false">F48&gt;=OC_Trig_AA</f>
        <v>1</v>
      </c>
      <c r="G49" s="39" t="b">
        <f aca="false">G48&gt;=OC_Trig_AA</f>
        <v>1</v>
      </c>
      <c r="H49" s="39" t="b">
        <f aca="false">H48&gt;=OC_Trig_AA</f>
        <v>0</v>
      </c>
      <c r="I49" s="39" t="b">
        <f aca="false">I48&gt;=OC_Trig_AA</f>
        <v>0</v>
      </c>
      <c r="J49" s="39" t="b">
        <f aca="false">J48&gt;=OC_Trig_AA</f>
        <v>1</v>
      </c>
      <c r="K49" s="39" t="b">
        <f aca="false">K48&gt;=OC_Trig_AA</f>
        <v>1</v>
      </c>
      <c r="L49" s="39" t="b">
        <f aca="false">L48&gt;=OC_Trig_AA</f>
        <v>1</v>
      </c>
    </row>
    <row r="50" customFormat="false" ht="15" hidden="false" customHeight="false" outlineLevel="0" collapsed="false">
      <c r="A50" s="7"/>
      <c r="B50" s="37" t="s">
        <v>139</v>
      </c>
      <c r="C50" s="36" t="n">
        <f aca="false">C20</f>
        <v>41400000</v>
      </c>
      <c r="D50" s="36" t="n">
        <f aca="false">D20</f>
        <v>40572000</v>
      </c>
      <c r="E50" s="36" t="n">
        <f aca="false">E20</f>
        <v>39760560</v>
      </c>
      <c r="F50" s="36" t="n">
        <f aca="false">F20</f>
        <v>38965348.8</v>
      </c>
      <c r="G50" s="36" t="n">
        <f aca="false">G20</f>
        <v>38186041.824</v>
      </c>
      <c r="H50" s="36" t="n">
        <f aca="false">H20</f>
        <v>37422320.98752</v>
      </c>
      <c r="I50" s="36" t="n">
        <f aca="false">I20</f>
        <v>28775410.3702656</v>
      </c>
      <c r="J50" s="36" t="n">
        <f aca="false">J20</f>
        <v>22030820.0888072</v>
      </c>
      <c r="K50" s="36" t="n">
        <f aca="false">K20</f>
        <v>16770039.6692696</v>
      </c>
      <c r="L50" s="36" t="n">
        <f aca="false">L20</f>
        <v>12666630.9420303</v>
      </c>
    </row>
    <row r="51" customFormat="false" ht="15" hidden="false" customHeight="false" outlineLevel="0" collapsed="false">
      <c r="A51" s="7"/>
      <c r="B51" s="37" t="s">
        <v>140</v>
      </c>
      <c r="C51" s="36" t="n">
        <f aca="false">C21+C24</f>
        <v>26500000</v>
      </c>
      <c r="D51" s="36" t="n">
        <f aca="false">D21+D24</f>
        <v>26500000</v>
      </c>
      <c r="E51" s="36" t="n">
        <f aca="false">E21+E24</f>
        <v>26010000</v>
      </c>
      <c r="F51" s="36" t="n">
        <f aca="false">F21+F24</f>
        <v>25529800</v>
      </c>
      <c r="G51" s="36" t="n">
        <f aca="false">G21+G24</f>
        <v>25059204</v>
      </c>
      <c r="H51" s="36" t="n">
        <f aca="false">H21+H24</f>
        <v>24598019.92</v>
      </c>
      <c r="I51" s="36" t="n">
        <f aca="false">I21+I24</f>
        <v>16570912.8692736</v>
      </c>
      <c r="J51" s="36" t="n">
        <f aca="false">J21+J24</f>
        <v>10268269.3032442</v>
      </c>
      <c r="K51" s="36" t="n">
        <f aca="false">K21+K24</f>
        <v>5501794.33030595</v>
      </c>
      <c r="L51" s="36" t="n">
        <f aca="false">L21+L24</f>
        <v>1595627.08990546</v>
      </c>
    </row>
    <row r="52" customFormat="false" ht="15" hidden="false" customHeight="false" outlineLevel="0" collapsed="false">
      <c r="A52" s="7"/>
      <c r="B52" s="37" t="s">
        <v>141</v>
      </c>
      <c r="C52" s="38" t="n">
        <f aca="false">IF(C51=0,999,C50/C51)</f>
        <v>1.5622641509434</v>
      </c>
      <c r="D52" s="38" t="n">
        <f aca="false">IF(D51=0,999,D50/D51)</f>
        <v>1.53101886792453</v>
      </c>
      <c r="E52" s="38" t="n">
        <f aca="false">IF(E51=0,999,E50/E51)</f>
        <v>1.52866435986159</v>
      </c>
      <c r="F52" s="38" t="n">
        <f aca="false">IF(F51=0,999,F50/F51)</f>
        <v>1.52626925396987</v>
      </c>
      <c r="G52" s="38" t="n">
        <f aca="false">IF(G51=0,999,G50/G51)</f>
        <v>1.5238329926202</v>
      </c>
      <c r="H52" s="38" t="n">
        <f aca="false">IF(H51=0,999,H50/H51)</f>
        <v>1.52135501594146</v>
      </c>
      <c r="I52" s="38" t="n">
        <f aca="false">IF(I51=0,999,I50/I51)</f>
        <v>1.73650121736033</v>
      </c>
      <c r="J52" s="38" t="n">
        <f aca="false">IF(J51=0,999,J50/J51)</f>
        <v>2.1455241811633</v>
      </c>
      <c r="K52" s="38" t="n">
        <f aca="false">IF(K51=0,999,K50/K51)</f>
        <v>3.04810370262187</v>
      </c>
      <c r="L52" s="38" t="n">
        <f aca="false">IF(L51=0,999,L50/L51)</f>
        <v>7.93834036922797</v>
      </c>
    </row>
    <row r="53" customFormat="false" ht="15" hidden="false" customHeight="false" outlineLevel="0" collapsed="false">
      <c r="A53" s="7"/>
      <c r="B53" s="37" t="s">
        <v>142</v>
      </c>
      <c r="C53" s="39" t="b">
        <f aca="false">C52&gt;=IC_Trig_AA</f>
        <v>1</v>
      </c>
      <c r="D53" s="39" t="b">
        <f aca="false">D52&gt;=IC_Trig_AA</f>
        <v>1</v>
      </c>
      <c r="E53" s="39" t="b">
        <f aca="false">E52&gt;=IC_Trig_AA</f>
        <v>1</v>
      </c>
      <c r="F53" s="39" t="b">
        <f aca="false">F52&gt;=IC_Trig_AA</f>
        <v>1</v>
      </c>
      <c r="G53" s="39" t="b">
        <f aca="false">G52&gt;=IC_Trig_AA</f>
        <v>1</v>
      </c>
      <c r="H53" s="39" t="b">
        <f aca="false">H52&gt;=IC_Trig_AA</f>
        <v>1</v>
      </c>
      <c r="I53" s="39" t="b">
        <f aca="false">I52&gt;=IC_Trig_AA</f>
        <v>1</v>
      </c>
      <c r="J53" s="39" t="b">
        <f aca="false">J52&gt;=IC_Trig_AA</f>
        <v>1</v>
      </c>
      <c r="K53" s="39" t="b">
        <f aca="false">K52&gt;=IC_Trig_AA</f>
        <v>1</v>
      </c>
      <c r="L53" s="39" t="b">
        <f aca="false">L52&gt;=IC_Trig_AA</f>
        <v>1</v>
      </c>
    </row>
    <row r="54" customFormat="false" ht="15" hidden="false" customHeight="false" outlineLevel="0" collapsed="false">
      <c r="A54" s="7"/>
      <c r="B54" s="37" t="s">
        <v>143</v>
      </c>
      <c r="C54" s="36" t="n">
        <f aca="false">IF(AND(C49,C53),0,C43)</f>
        <v>0</v>
      </c>
      <c r="D54" s="36" t="n">
        <f aca="false">IF(AND(D49,D53),0,D43)</f>
        <v>0</v>
      </c>
      <c r="E54" s="36" t="n">
        <f aca="false">IF(AND(E49,E53),0,E43)</f>
        <v>0</v>
      </c>
      <c r="F54" s="36" t="n">
        <f aca="false">IF(AND(F49,F53),0,F43)</f>
        <v>0</v>
      </c>
      <c r="G54" s="36" t="n">
        <f aca="false">IF(AND(G49,G53),0,G43)</f>
        <v>0</v>
      </c>
      <c r="H54" s="36" t="n">
        <f aca="false">IF(AND(H49,H53),0,H43)</f>
        <v>0</v>
      </c>
      <c r="I54" s="36" t="n">
        <f aca="false">IF(AND(I49,I53),0,I43)</f>
        <v>9204497.500992</v>
      </c>
      <c r="J54" s="36" t="n">
        <f aca="false">IF(AND(J49,J53),0,J43)</f>
        <v>0</v>
      </c>
      <c r="K54" s="36" t="n">
        <f aca="false">IF(AND(K49,K53),0,K43)</f>
        <v>0</v>
      </c>
      <c r="L54" s="36" t="n">
        <f aca="false">IF(AND(L49,L53),0,L43)</f>
        <v>0</v>
      </c>
    </row>
    <row r="55" customFormat="false" ht="15" hidden="false" customHeight="false" outlineLevel="0" collapsed="false">
      <c r="A55" s="7"/>
      <c r="B55" s="12" t="s">
        <v>144</v>
      </c>
      <c r="C55" s="36" t="n">
        <f aca="false">C43-C54</f>
        <v>11900000</v>
      </c>
      <c r="D55" s="36" t="n">
        <f aca="false">D43-D54</f>
        <v>11072000</v>
      </c>
      <c r="E55" s="36" t="n">
        <f aca="false">E43-E54</f>
        <v>10750560</v>
      </c>
      <c r="F55" s="36" t="n">
        <f aca="false">F43-F54</f>
        <v>10435548.8</v>
      </c>
      <c r="G55" s="36" t="n">
        <f aca="false">G43-G54</f>
        <v>10126837.824</v>
      </c>
      <c r="H55" s="36" t="n">
        <f aca="false">H43-H54</f>
        <v>0</v>
      </c>
      <c r="I55" s="36" t="n">
        <f aca="false">I43-I54</f>
        <v>0</v>
      </c>
      <c r="J55" s="36" t="n">
        <f aca="false">J43-J54</f>
        <v>8762550.78556301</v>
      </c>
      <c r="K55" s="36" t="n">
        <f aca="false">K43-K54</f>
        <v>8268245.33896364</v>
      </c>
      <c r="L55" s="36" t="n">
        <f aca="false">L43-L54</f>
        <v>8071003.85212482</v>
      </c>
    </row>
    <row r="56" customFormat="false" ht="15" hidden="false" customHeight="false" outlineLevel="0" collapsed="false">
      <c r="A56" s="7"/>
      <c r="B56" s="7"/>
      <c r="C56" s="7"/>
      <c r="D56" s="7"/>
      <c r="E56" s="7"/>
      <c r="F56" s="7"/>
      <c r="G56" s="7"/>
      <c r="H56" s="7"/>
      <c r="I56" s="7"/>
      <c r="J56" s="7"/>
      <c r="K56" s="7"/>
      <c r="L56" s="7"/>
    </row>
    <row r="57" customFormat="false" ht="15" hidden="false" customHeight="false" outlineLevel="0" collapsed="false">
      <c r="A57" s="7"/>
      <c r="B57" s="40" t="s">
        <v>145</v>
      </c>
      <c r="C57" s="41"/>
      <c r="D57" s="41"/>
      <c r="E57" s="41"/>
      <c r="F57" s="41"/>
      <c r="G57" s="41"/>
      <c r="H57" s="41"/>
      <c r="I57" s="41"/>
      <c r="J57" s="41"/>
      <c r="K57" s="41"/>
      <c r="L57" s="41"/>
    </row>
    <row r="58" customFormat="false" ht="15" hidden="false" customHeight="false" outlineLevel="0" collapsed="false">
      <c r="A58" s="7"/>
      <c r="B58" s="37" t="s">
        <v>146</v>
      </c>
      <c r="C58" s="36" t="n">
        <f aca="false">C139*BBB_Coupon</f>
        <v>2250000</v>
      </c>
      <c r="D58" s="36" t="n">
        <f aca="false">D139*BBB_Coupon</f>
        <v>2250000</v>
      </c>
      <c r="E58" s="36" t="n">
        <f aca="false">E139*BBB_Coupon</f>
        <v>2250000</v>
      </c>
      <c r="F58" s="36" t="n">
        <f aca="false">F139*BBB_Coupon</f>
        <v>2250000</v>
      </c>
      <c r="G58" s="36" t="n">
        <f aca="false">G139*BBB_Coupon</f>
        <v>2250000</v>
      </c>
      <c r="H58" s="36" t="n">
        <f aca="false">H139*BBB_Coupon</f>
        <v>2250000</v>
      </c>
      <c r="I58" s="36" t="n">
        <f aca="false">I139*BBB_Coupon</f>
        <v>2250000</v>
      </c>
      <c r="J58" s="36" t="n">
        <f aca="false">J139*BBB_Coupon</f>
        <v>2250000</v>
      </c>
      <c r="K58" s="36" t="n">
        <f aca="false">K139*BBB_Coupon</f>
        <v>2250000</v>
      </c>
      <c r="L58" s="36" t="n">
        <f aca="false">L139*BBB_Coupon</f>
        <v>2250000</v>
      </c>
    </row>
    <row r="59" customFormat="false" ht="15" hidden="false" customHeight="false" outlineLevel="0" collapsed="false">
      <c r="A59" s="7"/>
      <c r="B59" s="37" t="s">
        <v>147</v>
      </c>
      <c r="C59" s="36" t="n">
        <f aca="false">MIN(C58,C55)</f>
        <v>2250000</v>
      </c>
      <c r="D59" s="36" t="n">
        <f aca="false">MIN(D58,D55)</f>
        <v>2250000</v>
      </c>
      <c r="E59" s="36" t="n">
        <f aca="false">MIN(E58,E55)</f>
        <v>2250000</v>
      </c>
      <c r="F59" s="36" t="n">
        <f aca="false">MIN(F58,F55)</f>
        <v>2250000</v>
      </c>
      <c r="G59" s="36" t="n">
        <f aca="false">MIN(G58,G55)</f>
        <v>2250000</v>
      </c>
      <c r="H59" s="36" t="n">
        <f aca="false">MIN(H58,H55)</f>
        <v>0</v>
      </c>
      <c r="I59" s="36" t="n">
        <f aca="false">MIN(I58,I55)</f>
        <v>0</v>
      </c>
      <c r="J59" s="36" t="n">
        <f aca="false">MIN(J58,J55)</f>
        <v>2250000</v>
      </c>
      <c r="K59" s="36" t="n">
        <f aca="false">MIN(K58,K55)</f>
        <v>2250000</v>
      </c>
      <c r="L59" s="36" t="n">
        <f aca="false">MIN(L58,L55)</f>
        <v>2250000</v>
      </c>
    </row>
    <row r="60" customFormat="false" ht="15" hidden="false" customHeight="false" outlineLevel="0" collapsed="false">
      <c r="A60" s="7"/>
      <c r="B60" s="12" t="s">
        <v>148</v>
      </c>
      <c r="C60" s="36" t="n">
        <f aca="false">C55-C59</f>
        <v>9650000</v>
      </c>
      <c r="D60" s="36" t="n">
        <f aca="false">D55-D59</f>
        <v>8822000</v>
      </c>
      <c r="E60" s="36" t="n">
        <f aca="false">E55-E59</f>
        <v>8500560</v>
      </c>
      <c r="F60" s="36" t="n">
        <f aca="false">F55-F59</f>
        <v>8185548.79999999</v>
      </c>
      <c r="G60" s="36" t="n">
        <f aca="false">G55-G59</f>
        <v>7876837.82400001</v>
      </c>
      <c r="H60" s="36" t="n">
        <f aca="false">H55-H59</f>
        <v>0</v>
      </c>
      <c r="I60" s="36" t="n">
        <f aca="false">I55-I59</f>
        <v>0</v>
      </c>
      <c r="J60" s="36" t="n">
        <f aca="false">J55-J59</f>
        <v>6512550.78556301</v>
      </c>
      <c r="K60" s="36" t="n">
        <f aca="false">K55-K59</f>
        <v>6018245.33896364</v>
      </c>
      <c r="L60" s="36" t="n">
        <f aca="false">L55-L59</f>
        <v>5821003.85212482</v>
      </c>
    </row>
    <row r="61" customFormat="false" ht="15" hidden="false" customHeight="false" outlineLevel="0" collapsed="false">
      <c r="A61" s="7"/>
      <c r="B61" s="7"/>
      <c r="C61" s="7"/>
      <c r="D61" s="7"/>
      <c r="E61" s="7"/>
      <c r="F61" s="7"/>
      <c r="G61" s="7"/>
      <c r="H61" s="7"/>
      <c r="I61" s="7"/>
      <c r="J61" s="7"/>
      <c r="K61" s="7"/>
      <c r="L61" s="7"/>
    </row>
    <row r="62" customFormat="false" ht="15" hidden="false" customHeight="false" outlineLevel="0" collapsed="false">
      <c r="A62" s="7"/>
      <c r="B62" s="27" t="s">
        <v>149</v>
      </c>
      <c r="C62" s="9"/>
      <c r="D62" s="9"/>
      <c r="E62" s="9"/>
      <c r="F62" s="9"/>
      <c r="G62" s="9"/>
      <c r="H62" s="9"/>
      <c r="I62" s="9"/>
      <c r="J62" s="9"/>
      <c r="K62" s="9"/>
      <c r="L62" s="9"/>
    </row>
    <row r="63" customFormat="false" ht="15" hidden="false" customHeight="false" outlineLevel="0" collapsed="false">
      <c r="A63" s="7"/>
      <c r="B63" s="37" t="s">
        <v>135</v>
      </c>
      <c r="C63" s="36" t="n">
        <f aca="false">Pool_CF!C15</f>
        <v>490000000</v>
      </c>
      <c r="D63" s="36" t="n">
        <f aca="false">Pool_CF!D15</f>
        <v>480200000</v>
      </c>
      <c r="E63" s="36" t="n">
        <f aca="false">Pool_CF!E15</f>
        <v>470596000</v>
      </c>
      <c r="F63" s="36" t="n">
        <f aca="false">Pool_CF!F15</f>
        <v>461184080</v>
      </c>
      <c r="G63" s="36" t="n">
        <f aca="false">Pool_CF!G15</f>
        <v>451960398.4</v>
      </c>
      <c r="H63" s="36" t="n">
        <f aca="false">Pool_CF!H15</f>
        <v>347529110.752</v>
      </c>
      <c r="I63" s="36" t="n">
        <f aca="false">Pool_CF!I15</f>
        <v>266072706.38656</v>
      </c>
      <c r="J63" s="36" t="n">
        <f aca="false">Pool_CF!J15</f>
        <v>202536710.981517</v>
      </c>
      <c r="K63" s="36" t="n">
        <f aca="false">Pool_CF!K15</f>
        <v>152978634.565583</v>
      </c>
      <c r="L63" s="36" t="n">
        <f aca="false">Pool_CF!L15</f>
        <v>114323334.961155</v>
      </c>
    </row>
    <row r="64" customFormat="false" ht="15" hidden="false" customHeight="false" outlineLevel="0" collapsed="false">
      <c r="A64" s="7"/>
      <c r="B64" s="37" t="s">
        <v>150</v>
      </c>
      <c r="C64" s="36" t="n">
        <f aca="false">C133+C135+C137</f>
        <v>412500000</v>
      </c>
      <c r="D64" s="36" t="n">
        <f aca="false">D133+D135+D137</f>
        <v>412500000</v>
      </c>
      <c r="E64" s="36" t="n">
        <f aca="false">E133+E135+E137</f>
        <v>405500000</v>
      </c>
      <c r="F64" s="36" t="n">
        <f aca="false">F133+F135+F137</f>
        <v>398640000</v>
      </c>
      <c r="G64" s="36" t="n">
        <f aca="false">G133+G135+G137</f>
        <v>391917200</v>
      </c>
      <c r="H64" s="36" t="n">
        <f aca="false">H133+H135+H137</f>
        <v>385328856</v>
      </c>
      <c r="I64" s="36" t="n">
        <f aca="false">I133+I135+I137</f>
        <v>270655898.13248</v>
      </c>
      <c r="J64" s="36" t="n">
        <f aca="false">J133+J135+J137</f>
        <v>180618132.903488</v>
      </c>
      <c r="K64" s="36" t="n">
        <f aca="false">K133+K135+K137</f>
        <v>112525633.290085</v>
      </c>
      <c r="L64" s="36" t="n">
        <f aca="false">L133+L135+L137</f>
        <v>58775027.8654062</v>
      </c>
    </row>
    <row r="65" customFormat="false" ht="15" hidden="false" customHeight="false" outlineLevel="0" collapsed="false">
      <c r="A65" s="7"/>
      <c r="B65" s="37" t="s">
        <v>151</v>
      </c>
      <c r="C65" s="38" t="n">
        <f aca="false">IF(C64=0,999,C63/C64)</f>
        <v>1.18787878787879</v>
      </c>
      <c r="D65" s="38" t="n">
        <f aca="false">IF(D64=0,999,D63/D64)</f>
        <v>1.16412121212121</v>
      </c>
      <c r="E65" s="38" t="n">
        <f aca="false">IF(E64=0,999,E63/E64)</f>
        <v>1.160532675709</v>
      </c>
      <c r="F65" s="38" t="n">
        <f aca="false">IF(F64=0,999,F63/F64)</f>
        <v>1.15689363837046</v>
      </c>
      <c r="G65" s="38" t="n">
        <f aca="false">IF(G64=0,999,G63/G64)</f>
        <v>1.15320378488109</v>
      </c>
      <c r="H65" s="38" t="n">
        <f aca="false">IF(H64=0,999,H63/H64)</f>
        <v>0.901902635477681</v>
      </c>
      <c r="I65" s="38" t="n">
        <f aca="false">IF(I64=0,999,I63/I64)</f>
        <v>0.983066351860263</v>
      </c>
      <c r="J65" s="38" t="n">
        <f aca="false">IF(J64=0,999,J63/J64)</f>
        <v>1.1213531428195</v>
      </c>
      <c r="K65" s="38" t="n">
        <f aca="false">IF(K64=0,999,K63/K64)</f>
        <v>1.35950032088433</v>
      </c>
      <c r="L65" s="38" t="n">
        <f aca="false">IF(L64=0,999,L63/L64)</f>
        <v>1.94510048081905</v>
      </c>
    </row>
    <row r="66" customFormat="false" ht="15" hidden="false" customHeight="false" outlineLevel="0" collapsed="false">
      <c r="A66" s="7"/>
      <c r="B66" s="37" t="s">
        <v>152</v>
      </c>
      <c r="C66" s="39" t="b">
        <f aca="false">C65&gt;=OC_Trig_A</f>
        <v>1</v>
      </c>
      <c r="D66" s="39" t="b">
        <f aca="false">D65&gt;=OC_Trig_A</f>
        <v>1</v>
      </c>
      <c r="E66" s="39" t="b">
        <f aca="false">E65&gt;=OC_Trig_A</f>
        <v>1</v>
      </c>
      <c r="F66" s="39" t="b">
        <f aca="false">F65&gt;=OC_Trig_A</f>
        <v>1</v>
      </c>
      <c r="G66" s="39" t="b">
        <f aca="false">G65&gt;=OC_Trig_A</f>
        <v>1</v>
      </c>
      <c r="H66" s="39" t="b">
        <f aca="false">H65&gt;=OC_Trig_A</f>
        <v>0</v>
      </c>
      <c r="I66" s="39" t="b">
        <f aca="false">I65&gt;=OC_Trig_A</f>
        <v>0</v>
      </c>
      <c r="J66" s="39" t="b">
        <f aca="false">J65&gt;=OC_Trig_A</f>
        <v>1</v>
      </c>
      <c r="K66" s="39" t="b">
        <f aca="false">K65&gt;=OC_Trig_A</f>
        <v>1</v>
      </c>
      <c r="L66" s="39" t="b">
        <f aca="false">L65&gt;=OC_Trig_A</f>
        <v>1</v>
      </c>
    </row>
    <row r="67" customFormat="false" ht="15" hidden="false" customHeight="false" outlineLevel="0" collapsed="false">
      <c r="A67" s="7"/>
      <c r="B67" s="37" t="s">
        <v>139</v>
      </c>
      <c r="C67" s="36" t="n">
        <f aca="false">C20</f>
        <v>41400000</v>
      </c>
      <c r="D67" s="36" t="n">
        <f aca="false">D20</f>
        <v>40572000</v>
      </c>
      <c r="E67" s="36" t="n">
        <f aca="false">E20</f>
        <v>39760560</v>
      </c>
      <c r="F67" s="36" t="n">
        <f aca="false">F20</f>
        <v>38965348.8</v>
      </c>
      <c r="G67" s="36" t="n">
        <f aca="false">G20</f>
        <v>38186041.824</v>
      </c>
      <c r="H67" s="36" t="n">
        <f aca="false">H20</f>
        <v>37422320.98752</v>
      </c>
      <c r="I67" s="36" t="n">
        <f aca="false">I20</f>
        <v>28775410.3702656</v>
      </c>
      <c r="J67" s="36" t="n">
        <f aca="false">J20</f>
        <v>22030820.0888072</v>
      </c>
      <c r="K67" s="36" t="n">
        <f aca="false">K20</f>
        <v>16770039.6692696</v>
      </c>
      <c r="L67" s="36" t="n">
        <f aca="false">L20</f>
        <v>12666630.9420303</v>
      </c>
    </row>
    <row r="68" customFormat="false" ht="15" hidden="false" customHeight="false" outlineLevel="0" collapsed="false">
      <c r="A68" s="7"/>
      <c r="B68" s="37" t="s">
        <v>153</v>
      </c>
      <c r="C68" s="36" t="n">
        <f aca="false">C21+C24+C41</f>
        <v>29500000</v>
      </c>
      <c r="D68" s="36" t="n">
        <f aca="false">D21+D24+D41</f>
        <v>29500000</v>
      </c>
      <c r="E68" s="36" t="n">
        <f aca="false">E21+E24+E41</f>
        <v>29010000</v>
      </c>
      <c r="F68" s="36" t="n">
        <f aca="false">F21+F24+F41</f>
        <v>28529800</v>
      </c>
      <c r="G68" s="36" t="n">
        <f aca="false">G21+G24+G41</f>
        <v>28059204</v>
      </c>
      <c r="H68" s="36" t="n">
        <f aca="false">H21+H24+H41</f>
        <v>27598019.92</v>
      </c>
      <c r="I68" s="36" t="n">
        <f aca="false">I21+I24+I41</f>
        <v>19570912.8692736</v>
      </c>
      <c r="J68" s="36" t="n">
        <f aca="false">J21+J24+J41</f>
        <v>13268269.3032442</v>
      </c>
      <c r="K68" s="36" t="n">
        <f aca="false">K21+K24+K41</f>
        <v>8501794.33030595</v>
      </c>
      <c r="L68" s="36" t="n">
        <f aca="false">L21+L24+L41</f>
        <v>4595627.08990546</v>
      </c>
    </row>
    <row r="69" customFormat="false" ht="15" hidden="false" customHeight="false" outlineLevel="0" collapsed="false">
      <c r="A69" s="7"/>
      <c r="B69" s="37" t="s">
        <v>154</v>
      </c>
      <c r="C69" s="38" t="n">
        <f aca="false">IF(C68=0,999,C67/C68)</f>
        <v>1.40338983050847</v>
      </c>
      <c r="D69" s="38" t="n">
        <f aca="false">IF(D68=0,999,D67/D68)</f>
        <v>1.37532203389831</v>
      </c>
      <c r="E69" s="38" t="n">
        <f aca="false">IF(E68=0,999,E67/E68)</f>
        <v>1.37058117890383</v>
      </c>
      <c r="F69" s="38" t="n">
        <f aca="false">IF(F68=0,999,F67/F68)</f>
        <v>1.3657771453007</v>
      </c>
      <c r="G69" s="38" t="n">
        <f aca="false">IF(G68=0,999,G67/G68)</f>
        <v>1.36090966172811</v>
      </c>
      <c r="H69" s="38" t="n">
        <f aca="false">IF(H68=0,999,H67/H68)</f>
        <v>1.35597847584712</v>
      </c>
      <c r="I69" s="38" t="n">
        <f aca="false">IF(I68=0,999,I67/I68)</f>
        <v>1.47031518470674</v>
      </c>
      <c r="J69" s="38" t="n">
        <f aca="false">IF(J68=0,999,J67/J68)</f>
        <v>1.66041399863813</v>
      </c>
      <c r="K69" s="38" t="n">
        <f aca="false">IF(K68=0,999,K67/K68)</f>
        <v>1.97252944704746</v>
      </c>
      <c r="L69" s="38" t="n">
        <f aca="false">IF(L68=0,999,L67/L68)</f>
        <v>2.75623558966592</v>
      </c>
    </row>
    <row r="70" customFormat="false" ht="15" hidden="false" customHeight="false" outlineLevel="0" collapsed="false">
      <c r="A70" s="7"/>
      <c r="B70" s="37" t="s">
        <v>155</v>
      </c>
      <c r="C70" s="39" t="b">
        <f aca="false">C69&gt;=IC_Trig_A</f>
        <v>1</v>
      </c>
      <c r="D70" s="39" t="b">
        <f aca="false">D69&gt;=IC_Trig_A</f>
        <v>1</v>
      </c>
      <c r="E70" s="39" t="b">
        <f aca="false">E69&gt;=IC_Trig_A</f>
        <v>1</v>
      </c>
      <c r="F70" s="39" t="b">
        <f aca="false">F69&gt;=IC_Trig_A</f>
        <v>1</v>
      </c>
      <c r="G70" s="39" t="b">
        <f aca="false">G69&gt;=IC_Trig_A</f>
        <v>1</v>
      </c>
      <c r="H70" s="39" t="b">
        <f aca="false">H69&gt;=IC_Trig_A</f>
        <v>1</v>
      </c>
      <c r="I70" s="39" t="b">
        <f aca="false">I69&gt;=IC_Trig_A</f>
        <v>1</v>
      </c>
      <c r="J70" s="39" t="b">
        <f aca="false">J69&gt;=IC_Trig_A</f>
        <v>1</v>
      </c>
      <c r="K70" s="39" t="b">
        <f aca="false">K69&gt;=IC_Trig_A</f>
        <v>1</v>
      </c>
      <c r="L70" s="39" t="b">
        <f aca="false">L69&gt;=IC_Trig_A</f>
        <v>1</v>
      </c>
    </row>
    <row r="71" customFormat="false" ht="15" hidden="false" customHeight="false" outlineLevel="0" collapsed="false">
      <c r="A71" s="7"/>
      <c r="B71" s="37" t="s">
        <v>156</v>
      </c>
      <c r="C71" s="36" t="n">
        <f aca="false">IF(AND(C66,C70),0,C60)</f>
        <v>0</v>
      </c>
      <c r="D71" s="36" t="n">
        <f aca="false">IF(AND(D66,D70),0,D60)</f>
        <v>0</v>
      </c>
      <c r="E71" s="36" t="n">
        <f aca="false">IF(AND(E66,E70),0,E60)</f>
        <v>0</v>
      </c>
      <c r="F71" s="36" t="n">
        <f aca="false">IF(AND(F66,F70),0,F60)</f>
        <v>0</v>
      </c>
      <c r="G71" s="36" t="n">
        <f aca="false">IF(AND(G66,G70),0,G60)</f>
        <v>0</v>
      </c>
      <c r="H71" s="36" t="n">
        <f aca="false">IF(AND(H66,H70),0,H60)</f>
        <v>0</v>
      </c>
      <c r="I71" s="36" t="n">
        <f aca="false">IF(AND(I66,I70),0,I60)</f>
        <v>0</v>
      </c>
      <c r="J71" s="36" t="n">
        <f aca="false">IF(AND(J66,J70),0,J60)</f>
        <v>0</v>
      </c>
      <c r="K71" s="36" t="n">
        <f aca="false">IF(AND(K66,K70),0,K60)</f>
        <v>0</v>
      </c>
      <c r="L71" s="36" t="n">
        <f aca="false">IF(AND(L66,L70),0,L60)</f>
        <v>0</v>
      </c>
    </row>
    <row r="72" customFormat="false" ht="15" hidden="false" customHeight="false" outlineLevel="0" collapsed="false">
      <c r="A72" s="7"/>
      <c r="B72" s="12" t="s">
        <v>157</v>
      </c>
      <c r="C72" s="36" t="n">
        <f aca="false">C60-C71</f>
        <v>9650000</v>
      </c>
      <c r="D72" s="36" t="n">
        <f aca="false">D60-D71</f>
        <v>8822000</v>
      </c>
      <c r="E72" s="36" t="n">
        <f aca="false">E60-E71</f>
        <v>8500560</v>
      </c>
      <c r="F72" s="36" t="n">
        <f aca="false">F60-F71</f>
        <v>8185548.79999999</v>
      </c>
      <c r="G72" s="36" t="n">
        <f aca="false">G60-G71</f>
        <v>7876837.82400001</v>
      </c>
      <c r="H72" s="36" t="n">
        <f aca="false">H60-H71</f>
        <v>0</v>
      </c>
      <c r="I72" s="36" t="n">
        <f aca="false">I60-I71</f>
        <v>0</v>
      </c>
      <c r="J72" s="36" t="n">
        <f aca="false">J60-J71</f>
        <v>6512550.78556301</v>
      </c>
      <c r="K72" s="36" t="n">
        <f aca="false">K60-K71</f>
        <v>6018245.33896364</v>
      </c>
      <c r="L72" s="36" t="n">
        <f aca="false">L60-L71</f>
        <v>5821003.85212482</v>
      </c>
    </row>
    <row r="73" customFormat="false" ht="15" hidden="false" customHeight="false" outlineLevel="0" collapsed="false">
      <c r="A73" s="7"/>
      <c r="B73" s="7"/>
      <c r="C73" s="7"/>
      <c r="D73" s="7"/>
      <c r="E73" s="7"/>
      <c r="F73" s="7"/>
      <c r="G73" s="7"/>
      <c r="H73" s="7"/>
      <c r="I73" s="7"/>
      <c r="J73" s="7"/>
      <c r="K73" s="7"/>
      <c r="L73" s="7"/>
    </row>
    <row r="74" customFormat="false" ht="15" hidden="false" customHeight="false" outlineLevel="0" collapsed="false">
      <c r="A74" s="7"/>
      <c r="B74" s="40" t="s">
        <v>158</v>
      </c>
      <c r="C74" s="41"/>
      <c r="D74" s="41"/>
      <c r="E74" s="41"/>
      <c r="F74" s="41"/>
      <c r="G74" s="41"/>
      <c r="H74" s="41"/>
      <c r="I74" s="41"/>
      <c r="J74" s="41"/>
      <c r="K74" s="41"/>
      <c r="L74" s="41"/>
    </row>
    <row r="75" customFormat="false" ht="15" hidden="false" customHeight="false" outlineLevel="0" collapsed="false">
      <c r="A75" s="7"/>
      <c r="B75" s="37" t="s">
        <v>159</v>
      </c>
      <c r="C75" s="36" t="n">
        <f aca="false">C141*BB_Coupon</f>
        <v>1500000</v>
      </c>
      <c r="D75" s="36" t="n">
        <f aca="false">D141*BB_Coupon</f>
        <v>1500000</v>
      </c>
      <c r="E75" s="36" t="n">
        <f aca="false">E141*BB_Coupon</f>
        <v>1500000</v>
      </c>
      <c r="F75" s="36" t="n">
        <f aca="false">F141*BB_Coupon</f>
        <v>1500000</v>
      </c>
      <c r="G75" s="36" t="n">
        <f aca="false">G141*BB_Coupon</f>
        <v>1500000</v>
      </c>
      <c r="H75" s="36" t="n">
        <f aca="false">H141*BB_Coupon</f>
        <v>1500000</v>
      </c>
      <c r="I75" s="36" t="n">
        <f aca="false">I141*BB_Coupon</f>
        <v>1500000</v>
      </c>
      <c r="J75" s="36" t="n">
        <f aca="false">J141*BB_Coupon</f>
        <v>1500000</v>
      </c>
      <c r="K75" s="36" t="n">
        <f aca="false">K141*BB_Coupon</f>
        <v>1500000</v>
      </c>
      <c r="L75" s="36" t="n">
        <f aca="false">L141*BB_Coupon</f>
        <v>1500000</v>
      </c>
    </row>
    <row r="76" customFormat="false" ht="15" hidden="false" customHeight="false" outlineLevel="0" collapsed="false">
      <c r="A76" s="7"/>
      <c r="B76" s="37" t="s">
        <v>160</v>
      </c>
      <c r="C76" s="36" t="n">
        <f aca="false">MIN(C75,C72)</f>
        <v>1500000</v>
      </c>
      <c r="D76" s="36" t="n">
        <f aca="false">MIN(D75,D72)</f>
        <v>1500000</v>
      </c>
      <c r="E76" s="36" t="n">
        <f aca="false">MIN(E75,E72)</f>
        <v>1500000</v>
      </c>
      <c r="F76" s="36" t="n">
        <f aca="false">MIN(F75,F72)</f>
        <v>1500000</v>
      </c>
      <c r="G76" s="36" t="n">
        <f aca="false">MIN(G75,G72)</f>
        <v>1500000</v>
      </c>
      <c r="H76" s="36" t="n">
        <f aca="false">MIN(H75,H72)</f>
        <v>0</v>
      </c>
      <c r="I76" s="36" t="n">
        <f aca="false">MIN(I75,I72)</f>
        <v>0</v>
      </c>
      <c r="J76" s="36" t="n">
        <f aca="false">MIN(J75,J72)</f>
        <v>1500000</v>
      </c>
      <c r="K76" s="36" t="n">
        <f aca="false">MIN(K75,K72)</f>
        <v>1500000</v>
      </c>
      <c r="L76" s="36" t="n">
        <f aca="false">MIN(L75,L72)</f>
        <v>1500000</v>
      </c>
    </row>
    <row r="77" customFormat="false" ht="15" hidden="false" customHeight="false" outlineLevel="0" collapsed="false">
      <c r="A77" s="7"/>
      <c r="B77" s="12" t="s">
        <v>161</v>
      </c>
      <c r="C77" s="36" t="n">
        <f aca="false">C72-C76</f>
        <v>8150000</v>
      </c>
      <c r="D77" s="36" t="n">
        <f aca="false">D72-D76</f>
        <v>7322000</v>
      </c>
      <c r="E77" s="36" t="n">
        <f aca="false">E72-E76</f>
        <v>7000560</v>
      </c>
      <c r="F77" s="36" t="n">
        <f aca="false">F72-F76</f>
        <v>6685548.79999999</v>
      </c>
      <c r="G77" s="36" t="n">
        <f aca="false">G72-G76</f>
        <v>6376837.82400001</v>
      </c>
      <c r="H77" s="36" t="n">
        <f aca="false">H72-H76</f>
        <v>0</v>
      </c>
      <c r="I77" s="36" t="n">
        <f aca="false">I72-I76</f>
        <v>0</v>
      </c>
      <c r="J77" s="36" t="n">
        <f aca="false">J72-J76</f>
        <v>5012550.78556301</v>
      </c>
      <c r="K77" s="36" t="n">
        <f aca="false">K72-K76</f>
        <v>4518245.33896364</v>
      </c>
      <c r="L77" s="36" t="n">
        <f aca="false">L72-L76</f>
        <v>4321003.85212482</v>
      </c>
    </row>
    <row r="78" customFormat="false" ht="15" hidden="false" customHeight="false" outlineLevel="0" collapsed="false">
      <c r="A78" s="7"/>
      <c r="B78" s="7"/>
      <c r="C78" s="7"/>
      <c r="D78" s="7"/>
      <c r="E78" s="7"/>
      <c r="F78" s="7"/>
      <c r="G78" s="7"/>
      <c r="H78" s="7"/>
      <c r="I78" s="7"/>
      <c r="J78" s="7"/>
      <c r="K78" s="7"/>
      <c r="L78" s="7"/>
    </row>
    <row r="79" customFormat="false" ht="15" hidden="false" customHeight="false" outlineLevel="0" collapsed="false">
      <c r="A79" s="7"/>
      <c r="B79" s="27" t="s">
        <v>162</v>
      </c>
      <c r="C79" s="9"/>
      <c r="D79" s="9"/>
      <c r="E79" s="9"/>
      <c r="F79" s="9"/>
      <c r="G79" s="9"/>
      <c r="H79" s="9"/>
      <c r="I79" s="9"/>
      <c r="J79" s="9"/>
      <c r="K79" s="9"/>
      <c r="L79" s="9"/>
    </row>
    <row r="80" customFormat="false" ht="15" hidden="false" customHeight="false" outlineLevel="0" collapsed="false">
      <c r="A80" s="7"/>
      <c r="B80" s="37" t="s">
        <v>135</v>
      </c>
      <c r="C80" s="36" t="n">
        <f aca="false">Pool_CF!C15</f>
        <v>490000000</v>
      </c>
      <c r="D80" s="36" t="n">
        <f aca="false">Pool_CF!D15</f>
        <v>480200000</v>
      </c>
      <c r="E80" s="36" t="n">
        <f aca="false">Pool_CF!E15</f>
        <v>470596000</v>
      </c>
      <c r="F80" s="36" t="n">
        <f aca="false">Pool_CF!F15</f>
        <v>461184080</v>
      </c>
      <c r="G80" s="36" t="n">
        <f aca="false">Pool_CF!G15</f>
        <v>451960398.4</v>
      </c>
      <c r="H80" s="36" t="n">
        <f aca="false">Pool_CF!H15</f>
        <v>347529110.752</v>
      </c>
      <c r="I80" s="36" t="n">
        <f aca="false">Pool_CF!I15</f>
        <v>266072706.38656</v>
      </c>
      <c r="J80" s="36" t="n">
        <f aca="false">Pool_CF!J15</f>
        <v>202536710.981517</v>
      </c>
      <c r="K80" s="36" t="n">
        <f aca="false">Pool_CF!K15</f>
        <v>152978634.565583</v>
      </c>
      <c r="L80" s="36" t="n">
        <f aca="false">Pool_CF!L15</f>
        <v>114323334.961155</v>
      </c>
    </row>
    <row r="81" customFormat="false" ht="15" hidden="false" customHeight="false" outlineLevel="0" collapsed="false">
      <c r="A81" s="7"/>
      <c r="B81" s="37" t="s">
        <v>163</v>
      </c>
      <c r="C81" s="36" t="n">
        <f aca="false">C133+C135+C137+C139</f>
        <v>437500000</v>
      </c>
      <c r="D81" s="36" t="n">
        <f aca="false">D133+D135+D137+D139</f>
        <v>437500000</v>
      </c>
      <c r="E81" s="36" t="n">
        <f aca="false">E133+E135+E137+E139</f>
        <v>430500000</v>
      </c>
      <c r="F81" s="36" t="n">
        <f aca="false">F133+F135+F137+F139</f>
        <v>423640000</v>
      </c>
      <c r="G81" s="36" t="n">
        <f aca="false">G133+G135+G137+G139</f>
        <v>416917200</v>
      </c>
      <c r="H81" s="36" t="n">
        <f aca="false">H133+H135+H137+H139</f>
        <v>410328856</v>
      </c>
      <c r="I81" s="36" t="n">
        <f aca="false">I133+I135+I137+I139</f>
        <v>295655898.13248</v>
      </c>
      <c r="J81" s="36" t="n">
        <f aca="false">J133+J135+J137+J139</f>
        <v>205618132.903488</v>
      </c>
      <c r="K81" s="36" t="n">
        <f aca="false">K133+K135+K137+K139</f>
        <v>137525633.290085</v>
      </c>
      <c r="L81" s="36" t="n">
        <f aca="false">L133+L135+L137+L139</f>
        <v>83775027.8654062</v>
      </c>
    </row>
    <row r="82" customFormat="false" ht="15" hidden="false" customHeight="false" outlineLevel="0" collapsed="false">
      <c r="A82" s="7"/>
      <c r="B82" s="37" t="s">
        <v>164</v>
      </c>
      <c r="C82" s="38" t="n">
        <f aca="false">IF(C81=0,999,C80/C81)</f>
        <v>1.12</v>
      </c>
      <c r="D82" s="38" t="n">
        <f aca="false">IF(D81=0,999,D80/D81)</f>
        <v>1.0976</v>
      </c>
      <c r="E82" s="38" t="n">
        <f aca="false">IF(E81=0,999,E80/E81)</f>
        <v>1.09313821138211</v>
      </c>
      <c r="F82" s="38" t="n">
        <f aca="false">IF(F81=0,999,F80/F81)</f>
        <v>1.08862260409782</v>
      </c>
      <c r="G82" s="38" t="n">
        <f aca="false">IF(G81=0,999,G80/G81)</f>
        <v>1.08405313668997</v>
      </c>
      <c r="H82" s="38" t="n">
        <f aca="false">IF(H81=0,999,H80/H81)</f>
        <v>0.846952647054391</v>
      </c>
      <c r="I82" s="38" t="n">
        <f aca="false">IF(I81=0,999,I80/I81)</f>
        <v>0.899940464801199</v>
      </c>
      <c r="J82" s="38" t="n">
        <f aca="false">IF(J81=0,999,J80/J81)</f>
        <v>0.98501386099339</v>
      </c>
      <c r="K82" s="38" t="n">
        <f aca="false">IF(K81=0,999,K80/K81)</f>
        <v>1.1123645163873</v>
      </c>
      <c r="L82" s="38" t="n">
        <f aca="false">IF(L81=0,999,L80/L81)</f>
        <v>1.36464693446391</v>
      </c>
    </row>
    <row r="83" customFormat="false" ht="15" hidden="false" customHeight="false" outlineLevel="0" collapsed="false">
      <c r="A83" s="7"/>
      <c r="B83" s="37" t="s">
        <v>165</v>
      </c>
      <c r="C83" s="39" t="b">
        <f aca="false">C82&gt;=OC_Trig_BBB</f>
        <v>1</v>
      </c>
      <c r="D83" s="39" t="b">
        <f aca="false">D82&gt;=OC_Trig_BBB</f>
        <v>1</v>
      </c>
      <c r="E83" s="39" t="b">
        <f aca="false">E82&gt;=OC_Trig_BBB</f>
        <v>1</v>
      </c>
      <c r="F83" s="39" t="b">
        <f aca="false">F82&gt;=OC_Trig_BBB</f>
        <v>1</v>
      </c>
      <c r="G83" s="39" t="b">
        <f aca="false">G82&gt;=OC_Trig_BBB</f>
        <v>1</v>
      </c>
      <c r="H83" s="39" t="b">
        <f aca="false">H82&gt;=OC_Trig_BBB</f>
        <v>0</v>
      </c>
      <c r="I83" s="39" t="b">
        <f aca="false">I82&gt;=OC_Trig_BBB</f>
        <v>0</v>
      </c>
      <c r="J83" s="39" t="b">
        <f aca="false">J82&gt;=OC_Trig_BBB</f>
        <v>0</v>
      </c>
      <c r="K83" s="39" t="b">
        <f aca="false">K82&gt;=OC_Trig_BBB</f>
        <v>1</v>
      </c>
      <c r="L83" s="39" t="b">
        <f aca="false">L82&gt;=OC_Trig_BBB</f>
        <v>1</v>
      </c>
    </row>
    <row r="84" customFormat="false" ht="15" hidden="false" customHeight="false" outlineLevel="0" collapsed="false">
      <c r="A84" s="7"/>
      <c r="B84" s="37" t="s">
        <v>139</v>
      </c>
      <c r="C84" s="36" t="n">
        <f aca="false">C20</f>
        <v>41400000</v>
      </c>
      <c r="D84" s="36" t="n">
        <f aca="false">D20</f>
        <v>40572000</v>
      </c>
      <c r="E84" s="36" t="n">
        <f aca="false">E20</f>
        <v>39760560</v>
      </c>
      <c r="F84" s="36" t="n">
        <f aca="false">F20</f>
        <v>38965348.8</v>
      </c>
      <c r="G84" s="36" t="n">
        <f aca="false">G20</f>
        <v>38186041.824</v>
      </c>
      <c r="H84" s="36" t="n">
        <f aca="false">H20</f>
        <v>37422320.98752</v>
      </c>
      <c r="I84" s="36" t="n">
        <f aca="false">I20</f>
        <v>28775410.3702656</v>
      </c>
      <c r="J84" s="36" t="n">
        <f aca="false">J20</f>
        <v>22030820.0888072</v>
      </c>
      <c r="K84" s="36" t="n">
        <f aca="false">K20</f>
        <v>16770039.6692696</v>
      </c>
      <c r="L84" s="36" t="n">
        <f aca="false">L20</f>
        <v>12666630.9420303</v>
      </c>
    </row>
    <row r="85" customFormat="false" ht="15" hidden="false" customHeight="false" outlineLevel="0" collapsed="false">
      <c r="A85" s="7"/>
      <c r="B85" s="37" t="s">
        <v>166</v>
      </c>
      <c r="C85" s="36" t="n">
        <f aca="false">C21+C24+C41+C58</f>
        <v>31750000</v>
      </c>
      <c r="D85" s="36" t="n">
        <f aca="false">D21+D24+D41+D58</f>
        <v>31750000</v>
      </c>
      <c r="E85" s="36" t="n">
        <f aca="false">E21+E24+E41+E58</f>
        <v>31260000</v>
      </c>
      <c r="F85" s="36" t="n">
        <f aca="false">F21+F24+F41+F58</f>
        <v>30779800</v>
      </c>
      <c r="G85" s="36" t="n">
        <f aca="false">G21+G24+G41+G58</f>
        <v>30309204</v>
      </c>
      <c r="H85" s="36" t="n">
        <f aca="false">H21+H24+H41+H58</f>
        <v>29848019.92</v>
      </c>
      <c r="I85" s="36" t="n">
        <f aca="false">I21+I24+I41+I58</f>
        <v>21820912.8692736</v>
      </c>
      <c r="J85" s="36" t="n">
        <f aca="false">J21+J24+J41+J58</f>
        <v>15518269.3032442</v>
      </c>
      <c r="K85" s="36" t="n">
        <f aca="false">K21+K24+K41+K58</f>
        <v>10751794.330306</v>
      </c>
      <c r="L85" s="36" t="n">
        <f aca="false">L21+L24+L41+L58</f>
        <v>6845627.08990546</v>
      </c>
    </row>
    <row r="86" customFormat="false" ht="15" hidden="false" customHeight="false" outlineLevel="0" collapsed="false">
      <c r="A86" s="7"/>
      <c r="B86" s="37" t="s">
        <v>167</v>
      </c>
      <c r="C86" s="38" t="n">
        <f aca="false">IF(C85=0,999,C84/C85)</f>
        <v>1.30393700787402</v>
      </c>
      <c r="D86" s="38" t="n">
        <f aca="false">IF(D85=0,999,D84/D85)</f>
        <v>1.27785826771654</v>
      </c>
      <c r="E86" s="38" t="n">
        <f aca="false">IF(E85=0,999,E84/E85)</f>
        <v>1.27193090211132</v>
      </c>
      <c r="F86" s="38" t="n">
        <f aca="false">IF(F85=0,999,F84/F85)</f>
        <v>1.26593898595832</v>
      </c>
      <c r="G86" s="38" t="n">
        <f aca="false">IF(G85=0,999,G84/G85)</f>
        <v>1.2598827017694</v>
      </c>
      <c r="H86" s="38" t="n">
        <f aca="false">IF(H85=0,999,H84/H85)</f>
        <v>1.25376226254944</v>
      </c>
      <c r="I86" s="38" t="n">
        <f aca="false">IF(I85=0,999,I84/I85)</f>
        <v>1.31870790844799</v>
      </c>
      <c r="J86" s="38" t="n">
        <f aca="false">IF(J85=0,999,J84/J85)</f>
        <v>1.4196699166834</v>
      </c>
      <c r="K86" s="38" t="n">
        <f aca="false">IF(K85=0,999,K84/K85)</f>
        <v>1.55974334646637</v>
      </c>
      <c r="L86" s="38" t="n">
        <f aca="false">IF(L85=0,999,L84/L85)</f>
        <v>1.85032441523267</v>
      </c>
    </row>
    <row r="87" customFormat="false" ht="15" hidden="false" customHeight="false" outlineLevel="0" collapsed="false">
      <c r="A87" s="7"/>
      <c r="B87" s="37" t="s">
        <v>168</v>
      </c>
      <c r="C87" s="39" t="b">
        <f aca="false">C86&gt;=IC_Trig_BBB</f>
        <v>1</v>
      </c>
      <c r="D87" s="39" t="b">
        <f aca="false">D86&gt;=IC_Trig_BBB</f>
        <v>1</v>
      </c>
      <c r="E87" s="39" t="b">
        <f aca="false">E86&gt;=IC_Trig_BBB</f>
        <v>1</v>
      </c>
      <c r="F87" s="39" t="b">
        <f aca="false">F86&gt;=IC_Trig_BBB</f>
        <v>1</v>
      </c>
      <c r="G87" s="39" t="b">
        <f aca="false">G86&gt;=IC_Trig_BBB</f>
        <v>1</v>
      </c>
      <c r="H87" s="39" t="b">
        <f aca="false">H86&gt;=IC_Trig_BBB</f>
        <v>1</v>
      </c>
      <c r="I87" s="39" t="b">
        <f aca="false">I86&gt;=IC_Trig_BBB</f>
        <v>1</v>
      </c>
      <c r="J87" s="39" t="b">
        <f aca="false">J86&gt;=IC_Trig_BBB</f>
        <v>1</v>
      </c>
      <c r="K87" s="39" t="b">
        <f aca="false">K86&gt;=IC_Trig_BBB</f>
        <v>1</v>
      </c>
      <c r="L87" s="39" t="b">
        <f aca="false">L86&gt;=IC_Trig_BBB</f>
        <v>1</v>
      </c>
    </row>
    <row r="88" customFormat="false" ht="15" hidden="false" customHeight="false" outlineLevel="0" collapsed="false">
      <c r="A88" s="7"/>
      <c r="B88" s="37" t="s">
        <v>169</v>
      </c>
      <c r="C88" s="36" t="n">
        <f aca="false">IF(AND(C83,C87),0,C77)</f>
        <v>0</v>
      </c>
      <c r="D88" s="36" t="n">
        <f aca="false">IF(AND(D83,D87),0,D77)</f>
        <v>0</v>
      </c>
      <c r="E88" s="36" t="n">
        <f aca="false">IF(AND(E83,E87),0,E77)</f>
        <v>0</v>
      </c>
      <c r="F88" s="36" t="n">
        <f aca="false">IF(AND(F83,F87),0,F77)</f>
        <v>0</v>
      </c>
      <c r="G88" s="36" t="n">
        <f aca="false">IF(AND(G83,G87),0,G77)</f>
        <v>0</v>
      </c>
      <c r="H88" s="36" t="n">
        <f aca="false">IF(AND(H83,H87),0,H77)</f>
        <v>0</v>
      </c>
      <c r="I88" s="36" t="n">
        <f aca="false">IF(AND(I83,I87),0,I77)</f>
        <v>0</v>
      </c>
      <c r="J88" s="36" t="n">
        <f aca="false">IF(AND(J83,J87),0,J77)</f>
        <v>5012550.78556301</v>
      </c>
      <c r="K88" s="36" t="n">
        <f aca="false">IF(AND(K83,K87),0,K77)</f>
        <v>0</v>
      </c>
      <c r="L88" s="36" t="n">
        <f aca="false">IF(AND(L83,L87),0,L77)</f>
        <v>0</v>
      </c>
    </row>
    <row r="89" customFormat="false" ht="15" hidden="false" customHeight="false" outlineLevel="0" collapsed="false">
      <c r="A89" s="7"/>
      <c r="B89" s="12" t="s">
        <v>170</v>
      </c>
      <c r="C89" s="36" t="n">
        <f aca="false">C77-C88</f>
        <v>8150000</v>
      </c>
      <c r="D89" s="36" t="n">
        <f aca="false">D77-D88</f>
        <v>7322000</v>
      </c>
      <c r="E89" s="36" t="n">
        <f aca="false">E77-E88</f>
        <v>7000560</v>
      </c>
      <c r="F89" s="36" t="n">
        <f aca="false">F77-F88</f>
        <v>6685548.79999999</v>
      </c>
      <c r="G89" s="36" t="n">
        <f aca="false">G77-G88</f>
        <v>6376837.82400001</v>
      </c>
      <c r="H89" s="36" t="n">
        <f aca="false">H77-H88</f>
        <v>0</v>
      </c>
      <c r="I89" s="36" t="n">
        <f aca="false">I77-I88</f>
        <v>0</v>
      </c>
      <c r="J89" s="36" t="n">
        <f aca="false">J77-J88</f>
        <v>0</v>
      </c>
      <c r="K89" s="36" t="n">
        <f aca="false">K77-K88</f>
        <v>4518245.33896364</v>
      </c>
      <c r="L89" s="36" t="n">
        <f aca="false">L77-L88</f>
        <v>4321003.85212482</v>
      </c>
    </row>
    <row r="90" customFormat="false" ht="15" hidden="false" customHeight="false" outlineLevel="0" collapsed="false">
      <c r="A90" s="7"/>
      <c r="B90" s="7"/>
      <c r="C90" s="7"/>
      <c r="D90" s="7"/>
      <c r="E90" s="7"/>
      <c r="F90" s="7"/>
      <c r="G90" s="7"/>
      <c r="H90" s="7"/>
      <c r="I90" s="7"/>
      <c r="J90" s="7"/>
      <c r="K90" s="7"/>
      <c r="L90" s="7"/>
    </row>
    <row r="91" customFormat="false" ht="15" hidden="false" customHeight="false" outlineLevel="0" collapsed="false">
      <c r="A91" s="7"/>
      <c r="B91" s="27" t="s">
        <v>171</v>
      </c>
      <c r="C91" s="9"/>
      <c r="D91" s="9"/>
      <c r="E91" s="9"/>
      <c r="F91" s="9"/>
      <c r="G91" s="9"/>
      <c r="H91" s="9"/>
      <c r="I91" s="9"/>
      <c r="J91" s="9"/>
      <c r="K91" s="9"/>
      <c r="L91" s="9"/>
    </row>
    <row r="92" customFormat="false" ht="15" hidden="false" customHeight="false" outlineLevel="0" collapsed="false">
      <c r="A92" s="7"/>
      <c r="B92" s="37" t="s">
        <v>135</v>
      </c>
      <c r="C92" s="36" t="n">
        <f aca="false">Pool_CF!C15</f>
        <v>490000000</v>
      </c>
      <c r="D92" s="36" t="n">
        <f aca="false">Pool_CF!D15</f>
        <v>480200000</v>
      </c>
      <c r="E92" s="36" t="n">
        <f aca="false">Pool_CF!E15</f>
        <v>470596000</v>
      </c>
      <c r="F92" s="36" t="n">
        <f aca="false">Pool_CF!F15</f>
        <v>461184080</v>
      </c>
      <c r="G92" s="36" t="n">
        <f aca="false">Pool_CF!G15</f>
        <v>451960398.4</v>
      </c>
      <c r="H92" s="36" t="n">
        <f aca="false">Pool_CF!H15</f>
        <v>347529110.752</v>
      </c>
      <c r="I92" s="36" t="n">
        <f aca="false">Pool_CF!I15</f>
        <v>266072706.38656</v>
      </c>
      <c r="J92" s="36" t="n">
        <f aca="false">Pool_CF!J15</f>
        <v>202536710.981517</v>
      </c>
      <c r="K92" s="36" t="n">
        <f aca="false">Pool_CF!K15</f>
        <v>152978634.565583</v>
      </c>
      <c r="L92" s="36" t="n">
        <f aca="false">Pool_CF!L15</f>
        <v>114323334.961155</v>
      </c>
    </row>
    <row r="93" customFormat="false" ht="15" hidden="false" customHeight="false" outlineLevel="0" collapsed="false">
      <c r="A93" s="7"/>
      <c r="B93" s="37" t="s">
        <v>172</v>
      </c>
      <c r="C93" s="36" t="n">
        <f aca="false">C133+C135+C137+C139+C141</f>
        <v>452500000</v>
      </c>
      <c r="D93" s="36" t="n">
        <f aca="false">D133+D135+D137+D139+D141</f>
        <v>452500000</v>
      </c>
      <c r="E93" s="36" t="n">
        <f aca="false">E133+E135+E137+E139+E141</f>
        <v>445500000</v>
      </c>
      <c r="F93" s="36" t="n">
        <f aca="false">F133+F135+F137+F139+F141</f>
        <v>438640000</v>
      </c>
      <c r="G93" s="36" t="n">
        <f aca="false">G133+G135+G137+G139+G141</f>
        <v>431917200</v>
      </c>
      <c r="H93" s="36" t="n">
        <f aca="false">H133+H135+H137+H139+H141</f>
        <v>425328856</v>
      </c>
      <c r="I93" s="36" t="n">
        <f aca="false">I133+I135+I137+I139+I141</f>
        <v>310655898.13248</v>
      </c>
      <c r="J93" s="36" t="n">
        <f aca="false">J133+J135+J137+J139+J141</f>
        <v>220618132.903488</v>
      </c>
      <c r="K93" s="36" t="n">
        <f aca="false">K133+K135+K137+K139+K141</f>
        <v>152525633.290085</v>
      </c>
      <c r="L93" s="36" t="n">
        <f aca="false">L133+L135+L137+L139+L141</f>
        <v>98775027.8654062</v>
      </c>
    </row>
    <row r="94" customFormat="false" ht="15" hidden="false" customHeight="false" outlineLevel="0" collapsed="false">
      <c r="A94" s="7"/>
      <c r="B94" s="37" t="s">
        <v>173</v>
      </c>
      <c r="C94" s="38" t="n">
        <f aca="false">IF(C93=0,999,C92/C93)</f>
        <v>1.0828729281768</v>
      </c>
      <c r="D94" s="38" t="n">
        <f aca="false">IF(D93=0,999,D92/D93)</f>
        <v>1.06121546961326</v>
      </c>
      <c r="E94" s="38" t="n">
        <f aca="false">IF(E93=0,999,E92/E93)</f>
        <v>1.05633221099888</v>
      </c>
      <c r="F94" s="38" t="n">
        <f aca="false">IF(F93=0,999,F92/F93)</f>
        <v>1.05139540397593</v>
      </c>
      <c r="G94" s="38" t="n">
        <f aca="false">IF(G93=0,999,G92/G93)</f>
        <v>1.04640518692009</v>
      </c>
      <c r="H94" s="38" t="n">
        <f aca="false">IF(H93=0,999,H92/H93)</f>
        <v>0.817083312945971</v>
      </c>
      <c r="I94" s="38" t="n">
        <f aca="false">IF(I93=0,999,I92/I93)</f>
        <v>0.856486897516082</v>
      </c>
      <c r="J94" s="38" t="n">
        <f aca="false">IF(J93=0,999,J92/J93)</f>
        <v>0.918041995533155</v>
      </c>
      <c r="K94" s="38" t="n">
        <f aca="false">IF(K93=0,999,K92/K93)</f>
        <v>1.00297000094821</v>
      </c>
      <c r="L94" s="38" t="n">
        <f aca="false">IF(L93=0,999,L92/L93)</f>
        <v>1.15741131571165</v>
      </c>
    </row>
    <row r="95" customFormat="false" ht="15" hidden="false" customHeight="false" outlineLevel="0" collapsed="false">
      <c r="A95" s="7"/>
      <c r="B95" s="37" t="s">
        <v>174</v>
      </c>
      <c r="C95" s="39" t="b">
        <f aca="false">C94&gt;=OC_Trig_BB</f>
        <v>1</v>
      </c>
      <c r="D95" s="39" t="b">
        <f aca="false">D94&gt;=OC_Trig_BB</f>
        <v>1</v>
      </c>
      <c r="E95" s="39" t="b">
        <f aca="false">E94&gt;=OC_Trig_BB</f>
        <v>1</v>
      </c>
      <c r="F95" s="39" t="b">
        <f aca="false">F94&gt;=OC_Trig_BB</f>
        <v>1</v>
      </c>
      <c r="G95" s="39" t="b">
        <f aca="false">G94&gt;=OC_Trig_BB</f>
        <v>1</v>
      </c>
      <c r="H95" s="39" t="b">
        <f aca="false">H94&gt;=OC_Trig_BB</f>
        <v>0</v>
      </c>
      <c r="I95" s="39" t="b">
        <f aca="false">I94&gt;=OC_Trig_BB</f>
        <v>0</v>
      </c>
      <c r="J95" s="39" t="b">
        <f aca="false">J94&gt;=OC_Trig_BB</f>
        <v>0</v>
      </c>
      <c r="K95" s="39" t="b">
        <f aca="false">K94&gt;=OC_Trig_BB</f>
        <v>0</v>
      </c>
      <c r="L95" s="39" t="b">
        <f aca="false">L94&gt;=OC_Trig_BB</f>
        <v>1</v>
      </c>
    </row>
    <row r="96" customFormat="false" ht="15" hidden="false" customHeight="false" outlineLevel="0" collapsed="false">
      <c r="A96" s="7"/>
      <c r="B96" s="37" t="s">
        <v>139</v>
      </c>
      <c r="C96" s="36" t="n">
        <f aca="false">C20</f>
        <v>41400000</v>
      </c>
      <c r="D96" s="36" t="n">
        <f aca="false">D20</f>
        <v>40572000</v>
      </c>
      <c r="E96" s="36" t="n">
        <f aca="false">E20</f>
        <v>39760560</v>
      </c>
      <c r="F96" s="36" t="n">
        <f aca="false">F20</f>
        <v>38965348.8</v>
      </c>
      <c r="G96" s="36" t="n">
        <f aca="false">G20</f>
        <v>38186041.824</v>
      </c>
      <c r="H96" s="36" t="n">
        <f aca="false">H20</f>
        <v>37422320.98752</v>
      </c>
      <c r="I96" s="36" t="n">
        <f aca="false">I20</f>
        <v>28775410.3702656</v>
      </c>
      <c r="J96" s="36" t="n">
        <f aca="false">J20</f>
        <v>22030820.0888072</v>
      </c>
      <c r="K96" s="36" t="n">
        <f aca="false">K20</f>
        <v>16770039.6692696</v>
      </c>
      <c r="L96" s="36" t="n">
        <f aca="false">L20</f>
        <v>12666630.9420303</v>
      </c>
    </row>
    <row r="97" customFormat="false" ht="15" hidden="false" customHeight="false" outlineLevel="0" collapsed="false">
      <c r="A97" s="7"/>
      <c r="B97" s="37" t="s">
        <v>175</v>
      </c>
      <c r="C97" s="36" t="n">
        <f aca="false">C21+C24+C41+C58+C75</f>
        <v>33250000</v>
      </c>
      <c r="D97" s="36" t="n">
        <f aca="false">D21+D24+D41+D58+D75</f>
        <v>33250000</v>
      </c>
      <c r="E97" s="36" t="n">
        <f aca="false">E21+E24+E41+E58+E75</f>
        <v>32760000</v>
      </c>
      <c r="F97" s="36" t="n">
        <f aca="false">F21+F24+F41+F58+F75</f>
        <v>32279800</v>
      </c>
      <c r="G97" s="36" t="n">
        <f aca="false">G21+G24+G41+G58+G75</f>
        <v>31809204</v>
      </c>
      <c r="H97" s="36" t="n">
        <f aca="false">H21+H24+H41+H58+H75</f>
        <v>31348019.92</v>
      </c>
      <c r="I97" s="36" t="n">
        <f aca="false">I21+I24+I41+I58+I75</f>
        <v>23320912.8692736</v>
      </c>
      <c r="J97" s="36" t="n">
        <f aca="false">J21+J24+J41+J58+J75</f>
        <v>17018269.3032442</v>
      </c>
      <c r="K97" s="36" t="n">
        <f aca="false">K21+K24+K41+K58+K75</f>
        <v>12251794.330306</v>
      </c>
      <c r="L97" s="36" t="n">
        <f aca="false">L21+L24+L41+L58+L75</f>
        <v>8345627.08990546</v>
      </c>
    </row>
    <row r="98" customFormat="false" ht="15" hidden="false" customHeight="false" outlineLevel="0" collapsed="false">
      <c r="A98" s="7"/>
      <c r="B98" s="37" t="s">
        <v>176</v>
      </c>
      <c r="C98" s="38" t="n">
        <f aca="false">IF(C97=0,999,C96/C97)</f>
        <v>1.24511278195489</v>
      </c>
      <c r="D98" s="38" t="n">
        <f aca="false">IF(D97=0,999,D96/D97)</f>
        <v>1.22021052631579</v>
      </c>
      <c r="E98" s="38" t="n">
        <f aca="false">IF(E97=0,999,E96/E97)</f>
        <v>1.21369230769231</v>
      </c>
      <c r="F98" s="38" t="n">
        <f aca="false">IF(F97=0,999,F96/F97)</f>
        <v>1.20711246042417</v>
      </c>
      <c r="G98" s="38" t="n">
        <f aca="false">IF(G97=0,999,G96/G97)</f>
        <v>1.20047146806943</v>
      </c>
      <c r="H98" s="38" t="n">
        <f aca="false">IF(H97=0,999,H96/H97)</f>
        <v>1.19376984839941</v>
      </c>
      <c r="I98" s="38" t="n">
        <f aca="false">IF(I97=0,999,I96/I97)</f>
        <v>1.23388867886808</v>
      </c>
      <c r="J98" s="38" t="n">
        <f aca="false">IF(J97=0,999,J96/J97)</f>
        <v>1.29453939741143</v>
      </c>
      <c r="K98" s="38" t="n">
        <f aca="false">IF(K97=0,999,K96/K97)</f>
        <v>1.36878233646049</v>
      </c>
      <c r="L98" s="38" t="n">
        <f aca="false">IF(L97=0,999,L96/L97)</f>
        <v>1.51775664136148</v>
      </c>
    </row>
    <row r="99" customFormat="false" ht="15" hidden="false" customHeight="false" outlineLevel="0" collapsed="false">
      <c r="A99" s="7"/>
      <c r="B99" s="37" t="s">
        <v>177</v>
      </c>
      <c r="C99" s="39" t="b">
        <f aca="false">C98&gt;=IC_Trig_BB</f>
        <v>1</v>
      </c>
      <c r="D99" s="39" t="b">
        <f aca="false">D98&gt;=IC_Trig_BB</f>
        <v>1</v>
      </c>
      <c r="E99" s="39" t="b">
        <f aca="false">E98&gt;=IC_Trig_BB</f>
        <v>1</v>
      </c>
      <c r="F99" s="39" t="b">
        <f aca="false">F98&gt;=IC_Trig_BB</f>
        <v>1</v>
      </c>
      <c r="G99" s="39" t="b">
        <f aca="false">G98&gt;=IC_Trig_BB</f>
        <v>1</v>
      </c>
      <c r="H99" s="39" t="b">
        <f aca="false">H98&gt;=IC_Trig_BB</f>
        <v>1</v>
      </c>
      <c r="I99" s="39" t="b">
        <f aca="false">I98&gt;=IC_Trig_BB</f>
        <v>1</v>
      </c>
      <c r="J99" s="39" t="b">
        <f aca="false">J98&gt;=IC_Trig_BB</f>
        <v>1</v>
      </c>
      <c r="K99" s="39" t="b">
        <f aca="false">K98&gt;=IC_Trig_BB</f>
        <v>1</v>
      </c>
      <c r="L99" s="39" t="b">
        <f aca="false">L98&gt;=IC_Trig_BB</f>
        <v>1</v>
      </c>
    </row>
    <row r="100" customFormat="false" ht="15" hidden="false" customHeight="false" outlineLevel="0" collapsed="false">
      <c r="A100" s="7"/>
      <c r="B100" s="37" t="s">
        <v>178</v>
      </c>
      <c r="C100" s="36" t="n">
        <f aca="false">IF(AND(C95,C99),0,C89)</f>
        <v>0</v>
      </c>
      <c r="D100" s="36" t="n">
        <f aca="false">IF(AND(D95,D99),0,D89)</f>
        <v>0</v>
      </c>
      <c r="E100" s="36" t="n">
        <f aca="false">IF(AND(E95,E99),0,E89)</f>
        <v>0</v>
      </c>
      <c r="F100" s="36" t="n">
        <f aca="false">IF(AND(F95,F99),0,F89)</f>
        <v>0</v>
      </c>
      <c r="G100" s="36" t="n">
        <f aca="false">IF(AND(G95,G99),0,G89)</f>
        <v>0</v>
      </c>
      <c r="H100" s="36" t="n">
        <f aca="false">IF(AND(H95,H99),0,H89)</f>
        <v>0</v>
      </c>
      <c r="I100" s="36" t="n">
        <f aca="false">IF(AND(I95,I99),0,I89)</f>
        <v>0</v>
      </c>
      <c r="J100" s="36" t="n">
        <f aca="false">IF(AND(J95,J99),0,J89)</f>
        <v>0</v>
      </c>
      <c r="K100" s="36" t="n">
        <f aca="false">IF(AND(K95,K99),0,K89)</f>
        <v>4518245.33896364</v>
      </c>
      <c r="L100" s="36" t="n">
        <f aca="false">IF(AND(L95,L99),0,L89)</f>
        <v>0</v>
      </c>
    </row>
    <row r="101" customFormat="false" ht="15" hidden="false" customHeight="false" outlineLevel="0" collapsed="false">
      <c r="A101" s="7"/>
      <c r="B101" s="12" t="s">
        <v>179</v>
      </c>
      <c r="C101" s="36" t="n">
        <f aca="false">C89-C100</f>
        <v>8150000</v>
      </c>
      <c r="D101" s="36" t="n">
        <f aca="false">D89-D100</f>
        <v>7322000</v>
      </c>
      <c r="E101" s="36" t="n">
        <f aca="false">E89-E100</f>
        <v>7000560</v>
      </c>
      <c r="F101" s="36" t="n">
        <f aca="false">F89-F100</f>
        <v>6685548.79999999</v>
      </c>
      <c r="G101" s="36" t="n">
        <f aca="false">G89-G100</f>
        <v>6376837.82400001</v>
      </c>
      <c r="H101" s="36" t="n">
        <f aca="false">H89-H100</f>
        <v>0</v>
      </c>
      <c r="I101" s="36" t="n">
        <f aca="false">I89-I100</f>
        <v>0</v>
      </c>
      <c r="J101" s="36" t="n">
        <f aca="false">J89-J100</f>
        <v>0</v>
      </c>
      <c r="K101" s="36" t="n">
        <f aca="false">K89-K100</f>
        <v>0</v>
      </c>
      <c r="L101" s="36" t="n">
        <f aca="false">L89-L100</f>
        <v>4321003.85212482</v>
      </c>
    </row>
    <row r="102" customFormat="false" ht="15" hidden="false" customHeight="false" outlineLevel="0" collapsed="false">
      <c r="A102" s="7"/>
      <c r="B102" s="7"/>
      <c r="C102" s="7"/>
      <c r="D102" s="7"/>
      <c r="E102" s="7"/>
      <c r="F102" s="7"/>
      <c r="G102" s="7"/>
      <c r="H102" s="7"/>
      <c r="I102" s="7"/>
      <c r="J102" s="7"/>
      <c r="K102" s="7"/>
      <c r="L102" s="7"/>
    </row>
    <row r="103" customFormat="false" ht="15" hidden="false" customHeight="false" outlineLevel="0" collapsed="false">
      <c r="A103" s="7"/>
      <c r="B103" s="27" t="s">
        <v>180</v>
      </c>
      <c r="C103" s="9"/>
      <c r="D103" s="9"/>
      <c r="E103" s="9"/>
      <c r="F103" s="9"/>
      <c r="G103" s="9"/>
      <c r="H103" s="9"/>
      <c r="I103" s="9"/>
      <c r="J103" s="9"/>
      <c r="K103" s="9"/>
      <c r="L103" s="9"/>
    </row>
    <row r="104" customFormat="false" ht="15" hidden="false" customHeight="false" outlineLevel="0" collapsed="false">
      <c r="A104" s="7"/>
      <c r="B104" s="37" t="s">
        <v>181</v>
      </c>
      <c r="C104" s="36" t="n">
        <f aca="false">MIN(Pool_CF!C10*Sub_Mgmt_Fee,C101)</f>
        <v>1000000</v>
      </c>
      <c r="D104" s="36" t="n">
        <f aca="false">MIN(Pool_CF!D10*Sub_Mgmt_Fee,D101)</f>
        <v>980000</v>
      </c>
      <c r="E104" s="36" t="n">
        <f aca="false">MIN(Pool_CF!E10*Sub_Mgmt_Fee,E101)</f>
        <v>960400</v>
      </c>
      <c r="F104" s="36" t="n">
        <f aca="false">MIN(Pool_CF!F10*Sub_Mgmt_Fee,F101)</f>
        <v>941192</v>
      </c>
      <c r="G104" s="36" t="n">
        <f aca="false">MIN(Pool_CF!G10*Sub_Mgmt_Fee,G101)</f>
        <v>922368.16</v>
      </c>
      <c r="H104" s="36" t="n">
        <f aca="false">MIN(Pool_CF!H10*Sub_Mgmt_Fee,H101)</f>
        <v>0</v>
      </c>
      <c r="I104" s="36" t="n">
        <f aca="false">MIN(Pool_CF!I10*Sub_Mgmt_Fee,I101)</f>
        <v>0</v>
      </c>
      <c r="J104" s="36" t="n">
        <f aca="false">MIN(Pool_CF!J10*Sub_Mgmt_Fee,J101)</f>
        <v>0</v>
      </c>
      <c r="K104" s="36" t="n">
        <f aca="false">MIN(Pool_CF!K10*Sub_Mgmt_Fee,K101)</f>
        <v>0</v>
      </c>
      <c r="L104" s="36" t="n">
        <f aca="false">MIN(Pool_CF!L10*Sub_Mgmt_Fee,L101)</f>
        <v>305957.269131166</v>
      </c>
    </row>
    <row r="105" customFormat="false" ht="15" hidden="false" customHeight="false" outlineLevel="0" collapsed="false">
      <c r="A105" s="7"/>
      <c r="B105" s="37" t="s">
        <v>182</v>
      </c>
      <c r="C105" s="36" t="n">
        <f aca="false">C101-C104</f>
        <v>7150000</v>
      </c>
      <c r="D105" s="36" t="n">
        <f aca="false">D101-D104</f>
        <v>6342000</v>
      </c>
      <c r="E105" s="36" t="n">
        <f aca="false">E101-E104</f>
        <v>6040160</v>
      </c>
      <c r="F105" s="36" t="n">
        <f aca="false">F101-F104</f>
        <v>5744356.79999999</v>
      </c>
      <c r="G105" s="36" t="n">
        <f aca="false">G101-G104</f>
        <v>5454469.664</v>
      </c>
      <c r="H105" s="36" t="n">
        <f aca="false">H101-H104</f>
        <v>0</v>
      </c>
      <c r="I105" s="36" t="n">
        <f aca="false">I101-I104</f>
        <v>0</v>
      </c>
      <c r="J105" s="36" t="n">
        <f aca="false">J101-J104</f>
        <v>0</v>
      </c>
      <c r="K105" s="36" t="n">
        <f aca="false">K101-K104</f>
        <v>0</v>
      </c>
      <c r="L105" s="36" t="n">
        <f aca="false">L101-L104</f>
        <v>4015046.58299365</v>
      </c>
    </row>
    <row r="106" customFormat="false" ht="15" hidden="false" customHeight="false" outlineLevel="0" collapsed="false">
      <c r="A106" s="7"/>
      <c r="B106" s="12" t="s">
        <v>183</v>
      </c>
      <c r="C106" s="36" t="n">
        <f aca="false">MAX(0,C105)</f>
        <v>7150000</v>
      </c>
      <c r="D106" s="36" t="n">
        <f aca="false">MAX(0,D105)</f>
        <v>6342000</v>
      </c>
      <c r="E106" s="36" t="n">
        <f aca="false">MAX(0,E105)</f>
        <v>6040160</v>
      </c>
      <c r="F106" s="36" t="n">
        <f aca="false">MAX(0,F105)</f>
        <v>5744356.79999999</v>
      </c>
      <c r="G106" s="36" t="n">
        <f aca="false">MAX(0,G105)</f>
        <v>5454469.664</v>
      </c>
      <c r="H106" s="36" t="n">
        <f aca="false">MAX(0,H105)</f>
        <v>0</v>
      </c>
      <c r="I106" s="36" t="n">
        <f aca="false">MAX(0,I105)</f>
        <v>0</v>
      </c>
      <c r="J106" s="36" t="n">
        <f aca="false">MAX(0,J105)</f>
        <v>0</v>
      </c>
      <c r="K106" s="36" t="n">
        <f aca="false">MAX(0,K105)</f>
        <v>0</v>
      </c>
      <c r="L106" s="36" t="n">
        <f aca="false">MAX(0,L105)</f>
        <v>4015046.58299365</v>
      </c>
    </row>
    <row r="107" customFormat="false" ht="15" hidden="false" customHeight="false" outlineLevel="0" collapsed="false">
      <c r="A107" s="7"/>
      <c r="B107" s="7"/>
      <c r="C107" s="7"/>
      <c r="D107" s="7"/>
      <c r="E107" s="7"/>
      <c r="F107" s="7"/>
      <c r="G107" s="7"/>
      <c r="H107" s="7"/>
      <c r="I107" s="7"/>
      <c r="J107" s="7"/>
      <c r="K107" s="7"/>
      <c r="L107" s="7"/>
    </row>
    <row r="108" customFormat="false" ht="15" hidden="false" customHeight="false" outlineLevel="0" collapsed="false">
      <c r="A108" s="7"/>
      <c r="B108" s="27" t="s">
        <v>184</v>
      </c>
      <c r="C108" s="9"/>
      <c r="D108" s="9"/>
      <c r="E108" s="9"/>
      <c r="F108" s="9"/>
      <c r="G108" s="9"/>
      <c r="H108" s="9"/>
      <c r="I108" s="9"/>
      <c r="J108" s="9"/>
      <c r="K108" s="9"/>
      <c r="L108" s="9"/>
    </row>
    <row r="109" customFormat="false" ht="15" hidden="false" customHeight="false" outlineLevel="0" collapsed="false">
      <c r="A109" s="7"/>
      <c r="B109" s="37" t="s">
        <v>185</v>
      </c>
      <c r="C109" s="36" t="n">
        <f aca="false">Equity_Size*Equity_Hurdle_Rate*C7</f>
        <v>5700000</v>
      </c>
      <c r="D109" s="36" t="n">
        <f aca="false">Equity_Size*Equity_Hurdle_Rate*D7</f>
        <v>11400000</v>
      </c>
      <c r="E109" s="36" t="n">
        <f aca="false">Equity_Size*Equity_Hurdle_Rate*E7</f>
        <v>17100000</v>
      </c>
      <c r="F109" s="36" t="n">
        <f aca="false">Equity_Size*Equity_Hurdle_Rate*F7</f>
        <v>22800000</v>
      </c>
      <c r="G109" s="36" t="n">
        <f aca="false">Equity_Size*Equity_Hurdle_Rate*G7</f>
        <v>28500000</v>
      </c>
      <c r="H109" s="36" t="n">
        <f aca="false">Equity_Size*Equity_Hurdle_Rate*H7</f>
        <v>34200000</v>
      </c>
      <c r="I109" s="36" t="n">
        <f aca="false">Equity_Size*Equity_Hurdle_Rate*I7</f>
        <v>39900000</v>
      </c>
      <c r="J109" s="36" t="n">
        <f aca="false">Equity_Size*Equity_Hurdle_Rate*J7</f>
        <v>45600000</v>
      </c>
      <c r="K109" s="36" t="n">
        <f aca="false">Equity_Size*Equity_Hurdle_Rate*K7</f>
        <v>51300000</v>
      </c>
      <c r="L109" s="36" t="n">
        <f aca="false">Equity_Size*Equity_Hurdle_Rate*L7</f>
        <v>57000000</v>
      </c>
    </row>
    <row r="110" customFormat="false" ht="15" hidden="false" customHeight="false" outlineLevel="0" collapsed="false">
      <c r="A110" s="7"/>
      <c r="B110" s="37" t="s">
        <v>186</v>
      </c>
      <c r="C110" s="36" t="n">
        <f aca="false">C106+C130</f>
        <v>7150000</v>
      </c>
      <c r="D110" s="36" t="n">
        <f aca="false">C110+D106+D130</f>
        <v>13492000</v>
      </c>
      <c r="E110" s="36" t="n">
        <f aca="false">D110+E106+E130</f>
        <v>19532160</v>
      </c>
      <c r="F110" s="36" t="n">
        <f aca="false">E110+F106+F130</f>
        <v>25276516.8</v>
      </c>
      <c r="G110" s="36" t="n">
        <f aca="false">F110+G106+G130</f>
        <v>30730986.464</v>
      </c>
      <c r="H110" s="36" t="n">
        <f aca="false">G110+H106+H130</f>
        <v>30730986.464</v>
      </c>
      <c r="I110" s="36" t="n">
        <f aca="false">H110+I106+I130</f>
        <v>30730986.464</v>
      </c>
      <c r="J110" s="36" t="n">
        <f aca="false">I110+J106+J130</f>
        <v>30730986.464</v>
      </c>
      <c r="K110" s="36" t="n">
        <f aca="false">J110+K106+K130</f>
        <v>30730986.464</v>
      </c>
      <c r="L110" s="36" t="n">
        <f aca="false">K110+L106+L130</f>
        <v>34746033.0469936</v>
      </c>
    </row>
    <row r="111" customFormat="false" ht="15" hidden="false" customHeight="false" outlineLevel="0" collapsed="false">
      <c r="A111" s="7"/>
      <c r="B111" s="37" t="s">
        <v>187</v>
      </c>
      <c r="C111" s="36" t="n">
        <f aca="false">MAX(0,C110-C109)</f>
        <v>1450000</v>
      </c>
      <c r="D111" s="36" t="n">
        <f aca="false">MAX(0,D110-D109)</f>
        <v>2091999.99999999</v>
      </c>
      <c r="E111" s="36" t="n">
        <f aca="false">MAX(0,E110-E109)</f>
        <v>2432159.99999999</v>
      </c>
      <c r="F111" s="36" t="n">
        <f aca="false">MAX(0,F110-F109)</f>
        <v>2476516.79999998</v>
      </c>
      <c r="G111" s="36" t="n">
        <f aca="false">MAX(0,G110-G109)</f>
        <v>2230986.46399999</v>
      </c>
      <c r="H111" s="36" t="n">
        <f aca="false">MAX(0,H110-H109)</f>
        <v>0</v>
      </c>
      <c r="I111" s="36" t="n">
        <f aca="false">MAX(0,I110-I109)</f>
        <v>0</v>
      </c>
      <c r="J111" s="36" t="n">
        <f aca="false">MAX(0,J110-J109)</f>
        <v>0</v>
      </c>
      <c r="K111" s="36" t="n">
        <f aca="false">MAX(0,K110-K109)</f>
        <v>0</v>
      </c>
      <c r="L111" s="36" t="n">
        <f aca="false">MAX(0,L110-L109)</f>
        <v>0</v>
      </c>
    </row>
    <row r="112" customFormat="false" ht="15" hidden="false" customHeight="false" outlineLevel="0" collapsed="false">
      <c r="A112" s="7"/>
      <c r="B112" s="37" t="s">
        <v>188</v>
      </c>
      <c r="C112" s="36" t="n">
        <f aca="false">0</f>
        <v>0</v>
      </c>
      <c r="D112" s="36" t="n">
        <f aca="false">C111</f>
        <v>1450000</v>
      </c>
      <c r="E112" s="36" t="n">
        <f aca="false">D111</f>
        <v>2091999.99999999</v>
      </c>
      <c r="F112" s="36" t="n">
        <f aca="false">E111</f>
        <v>2432159.99999999</v>
      </c>
      <c r="G112" s="36" t="n">
        <f aca="false">F111</f>
        <v>2476516.79999998</v>
      </c>
      <c r="H112" s="36" t="n">
        <f aca="false">G111</f>
        <v>2230986.46399999</v>
      </c>
      <c r="I112" s="36" t="n">
        <f aca="false">H111</f>
        <v>0</v>
      </c>
      <c r="J112" s="36" t="n">
        <f aca="false">I111</f>
        <v>0</v>
      </c>
      <c r="K112" s="36" t="n">
        <f aca="false">J111</f>
        <v>0</v>
      </c>
      <c r="L112" s="36" t="n">
        <f aca="false">K111</f>
        <v>0</v>
      </c>
    </row>
    <row r="113" customFormat="false" ht="15" hidden="false" customHeight="false" outlineLevel="0" collapsed="false">
      <c r="A113" s="7"/>
      <c r="B113" s="37" t="s">
        <v>189</v>
      </c>
      <c r="C113" s="36" t="n">
        <f aca="false">(C111-C112)*Incentive_Fee_Rate</f>
        <v>289999.999999999</v>
      </c>
      <c r="D113" s="36" t="n">
        <f aca="false">(D111-D112)*Incentive_Fee_Rate</f>
        <v>128399.999999999</v>
      </c>
      <c r="E113" s="36" t="n">
        <f aca="false">(E111-E112)*Incentive_Fee_Rate</f>
        <v>68031.9999999993</v>
      </c>
      <c r="F113" s="36" t="n">
        <f aca="false">(F111-F112)*Incentive_Fee_Rate</f>
        <v>8871.35999999866</v>
      </c>
      <c r="G113" s="36" t="n">
        <f aca="false">(G111-G112)*Incentive_Fee_Rate</f>
        <v>-49106.0671999991</v>
      </c>
      <c r="H113" s="36" t="n">
        <f aca="false">(H111-H112)*Incentive_Fee_Rate</f>
        <v>-446197.292799997</v>
      </c>
      <c r="I113" s="36" t="n">
        <f aca="false">(I111-I112)*Incentive_Fee_Rate</f>
        <v>0</v>
      </c>
      <c r="J113" s="36" t="n">
        <f aca="false">(J111-J112)*Incentive_Fee_Rate</f>
        <v>0</v>
      </c>
      <c r="K113" s="36" t="n">
        <f aca="false">(K111-K112)*Incentive_Fee_Rate</f>
        <v>0</v>
      </c>
      <c r="L113" s="36" t="n">
        <f aca="false">(L111-L112)*Incentive_Fee_Rate</f>
        <v>0</v>
      </c>
    </row>
    <row r="114" customFormat="false" ht="15" hidden="false" customHeight="false" outlineLevel="0" collapsed="false">
      <c r="A114" s="7"/>
      <c r="B114" s="12" t="s">
        <v>190</v>
      </c>
      <c r="C114" s="36" t="n">
        <f aca="false">MAX(0,C106-C113)</f>
        <v>6860000</v>
      </c>
      <c r="D114" s="36" t="n">
        <f aca="false">MAX(0,D106-D113)</f>
        <v>6213600</v>
      </c>
      <c r="E114" s="36" t="n">
        <f aca="false">MAX(0,E106-E113)</f>
        <v>5972128</v>
      </c>
      <c r="F114" s="36" t="n">
        <f aca="false">MAX(0,F106-F113)</f>
        <v>5735485.44</v>
      </c>
      <c r="G114" s="36" t="n">
        <f aca="false">MAX(0,G106-G113)</f>
        <v>5503575.7312</v>
      </c>
      <c r="H114" s="36" t="n">
        <f aca="false">MAX(0,H106-H113)</f>
        <v>446197.292799997</v>
      </c>
      <c r="I114" s="36" t="n">
        <f aca="false">MAX(0,I106-I113)</f>
        <v>0</v>
      </c>
      <c r="J114" s="36" t="n">
        <f aca="false">MAX(0,J106-J113)</f>
        <v>0</v>
      </c>
      <c r="K114" s="36" t="n">
        <f aca="false">MAX(0,K106-K113)</f>
        <v>0</v>
      </c>
      <c r="L114" s="36" t="n">
        <f aca="false">MAX(0,L106-L113)</f>
        <v>4015046.58299365</v>
      </c>
    </row>
    <row r="115" customFormat="false" ht="15" hidden="false" customHeight="false" outlineLevel="0" collapsed="false">
      <c r="A115" s="7"/>
      <c r="B115" s="7"/>
      <c r="C115" s="7"/>
      <c r="D115" s="7"/>
      <c r="E115" s="7"/>
      <c r="F115" s="7"/>
      <c r="G115" s="7"/>
      <c r="H115" s="7"/>
      <c r="I115" s="7"/>
      <c r="J115" s="7"/>
      <c r="K115" s="7"/>
      <c r="L115" s="7"/>
    </row>
    <row r="116" customFormat="false" ht="15" hidden="false" customHeight="false" outlineLevel="0" collapsed="false">
      <c r="A116" s="7"/>
      <c r="B116" s="27" t="s">
        <v>191</v>
      </c>
      <c r="C116" s="9"/>
      <c r="D116" s="9"/>
      <c r="E116" s="9"/>
      <c r="F116" s="9"/>
      <c r="G116" s="9"/>
      <c r="H116" s="9"/>
      <c r="I116" s="9"/>
      <c r="J116" s="9"/>
      <c r="K116" s="9"/>
      <c r="L116" s="9"/>
    </row>
    <row r="117" customFormat="false" ht="15" hidden="false" customHeight="false" outlineLevel="0" collapsed="false">
      <c r="A117" s="7"/>
      <c r="B117" s="37" t="s">
        <v>192</v>
      </c>
      <c r="C117" s="36" t="n">
        <f aca="false">C15</f>
        <v>0</v>
      </c>
      <c r="D117" s="36" t="n">
        <f aca="false">D15</f>
        <v>7000000</v>
      </c>
      <c r="E117" s="36" t="n">
        <f aca="false">E15</f>
        <v>6860000</v>
      </c>
      <c r="F117" s="36" t="n">
        <f aca="false">F15</f>
        <v>6722800</v>
      </c>
      <c r="G117" s="36" t="n">
        <f aca="false">G15</f>
        <v>6588344</v>
      </c>
      <c r="H117" s="36" t="n">
        <f aca="false">H15</f>
        <v>101848656.8</v>
      </c>
      <c r="I117" s="36" t="n">
        <f aca="false">I15</f>
        <v>80833267.728</v>
      </c>
      <c r="J117" s="36" t="n">
        <f aca="false">J15</f>
        <v>63079948.82784</v>
      </c>
      <c r="K117" s="36" t="n">
        <f aca="false">K15</f>
        <v>49232360.0857152</v>
      </c>
      <c r="L117" s="36" t="n">
        <f aca="false">L15</f>
        <v>38431240.8668579</v>
      </c>
    </row>
    <row r="118" customFormat="false" ht="15" hidden="false" customHeight="false" outlineLevel="0" collapsed="false">
      <c r="A118" s="7"/>
      <c r="B118" s="37" t="s">
        <v>193</v>
      </c>
      <c r="C118" s="36" t="n">
        <f aca="false">C37+C54+C71+C88+C100</f>
        <v>0</v>
      </c>
      <c r="D118" s="36" t="n">
        <f aca="false">D37+D54+D71+D88+D100</f>
        <v>0</v>
      </c>
      <c r="E118" s="36" t="n">
        <f aca="false">E37+E54+E71+E88+E100</f>
        <v>0</v>
      </c>
      <c r="F118" s="36" t="n">
        <f aca="false">F37+F54+F71+F88+F100</f>
        <v>0</v>
      </c>
      <c r="G118" s="36" t="n">
        <f aca="false">G37+G54+G71+G88+G100</f>
        <v>0</v>
      </c>
      <c r="H118" s="36" t="n">
        <f aca="false">H37+H54+H71+H88+H100</f>
        <v>12824301.06752</v>
      </c>
      <c r="I118" s="36" t="n">
        <f aca="false">I37+I54+I71+I88+I100</f>
        <v>9204497.500992</v>
      </c>
      <c r="J118" s="36" t="n">
        <f aca="false">J37+J54+J71+J88+J100</f>
        <v>5012550.78556301</v>
      </c>
      <c r="K118" s="36" t="n">
        <f aca="false">K37+K54+K71+K88+K100</f>
        <v>4518245.33896364</v>
      </c>
      <c r="L118" s="36" t="n">
        <f aca="false">L37+L54+L71+L88+L100</f>
        <v>0</v>
      </c>
    </row>
    <row r="119" customFormat="false" ht="15" hidden="false" customHeight="false" outlineLevel="0" collapsed="false">
      <c r="A119" s="7"/>
      <c r="B119" s="12" t="s">
        <v>194</v>
      </c>
      <c r="C119" s="36" t="n">
        <f aca="false">C117+C118</f>
        <v>0</v>
      </c>
      <c r="D119" s="36" t="n">
        <f aca="false">D117+D118</f>
        <v>7000000</v>
      </c>
      <c r="E119" s="36" t="n">
        <f aca="false">E117+E118</f>
        <v>6860000</v>
      </c>
      <c r="F119" s="36" t="n">
        <f aca="false">F117+F118</f>
        <v>6722800</v>
      </c>
      <c r="G119" s="36" t="n">
        <f aca="false">G117+G118</f>
        <v>6588344</v>
      </c>
      <c r="H119" s="36" t="n">
        <f aca="false">H117+H118</f>
        <v>114672957.86752</v>
      </c>
      <c r="I119" s="36" t="n">
        <f aca="false">I117+I118</f>
        <v>90037765.228992</v>
      </c>
      <c r="J119" s="36" t="n">
        <f aca="false">J117+J118</f>
        <v>68092499.613403</v>
      </c>
      <c r="K119" s="36" t="n">
        <f aca="false">K117+K118</f>
        <v>53750605.4246788</v>
      </c>
      <c r="L119" s="36" t="n">
        <f aca="false">L117+L118</f>
        <v>38431240.8668579</v>
      </c>
    </row>
    <row r="120" customFormat="false" ht="15" hidden="false" customHeight="false" outlineLevel="0" collapsed="false">
      <c r="A120" s="7"/>
      <c r="B120" s="37" t="s">
        <v>195</v>
      </c>
      <c r="C120" s="36" t="n">
        <f aca="false">MIN(C133,C119)</f>
        <v>0</v>
      </c>
      <c r="D120" s="36" t="n">
        <f aca="false">MIN(D133,D119)</f>
        <v>7000000</v>
      </c>
      <c r="E120" s="36" t="n">
        <f aca="false">MIN(E133,E119)</f>
        <v>6860000</v>
      </c>
      <c r="F120" s="36" t="n">
        <f aca="false">MIN(F133,F119)</f>
        <v>6722800</v>
      </c>
      <c r="G120" s="36" t="n">
        <f aca="false">MIN(G133,G119)</f>
        <v>6588344</v>
      </c>
      <c r="H120" s="36" t="n">
        <f aca="false">MIN(H133,H119)</f>
        <v>114672957.86752</v>
      </c>
      <c r="I120" s="36" t="n">
        <f aca="false">MIN(I133,I119)</f>
        <v>90037765.228992</v>
      </c>
      <c r="J120" s="36" t="n">
        <f aca="false">MIN(J133,J119)</f>
        <v>68092499.613403</v>
      </c>
      <c r="K120" s="36" t="n">
        <f aca="false">MIN(K133,K119)</f>
        <v>25025633.290085</v>
      </c>
      <c r="L120" s="36" t="n">
        <f aca="false">MIN(L133,L119)</f>
        <v>0</v>
      </c>
    </row>
    <row r="121" customFormat="false" ht="15" hidden="false" customHeight="false" outlineLevel="0" collapsed="false">
      <c r="A121" s="7"/>
      <c r="B121" s="37" t="s">
        <v>196</v>
      </c>
      <c r="C121" s="36" t="n">
        <f aca="false">C119-C120</f>
        <v>0</v>
      </c>
      <c r="D121" s="36" t="n">
        <f aca="false">D119-D120</f>
        <v>0</v>
      </c>
      <c r="E121" s="36" t="n">
        <f aca="false">E119-E120</f>
        <v>0</v>
      </c>
      <c r="F121" s="36" t="n">
        <f aca="false">F119-F120</f>
        <v>0</v>
      </c>
      <c r="G121" s="36" t="n">
        <f aca="false">G119-G120</f>
        <v>0</v>
      </c>
      <c r="H121" s="36" t="n">
        <f aca="false">H119-H120</f>
        <v>0</v>
      </c>
      <c r="I121" s="36" t="n">
        <f aca="false">I119-I120</f>
        <v>0</v>
      </c>
      <c r="J121" s="36" t="n">
        <f aca="false">J119-J120</f>
        <v>0</v>
      </c>
      <c r="K121" s="36" t="n">
        <f aca="false">K119-K120</f>
        <v>28724972.1345938</v>
      </c>
      <c r="L121" s="36" t="n">
        <f aca="false">L119-L120</f>
        <v>38431240.8668579</v>
      </c>
    </row>
    <row r="122" customFormat="false" ht="15" hidden="false" customHeight="false" outlineLevel="0" collapsed="false">
      <c r="A122" s="7"/>
      <c r="B122" s="37" t="s">
        <v>197</v>
      </c>
      <c r="C122" s="36" t="n">
        <f aca="false">MIN(C135,C121)</f>
        <v>0</v>
      </c>
      <c r="D122" s="36" t="n">
        <f aca="false">MIN(D135,D121)</f>
        <v>0</v>
      </c>
      <c r="E122" s="36" t="n">
        <f aca="false">MIN(E135,E121)</f>
        <v>0</v>
      </c>
      <c r="F122" s="36" t="n">
        <f aca="false">MIN(F135,F121)</f>
        <v>0</v>
      </c>
      <c r="G122" s="36" t="n">
        <f aca="false">MIN(G135,G121)</f>
        <v>0</v>
      </c>
      <c r="H122" s="36" t="n">
        <f aca="false">MIN(H135,H121)</f>
        <v>0</v>
      </c>
      <c r="I122" s="36" t="n">
        <f aca="false">MIN(I135,I121)</f>
        <v>0</v>
      </c>
      <c r="J122" s="36" t="n">
        <f aca="false">MIN(J135,J121)</f>
        <v>0</v>
      </c>
      <c r="K122" s="36" t="n">
        <f aca="false">MIN(K135,K121)</f>
        <v>28724972.1345938</v>
      </c>
      <c r="L122" s="36" t="n">
        <f aca="false">MIN(L135,L121)</f>
        <v>21275027.8654062</v>
      </c>
    </row>
    <row r="123" customFormat="false" ht="15" hidden="false" customHeight="false" outlineLevel="0" collapsed="false">
      <c r="A123" s="7"/>
      <c r="B123" s="37" t="s">
        <v>198</v>
      </c>
      <c r="C123" s="36" t="n">
        <f aca="false">C121-C122</f>
        <v>0</v>
      </c>
      <c r="D123" s="36" t="n">
        <f aca="false">D121-D122</f>
        <v>0</v>
      </c>
      <c r="E123" s="36" t="n">
        <f aca="false">E121-E122</f>
        <v>0</v>
      </c>
      <c r="F123" s="36" t="n">
        <f aca="false">F121-F122</f>
        <v>0</v>
      </c>
      <c r="G123" s="36" t="n">
        <f aca="false">G121-G122</f>
        <v>0</v>
      </c>
      <c r="H123" s="36" t="n">
        <f aca="false">H121-H122</f>
        <v>0</v>
      </c>
      <c r="I123" s="36" t="n">
        <f aca="false">I121-I122</f>
        <v>0</v>
      </c>
      <c r="J123" s="36" t="n">
        <f aca="false">J121-J122</f>
        <v>0</v>
      </c>
      <c r="K123" s="36" t="n">
        <f aca="false">K121-K122</f>
        <v>0</v>
      </c>
      <c r="L123" s="36" t="n">
        <f aca="false">L121-L122</f>
        <v>17156213.0014517</v>
      </c>
    </row>
    <row r="124" customFormat="false" ht="15" hidden="false" customHeight="false" outlineLevel="0" collapsed="false">
      <c r="A124" s="7"/>
      <c r="B124" s="37" t="s">
        <v>199</v>
      </c>
      <c r="C124" s="36" t="n">
        <f aca="false">MIN(C137,C123)</f>
        <v>0</v>
      </c>
      <c r="D124" s="36" t="n">
        <f aca="false">MIN(D137,D123)</f>
        <v>0</v>
      </c>
      <c r="E124" s="36" t="n">
        <f aca="false">MIN(E137,E123)</f>
        <v>0</v>
      </c>
      <c r="F124" s="36" t="n">
        <f aca="false">MIN(F137,F123)</f>
        <v>0</v>
      </c>
      <c r="G124" s="36" t="n">
        <f aca="false">MIN(G137,G123)</f>
        <v>0</v>
      </c>
      <c r="H124" s="36" t="n">
        <f aca="false">MIN(H137,H123)</f>
        <v>0</v>
      </c>
      <c r="I124" s="36" t="n">
        <f aca="false">MIN(I137,I123)</f>
        <v>0</v>
      </c>
      <c r="J124" s="36" t="n">
        <f aca="false">MIN(J137,J123)</f>
        <v>0</v>
      </c>
      <c r="K124" s="36" t="n">
        <f aca="false">MIN(K137,K123)</f>
        <v>0</v>
      </c>
      <c r="L124" s="36" t="n">
        <f aca="false">MIN(L137,L123)</f>
        <v>17156213.0014517</v>
      </c>
    </row>
    <row r="125" customFormat="false" ht="15" hidden="false" customHeight="false" outlineLevel="0" collapsed="false">
      <c r="A125" s="7"/>
      <c r="B125" s="37" t="s">
        <v>200</v>
      </c>
      <c r="C125" s="36" t="n">
        <f aca="false">C123-C124</f>
        <v>0</v>
      </c>
      <c r="D125" s="36" t="n">
        <f aca="false">D123-D124</f>
        <v>0</v>
      </c>
      <c r="E125" s="36" t="n">
        <f aca="false">E123-E124</f>
        <v>0</v>
      </c>
      <c r="F125" s="36" t="n">
        <f aca="false">F123-F124</f>
        <v>0</v>
      </c>
      <c r="G125" s="36" t="n">
        <f aca="false">G123-G124</f>
        <v>0</v>
      </c>
      <c r="H125" s="36" t="n">
        <f aca="false">H123-H124</f>
        <v>0</v>
      </c>
      <c r="I125" s="36" t="n">
        <f aca="false">I123-I124</f>
        <v>0</v>
      </c>
      <c r="J125" s="36" t="n">
        <f aca="false">J123-J124</f>
        <v>0</v>
      </c>
      <c r="K125" s="36" t="n">
        <f aca="false">K123-K124</f>
        <v>0</v>
      </c>
      <c r="L125" s="36" t="n">
        <f aca="false">L123-L124</f>
        <v>0</v>
      </c>
    </row>
    <row r="126" customFormat="false" ht="15" hidden="false" customHeight="false" outlineLevel="0" collapsed="false">
      <c r="A126" s="7"/>
      <c r="B126" s="37" t="s">
        <v>201</v>
      </c>
      <c r="C126" s="36" t="n">
        <f aca="false">MIN(C139,C125)</f>
        <v>0</v>
      </c>
      <c r="D126" s="36" t="n">
        <f aca="false">MIN(D139,D125)</f>
        <v>0</v>
      </c>
      <c r="E126" s="36" t="n">
        <f aca="false">MIN(E139,E125)</f>
        <v>0</v>
      </c>
      <c r="F126" s="36" t="n">
        <f aca="false">MIN(F139,F125)</f>
        <v>0</v>
      </c>
      <c r="G126" s="36" t="n">
        <f aca="false">MIN(G139,G125)</f>
        <v>0</v>
      </c>
      <c r="H126" s="36" t="n">
        <f aca="false">MIN(H139,H125)</f>
        <v>0</v>
      </c>
      <c r="I126" s="36" t="n">
        <f aca="false">MIN(I139,I125)</f>
        <v>0</v>
      </c>
      <c r="J126" s="36" t="n">
        <f aca="false">MIN(J139,J125)</f>
        <v>0</v>
      </c>
      <c r="K126" s="36" t="n">
        <f aca="false">MIN(K139,K125)</f>
        <v>0</v>
      </c>
      <c r="L126" s="36" t="n">
        <f aca="false">MIN(L139,L125)</f>
        <v>0</v>
      </c>
    </row>
    <row r="127" customFormat="false" ht="15" hidden="false" customHeight="false" outlineLevel="0" collapsed="false">
      <c r="A127" s="7"/>
      <c r="B127" s="37" t="s">
        <v>202</v>
      </c>
      <c r="C127" s="36" t="n">
        <f aca="false">C125-C126</f>
        <v>0</v>
      </c>
      <c r="D127" s="36" t="n">
        <f aca="false">D125-D126</f>
        <v>0</v>
      </c>
      <c r="E127" s="36" t="n">
        <f aca="false">E125-E126</f>
        <v>0</v>
      </c>
      <c r="F127" s="36" t="n">
        <f aca="false">F125-F126</f>
        <v>0</v>
      </c>
      <c r="G127" s="36" t="n">
        <f aca="false">G125-G126</f>
        <v>0</v>
      </c>
      <c r="H127" s="36" t="n">
        <f aca="false">H125-H126</f>
        <v>0</v>
      </c>
      <c r="I127" s="36" t="n">
        <f aca="false">I125-I126</f>
        <v>0</v>
      </c>
      <c r="J127" s="36" t="n">
        <f aca="false">J125-J126</f>
        <v>0</v>
      </c>
      <c r="K127" s="36" t="n">
        <f aca="false">K125-K126</f>
        <v>0</v>
      </c>
      <c r="L127" s="36" t="n">
        <f aca="false">L125-L126</f>
        <v>0</v>
      </c>
    </row>
    <row r="128" customFormat="false" ht="15" hidden="false" customHeight="false" outlineLevel="0" collapsed="false">
      <c r="A128" s="7"/>
      <c r="B128" s="37" t="s">
        <v>203</v>
      </c>
      <c r="C128" s="36" t="n">
        <f aca="false">MIN(C141,C127)</f>
        <v>0</v>
      </c>
      <c r="D128" s="36" t="n">
        <f aca="false">MIN(D141,D127)</f>
        <v>0</v>
      </c>
      <c r="E128" s="36" t="n">
        <f aca="false">MIN(E141,E127)</f>
        <v>0</v>
      </c>
      <c r="F128" s="36" t="n">
        <f aca="false">MIN(F141,F127)</f>
        <v>0</v>
      </c>
      <c r="G128" s="36" t="n">
        <f aca="false">MIN(G141,G127)</f>
        <v>0</v>
      </c>
      <c r="H128" s="36" t="n">
        <f aca="false">MIN(H141,H127)</f>
        <v>0</v>
      </c>
      <c r="I128" s="36" t="n">
        <f aca="false">MIN(I141,I127)</f>
        <v>0</v>
      </c>
      <c r="J128" s="36" t="n">
        <f aca="false">MIN(J141,J127)</f>
        <v>0</v>
      </c>
      <c r="K128" s="36" t="n">
        <f aca="false">MIN(K141,K127)</f>
        <v>0</v>
      </c>
      <c r="L128" s="36" t="n">
        <f aca="false">MIN(L141,L127)</f>
        <v>0</v>
      </c>
    </row>
    <row r="129" customFormat="false" ht="15" hidden="false" customHeight="false" outlineLevel="0" collapsed="false">
      <c r="A129" s="7"/>
      <c r="B129" s="37" t="s">
        <v>204</v>
      </c>
      <c r="C129" s="36" t="n">
        <f aca="false">C127-C128</f>
        <v>0</v>
      </c>
      <c r="D129" s="36" t="n">
        <f aca="false">D127-D128</f>
        <v>0</v>
      </c>
      <c r="E129" s="36" t="n">
        <f aca="false">E127-E128</f>
        <v>0</v>
      </c>
      <c r="F129" s="36" t="n">
        <f aca="false">F127-F128</f>
        <v>0</v>
      </c>
      <c r="G129" s="36" t="n">
        <f aca="false">G127-G128</f>
        <v>0</v>
      </c>
      <c r="H129" s="36" t="n">
        <f aca="false">H127-H128</f>
        <v>0</v>
      </c>
      <c r="I129" s="36" t="n">
        <f aca="false">I127-I128</f>
        <v>0</v>
      </c>
      <c r="J129" s="36" t="n">
        <f aca="false">J127-J128</f>
        <v>0</v>
      </c>
      <c r="K129" s="36" t="n">
        <f aca="false">K127-K128</f>
        <v>0</v>
      </c>
      <c r="L129" s="36" t="n">
        <f aca="false">L127-L128</f>
        <v>0</v>
      </c>
    </row>
    <row r="130" customFormat="false" ht="15" hidden="false" customHeight="false" outlineLevel="0" collapsed="false">
      <c r="A130" s="7"/>
      <c r="B130" s="12" t="s">
        <v>205</v>
      </c>
      <c r="C130" s="36" t="n">
        <f aca="false">MAX(0,C129)</f>
        <v>0</v>
      </c>
      <c r="D130" s="36" t="n">
        <f aca="false">MAX(0,D129)</f>
        <v>0</v>
      </c>
      <c r="E130" s="36" t="n">
        <f aca="false">MAX(0,E129)</f>
        <v>0</v>
      </c>
      <c r="F130" s="36" t="n">
        <f aca="false">MAX(0,F129)</f>
        <v>0</v>
      </c>
      <c r="G130" s="36" t="n">
        <f aca="false">MAX(0,G129)</f>
        <v>0</v>
      </c>
      <c r="H130" s="36" t="n">
        <f aca="false">MAX(0,H129)</f>
        <v>0</v>
      </c>
      <c r="I130" s="36" t="n">
        <f aca="false">MAX(0,I129)</f>
        <v>0</v>
      </c>
      <c r="J130" s="36" t="n">
        <f aca="false">MAX(0,J129)</f>
        <v>0</v>
      </c>
      <c r="K130" s="36" t="n">
        <f aca="false">MAX(0,K129)</f>
        <v>0</v>
      </c>
      <c r="L130" s="36" t="n">
        <f aca="false">MAX(0,L129)</f>
        <v>0</v>
      </c>
    </row>
    <row r="131" customFormat="false" ht="15" hidden="false" customHeight="false" outlineLevel="0" collapsed="false">
      <c r="A131" s="7"/>
      <c r="B131" s="7"/>
      <c r="C131" s="7"/>
      <c r="D131" s="7"/>
      <c r="E131" s="7"/>
      <c r="F131" s="7"/>
      <c r="G131" s="7"/>
      <c r="H131" s="7"/>
      <c r="I131" s="7"/>
      <c r="J131" s="7"/>
      <c r="K131" s="7"/>
      <c r="L131" s="7"/>
    </row>
    <row r="132" customFormat="false" ht="15" hidden="false" customHeight="false" outlineLevel="0" collapsed="false">
      <c r="A132" s="7"/>
      <c r="B132" s="27" t="s">
        <v>206</v>
      </c>
      <c r="C132" s="9"/>
      <c r="D132" s="9"/>
      <c r="E132" s="9"/>
      <c r="F132" s="9"/>
      <c r="G132" s="9"/>
      <c r="H132" s="9"/>
      <c r="I132" s="9"/>
      <c r="J132" s="9"/>
      <c r="K132" s="9"/>
      <c r="L132" s="9"/>
    </row>
    <row r="133" customFormat="false" ht="15" hidden="false" customHeight="false" outlineLevel="0" collapsed="false">
      <c r="A133" s="7"/>
      <c r="B133" s="12" t="s">
        <v>207</v>
      </c>
      <c r="C133" s="36" t="n">
        <f aca="false">AAA_Size</f>
        <v>325000000</v>
      </c>
      <c r="D133" s="36" t="n">
        <f aca="false">C134</f>
        <v>325000000</v>
      </c>
      <c r="E133" s="36" t="n">
        <f aca="false">D134</f>
        <v>318000000</v>
      </c>
      <c r="F133" s="36" t="n">
        <f aca="false">E134</f>
        <v>311140000</v>
      </c>
      <c r="G133" s="36" t="n">
        <f aca="false">F134</f>
        <v>304417200</v>
      </c>
      <c r="H133" s="36" t="n">
        <f aca="false">G134</f>
        <v>297828856</v>
      </c>
      <c r="I133" s="36" t="n">
        <f aca="false">H134</f>
        <v>183155898.13248</v>
      </c>
      <c r="J133" s="36" t="n">
        <f aca="false">I134</f>
        <v>93118132.903488</v>
      </c>
      <c r="K133" s="36" t="n">
        <f aca="false">J134</f>
        <v>25025633.290085</v>
      </c>
      <c r="L133" s="36" t="n">
        <f aca="false">K134</f>
        <v>0</v>
      </c>
    </row>
    <row r="134" customFormat="false" ht="15" hidden="false" customHeight="false" outlineLevel="0" collapsed="false">
      <c r="A134" s="7"/>
      <c r="B134" s="37" t="s">
        <v>208</v>
      </c>
      <c r="C134" s="36" t="n">
        <f aca="false">MAX(0,C133-C120)</f>
        <v>325000000</v>
      </c>
      <c r="D134" s="36" t="n">
        <f aca="false">MAX(0,D133-D120)</f>
        <v>318000000</v>
      </c>
      <c r="E134" s="36" t="n">
        <f aca="false">MAX(0,E133-E120)</f>
        <v>311140000</v>
      </c>
      <c r="F134" s="36" t="n">
        <f aca="false">MAX(0,F133-F120)</f>
        <v>304417200</v>
      </c>
      <c r="G134" s="36" t="n">
        <f aca="false">MAX(0,G133-G120)</f>
        <v>297828856</v>
      </c>
      <c r="H134" s="36" t="n">
        <f aca="false">MAX(0,H133-H120)</f>
        <v>183155898.13248</v>
      </c>
      <c r="I134" s="36" t="n">
        <f aca="false">MAX(0,I133-I120)</f>
        <v>93118132.903488</v>
      </c>
      <c r="J134" s="36" t="n">
        <f aca="false">MAX(0,J133-J120)</f>
        <v>25025633.290085</v>
      </c>
      <c r="K134" s="36" t="n">
        <f aca="false">MAX(0,K133-K120)</f>
        <v>0</v>
      </c>
      <c r="L134" s="36" t="n">
        <f aca="false">MAX(0,L133-L120)</f>
        <v>0</v>
      </c>
    </row>
    <row r="135" customFormat="false" ht="15" hidden="false" customHeight="false" outlineLevel="0" collapsed="false">
      <c r="A135" s="7"/>
      <c r="B135" s="12" t="s">
        <v>209</v>
      </c>
      <c r="C135" s="36" t="n">
        <f aca="false">AA_Size</f>
        <v>50000000</v>
      </c>
      <c r="D135" s="36" t="n">
        <f aca="false">C136</f>
        <v>50000000</v>
      </c>
      <c r="E135" s="36" t="n">
        <f aca="false">D136</f>
        <v>50000000</v>
      </c>
      <c r="F135" s="36" t="n">
        <f aca="false">E136</f>
        <v>50000000</v>
      </c>
      <c r="G135" s="36" t="n">
        <f aca="false">F136</f>
        <v>50000000</v>
      </c>
      <c r="H135" s="36" t="n">
        <f aca="false">G136</f>
        <v>50000000</v>
      </c>
      <c r="I135" s="36" t="n">
        <f aca="false">H136</f>
        <v>50000000</v>
      </c>
      <c r="J135" s="36" t="n">
        <f aca="false">I136</f>
        <v>50000000</v>
      </c>
      <c r="K135" s="36" t="n">
        <f aca="false">J136</f>
        <v>50000000</v>
      </c>
      <c r="L135" s="36" t="n">
        <f aca="false">K136</f>
        <v>21275027.8654062</v>
      </c>
    </row>
    <row r="136" customFormat="false" ht="15" hidden="false" customHeight="false" outlineLevel="0" collapsed="false">
      <c r="A136" s="7"/>
      <c r="B136" s="37" t="s">
        <v>210</v>
      </c>
      <c r="C136" s="36" t="n">
        <f aca="false">MAX(0,C135-C122)</f>
        <v>50000000</v>
      </c>
      <c r="D136" s="36" t="n">
        <f aca="false">MAX(0,D135-D122)</f>
        <v>50000000</v>
      </c>
      <c r="E136" s="36" t="n">
        <f aca="false">MAX(0,E135-E122)</f>
        <v>50000000</v>
      </c>
      <c r="F136" s="36" t="n">
        <f aca="false">MAX(0,F135-F122)</f>
        <v>50000000</v>
      </c>
      <c r="G136" s="36" t="n">
        <f aca="false">MAX(0,G135-G122)</f>
        <v>50000000</v>
      </c>
      <c r="H136" s="36" t="n">
        <f aca="false">MAX(0,H135-H122)</f>
        <v>50000000</v>
      </c>
      <c r="I136" s="36" t="n">
        <f aca="false">MAX(0,I135-I122)</f>
        <v>50000000</v>
      </c>
      <c r="J136" s="36" t="n">
        <f aca="false">MAX(0,J135-J122)</f>
        <v>50000000</v>
      </c>
      <c r="K136" s="36" t="n">
        <f aca="false">MAX(0,K135-K122)</f>
        <v>21275027.8654062</v>
      </c>
      <c r="L136" s="36" t="n">
        <f aca="false">MAX(0,L135-L122)</f>
        <v>0</v>
      </c>
    </row>
    <row r="137" customFormat="false" ht="15" hidden="false" customHeight="false" outlineLevel="0" collapsed="false">
      <c r="A137" s="7"/>
      <c r="B137" s="12" t="s">
        <v>211</v>
      </c>
      <c r="C137" s="36" t="n">
        <f aca="false">A_Size</f>
        <v>37500000</v>
      </c>
      <c r="D137" s="36" t="n">
        <f aca="false">C138</f>
        <v>37500000</v>
      </c>
      <c r="E137" s="36" t="n">
        <f aca="false">D138</f>
        <v>37500000</v>
      </c>
      <c r="F137" s="36" t="n">
        <f aca="false">E138</f>
        <v>37500000</v>
      </c>
      <c r="G137" s="36" t="n">
        <f aca="false">F138</f>
        <v>37500000</v>
      </c>
      <c r="H137" s="36" t="n">
        <f aca="false">G138</f>
        <v>37500000</v>
      </c>
      <c r="I137" s="36" t="n">
        <f aca="false">H138</f>
        <v>37500000</v>
      </c>
      <c r="J137" s="36" t="n">
        <f aca="false">I138</f>
        <v>37500000</v>
      </c>
      <c r="K137" s="36" t="n">
        <f aca="false">J138</f>
        <v>37500000</v>
      </c>
      <c r="L137" s="36" t="n">
        <f aca="false">K138</f>
        <v>37500000</v>
      </c>
    </row>
    <row r="138" customFormat="false" ht="15" hidden="false" customHeight="false" outlineLevel="0" collapsed="false">
      <c r="A138" s="7"/>
      <c r="B138" s="37" t="s">
        <v>212</v>
      </c>
      <c r="C138" s="36" t="n">
        <f aca="false">MAX(0,C137-C124)</f>
        <v>37500000</v>
      </c>
      <c r="D138" s="36" t="n">
        <f aca="false">MAX(0,D137-D124)</f>
        <v>37500000</v>
      </c>
      <c r="E138" s="36" t="n">
        <f aca="false">MAX(0,E137-E124)</f>
        <v>37500000</v>
      </c>
      <c r="F138" s="36" t="n">
        <f aca="false">MAX(0,F137-F124)</f>
        <v>37500000</v>
      </c>
      <c r="G138" s="36" t="n">
        <f aca="false">MAX(0,G137-G124)</f>
        <v>37500000</v>
      </c>
      <c r="H138" s="36" t="n">
        <f aca="false">MAX(0,H137-H124)</f>
        <v>37500000</v>
      </c>
      <c r="I138" s="36" t="n">
        <f aca="false">MAX(0,I137-I124)</f>
        <v>37500000</v>
      </c>
      <c r="J138" s="36" t="n">
        <f aca="false">MAX(0,J137-J124)</f>
        <v>37500000</v>
      </c>
      <c r="K138" s="36" t="n">
        <f aca="false">MAX(0,K137-K124)</f>
        <v>37500000</v>
      </c>
      <c r="L138" s="36" t="n">
        <f aca="false">MAX(0,L137-L124)</f>
        <v>20343786.9985483</v>
      </c>
    </row>
    <row r="139" customFormat="false" ht="15" hidden="false" customHeight="false" outlineLevel="0" collapsed="false">
      <c r="A139" s="7"/>
      <c r="B139" s="12" t="s">
        <v>213</v>
      </c>
      <c r="C139" s="36" t="n">
        <f aca="false">BBB_Size</f>
        <v>25000000</v>
      </c>
      <c r="D139" s="36" t="n">
        <f aca="false">C140</f>
        <v>25000000</v>
      </c>
      <c r="E139" s="36" t="n">
        <f aca="false">D140</f>
        <v>25000000</v>
      </c>
      <c r="F139" s="36" t="n">
        <f aca="false">E140</f>
        <v>25000000</v>
      </c>
      <c r="G139" s="36" t="n">
        <f aca="false">F140</f>
        <v>25000000</v>
      </c>
      <c r="H139" s="36" t="n">
        <f aca="false">G140</f>
        <v>25000000</v>
      </c>
      <c r="I139" s="36" t="n">
        <f aca="false">H140</f>
        <v>25000000</v>
      </c>
      <c r="J139" s="36" t="n">
        <f aca="false">I140</f>
        <v>25000000</v>
      </c>
      <c r="K139" s="36" t="n">
        <f aca="false">J140</f>
        <v>25000000</v>
      </c>
      <c r="L139" s="36" t="n">
        <f aca="false">K140</f>
        <v>25000000</v>
      </c>
    </row>
    <row r="140" customFormat="false" ht="15" hidden="false" customHeight="false" outlineLevel="0" collapsed="false">
      <c r="A140" s="7"/>
      <c r="B140" s="37" t="s">
        <v>214</v>
      </c>
      <c r="C140" s="36" t="n">
        <f aca="false">MAX(0,C139-C126)</f>
        <v>25000000</v>
      </c>
      <c r="D140" s="36" t="n">
        <f aca="false">MAX(0,D139-D126)</f>
        <v>25000000</v>
      </c>
      <c r="E140" s="36" t="n">
        <f aca="false">MAX(0,E139-E126)</f>
        <v>25000000</v>
      </c>
      <c r="F140" s="36" t="n">
        <f aca="false">MAX(0,F139-F126)</f>
        <v>25000000</v>
      </c>
      <c r="G140" s="36" t="n">
        <f aca="false">MAX(0,G139-G126)</f>
        <v>25000000</v>
      </c>
      <c r="H140" s="36" t="n">
        <f aca="false">MAX(0,H139-H126)</f>
        <v>25000000</v>
      </c>
      <c r="I140" s="36" t="n">
        <f aca="false">MAX(0,I139-I126)</f>
        <v>25000000</v>
      </c>
      <c r="J140" s="36" t="n">
        <f aca="false">MAX(0,J139-J126)</f>
        <v>25000000</v>
      </c>
      <c r="K140" s="36" t="n">
        <f aca="false">MAX(0,K139-K126)</f>
        <v>25000000</v>
      </c>
      <c r="L140" s="36" t="n">
        <f aca="false">MAX(0,L139-L126)</f>
        <v>25000000</v>
      </c>
    </row>
    <row r="141" customFormat="false" ht="15" hidden="false" customHeight="false" outlineLevel="0" collapsed="false">
      <c r="A141" s="7"/>
      <c r="B141" s="12" t="s">
        <v>215</v>
      </c>
      <c r="C141" s="36" t="n">
        <f aca="false">BB_Size</f>
        <v>15000000</v>
      </c>
      <c r="D141" s="36" t="n">
        <f aca="false">C142</f>
        <v>15000000</v>
      </c>
      <c r="E141" s="36" t="n">
        <f aca="false">D142</f>
        <v>15000000</v>
      </c>
      <c r="F141" s="36" t="n">
        <f aca="false">E142</f>
        <v>15000000</v>
      </c>
      <c r="G141" s="36" t="n">
        <f aca="false">F142</f>
        <v>15000000</v>
      </c>
      <c r="H141" s="36" t="n">
        <f aca="false">G142</f>
        <v>15000000</v>
      </c>
      <c r="I141" s="36" t="n">
        <f aca="false">H142</f>
        <v>15000000</v>
      </c>
      <c r="J141" s="36" t="n">
        <f aca="false">I142</f>
        <v>15000000</v>
      </c>
      <c r="K141" s="36" t="n">
        <f aca="false">J142</f>
        <v>15000000</v>
      </c>
      <c r="L141" s="36" t="n">
        <f aca="false">K142</f>
        <v>15000000</v>
      </c>
    </row>
    <row r="142" customFormat="false" ht="15" hidden="false" customHeight="false" outlineLevel="0" collapsed="false">
      <c r="A142" s="7"/>
      <c r="B142" s="37" t="s">
        <v>216</v>
      </c>
      <c r="C142" s="36" t="n">
        <f aca="false">MAX(0,C141-C128)</f>
        <v>15000000</v>
      </c>
      <c r="D142" s="36" t="n">
        <f aca="false">MAX(0,D141-D128)</f>
        <v>15000000</v>
      </c>
      <c r="E142" s="36" t="n">
        <f aca="false">MAX(0,E141-E128)</f>
        <v>15000000</v>
      </c>
      <c r="F142" s="36" t="n">
        <f aca="false">MAX(0,F141-F128)</f>
        <v>15000000</v>
      </c>
      <c r="G142" s="36" t="n">
        <f aca="false">MAX(0,G141-G128)</f>
        <v>15000000</v>
      </c>
      <c r="H142" s="36" t="n">
        <f aca="false">MAX(0,H141-H128)</f>
        <v>15000000</v>
      </c>
      <c r="I142" s="36" t="n">
        <f aca="false">MAX(0,I141-I128)</f>
        <v>15000000</v>
      </c>
      <c r="J142" s="36" t="n">
        <f aca="false">MAX(0,J141-J128)</f>
        <v>15000000</v>
      </c>
      <c r="K142" s="36" t="n">
        <f aca="false">MAX(0,K141-K128)</f>
        <v>15000000</v>
      </c>
      <c r="L142" s="36" t="n">
        <f aca="false">MAX(0,L141-L128)</f>
        <v>15000000</v>
      </c>
    </row>
    <row r="143" customFormat="false" ht="15" hidden="false" customHeight="false" outlineLevel="0" collapsed="false">
      <c r="A143" s="7"/>
      <c r="B143" s="12" t="s">
        <v>217</v>
      </c>
      <c r="C143" s="36" t="n">
        <f aca="false">Equity_Size</f>
        <v>47500000</v>
      </c>
      <c r="D143" s="36" t="n">
        <f aca="false">Equity_Size</f>
        <v>47500000</v>
      </c>
      <c r="E143" s="36" t="n">
        <f aca="false">Equity_Size</f>
        <v>47500000</v>
      </c>
      <c r="F143" s="36" t="n">
        <f aca="false">Equity_Size</f>
        <v>47500000</v>
      </c>
      <c r="G143" s="36" t="n">
        <f aca="false">Equity_Size</f>
        <v>47500000</v>
      </c>
      <c r="H143" s="36" t="n">
        <f aca="false">Equity_Size</f>
        <v>47500000</v>
      </c>
      <c r="I143" s="36" t="n">
        <f aca="false">Equity_Size</f>
        <v>47500000</v>
      </c>
      <c r="J143" s="36" t="n">
        <f aca="false">Equity_Size</f>
        <v>47500000</v>
      </c>
      <c r="K143" s="36" t="n">
        <f aca="false">Equity_Size</f>
        <v>47500000</v>
      </c>
      <c r="L143" s="36" t="n">
        <f aca="false">Equity_Size</f>
        <v>47500000</v>
      </c>
    </row>
    <row r="144" customFormat="false" ht="15" hidden="false" customHeight="false" outlineLevel="0" collapsed="false">
      <c r="A144" s="7"/>
      <c r="B144" s="7"/>
      <c r="C144" s="7"/>
      <c r="D144" s="7"/>
      <c r="E144" s="7"/>
      <c r="F144" s="7"/>
      <c r="G144" s="7"/>
      <c r="H144" s="7"/>
      <c r="I144" s="7"/>
      <c r="J144" s="7"/>
      <c r="K144" s="7"/>
      <c r="L144" s="7"/>
    </row>
    <row r="145" customFormat="false" ht="15" hidden="false" customHeight="false" outlineLevel="0" collapsed="false">
      <c r="A145" s="7"/>
      <c r="B145" s="27" t="s">
        <v>218</v>
      </c>
      <c r="C145" s="9"/>
      <c r="D145" s="9"/>
      <c r="E145" s="9"/>
      <c r="F145" s="9"/>
      <c r="G145" s="9"/>
      <c r="H145" s="9"/>
      <c r="I145" s="9"/>
      <c r="J145" s="9"/>
      <c r="K145" s="9"/>
      <c r="L145" s="9"/>
    </row>
    <row r="146" customFormat="false" ht="15" hidden="false" customHeight="false" outlineLevel="0" collapsed="false">
      <c r="A146" s="7"/>
      <c r="B146" s="37" t="s">
        <v>219</v>
      </c>
      <c r="C146" s="36" t="n">
        <f aca="false">C18+C19+C104+C113</f>
        <v>2390000</v>
      </c>
      <c r="D146" s="36" t="n">
        <f aca="false">D18+D19+D104+D113</f>
        <v>2186400</v>
      </c>
      <c r="E146" s="36" t="n">
        <f aca="false">E18+E19+E104+E113</f>
        <v>2084872</v>
      </c>
      <c r="F146" s="36" t="n">
        <f aca="false">F18+F19+F104+F113</f>
        <v>1985374.56</v>
      </c>
      <c r="G146" s="36" t="n">
        <f aca="false">G18+G19+G104+G113</f>
        <v>1887867.0688</v>
      </c>
      <c r="H146" s="36" t="n">
        <f aca="false">H18+H19+H104+H113</f>
        <v>548115.583680003</v>
      </c>
      <c r="I146" s="36" t="n">
        <f aca="false">I18+I19+I104+I113</f>
        <v>764564.0436544</v>
      </c>
      <c r="J146" s="36" t="n">
        <f aca="false">J18+J19+J104+J113</f>
        <v>585359.954050432</v>
      </c>
      <c r="K146" s="36" t="n">
        <f aca="false">K18+K19+K104+K113</f>
        <v>445580.764159337</v>
      </c>
      <c r="L146" s="36" t="n">
        <f aca="false">L18+L19+L104+L113</f>
        <v>642510.265175449</v>
      </c>
    </row>
    <row r="147" customFormat="false" ht="15" hidden="false" customHeight="false" outlineLevel="0" collapsed="false">
      <c r="A147" s="7"/>
      <c r="B147" s="37" t="s">
        <v>220</v>
      </c>
      <c r="C147" s="36" t="n">
        <f aca="false">C22+C25+C42+C59+C76</f>
        <v>33250000</v>
      </c>
      <c r="D147" s="36" t="n">
        <f aca="false">D22+D25+D42+D59+D76</f>
        <v>33250000</v>
      </c>
      <c r="E147" s="36" t="n">
        <f aca="false">E22+E25+E42+E59+E76</f>
        <v>32760000</v>
      </c>
      <c r="F147" s="36" t="n">
        <f aca="false">F22+F25+F42+F59+F76</f>
        <v>32279800</v>
      </c>
      <c r="G147" s="36" t="n">
        <f aca="false">G22+G25+G42+G59+G76</f>
        <v>31809204</v>
      </c>
      <c r="H147" s="36" t="n">
        <f aca="false">H22+H25+H42+H59+H76</f>
        <v>24598019.92</v>
      </c>
      <c r="I147" s="36" t="n">
        <f aca="false">I22+I25+I42+I59+I76</f>
        <v>19570912.8692736</v>
      </c>
      <c r="J147" s="36" t="n">
        <f aca="false">J22+J25+J42+J59+J76</f>
        <v>17018269.3032442</v>
      </c>
      <c r="K147" s="36" t="n">
        <f aca="false">K22+K25+K42+K59+K76</f>
        <v>12251794.330306</v>
      </c>
      <c r="L147" s="36" t="n">
        <f aca="false">L22+L25+L42+L59+L76</f>
        <v>8345627.08990546</v>
      </c>
    </row>
    <row r="148" customFormat="false" ht="15" hidden="false" customHeight="false" outlineLevel="0" collapsed="false">
      <c r="A148" s="7"/>
      <c r="B148" s="37" t="s">
        <v>221</v>
      </c>
      <c r="C148" s="36" t="n">
        <f aca="false">C120+C122+C124+C126+C128</f>
        <v>0</v>
      </c>
      <c r="D148" s="36" t="n">
        <f aca="false">D120+D122+D124+D126+D128</f>
        <v>7000000</v>
      </c>
      <c r="E148" s="36" t="n">
        <f aca="false">E120+E122+E124+E126+E128</f>
        <v>6860000</v>
      </c>
      <c r="F148" s="36" t="n">
        <f aca="false">F120+F122+F124+F126+F128</f>
        <v>6722800</v>
      </c>
      <c r="G148" s="36" t="n">
        <f aca="false">G120+G122+G124+G126+G128</f>
        <v>6588344</v>
      </c>
      <c r="H148" s="36" t="n">
        <f aca="false">H120+H122+H124+H126+H128</f>
        <v>114672957.86752</v>
      </c>
      <c r="I148" s="36" t="n">
        <f aca="false">I120+I122+I124+I126+I128</f>
        <v>90037765.228992</v>
      </c>
      <c r="J148" s="36" t="n">
        <f aca="false">J120+J122+J124+J126+J128</f>
        <v>68092499.613403</v>
      </c>
      <c r="K148" s="36" t="n">
        <f aca="false">K120+K122+K124+K126+K128</f>
        <v>53750605.4246788</v>
      </c>
      <c r="L148" s="36" t="n">
        <f aca="false">L120+L122+L124+L126+L128</f>
        <v>38431240.8668579</v>
      </c>
    </row>
    <row r="149" customFormat="false" ht="15" hidden="false" customHeight="false" outlineLevel="0" collapsed="false">
      <c r="A149" s="7"/>
      <c r="B149" s="37" t="s">
        <v>222</v>
      </c>
      <c r="C149" s="36" t="n">
        <f aca="false">C114+C130</f>
        <v>6860000</v>
      </c>
      <c r="D149" s="36" t="n">
        <f aca="false">D114+D130</f>
        <v>6213600</v>
      </c>
      <c r="E149" s="36" t="n">
        <f aca="false">E114+E130</f>
        <v>5972128</v>
      </c>
      <c r="F149" s="36" t="n">
        <f aca="false">F114+F130</f>
        <v>5735485.44</v>
      </c>
      <c r="G149" s="36" t="n">
        <f aca="false">G114+G130</f>
        <v>5503575.7312</v>
      </c>
      <c r="H149" s="36" t="n">
        <f aca="false">H114+H130</f>
        <v>446197.292799997</v>
      </c>
      <c r="I149" s="36" t="n">
        <f aca="false">I114+I130</f>
        <v>0</v>
      </c>
      <c r="J149" s="36" t="n">
        <f aca="false">J114+J130</f>
        <v>0</v>
      </c>
      <c r="K149" s="36" t="n">
        <f aca="false">K114+K130</f>
        <v>0</v>
      </c>
      <c r="L149" s="36" t="n">
        <f aca="false">L114+L130</f>
        <v>4015046.58299365</v>
      </c>
    </row>
    <row r="150" customFormat="false" ht="15" hidden="false" customHeight="false" outlineLevel="0" collapsed="false">
      <c r="A150" s="7"/>
      <c r="B150" s="12" t="s">
        <v>223</v>
      </c>
      <c r="C150" s="36" t="n">
        <f aca="false">C146+C147+C148+C149</f>
        <v>42500000</v>
      </c>
      <c r="D150" s="36" t="n">
        <f aca="false">D146+D147+D148+D149</f>
        <v>48650000</v>
      </c>
      <c r="E150" s="36" t="n">
        <f aca="false">E146+E147+E148+E149</f>
        <v>47677000</v>
      </c>
      <c r="F150" s="36" t="n">
        <f aca="false">F146+F147+F148+F149</f>
        <v>46723460</v>
      </c>
      <c r="G150" s="36" t="n">
        <f aca="false">G146+G147+G148+G149</f>
        <v>45788990.8</v>
      </c>
      <c r="H150" s="36" t="n">
        <f aca="false">H146+H147+H148+H149</f>
        <v>140265290.664</v>
      </c>
      <c r="I150" s="36" t="n">
        <f aca="false">I146+I147+I148+I149</f>
        <v>110373242.14192</v>
      </c>
      <c r="J150" s="36" t="n">
        <f aca="false">J146+J147+J148+J149</f>
        <v>85696128.8706976</v>
      </c>
      <c r="K150" s="36" t="n">
        <f aca="false">K146+K147+K148+K149</f>
        <v>66447980.5191441</v>
      </c>
      <c r="L150" s="36" t="n">
        <f aca="false">L146+L147+L148+L149</f>
        <v>51434424.8049324</v>
      </c>
    </row>
    <row r="151" customFormat="false" ht="15" hidden="false" customHeight="false" outlineLevel="0" collapsed="false">
      <c r="A151" s="7"/>
      <c r="B151" s="12" t="s">
        <v>224</v>
      </c>
      <c r="C151" s="36" t="n">
        <f aca="false">C13-C150</f>
        <v>0</v>
      </c>
      <c r="D151" s="36" t="n">
        <f aca="false">D13-D150</f>
        <v>0</v>
      </c>
      <c r="E151" s="36" t="n">
        <f aca="false">E13-E150</f>
        <v>0</v>
      </c>
      <c r="F151" s="36" t="n">
        <f aca="false">F13-F150</f>
        <v>0</v>
      </c>
      <c r="G151" s="36" t="n">
        <f aca="false">G13-G150</f>
        <v>0</v>
      </c>
      <c r="H151" s="36" t="n">
        <f aca="false">H13-H150</f>
        <v>0</v>
      </c>
      <c r="I151" s="36" t="n">
        <f aca="false">I13-I150</f>
        <v>0</v>
      </c>
      <c r="J151" s="36" t="n">
        <f aca="false">J13-J150</f>
        <v>0</v>
      </c>
      <c r="K151" s="36" t="n">
        <f aca="false">K13-K150</f>
        <v>0</v>
      </c>
      <c r="L151" s="36" t="n">
        <f aca="false">L13-L150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7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7" topLeftCell="C8" activePane="bottomRight" state="frozen"/>
      <selection pane="topLeft" activeCell="A1" activeCellId="0" sqref="A1"/>
      <selection pane="topRight" activeCell="C1" activeCellId="0" sqref="C1"/>
      <selection pane="bottomLeft" activeCell="A8" activeCellId="0" sqref="A8"/>
      <selection pane="bottomRigh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12" min="3" style="0" width="16"/>
  </cols>
  <sheetData>
    <row r="1" customFormat="false" ht="17.35" hidden="false" customHeight="false" outlineLevel="0" collapsed="false">
      <c r="A1" s="1"/>
      <c r="B1" s="24" t="s">
        <v>225</v>
      </c>
      <c r="C1" s="1"/>
      <c r="D1" s="1"/>
      <c r="E1" s="1"/>
      <c r="F1" s="1"/>
      <c r="G1" s="1"/>
      <c r="H1" s="1"/>
      <c r="I1" s="1"/>
      <c r="J1" s="1"/>
      <c r="K1" s="1"/>
      <c r="L1" s="1"/>
      <c r="M1" s="3"/>
      <c r="N1" s="3"/>
      <c r="O1" s="3"/>
      <c r="P1" s="3"/>
      <c r="Q1" s="3"/>
      <c r="R1" s="3"/>
      <c r="S1" s="3"/>
      <c r="T1" s="3"/>
      <c r="U1" s="3"/>
      <c r="V1" s="3"/>
      <c r="W1" s="3"/>
      <c r="X1" s="3"/>
      <c r="Y1" s="3"/>
      <c r="Z1" s="3"/>
      <c r="AA1" s="3"/>
      <c r="AB1" s="3"/>
      <c r="AC1" s="3"/>
      <c r="AD1" s="3"/>
    </row>
    <row r="2" customFormat="false" ht="21.75" hidden="false" customHeight="true" outlineLevel="0" collapsed="false">
      <c r="A2" s="1"/>
      <c r="B2" s="25" t="s">
        <v>226</v>
      </c>
      <c r="C2" s="1"/>
      <c r="D2" s="1"/>
      <c r="E2" s="1"/>
      <c r="F2" s="1"/>
      <c r="G2" s="1"/>
      <c r="H2" s="1"/>
      <c r="I2" s="1"/>
      <c r="J2" s="1"/>
      <c r="K2" s="1"/>
      <c r="L2" s="1"/>
      <c r="M2" s="3"/>
      <c r="N2" s="3"/>
      <c r="O2" s="3"/>
      <c r="P2" s="3"/>
      <c r="Q2" s="3"/>
      <c r="R2" s="3"/>
      <c r="S2" s="3"/>
      <c r="T2" s="3"/>
      <c r="U2" s="3"/>
      <c r="V2" s="3"/>
      <c r="W2" s="3"/>
      <c r="X2" s="3"/>
      <c r="Y2" s="3"/>
      <c r="Z2" s="3"/>
      <c r="AA2" s="3"/>
      <c r="AB2" s="3"/>
      <c r="AC2" s="3"/>
      <c r="AD2" s="3"/>
    </row>
    <row r="3" customFormat="false" ht="15" hidden="false" customHeight="false" outlineLevel="0" collapsed="false">
      <c r="A3" s="1"/>
      <c r="B3" s="26" t="s">
        <v>26</v>
      </c>
      <c r="C3" s="1"/>
      <c r="D3" s="1"/>
      <c r="E3" s="1"/>
      <c r="F3" s="1"/>
      <c r="G3" s="1"/>
      <c r="H3" s="1"/>
      <c r="I3" s="1"/>
      <c r="J3" s="1"/>
      <c r="K3" s="1"/>
      <c r="L3" s="1"/>
      <c r="M3" s="3"/>
      <c r="N3" s="3"/>
      <c r="O3" s="3"/>
      <c r="P3" s="3"/>
      <c r="Q3" s="3"/>
      <c r="R3" s="3"/>
      <c r="S3" s="3"/>
      <c r="T3" s="3"/>
      <c r="U3" s="3"/>
      <c r="V3" s="3"/>
      <c r="W3" s="3"/>
      <c r="X3" s="3"/>
      <c r="Y3" s="3"/>
      <c r="Z3" s="3"/>
      <c r="AA3" s="3"/>
      <c r="AB3" s="3"/>
      <c r="AC3" s="3"/>
      <c r="AD3" s="3"/>
    </row>
    <row r="4" customFormat="false" ht="15" hidden="false" customHeight="false" outlineLevel="0" collapsed="false">
      <c r="A4" s="7"/>
      <c r="B4" s="7"/>
      <c r="C4" s="7"/>
      <c r="D4" s="7"/>
      <c r="E4" s="7"/>
      <c r="F4" s="7"/>
      <c r="G4" s="7"/>
      <c r="H4" s="7"/>
      <c r="I4" s="7"/>
      <c r="J4" s="7"/>
      <c r="K4" s="7"/>
      <c r="L4" s="7"/>
    </row>
    <row r="5" customFormat="false" ht="15" hidden="false" customHeight="false" outlineLevel="0" collapsed="false">
      <c r="A5" s="7"/>
      <c r="B5" s="7"/>
      <c r="C5" s="7"/>
      <c r="D5" s="7"/>
      <c r="E5" s="7"/>
      <c r="F5" s="7"/>
      <c r="G5" s="7"/>
      <c r="H5" s="7"/>
      <c r="I5" s="7"/>
      <c r="J5" s="7"/>
      <c r="K5" s="7"/>
      <c r="L5" s="7"/>
    </row>
    <row r="6" customFormat="false" ht="15" hidden="false" customHeight="false" outlineLevel="0" collapsed="false">
      <c r="A6" s="7"/>
      <c r="B6" s="33" t="s">
        <v>77</v>
      </c>
      <c r="C6" s="34" t="n">
        <f aca="false">Model_Start_Year+0</f>
        <v>2025</v>
      </c>
      <c r="D6" s="34" t="n">
        <f aca="false">Model_Start_Year+1</f>
        <v>2026</v>
      </c>
      <c r="E6" s="34" t="n">
        <f aca="false">Model_Start_Year+2</f>
        <v>2027</v>
      </c>
      <c r="F6" s="34" t="n">
        <f aca="false">Model_Start_Year+3</f>
        <v>2028</v>
      </c>
      <c r="G6" s="34" t="n">
        <f aca="false">Model_Start_Year+4</f>
        <v>2029</v>
      </c>
      <c r="H6" s="34" t="n">
        <f aca="false">Model_Start_Year+5</f>
        <v>2030</v>
      </c>
      <c r="I6" s="34" t="n">
        <f aca="false">Model_Start_Year+6</f>
        <v>2031</v>
      </c>
      <c r="J6" s="34" t="n">
        <f aca="false">Model_Start_Year+7</f>
        <v>2032</v>
      </c>
      <c r="K6" s="34" t="n">
        <f aca="false">Model_Start_Year+8</f>
        <v>2033</v>
      </c>
      <c r="L6" s="34" t="n">
        <f aca="false">Model_Start_Year+9</f>
        <v>2034</v>
      </c>
    </row>
    <row r="7" customFormat="false" ht="15" hidden="false" customHeight="false" outlineLevel="0" collapsed="false">
      <c r="A7" s="7"/>
      <c r="B7" s="28" t="s">
        <v>78</v>
      </c>
      <c r="C7" s="35" t="n">
        <v>1</v>
      </c>
      <c r="D7" s="35" t="n">
        <v>2</v>
      </c>
      <c r="E7" s="35" t="n">
        <v>3</v>
      </c>
      <c r="F7" s="35" t="n">
        <v>4</v>
      </c>
      <c r="G7" s="35" t="n">
        <v>5</v>
      </c>
      <c r="H7" s="35" t="n">
        <v>6</v>
      </c>
      <c r="I7" s="35" t="n">
        <v>7</v>
      </c>
      <c r="J7" s="35" t="n">
        <v>8</v>
      </c>
      <c r="K7" s="35" t="n">
        <v>9</v>
      </c>
      <c r="L7" s="35" t="n">
        <v>10</v>
      </c>
    </row>
    <row r="8" customFormat="false" ht="15" hidden="false" customHeight="false" outlineLevel="0" collapsed="false">
      <c r="A8" s="7"/>
      <c r="B8" s="7"/>
      <c r="C8" s="7"/>
      <c r="D8" s="7"/>
      <c r="E8" s="7"/>
      <c r="F8" s="7"/>
      <c r="G8" s="7"/>
      <c r="H8" s="7"/>
      <c r="I8" s="7"/>
      <c r="J8" s="7"/>
      <c r="K8" s="7"/>
      <c r="L8" s="7"/>
    </row>
    <row r="9" customFormat="false" ht="15" hidden="false" customHeight="false" outlineLevel="0" collapsed="false">
      <c r="A9" s="7"/>
      <c r="B9" s="27" t="s">
        <v>227</v>
      </c>
      <c r="C9" s="9"/>
      <c r="D9" s="9"/>
      <c r="E9" s="9"/>
      <c r="F9" s="9"/>
      <c r="G9" s="9"/>
      <c r="H9" s="9"/>
      <c r="I9" s="9"/>
      <c r="J9" s="9"/>
      <c r="K9" s="9"/>
      <c r="L9" s="9"/>
    </row>
    <row r="10" customFormat="false" ht="15" hidden="false" customHeight="false" outlineLevel="0" collapsed="false">
      <c r="A10" s="7"/>
      <c r="B10" s="37" t="s">
        <v>228</v>
      </c>
      <c r="C10" s="36" t="n">
        <f aca="false">Waterfall!C133</f>
        <v>325000000</v>
      </c>
      <c r="D10" s="36" t="n">
        <f aca="false">Waterfall!D133</f>
        <v>325000000</v>
      </c>
      <c r="E10" s="36" t="n">
        <f aca="false">Waterfall!E133</f>
        <v>318000000</v>
      </c>
      <c r="F10" s="36" t="n">
        <f aca="false">Waterfall!F133</f>
        <v>311140000</v>
      </c>
      <c r="G10" s="36" t="n">
        <f aca="false">Waterfall!G133</f>
        <v>304417200</v>
      </c>
      <c r="H10" s="36" t="n">
        <f aca="false">Waterfall!H133</f>
        <v>297828856</v>
      </c>
      <c r="I10" s="36" t="n">
        <f aca="false">Waterfall!I133</f>
        <v>183155898.13248</v>
      </c>
      <c r="J10" s="36" t="n">
        <f aca="false">Waterfall!J133</f>
        <v>93118132.903488</v>
      </c>
      <c r="K10" s="36" t="n">
        <f aca="false">Waterfall!K133</f>
        <v>25025633.290085</v>
      </c>
      <c r="L10" s="36" t="n">
        <f aca="false">Waterfall!L133</f>
        <v>0</v>
      </c>
    </row>
    <row r="11" customFormat="false" ht="15" hidden="false" customHeight="false" outlineLevel="0" collapsed="false">
      <c r="A11" s="7"/>
      <c r="B11" s="37" t="s">
        <v>229</v>
      </c>
      <c r="C11" s="36" t="n">
        <f aca="false">Waterfall!C22</f>
        <v>22750000</v>
      </c>
      <c r="D11" s="36" t="n">
        <f aca="false">Waterfall!D22</f>
        <v>22750000</v>
      </c>
      <c r="E11" s="36" t="n">
        <f aca="false">Waterfall!E22</f>
        <v>22260000</v>
      </c>
      <c r="F11" s="36" t="n">
        <f aca="false">Waterfall!F22</f>
        <v>21779800</v>
      </c>
      <c r="G11" s="36" t="n">
        <f aca="false">Waterfall!G22</f>
        <v>21309204</v>
      </c>
      <c r="H11" s="36" t="n">
        <f aca="false">Waterfall!H22</f>
        <v>20848019.92</v>
      </c>
      <c r="I11" s="36" t="n">
        <f aca="false">Waterfall!I22</f>
        <v>12820912.8692736</v>
      </c>
      <c r="J11" s="36" t="n">
        <f aca="false">Waterfall!J22</f>
        <v>6518269.30324416</v>
      </c>
      <c r="K11" s="36" t="n">
        <f aca="false">Waterfall!K22</f>
        <v>1751794.33030595</v>
      </c>
      <c r="L11" s="36" t="n">
        <f aca="false">Waterfall!L22</f>
        <v>0</v>
      </c>
    </row>
    <row r="12" customFormat="false" ht="15" hidden="false" customHeight="false" outlineLevel="0" collapsed="false">
      <c r="A12" s="7"/>
      <c r="B12" s="37" t="s">
        <v>230</v>
      </c>
      <c r="C12" s="36" t="n">
        <f aca="false">Waterfall!C120</f>
        <v>0</v>
      </c>
      <c r="D12" s="36" t="n">
        <f aca="false">Waterfall!D120</f>
        <v>7000000</v>
      </c>
      <c r="E12" s="36" t="n">
        <f aca="false">Waterfall!E120</f>
        <v>6860000</v>
      </c>
      <c r="F12" s="36" t="n">
        <f aca="false">Waterfall!F120</f>
        <v>6722800</v>
      </c>
      <c r="G12" s="36" t="n">
        <f aca="false">Waterfall!G120</f>
        <v>6588344</v>
      </c>
      <c r="H12" s="36" t="n">
        <f aca="false">Waterfall!H120</f>
        <v>114672957.86752</v>
      </c>
      <c r="I12" s="36" t="n">
        <f aca="false">Waterfall!I120</f>
        <v>90037765.228992</v>
      </c>
      <c r="J12" s="36" t="n">
        <f aca="false">Waterfall!J120</f>
        <v>68092499.613403</v>
      </c>
      <c r="K12" s="36" t="n">
        <f aca="false">Waterfall!K120</f>
        <v>25025633.290085</v>
      </c>
      <c r="L12" s="36" t="n">
        <f aca="false">Waterfall!L120+L56</f>
        <v>0</v>
      </c>
    </row>
    <row r="13" customFormat="false" ht="15" hidden="false" customHeight="false" outlineLevel="0" collapsed="false">
      <c r="A13" s="7"/>
      <c r="B13" s="37" t="s">
        <v>231</v>
      </c>
      <c r="C13" s="36" t="n">
        <f aca="false">MAX(0,C10-C12)</f>
        <v>325000000</v>
      </c>
      <c r="D13" s="36" t="n">
        <f aca="false">MAX(0,D10-D12)</f>
        <v>318000000</v>
      </c>
      <c r="E13" s="36" t="n">
        <f aca="false">MAX(0,E10-E12)</f>
        <v>311140000</v>
      </c>
      <c r="F13" s="36" t="n">
        <f aca="false">MAX(0,F10-F12)</f>
        <v>304417200</v>
      </c>
      <c r="G13" s="36" t="n">
        <f aca="false">MAX(0,G10-G12)</f>
        <v>297828856</v>
      </c>
      <c r="H13" s="36" t="n">
        <f aca="false">MAX(0,H10-H12)</f>
        <v>183155898.13248</v>
      </c>
      <c r="I13" s="36" t="n">
        <f aca="false">MAX(0,I10-I12)</f>
        <v>93118132.903488</v>
      </c>
      <c r="J13" s="36" t="n">
        <f aca="false">MAX(0,J10-J12)</f>
        <v>25025633.290085</v>
      </c>
      <c r="K13" s="36" t="n">
        <f aca="false">MAX(0,K10-K12)</f>
        <v>0</v>
      </c>
      <c r="L13" s="36" t="n">
        <f aca="false">MAX(0,L10-L12)</f>
        <v>0</v>
      </c>
    </row>
    <row r="14" customFormat="false" ht="15" hidden="false" customHeight="false" outlineLevel="0" collapsed="false">
      <c r="A14" s="7"/>
      <c r="B14" s="12" t="s">
        <v>232</v>
      </c>
      <c r="C14" s="36" t="n">
        <f aca="false">C11+C12</f>
        <v>22750000</v>
      </c>
      <c r="D14" s="36" t="n">
        <f aca="false">D11+D12</f>
        <v>29750000</v>
      </c>
      <c r="E14" s="36" t="n">
        <f aca="false">E11+E12</f>
        <v>29120000</v>
      </c>
      <c r="F14" s="36" t="n">
        <f aca="false">F11+F12</f>
        <v>28502600</v>
      </c>
      <c r="G14" s="36" t="n">
        <f aca="false">G11+G12</f>
        <v>27897548</v>
      </c>
      <c r="H14" s="36" t="n">
        <f aca="false">H11+H12</f>
        <v>135520977.78752</v>
      </c>
      <c r="I14" s="36" t="n">
        <f aca="false">I11+I12</f>
        <v>102858678.098266</v>
      </c>
      <c r="J14" s="36" t="n">
        <f aca="false">J11+J12</f>
        <v>74610768.9166472</v>
      </c>
      <c r="K14" s="36" t="n">
        <f aca="false">K11+K12</f>
        <v>26777427.620391</v>
      </c>
      <c r="L14" s="36" t="n">
        <f aca="false">L11+L12</f>
        <v>0</v>
      </c>
    </row>
    <row r="15" customFormat="false" ht="15" hidden="false" customHeight="false" outlineLevel="0" collapsed="false">
      <c r="A15" s="7"/>
      <c r="B15" s="7"/>
      <c r="C15" s="7"/>
      <c r="D15" s="7"/>
      <c r="E15" s="7"/>
      <c r="F15" s="7"/>
      <c r="G15" s="7"/>
      <c r="H15" s="7"/>
      <c r="I15" s="7"/>
      <c r="J15" s="7"/>
      <c r="K15" s="7"/>
      <c r="L15" s="7"/>
    </row>
    <row r="16" customFormat="false" ht="15" hidden="false" customHeight="false" outlineLevel="0" collapsed="false">
      <c r="A16" s="7"/>
      <c r="B16" s="27" t="s">
        <v>233</v>
      </c>
      <c r="C16" s="9"/>
      <c r="D16" s="9"/>
      <c r="E16" s="9"/>
      <c r="F16" s="9"/>
      <c r="G16" s="9"/>
      <c r="H16" s="9"/>
      <c r="I16" s="9"/>
      <c r="J16" s="9"/>
      <c r="K16" s="9"/>
      <c r="L16" s="9"/>
    </row>
    <row r="17" customFormat="false" ht="15" hidden="false" customHeight="false" outlineLevel="0" collapsed="false">
      <c r="A17" s="7"/>
      <c r="B17" s="37" t="s">
        <v>228</v>
      </c>
      <c r="C17" s="36" t="n">
        <f aca="false">Waterfall!C135</f>
        <v>50000000</v>
      </c>
      <c r="D17" s="36" t="n">
        <f aca="false">Waterfall!D135</f>
        <v>50000000</v>
      </c>
      <c r="E17" s="36" t="n">
        <f aca="false">Waterfall!E135</f>
        <v>50000000</v>
      </c>
      <c r="F17" s="36" t="n">
        <f aca="false">Waterfall!F135</f>
        <v>50000000</v>
      </c>
      <c r="G17" s="36" t="n">
        <f aca="false">Waterfall!G135</f>
        <v>50000000</v>
      </c>
      <c r="H17" s="36" t="n">
        <f aca="false">Waterfall!H135</f>
        <v>50000000</v>
      </c>
      <c r="I17" s="36" t="n">
        <f aca="false">Waterfall!I135</f>
        <v>50000000</v>
      </c>
      <c r="J17" s="36" t="n">
        <f aca="false">Waterfall!J135</f>
        <v>50000000</v>
      </c>
      <c r="K17" s="36" t="n">
        <f aca="false">Waterfall!K135</f>
        <v>50000000</v>
      </c>
      <c r="L17" s="36" t="n">
        <f aca="false">Waterfall!L135</f>
        <v>21275027.8654062</v>
      </c>
    </row>
    <row r="18" customFormat="false" ht="15" hidden="false" customHeight="false" outlineLevel="0" collapsed="false">
      <c r="A18" s="7"/>
      <c r="B18" s="37" t="s">
        <v>229</v>
      </c>
      <c r="C18" s="36" t="n">
        <f aca="false">Waterfall!C25</f>
        <v>3750000</v>
      </c>
      <c r="D18" s="36" t="n">
        <f aca="false">Waterfall!D25</f>
        <v>3750000</v>
      </c>
      <c r="E18" s="36" t="n">
        <f aca="false">Waterfall!E25</f>
        <v>3750000</v>
      </c>
      <c r="F18" s="36" t="n">
        <f aca="false">Waterfall!F25</f>
        <v>3750000</v>
      </c>
      <c r="G18" s="36" t="n">
        <f aca="false">Waterfall!G25</f>
        <v>3750000</v>
      </c>
      <c r="H18" s="36" t="n">
        <f aca="false">Waterfall!H25</f>
        <v>3750000</v>
      </c>
      <c r="I18" s="36" t="n">
        <f aca="false">Waterfall!I25</f>
        <v>3750000</v>
      </c>
      <c r="J18" s="36" t="n">
        <f aca="false">Waterfall!J25</f>
        <v>3750000</v>
      </c>
      <c r="K18" s="36" t="n">
        <f aca="false">Waterfall!K25</f>
        <v>3750000</v>
      </c>
      <c r="L18" s="36" t="n">
        <f aca="false">Waterfall!L25</f>
        <v>1595627.08990546</v>
      </c>
    </row>
    <row r="19" customFormat="false" ht="15" hidden="false" customHeight="false" outlineLevel="0" collapsed="false">
      <c r="A19" s="7"/>
      <c r="B19" s="37" t="s">
        <v>230</v>
      </c>
      <c r="C19" s="36" t="n">
        <f aca="false">Waterfall!C122</f>
        <v>0</v>
      </c>
      <c r="D19" s="36" t="n">
        <f aca="false">Waterfall!D122</f>
        <v>0</v>
      </c>
      <c r="E19" s="36" t="n">
        <f aca="false">Waterfall!E122</f>
        <v>0</v>
      </c>
      <c r="F19" s="36" t="n">
        <f aca="false">Waterfall!F122</f>
        <v>0</v>
      </c>
      <c r="G19" s="36" t="n">
        <f aca="false">Waterfall!G122</f>
        <v>0</v>
      </c>
      <c r="H19" s="36" t="n">
        <f aca="false">Waterfall!H122</f>
        <v>0</v>
      </c>
      <c r="I19" s="36" t="n">
        <f aca="false">Waterfall!I122</f>
        <v>0</v>
      </c>
      <c r="J19" s="36" t="n">
        <f aca="false">Waterfall!J122</f>
        <v>0</v>
      </c>
      <c r="K19" s="36" t="n">
        <f aca="false">Waterfall!K122</f>
        <v>28724972.1345938</v>
      </c>
      <c r="L19" s="36" t="n">
        <f aca="false">Waterfall!L122+L57</f>
        <v>21275027.8654062</v>
      </c>
    </row>
    <row r="20" customFormat="false" ht="15" hidden="false" customHeight="false" outlineLevel="0" collapsed="false">
      <c r="A20" s="7"/>
      <c r="B20" s="37" t="s">
        <v>231</v>
      </c>
      <c r="C20" s="36" t="n">
        <f aca="false">MAX(0,C17-C19)</f>
        <v>50000000</v>
      </c>
      <c r="D20" s="36" t="n">
        <f aca="false">MAX(0,D17-D19)</f>
        <v>50000000</v>
      </c>
      <c r="E20" s="36" t="n">
        <f aca="false">MAX(0,E17-E19)</f>
        <v>50000000</v>
      </c>
      <c r="F20" s="36" t="n">
        <f aca="false">MAX(0,F17-F19)</f>
        <v>50000000</v>
      </c>
      <c r="G20" s="36" t="n">
        <f aca="false">MAX(0,G17-G19)</f>
        <v>50000000</v>
      </c>
      <c r="H20" s="36" t="n">
        <f aca="false">MAX(0,H17-H19)</f>
        <v>50000000</v>
      </c>
      <c r="I20" s="36" t="n">
        <f aca="false">MAX(0,I17-I19)</f>
        <v>50000000</v>
      </c>
      <c r="J20" s="36" t="n">
        <f aca="false">MAX(0,J17-J19)</f>
        <v>50000000</v>
      </c>
      <c r="K20" s="36" t="n">
        <f aca="false">MAX(0,K17-K19)</f>
        <v>21275027.8654062</v>
      </c>
      <c r="L20" s="36" t="n">
        <f aca="false">MAX(0,L17-L19)</f>
        <v>0</v>
      </c>
    </row>
    <row r="21" customFormat="false" ht="15" hidden="false" customHeight="false" outlineLevel="0" collapsed="false">
      <c r="A21" s="7"/>
      <c r="B21" s="12" t="s">
        <v>232</v>
      </c>
      <c r="C21" s="36" t="n">
        <f aca="false">C18+C19</f>
        <v>3750000</v>
      </c>
      <c r="D21" s="36" t="n">
        <f aca="false">D18+D19</f>
        <v>3750000</v>
      </c>
      <c r="E21" s="36" t="n">
        <f aca="false">E18+E19</f>
        <v>3750000</v>
      </c>
      <c r="F21" s="36" t="n">
        <f aca="false">F18+F19</f>
        <v>3750000</v>
      </c>
      <c r="G21" s="36" t="n">
        <f aca="false">G18+G19</f>
        <v>3750000</v>
      </c>
      <c r="H21" s="36" t="n">
        <f aca="false">H18+H19</f>
        <v>3750000</v>
      </c>
      <c r="I21" s="36" t="n">
        <f aca="false">I18+I19</f>
        <v>3750000</v>
      </c>
      <c r="J21" s="36" t="n">
        <f aca="false">J18+J19</f>
        <v>3750000</v>
      </c>
      <c r="K21" s="36" t="n">
        <f aca="false">K18+K19</f>
        <v>32474972.1345938</v>
      </c>
      <c r="L21" s="36" t="n">
        <f aca="false">L18+L19</f>
        <v>22870654.9553116</v>
      </c>
    </row>
    <row r="22" customFormat="false" ht="15" hidden="false" customHeight="false" outlineLevel="0" collapsed="false">
      <c r="A22" s="7"/>
      <c r="B22" s="7"/>
      <c r="C22" s="7"/>
      <c r="D22" s="7"/>
      <c r="E22" s="7"/>
      <c r="F22" s="7"/>
      <c r="G22" s="7"/>
      <c r="H22" s="7"/>
      <c r="I22" s="7"/>
      <c r="J22" s="7"/>
      <c r="K22" s="7"/>
      <c r="L22" s="7"/>
    </row>
    <row r="23" customFormat="false" ht="15" hidden="false" customHeight="false" outlineLevel="0" collapsed="false">
      <c r="A23" s="7"/>
      <c r="B23" s="27" t="s">
        <v>234</v>
      </c>
      <c r="C23" s="9"/>
      <c r="D23" s="9"/>
      <c r="E23" s="9"/>
      <c r="F23" s="9"/>
      <c r="G23" s="9"/>
      <c r="H23" s="9"/>
      <c r="I23" s="9"/>
      <c r="J23" s="9"/>
      <c r="K23" s="9"/>
      <c r="L23" s="9"/>
    </row>
    <row r="24" customFormat="false" ht="15" hidden="false" customHeight="false" outlineLevel="0" collapsed="false">
      <c r="A24" s="7"/>
      <c r="B24" s="37" t="s">
        <v>228</v>
      </c>
      <c r="C24" s="36" t="n">
        <f aca="false">Waterfall!C137</f>
        <v>37500000</v>
      </c>
      <c r="D24" s="36" t="n">
        <f aca="false">Waterfall!D137</f>
        <v>37500000</v>
      </c>
      <c r="E24" s="36" t="n">
        <f aca="false">Waterfall!E137</f>
        <v>37500000</v>
      </c>
      <c r="F24" s="36" t="n">
        <f aca="false">Waterfall!F137</f>
        <v>37500000</v>
      </c>
      <c r="G24" s="36" t="n">
        <f aca="false">Waterfall!G137</f>
        <v>37500000</v>
      </c>
      <c r="H24" s="36" t="n">
        <f aca="false">Waterfall!H137</f>
        <v>37500000</v>
      </c>
      <c r="I24" s="36" t="n">
        <f aca="false">Waterfall!I137</f>
        <v>37500000</v>
      </c>
      <c r="J24" s="36" t="n">
        <f aca="false">Waterfall!J137</f>
        <v>37500000</v>
      </c>
      <c r="K24" s="36" t="n">
        <f aca="false">Waterfall!K137</f>
        <v>37500000</v>
      </c>
      <c r="L24" s="36" t="n">
        <f aca="false">Waterfall!L137</f>
        <v>37500000</v>
      </c>
    </row>
    <row r="25" customFormat="false" ht="15" hidden="false" customHeight="false" outlineLevel="0" collapsed="false">
      <c r="A25" s="7"/>
      <c r="B25" s="37" t="s">
        <v>229</v>
      </c>
      <c r="C25" s="36" t="n">
        <f aca="false">Waterfall!C42</f>
        <v>3000000</v>
      </c>
      <c r="D25" s="36" t="n">
        <f aca="false">Waterfall!D42</f>
        <v>3000000</v>
      </c>
      <c r="E25" s="36" t="n">
        <f aca="false">Waterfall!E42</f>
        <v>3000000</v>
      </c>
      <c r="F25" s="36" t="n">
        <f aca="false">Waterfall!F42</f>
        <v>3000000</v>
      </c>
      <c r="G25" s="36" t="n">
        <f aca="false">Waterfall!G42</f>
        <v>3000000</v>
      </c>
      <c r="H25" s="36" t="n">
        <f aca="false">Waterfall!H42</f>
        <v>0</v>
      </c>
      <c r="I25" s="36" t="n">
        <f aca="false">Waterfall!I42</f>
        <v>3000000</v>
      </c>
      <c r="J25" s="36" t="n">
        <f aca="false">Waterfall!J42</f>
        <v>3000000</v>
      </c>
      <c r="K25" s="36" t="n">
        <f aca="false">Waterfall!K42</f>
        <v>3000000</v>
      </c>
      <c r="L25" s="36" t="n">
        <f aca="false">Waterfall!L42</f>
        <v>3000000</v>
      </c>
    </row>
    <row r="26" customFormat="false" ht="15" hidden="false" customHeight="false" outlineLevel="0" collapsed="false">
      <c r="A26" s="7"/>
      <c r="B26" s="37" t="s">
        <v>230</v>
      </c>
      <c r="C26" s="36" t="n">
        <f aca="false">Waterfall!C124</f>
        <v>0</v>
      </c>
      <c r="D26" s="36" t="n">
        <f aca="false">Waterfall!D124</f>
        <v>0</v>
      </c>
      <c r="E26" s="36" t="n">
        <f aca="false">Waterfall!E124</f>
        <v>0</v>
      </c>
      <c r="F26" s="36" t="n">
        <f aca="false">Waterfall!F124</f>
        <v>0</v>
      </c>
      <c r="G26" s="36" t="n">
        <f aca="false">Waterfall!G124</f>
        <v>0</v>
      </c>
      <c r="H26" s="36" t="n">
        <f aca="false">Waterfall!H124</f>
        <v>0</v>
      </c>
      <c r="I26" s="36" t="n">
        <f aca="false">Waterfall!I124</f>
        <v>0</v>
      </c>
      <c r="J26" s="36" t="n">
        <f aca="false">Waterfall!J124</f>
        <v>0</v>
      </c>
      <c r="K26" s="36" t="n">
        <f aca="false">Waterfall!K124</f>
        <v>0</v>
      </c>
      <c r="L26" s="36" t="n">
        <f aca="false">Waterfall!L124+L58</f>
        <v>37500000</v>
      </c>
    </row>
    <row r="27" customFormat="false" ht="15" hidden="false" customHeight="false" outlineLevel="0" collapsed="false">
      <c r="A27" s="7"/>
      <c r="B27" s="37" t="s">
        <v>231</v>
      </c>
      <c r="C27" s="36" t="n">
        <f aca="false">MAX(0,C24-C26)</f>
        <v>37500000</v>
      </c>
      <c r="D27" s="36" t="n">
        <f aca="false">MAX(0,D24-D26)</f>
        <v>37500000</v>
      </c>
      <c r="E27" s="36" t="n">
        <f aca="false">MAX(0,E24-E26)</f>
        <v>37500000</v>
      </c>
      <c r="F27" s="36" t="n">
        <f aca="false">MAX(0,F24-F26)</f>
        <v>37500000</v>
      </c>
      <c r="G27" s="36" t="n">
        <f aca="false">MAX(0,G24-G26)</f>
        <v>37500000</v>
      </c>
      <c r="H27" s="36" t="n">
        <f aca="false">MAX(0,H24-H26)</f>
        <v>37500000</v>
      </c>
      <c r="I27" s="36" t="n">
        <f aca="false">MAX(0,I24-I26)</f>
        <v>37500000</v>
      </c>
      <c r="J27" s="36" t="n">
        <f aca="false">MAX(0,J24-J26)</f>
        <v>37500000</v>
      </c>
      <c r="K27" s="36" t="n">
        <f aca="false">MAX(0,K24-K26)</f>
        <v>37500000</v>
      </c>
      <c r="L27" s="36" t="n">
        <f aca="false">MAX(0,L24-L26)</f>
        <v>0</v>
      </c>
    </row>
    <row r="28" customFormat="false" ht="15" hidden="false" customHeight="false" outlineLevel="0" collapsed="false">
      <c r="A28" s="7"/>
      <c r="B28" s="12" t="s">
        <v>232</v>
      </c>
      <c r="C28" s="36" t="n">
        <f aca="false">C25+C26</f>
        <v>3000000</v>
      </c>
      <c r="D28" s="36" t="n">
        <f aca="false">D25+D26</f>
        <v>3000000</v>
      </c>
      <c r="E28" s="36" t="n">
        <f aca="false">E25+E26</f>
        <v>3000000</v>
      </c>
      <c r="F28" s="36" t="n">
        <f aca="false">F25+F26</f>
        <v>3000000</v>
      </c>
      <c r="G28" s="36" t="n">
        <f aca="false">G25+G26</f>
        <v>3000000</v>
      </c>
      <c r="H28" s="36" t="n">
        <f aca="false">H25+H26</f>
        <v>0</v>
      </c>
      <c r="I28" s="36" t="n">
        <f aca="false">I25+I26</f>
        <v>3000000</v>
      </c>
      <c r="J28" s="36" t="n">
        <f aca="false">J25+J26</f>
        <v>3000000</v>
      </c>
      <c r="K28" s="36" t="n">
        <f aca="false">K25+K26</f>
        <v>3000000</v>
      </c>
      <c r="L28" s="36" t="n">
        <f aca="false">L25+L26</f>
        <v>40500000</v>
      </c>
    </row>
    <row r="29" customFormat="false" ht="15" hidden="false" customHeight="false" outlineLevel="0" collapsed="false">
      <c r="A29" s="7"/>
      <c r="B29" s="7"/>
      <c r="C29" s="7"/>
      <c r="D29" s="7"/>
      <c r="E29" s="7"/>
      <c r="F29" s="7"/>
      <c r="G29" s="7"/>
      <c r="H29" s="7"/>
      <c r="I29" s="7"/>
      <c r="J29" s="7"/>
      <c r="K29" s="7"/>
      <c r="L29" s="7"/>
    </row>
    <row r="30" customFormat="false" ht="15" hidden="false" customHeight="false" outlineLevel="0" collapsed="false">
      <c r="A30" s="7"/>
      <c r="B30" s="27" t="s">
        <v>235</v>
      </c>
      <c r="C30" s="9"/>
      <c r="D30" s="9"/>
      <c r="E30" s="9"/>
      <c r="F30" s="9"/>
      <c r="G30" s="9"/>
      <c r="H30" s="9"/>
      <c r="I30" s="9"/>
      <c r="J30" s="9"/>
      <c r="K30" s="9"/>
      <c r="L30" s="9"/>
    </row>
    <row r="31" customFormat="false" ht="15" hidden="false" customHeight="false" outlineLevel="0" collapsed="false">
      <c r="A31" s="7"/>
      <c r="B31" s="37" t="s">
        <v>228</v>
      </c>
      <c r="C31" s="36" t="n">
        <f aca="false">Waterfall!C139</f>
        <v>25000000</v>
      </c>
      <c r="D31" s="36" t="n">
        <f aca="false">Waterfall!D139</f>
        <v>25000000</v>
      </c>
      <c r="E31" s="36" t="n">
        <f aca="false">Waterfall!E139</f>
        <v>25000000</v>
      </c>
      <c r="F31" s="36" t="n">
        <f aca="false">Waterfall!F139</f>
        <v>25000000</v>
      </c>
      <c r="G31" s="36" t="n">
        <f aca="false">Waterfall!G139</f>
        <v>25000000</v>
      </c>
      <c r="H31" s="36" t="n">
        <f aca="false">Waterfall!H139</f>
        <v>25000000</v>
      </c>
      <c r="I31" s="36" t="n">
        <f aca="false">Waterfall!I139</f>
        <v>25000000</v>
      </c>
      <c r="J31" s="36" t="n">
        <f aca="false">Waterfall!J139</f>
        <v>25000000</v>
      </c>
      <c r="K31" s="36" t="n">
        <f aca="false">Waterfall!K139</f>
        <v>25000000</v>
      </c>
      <c r="L31" s="36" t="n">
        <f aca="false">Waterfall!L139</f>
        <v>25000000</v>
      </c>
    </row>
    <row r="32" customFormat="false" ht="15" hidden="false" customHeight="false" outlineLevel="0" collapsed="false">
      <c r="A32" s="7"/>
      <c r="B32" s="37" t="s">
        <v>229</v>
      </c>
      <c r="C32" s="36" t="n">
        <f aca="false">Waterfall!C59</f>
        <v>2250000</v>
      </c>
      <c r="D32" s="36" t="n">
        <f aca="false">Waterfall!D59</f>
        <v>2250000</v>
      </c>
      <c r="E32" s="36" t="n">
        <f aca="false">Waterfall!E59</f>
        <v>2250000</v>
      </c>
      <c r="F32" s="36" t="n">
        <f aca="false">Waterfall!F59</f>
        <v>2250000</v>
      </c>
      <c r="G32" s="36" t="n">
        <f aca="false">Waterfall!G59</f>
        <v>2250000</v>
      </c>
      <c r="H32" s="36" t="n">
        <f aca="false">Waterfall!H59</f>
        <v>0</v>
      </c>
      <c r="I32" s="36" t="n">
        <f aca="false">Waterfall!I59</f>
        <v>0</v>
      </c>
      <c r="J32" s="36" t="n">
        <f aca="false">Waterfall!J59</f>
        <v>2250000</v>
      </c>
      <c r="K32" s="36" t="n">
        <f aca="false">Waterfall!K59</f>
        <v>2250000</v>
      </c>
      <c r="L32" s="36" t="n">
        <f aca="false">Waterfall!L59</f>
        <v>2250000</v>
      </c>
    </row>
    <row r="33" customFormat="false" ht="15" hidden="false" customHeight="false" outlineLevel="0" collapsed="false">
      <c r="A33" s="7"/>
      <c r="B33" s="37" t="s">
        <v>230</v>
      </c>
      <c r="C33" s="36" t="n">
        <f aca="false">Waterfall!C126</f>
        <v>0</v>
      </c>
      <c r="D33" s="36" t="n">
        <f aca="false">Waterfall!D126</f>
        <v>0</v>
      </c>
      <c r="E33" s="36" t="n">
        <f aca="false">Waterfall!E126</f>
        <v>0</v>
      </c>
      <c r="F33" s="36" t="n">
        <f aca="false">Waterfall!F126</f>
        <v>0</v>
      </c>
      <c r="G33" s="36" t="n">
        <f aca="false">Waterfall!G126</f>
        <v>0</v>
      </c>
      <c r="H33" s="36" t="n">
        <f aca="false">Waterfall!H126</f>
        <v>0</v>
      </c>
      <c r="I33" s="36" t="n">
        <f aca="false">Waterfall!I126</f>
        <v>0</v>
      </c>
      <c r="J33" s="36" t="n">
        <f aca="false">Waterfall!J126</f>
        <v>0</v>
      </c>
      <c r="K33" s="36" t="n">
        <f aca="false">Waterfall!K126</f>
        <v>0</v>
      </c>
      <c r="L33" s="36" t="n">
        <f aca="false">Waterfall!L126+L59</f>
        <v>25000000</v>
      </c>
    </row>
    <row r="34" customFormat="false" ht="15" hidden="false" customHeight="false" outlineLevel="0" collapsed="false">
      <c r="A34" s="7"/>
      <c r="B34" s="37" t="s">
        <v>231</v>
      </c>
      <c r="C34" s="36" t="n">
        <f aca="false">MAX(0,C31-C33)</f>
        <v>25000000</v>
      </c>
      <c r="D34" s="36" t="n">
        <f aca="false">MAX(0,D31-D33)</f>
        <v>25000000</v>
      </c>
      <c r="E34" s="36" t="n">
        <f aca="false">MAX(0,E31-E33)</f>
        <v>25000000</v>
      </c>
      <c r="F34" s="36" t="n">
        <f aca="false">MAX(0,F31-F33)</f>
        <v>25000000</v>
      </c>
      <c r="G34" s="36" t="n">
        <f aca="false">MAX(0,G31-G33)</f>
        <v>25000000</v>
      </c>
      <c r="H34" s="36" t="n">
        <f aca="false">MAX(0,H31-H33)</f>
        <v>25000000</v>
      </c>
      <c r="I34" s="36" t="n">
        <f aca="false">MAX(0,I31-I33)</f>
        <v>25000000</v>
      </c>
      <c r="J34" s="36" t="n">
        <f aca="false">MAX(0,J31-J33)</f>
        <v>25000000</v>
      </c>
      <c r="K34" s="36" t="n">
        <f aca="false">MAX(0,K31-K33)</f>
        <v>25000000</v>
      </c>
      <c r="L34" s="36" t="n">
        <f aca="false">MAX(0,L31-L33)</f>
        <v>0</v>
      </c>
    </row>
    <row r="35" customFormat="false" ht="15" hidden="false" customHeight="false" outlineLevel="0" collapsed="false">
      <c r="A35" s="7"/>
      <c r="B35" s="12" t="s">
        <v>232</v>
      </c>
      <c r="C35" s="36" t="n">
        <f aca="false">C32+C33</f>
        <v>2250000</v>
      </c>
      <c r="D35" s="36" t="n">
        <f aca="false">D32+D33</f>
        <v>2250000</v>
      </c>
      <c r="E35" s="36" t="n">
        <f aca="false">E32+E33</f>
        <v>2250000</v>
      </c>
      <c r="F35" s="36" t="n">
        <f aca="false">F32+F33</f>
        <v>2250000</v>
      </c>
      <c r="G35" s="36" t="n">
        <f aca="false">G32+G33</f>
        <v>2250000</v>
      </c>
      <c r="H35" s="36" t="n">
        <f aca="false">H32+H33</f>
        <v>0</v>
      </c>
      <c r="I35" s="36" t="n">
        <f aca="false">I32+I33</f>
        <v>0</v>
      </c>
      <c r="J35" s="36" t="n">
        <f aca="false">J32+J33</f>
        <v>2250000</v>
      </c>
      <c r="K35" s="36" t="n">
        <f aca="false">K32+K33</f>
        <v>2250000</v>
      </c>
      <c r="L35" s="36" t="n">
        <f aca="false">L32+L33</f>
        <v>27250000</v>
      </c>
    </row>
    <row r="36" customFormat="false" ht="15" hidden="false" customHeight="false" outlineLevel="0" collapsed="false">
      <c r="A36" s="7"/>
      <c r="B36" s="7"/>
      <c r="C36" s="7"/>
      <c r="D36" s="7"/>
      <c r="E36" s="7"/>
      <c r="F36" s="7"/>
      <c r="G36" s="7"/>
      <c r="H36" s="7"/>
      <c r="I36" s="7"/>
      <c r="J36" s="7"/>
      <c r="K36" s="7"/>
      <c r="L36" s="7"/>
    </row>
    <row r="37" customFormat="false" ht="15" hidden="false" customHeight="false" outlineLevel="0" collapsed="false">
      <c r="A37" s="7"/>
      <c r="B37" s="27" t="s">
        <v>236</v>
      </c>
      <c r="C37" s="9"/>
      <c r="D37" s="9"/>
      <c r="E37" s="9"/>
      <c r="F37" s="9"/>
      <c r="G37" s="9"/>
      <c r="H37" s="9"/>
      <c r="I37" s="9"/>
      <c r="J37" s="9"/>
      <c r="K37" s="9"/>
      <c r="L37" s="9"/>
    </row>
    <row r="38" customFormat="false" ht="15" hidden="false" customHeight="false" outlineLevel="0" collapsed="false">
      <c r="A38" s="7"/>
      <c r="B38" s="37" t="s">
        <v>228</v>
      </c>
      <c r="C38" s="36" t="n">
        <f aca="false">Waterfall!C141</f>
        <v>15000000</v>
      </c>
      <c r="D38" s="36" t="n">
        <f aca="false">Waterfall!D141</f>
        <v>15000000</v>
      </c>
      <c r="E38" s="36" t="n">
        <f aca="false">Waterfall!E141</f>
        <v>15000000</v>
      </c>
      <c r="F38" s="36" t="n">
        <f aca="false">Waterfall!F141</f>
        <v>15000000</v>
      </c>
      <c r="G38" s="36" t="n">
        <f aca="false">Waterfall!G141</f>
        <v>15000000</v>
      </c>
      <c r="H38" s="36" t="n">
        <f aca="false">Waterfall!H141</f>
        <v>15000000</v>
      </c>
      <c r="I38" s="36" t="n">
        <f aca="false">Waterfall!I141</f>
        <v>15000000</v>
      </c>
      <c r="J38" s="36" t="n">
        <f aca="false">Waterfall!J141</f>
        <v>15000000</v>
      </c>
      <c r="K38" s="36" t="n">
        <f aca="false">Waterfall!K141</f>
        <v>15000000</v>
      </c>
      <c r="L38" s="36" t="n">
        <f aca="false">Waterfall!L141</f>
        <v>15000000</v>
      </c>
    </row>
    <row r="39" customFormat="false" ht="15" hidden="false" customHeight="false" outlineLevel="0" collapsed="false">
      <c r="A39" s="7"/>
      <c r="B39" s="37" t="s">
        <v>229</v>
      </c>
      <c r="C39" s="36" t="n">
        <f aca="false">Waterfall!C76</f>
        <v>1500000</v>
      </c>
      <c r="D39" s="36" t="n">
        <f aca="false">Waterfall!D76</f>
        <v>1500000</v>
      </c>
      <c r="E39" s="36" t="n">
        <f aca="false">Waterfall!E76</f>
        <v>1500000</v>
      </c>
      <c r="F39" s="36" t="n">
        <f aca="false">Waterfall!F76</f>
        <v>1500000</v>
      </c>
      <c r="G39" s="36" t="n">
        <f aca="false">Waterfall!G76</f>
        <v>1500000</v>
      </c>
      <c r="H39" s="36" t="n">
        <f aca="false">Waterfall!H76</f>
        <v>0</v>
      </c>
      <c r="I39" s="36" t="n">
        <f aca="false">Waterfall!I76</f>
        <v>0</v>
      </c>
      <c r="J39" s="36" t="n">
        <f aca="false">Waterfall!J76</f>
        <v>1500000</v>
      </c>
      <c r="K39" s="36" t="n">
        <f aca="false">Waterfall!K76</f>
        <v>1500000</v>
      </c>
      <c r="L39" s="36" t="n">
        <f aca="false">Waterfall!L76</f>
        <v>1500000</v>
      </c>
    </row>
    <row r="40" customFormat="false" ht="15" hidden="false" customHeight="false" outlineLevel="0" collapsed="false">
      <c r="A40" s="7"/>
      <c r="B40" s="37" t="s">
        <v>230</v>
      </c>
      <c r="C40" s="36" t="n">
        <f aca="false">Waterfall!C128</f>
        <v>0</v>
      </c>
      <c r="D40" s="36" t="n">
        <f aca="false">Waterfall!D128</f>
        <v>0</v>
      </c>
      <c r="E40" s="36" t="n">
        <f aca="false">Waterfall!E128</f>
        <v>0</v>
      </c>
      <c r="F40" s="36" t="n">
        <f aca="false">Waterfall!F128</f>
        <v>0</v>
      </c>
      <c r="G40" s="36" t="n">
        <f aca="false">Waterfall!G128</f>
        <v>0</v>
      </c>
      <c r="H40" s="36" t="n">
        <f aca="false">Waterfall!H128</f>
        <v>0</v>
      </c>
      <c r="I40" s="36" t="n">
        <f aca="false">Waterfall!I128</f>
        <v>0</v>
      </c>
      <c r="J40" s="36" t="n">
        <f aca="false">Waterfall!J128</f>
        <v>0</v>
      </c>
      <c r="K40" s="36" t="n">
        <f aca="false">Waterfall!K128</f>
        <v>0</v>
      </c>
      <c r="L40" s="36" t="n">
        <f aca="false">Waterfall!L128+L60</f>
        <v>15000000</v>
      </c>
    </row>
    <row r="41" customFormat="false" ht="15" hidden="false" customHeight="false" outlineLevel="0" collapsed="false">
      <c r="A41" s="7"/>
      <c r="B41" s="37" t="s">
        <v>231</v>
      </c>
      <c r="C41" s="36" t="n">
        <f aca="false">MAX(0,C38-C40)</f>
        <v>15000000</v>
      </c>
      <c r="D41" s="36" t="n">
        <f aca="false">MAX(0,D38-D40)</f>
        <v>15000000</v>
      </c>
      <c r="E41" s="36" t="n">
        <f aca="false">MAX(0,E38-E40)</f>
        <v>15000000</v>
      </c>
      <c r="F41" s="36" t="n">
        <f aca="false">MAX(0,F38-F40)</f>
        <v>15000000</v>
      </c>
      <c r="G41" s="36" t="n">
        <f aca="false">MAX(0,G38-G40)</f>
        <v>15000000</v>
      </c>
      <c r="H41" s="36" t="n">
        <f aca="false">MAX(0,H38-H40)</f>
        <v>15000000</v>
      </c>
      <c r="I41" s="36" t="n">
        <f aca="false">MAX(0,I38-I40)</f>
        <v>15000000</v>
      </c>
      <c r="J41" s="36" t="n">
        <f aca="false">MAX(0,J38-J40)</f>
        <v>15000000</v>
      </c>
      <c r="K41" s="36" t="n">
        <f aca="false">MAX(0,K38-K40)</f>
        <v>15000000</v>
      </c>
      <c r="L41" s="36" t="n">
        <f aca="false">MAX(0,L38-L40)</f>
        <v>0</v>
      </c>
    </row>
    <row r="42" customFormat="false" ht="15" hidden="false" customHeight="false" outlineLevel="0" collapsed="false">
      <c r="A42" s="7"/>
      <c r="B42" s="12" t="s">
        <v>232</v>
      </c>
      <c r="C42" s="36" t="n">
        <f aca="false">C39+C40</f>
        <v>1500000</v>
      </c>
      <c r="D42" s="36" t="n">
        <f aca="false">D39+D40</f>
        <v>1500000</v>
      </c>
      <c r="E42" s="36" t="n">
        <f aca="false">E39+E40</f>
        <v>1500000</v>
      </c>
      <c r="F42" s="36" t="n">
        <f aca="false">F39+F40</f>
        <v>1500000</v>
      </c>
      <c r="G42" s="36" t="n">
        <f aca="false">G39+G40</f>
        <v>1500000</v>
      </c>
      <c r="H42" s="36" t="n">
        <f aca="false">H39+H40</f>
        <v>0</v>
      </c>
      <c r="I42" s="36" t="n">
        <f aca="false">I39+I40</f>
        <v>0</v>
      </c>
      <c r="J42" s="36" t="n">
        <f aca="false">J39+J40</f>
        <v>1500000</v>
      </c>
      <c r="K42" s="36" t="n">
        <f aca="false">K39+K40</f>
        <v>1500000</v>
      </c>
      <c r="L42" s="36" t="n">
        <f aca="false">L39+L40</f>
        <v>16500000</v>
      </c>
    </row>
    <row r="43" customFormat="false" ht="15" hidden="false" customHeight="false" outlineLevel="0" collapsed="false">
      <c r="A43" s="7"/>
      <c r="B43" s="7"/>
      <c r="C43" s="7"/>
      <c r="D43" s="7"/>
      <c r="E43" s="7"/>
      <c r="F43" s="7"/>
      <c r="G43" s="7"/>
      <c r="H43" s="7"/>
      <c r="I43" s="7"/>
      <c r="J43" s="7"/>
      <c r="K43" s="7"/>
      <c r="L43" s="7"/>
    </row>
    <row r="44" customFormat="false" ht="15" hidden="false" customHeight="false" outlineLevel="0" collapsed="false">
      <c r="A44" s="7"/>
      <c r="B44" s="27" t="s">
        <v>237</v>
      </c>
      <c r="C44" s="9"/>
      <c r="D44" s="9"/>
      <c r="E44" s="9"/>
      <c r="F44" s="9"/>
      <c r="G44" s="9"/>
      <c r="H44" s="9"/>
      <c r="I44" s="9"/>
      <c r="J44" s="9"/>
      <c r="K44" s="9"/>
      <c r="L44" s="9"/>
    </row>
    <row r="45" customFormat="false" ht="15" hidden="false" customHeight="false" outlineLevel="0" collapsed="false">
      <c r="A45" s="7"/>
      <c r="B45" s="37" t="s">
        <v>238</v>
      </c>
      <c r="C45" s="36" t="n">
        <f aca="false">Equity_Size</f>
        <v>47500000</v>
      </c>
      <c r="D45" s="36" t="n">
        <f aca="false">Equity_Size</f>
        <v>47500000</v>
      </c>
      <c r="E45" s="36" t="n">
        <f aca="false">Equity_Size</f>
        <v>47500000</v>
      </c>
      <c r="F45" s="36" t="n">
        <f aca="false">Equity_Size</f>
        <v>47500000</v>
      </c>
      <c r="G45" s="36" t="n">
        <f aca="false">Equity_Size</f>
        <v>47500000</v>
      </c>
      <c r="H45" s="36" t="n">
        <f aca="false">Equity_Size</f>
        <v>47500000</v>
      </c>
      <c r="I45" s="36" t="n">
        <f aca="false">Equity_Size</f>
        <v>47500000</v>
      </c>
      <c r="J45" s="36" t="n">
        <f aca="false">Equity_Size</f>
        <v>47500000</v>
      </c>
      <c r="K45" s="36" t="n">
        <f aca="false">Equity_Size</f>
        <v>47500000</v>
      </c>
      <c r="L45" s="36" t="n">
        <f aca="false">Equity_Size</f>
        <v>47500000</v>
      </c>
    </row>
    <row r="46" customFormat="false" ht="15" hidden="false" customHeight="false" outlineLevel="0" collapsed="false">
      <c r="A46" s="7"/>
      <c r="B46" s="37" t="s">
        <v>239</v>
      </c>
      <c r="C46" s="36" t="n">
        <f aca="false">Waterfall!C114</f>
        <v>6860000</v>
      </c>
      <c r="D46" s="36" t="n">
        <f aca="false">Waterfall!D114</f>
        <v>6213600</v>
      </c>
      <c r="E46" s="36" t="n">
        <f aca="false">Waterfall!E114</f>
        <v>5972128</v>
      </c>
      <c r="F46" s="36" t="n">
        <f aca="false">Waterfall!F114</f>
        <v>5735485.44</v>
      </c>
      <c r="G46" s="36" t="n">
        <f aca="false">Waterfall!G114</f>
        <v>5503575.7312</v>
      </c>
      <c r="H46" s="36" t="n">
        <f aca="false">Waterfall!H114</f>
        <v>446197.292799997</v>
      </c>
      <c r="I46" s="36" t="n">
        <f aca="false">Waterfall!I114</f>
        <v>0</v>
      </c>
      <c r="J46" s="36" t="n">
        <f aca="false">Waterfall!J114</f>
        <v>0</v>
      </c>
      <c r="K46" s="36" t="n">
        <f aca="false">Waterfall!K114</f>
        <v>0</v>
      </c>
      <c r="L46" s="36" t="n">
        <f aca="false">Waterfall!L114</f>
        <v>4015046.58299365</v>
      </c>
    </row>
    <row r="47" customFormat="false" ht="15" hidden="false" customHeight="false" outlineLevel="0" collapsed="false">
      <c r="A47" s="7"/>
      <c r="B47" s="37" t="s">
        <v>240</v>
      </c>
      <c r="C47" s="36" t="n">
        <f aca="false">Waterfall!C130</f>
        <v>0</v>
      </c>
      <c r="D47" s="36" t="n">
        <f aca="false">Waterfall!D130</f>
        <v>0</v>
      </c>
      <c r="E47" s="36" t="n">
        <f aca="false">Waterfall!E130</f>
        <v>0</v>
      </c>
      <c r="F47" s="36" t="n">
        <f aca="false">Waterfall!F130</f>
        <v>0</v>
      </c>
      <c r="G47" s="36" t="n">
        <f aca="false">Waterfall!G130</f>
        <v>0</v>
      </c>
      <c r="H47" s="36" t="n">
        <f aca="false">Waterfall!H130</f>
        <v>0</v>
      </c>
      <c r="I47" s="36" t="n">
        <f aca="false">Waterfall!I130</f>
        <v>0</v>
      </c>
      <c r="J47" s="36" t="n">
        <f aca="false">Waterfall!J130</f>
        <v>0</v>
      </c>
      <c r="K47" s="36" t="n">
        <f aca="false">Waterfall!K130</f>
        <v>0</v>
      </c>
      <c r="L47" s="36" t="n">
        <f aca="false">Waterfall!L130+L61</f>
        <v>56121248.8465246</v>
      </c>
    </row>
    <row r="48" customFormat="false" ht="15" hidden="false" customHeight="false" outlineLevel="0" collapsed="false">
      <c r="A48" s="7"/>
      <c r="B48" s="12" t="s">
        <v>241</v>
      </c>
      <c r="C48" s="36" t="n">
        <f aca="false">C46+C47</f>
        <v>6860000</v>
      </c>
      <c r="D48" s="36" t="n">
        <f aca="false">D46+D47</f>
        <v>6213600</v>
      </c>
      <c r="E48" s="36" t="n">
        <f aca="false">E46+E47</f>
        <v>5972128</v>
      </c>
      <c r="F48" s="36" t="n">
        <f aca="false">F46+F47</f>
        <v>5735485.44</v>
      </c>
      <c r="G48" s="36" t="n">
        <f aca="false">G46+G47</f>
        <v>5503575.7312</v>
      </c>
      <c r="H48" s="36" t="n">
        <f aca="false">H46+H47</f>
        <v>446197.292799997</v>
      </c>
      <c r="I48" s="36" t="n">
        <f aca="false">I46+I47</f>
        <v>0</v>
      </c>
      <c r="J48" s="36" t="n">
        <f aca="false">J46+J47</f>
        <v>0</v>
      </c>
      <c r="K48" s="36" t="n">
        <f aca="false">K46+K47</f>
        <v>0</v>
      </c>
      <c r="L48" s="36" t="n">
        <f aca="false">L46+L47</f>
        <v>60136295.4295183</v>
      </c>
    </row>
    <row r="49" customFormat="false" ht="15" hidden="false" customHeight="false" outlineLevel="0" collapsed="false">
      <c r="A49" s="7"/>
      <c r="B49" s="37" t="s">
        <v>242</v>
      </c>
      <c r="C49" s="36" t="n">
        <f aca="false">C48</f>
        <v>6860000</v>
      </c>
      <c r="D49" s="36" t="n">
        <f aca="false">C49+D48</f>
        <v>13073600</v>
      </c>
      <c r="E49" s="36" t="n">
        <f aca="false">D49+E48</f>
        <v>19045728</v>
      </c>
      <c r="F49" s="36" t="n">
        <f aca="false">E49+F48</f>
        <v>24781213.44</v>
      </c>
      <c r="G49" s="36" t="n">
        <f aca="false">F49+G48</f>
        <v>30284789.1712</v>
      </c>
      <c r="H49" s="36" t="n">
        <f aca="false">G49+H48</f>
        <v>30730986.464</v>
      </c>
      <c r="I49" s="36" t="n">
        <f aca="false">H49+I48</f>
        <v>30730986.464</v>
      </c>
      <c r="J49" s="36" t="n">
        <f aca="false">I49+J48</f>
        <v>30730986.464</v>
      </c>
      <c r="K49" s="36" t="n">
        <f aca="false">J49+K48</f>
        <v>30730986.464</v>
      </c>
      <c r="L49" s="36" t="n">
        <f aca="false">K49+L48</f>
        <v>90867281.8935183</v>
      </c>
    </row>
    <row r="50" customFormat="false" ht="15" hidden="false" customHeight="false" outlineLevel="0" collapsed="false">
      <c r="A50" s="7"/>
      <c r="B50" s="37" t="s">
        <v>243</v>
      </c>
      <c r="C50" s="42" t="n">
        <f aca="false">C49/Equity_Size</f>
        <v>0.144421052631579</v>
      </c>
      <c r="D50" s="42" t="n">
        <f aca="false">D49/Equity_Size</f>
        <v>0.275233684210526</v>
      </c>
      <c r="E50" s="42" t="n">
        <f aca="false">E49/Equity_Size</f>
        <v>0.400962694736842</v>
      </c>
      <c r="F50" s="42" t="n">
        <f aca="false">F49/Equity_Size</f>
        <v>0.521709756631579</v>
      </c>
      <c r="G50" s="42" t="n">
        <f aca="false">G49/Equity_Size</f>
        <v>0.637574508867368</v>
      </c>
      <c r="H50" s="42" t="n">
        <f aca="false">H49/Equity_Size</f>
        <v>0.64696813608421</v>
      </c>
      <c r="I50" s="42" t="n">
        <f aca="false">I49/Equity_Size</f>
        <v>0.64696813608421</v>
      </c>
      <c r="J50" s="42" t="n">
        <f aca="false">J49/Equity_Size</f>
        <v>0.64696813608421</v>
      </c>
      <c r="K50" s="42" t="n">
        <f aca="false">K49/Equity_Size</f>
        <v>0.64696813608421</v>
      </c>
      <c r="L50" s="42" t="n">
        <f aca="false">L49/Equity_Size</f>
        <v>1.9129954082846</v>
      </c>
    </row>
    <row r="51" customFormat="false" ht="15" hidden="false" customHeight="false" outlineLevel="0" collapsed="false">
      <c r="A51" s="7"/>
      <c r="B51" s="7"/>
      <c r="C51" s="7"/>
      <c r="D51" s="7"/>
      <c r="E51" s="7"/>
      <c r="F51" s="7"/>
      <c r="G51" s="7"/>
      <c r="H51" s="7"/>
      <c r="I51" s="7"/>
      <c r="J51" s="7"/>
      <c r="K51" s="7"/>
      <c r="L51" s="7"/>
    </row>
    <row r="52" customFormat="false" ht="15" hidden="false" customHeight="false" outlineLevel="0" collapsed="false">
      <c r="A52" s="7"/>
      <c r="B52" s="27" t="s">
        <v>244</v>
      </c>
      <c r="C52" s="9"/>
      <c r="D52" s="9"/>
      <c r="E52" s="9"/>
      <c r="F52" s="9"/>
      <c r="G52" s="9"/>
      <c r="H52" s="9"/>
      <c r="I52" s="9"/>
      <c r="J52" s="9"/>
      <c r="K52" s="9"/>
      <c r="L52" s="9"/>
    </row>
    <row r="53" customFormat="false" ht="15" hidden="false" customHeight="false" outlineLevel="0" collapsed="false">
      <c r="A53" s="7"/>
      <c r="B53" s="37" t="s">
        <v>245</v>
      </c>
      <c r="C53" s="36" t="n">
        <f aca="false">0</f>
        <v>0</v>
      </c>
      <c r="D53" s="36" t="n">
        <f aca="false">0</f>
        <v>0</v>
      </c>
      <c r="E53" s="36" t="n">
        <f aca="false">0</f>
        <v>0</v>
      </c>
      <c r="F53" s="36" t="n">
        <f aca="false">0</f>
        <v>0</v>
      </c>
      <c r="G53" s="36" t="n">
        <f aca="false">0</f>
        <v>0</v>
      </c>
      <c r="H53" s="36" t="n">
        <f aca="false">0</f>
        <v>0</v>
      </c>
      <c r="I53" s="36" t="n">
        <f aca="false">0</f>
        <v>0</v>
      </c>
      <c r="J53" s="36" t="n">
        <f aca="false">0</f>
        <v>0</v>
      </c>
      <c r="K53" s="36" t="n">
        <f aca="false">0</f>
        <v>0</v>
      </c>
      <c r="L53" s="36" t="n">
        <f aca="false">Pool_CF!L15</f>
        <v>114323334.961155</v>
      </c>
    </row>
    <row r="54" customFormat="false" ht="15" hidden="false" customHeight="false" outlineLevel="0" collapsed="false">
      <c r="A54" s="7"/>
      <c r="B54" s="37" t="s">
        <v>246</v>
      </c>
      <c r="C54" s="36" t="n">
        <f aca="false">0</f>
        <v>0</v>
      </c>
      <c r="D54" s="36" t="n">
        <f aca="false">0</f>
        <v>0</v>
      </c>
      <c r="E54" s="36" t="n">
        <f aca="false">0</f>
        <v>0</v>
      </c>
      <c r="F54" s="36" t="n">
        <f aca="false">0</f>
        <v>0</v>
      </c>
      <c r="G54" s="36" t="n">
        <f aca="false">0</f>
        <v>0</v>
      </c>
      <c r="H54" s="36" t="n">
        <f aca="false">0</f>
        <v>0</v>
      </c>
      <c r="I54" s="36" t="n">
        <f aca="false">0</f>
        <v>0</v>
      </c>
      <c r="J54" s="36" t="n">
        <f aca="false">0</f>
        <v>0</v>
      </c>
      <c r="K54" s="36" t="n">
        <f aca="false">0</f>
        <v>0</v>
      </c>
      <c r="L54" s="36" t="n">
        <f aca="false">MAX(0,Pool_CF!L18*Recovery_Rate-Pool_CF!L29)</f>
        <v>2141700.88391816</v>
      </c>
    </row>
    <row r="55" customFormat="false" ht="15" hidden="false" customHeight="false" outlineLevel="0" collapsed="false">
      <c r="A55" s="7"/>
      <c r="B55" s="12" t="s">
        <v>247</v>
      </c>
      <c r="C55" s="36" t="n">
        <f aca="false">0</f>
        <v>0</v>
      </c>
      <c r="D55" s="36" t="n">
        <f aca="false">0</f>
        <v>0</v>
      </c>
      <c r="E55" s="36" t="n">
        <f aca="false">0</f>
        <v>0</v>
      </c>
      <c r="F55" s="36" t="n">
        <f aca="false">0</f>
        <v>0</v>
      </c>
      <c r="G55" s="36" t="n">
        <f aca="false">0</f>
        <v>0</v>
      </c>
      <c r="H55" s="36" t="n">
        <f aca="false">0</f>
        <v>0</v>
      </c>
      <c r="I55" s="36" t="n">
        <f aca="false">0</f>
        <v>0</v>
      </c>
      <c r="J55" s="36" t="n">
        <f aca="false">0</f>
        <v>0</v>
      </c>
      <c r="K55" s="36" t="n">
        <f aca="false">0</f>
        <v>0</v>
      </c>
      <c r="L55" s="36" t="n">
        <f aca="false">L53+L54</f>
        <v>116465035.845073</v>
      </c>
    </row>
    <row r="56" customFormat="false" ht="15" hidden="false" customHeight="false" outlineLevel="0" collapsed="false">
      <c r="A56" s="7"/>
      <c r="B56" s="37" t="s">
        <v>248</v>
      </c>
      <c r="C56" s="36" t="n">
        <f aca="false">0</f>
        <v>0</v>
      </c>
      <c r="D56" s="36" t="n">
        <f aca="false">0</f>
        <v>0</v>
      </c>
      <c r="E56" s="36" t="n">
        <f aca="false">0</f>
        <v>0</v>
      </c>
      <c r="F56" s="36" t="n">
        <f aca="false">0</f>
        <v>0</v>
      </c>
      <c r="G56" s="36" t="n">
        <f aca="false">0</f>
        <v>0</v>
      </c>
      <c r="H56" s="36" t="n">
        <f aca="false">0</f>
        <v>0</v>
      </c>
      <c r="I56" s="36" t="n">
        <f aca="false">0</f>
        <v>0</v>
      </c>
      <c r="J56" s="36" t="n">
        <f aca="false">0</f>
        <v>0</v>
      </c>
      <c r="K56" s="36" t="n">
        <f aca="false">0</f>
        <v>0</v>
      </c>
      <c r="L56" s="36" t="n">
        <f aca="false">MIN(Waterfall!L134,L55)</f>
        <v>0</v>
      </c>
    </row>
    <row r="57" customFormat="false" ht="15" hidden="false" customHeight="false" outlineLevel="0" collapsed="false">
      <c r="A57" s="7"/>
      <c r="B57" s="37" t="s">
        <v>249</v>
      </c>
      <c r="C57" s="36" t="n">
        <f aca="false">0</f>
        <v>0</v>
      </c>
      <c r="D57" s="36" t="n">
        <f aca="false">0</f>
        <v>0</v>
      </c>
      <c r="E57" s="36" t="n">
        <f aca="false">0</f>
        <v>0</v>
      </c>
      <c r="F57" s="36" t="n">
        <f aca="false">0</f>
        <v>0</v>
      </c>
      <c r="G57" s="36" t="n">
        <f aca="false">0</f>
        <v>0</v>
      </c>
      <c r="H57" s="36" t="n">
        <f aca="false">0</f>
        <v>0</v>
      </c>
      <c r="I57" s="36" t="n">
        <f aca="false">0</f>
        <v>0</v>
      </c>
      <c r="J57" s="36" t="n">
        <f aca="false">0</f>
        <v>0</v>
      </c>
      <c r="K57" s="36" t="n">
        <f aca="false">0</f>
        <v>0</v>
      </c>
      <c r="L57" s="36" t="n">
        <f aca="false">MIN(Waterfall!L136,MAX(0,L55-L56))</f>
        <v>0</v>
      </c>
    </row>
    <row r="58" customFormat="false" ht="15" hidden="false" customHeight="false" outlineLevel="0" collapsed="false">
      <c r="A58" s="7"/>
      <c r="B58" s="37" t="s">
        <v>250</v>
      </c>
      <c r="C58" s="36" t="n">
        <f aca="false">0</f>
        <v>0</v>
      </c>
      <c r="D58" s="36" t="n">
        <f aca="false">0</f>
        <v>0</v>
      </c>
      <c r="E58" s="36" t="n">
        <f aca="false">0</f>
        <v>0</v>
      </c>
      <c r="F58" s="36" t="n">
        <f aca="false">0</f>
        <v>0</v>
      </c>
      <c r="G58" s="36" t="n">
        <f aca="false">0</f>
        <v>0</v>
      </c>
      <c r="H58" s="36" t="n">
        <f aca="false">0</f>
        <v>0</v>
      </c>
      <c r="I58" s="36" t="n">
        <f aca="false">0</f>
        <v>0</v>
      </c>
      <c r="J58" s="36" t="n">
        <f aca="false">0</f>
        <v>0</v>
      </c>
      <c r="K58" s="36" t="n">
        <f aca="false">0</f>
        <v>0</v>
      </c>
      <c r="L58" s="36" t="n">
        <f aca="false">MIN(Waterfall!L138,MAX(0,L55-L56-L57))</f>
        <v>20343786.9985483</v>
      </c>
    </row>
    <row r="59" customFormat="false" ht="15" hidden="false" customHeight="false" outlineLevel="0" collapsed="false">
      <c r="A59" s="7"/>
      <c r="B59" s="37" t="s">
        <v>251</v>
      </c>
      <c r="C59" s="36" t="n">
        <f aca="false">0</f>
        <v>0</v>
      </c>
      <c r="D59" s="36" t="n">
        <f aca="false">0</f>
        <v>0</v>
      </c>
      <c r="E59" s="36" t="n">
        <f aca="false">0</f>
        <v>0</v>
      </c>
      <c r="F59" s="36" t="n">
        <f aca="false">0</f>
        <v>0</v>
      </c>
      <c r="G59" s="36" t="n">
        <f aca="false">0</f>
        <v>0</v>
      </c>
      <c r="H59" s="36" t="n">
        <f aca="false">0</f>
        <v>0</v>
      </c>
      <c r="I59" s="36" t="n">
        <f aca="false">0</f>
        <v>0</v>
      </c>
      <c r="J59" s="36" t="n">
        <f aca="false">0</f>
        <v>0</v>
      </c>
      <c r="K59" s="36" t="n">
        <f aca="false">0</f>
        <v>0</v>
      </c>
      <c r="L59" s="36" t="n">
        <f aca="false">MIN(Waterfall!L140,MAX(0,L55-L56-L57-L58))</f>
        <v>25000000</v>
      </c>
    </row>
    <row r="60" customFormat="false" ht="15" hidden="false" customHeight="false" outlineLevel="0" collapsed="false">
      <c r="A60" s="7"/>
      <c r="B60" s="37" t="s">
        <v>252</v>
      </c>
      <c r="C60" s="36" t="n">
        <f aca="false">0</f>
        <v>0</v>
      </c>
      <c r="D60" s="36" t="n">
        <f aca="false">0</f>
        <v>0</v>
      </c>
      <c r="E60" s="36" t="n">
        <f aca="false">0</f>
        <v>0</v>
      </c>
      <c r="F60" s="36" t="n">
        <f aca="false">0</f>
        <v>0</v>
      </c>
      <c r="G60" s="36" t="n">
        <f aca="false">0</f>
        <v>0</v>
      </c>
      <c r="H60" s="36" t="n">
        <f aca="false">0</f>
        <v>0</v>
      </c>
      <c r="I60" s="36" t="n">
        <f aca="false">0</f>
        <v>0</v>
      </c>
      <c r="J60" s="36" t="n">
        <f aca="false">0</f>
        <v>0</v>
      </c>
      <c r="K60" s="36" t="n">
        <f aca="false">0</f>
        <v>0</v>
      </c>
      <c r="L60" s="36" t="n">
        <f aca="false">MIN(Waterfall!L142,MAX(0,L55-L56-L57-L58-L59))</f>
        <v>15000000</v>
      </c>
    </row>
    <row r="61" customFormat="false" ht="15" hidden="false" customHeight="false" outlineLevel="0" collapsed="false">
      <c r="A61" s="7"/>
      <c r="B61" s="12" t="s">
        <v>253</v>
      </c>
      <c r="C61" s="36" t="n">
        <f aca="false">0</f>
        <v>0</v>
      </c>
      <c r="D61" s="36" t="n">
        <f aca="false">0</f>
        <v>0</v>
      </c>
      <c r="E61" s="36" t="n">
        <f aca="false">0</f>
        <v>0</v>
      </c>
      <c r="F61" s="36" t="n">
        <f aca="false">0</f>
        <v>0</v>
      </c>
      <c r="G61" s="36" t="n">
        <f aca="false">0</f>
        <v>0</v>
      </c>
      <c r="H61" s="36" t="n">
        <f aca="false">0</f>
        <v>0</v>
      </c>
      <c r="I61" s="36" t="n">
        <f aca="false">0</f>
        <v>0</v>
      </c>
      <c r="J61" s="36" t="n">
        <f aca="false">0</f>
        <v>0</v>
      </c>
      <c r="K61" s="36" t="n">
        <f aca="false">0</f>
        <v>0</v>
      </c>
      <c r="L61" s="36" t="n">
        <f aca="false">MAX(0,L55-L56-L57-L58-L59-L60)</f>
        <v>56121248.8465246</v>
      </c>
    </row>
    <row r="62" customFormat="false" ht="15" hidden="false" customHeight="false" outlineLevel="0" collapsed="false">
      <c r="A62" s="7"/>
      <c r="B62" s="7"/>
      <c r="C62" s="7"/>
      <c r="D62" s="7"/>
      <c r="E62" s="7"/>
      <c r="F62" s="7"/>
      <c r="G62" s="7"/>
      <c r="H62" s="7"/>
      <c r="I62" s="7"/>
      <c r="J62" s="7"/>
      <c r="K62" s="7"/>
      <c r="L62" s="7"/>
    </row>
    <row r="63" customFormat="false" ht="15" hidden="false" customHeight="false" outlineLevel="0" collapsed="false">
      <c r="A63" s="7"/>
      <c r="B63" s="27" t="s">
        <v>254</v>
      </c>
      <c r="C63" s="9"/>
      <c r="D63" s="9"/>
      <c r="E63" s="9"/>
      <c r="F63" s="9"/>
      <c r="G63" s="9"/>
      <c r="H63" s="9"/>
      <c r="I63" s="9"/>
      <c r="J63" s="9"/>
      <c r="K63" s="9"/>
      <c r="L63" s="9"/>
    </row>
    <row r="64" customFormat="false" ht="15" hidden="false" customHeight="false" outlineLevel="0" collapsed="false">
      <c r="A64" s="7"/>
      <c r="B64" s="28" t="s">
        <v>255</v>
      </c>
      <c r="C64" s="36" t="n">
        <f aca="false">-Equity_Size+C48</f>
        <v>-40640000</v>
      </c>
      <c r="D64" s="36" t="n">
        <f aca="false">D48</f>
        <v>6213600</v>
      </c>
      <c r="E64" s="36" t="n">
        <f aca="false">E48</f>
        <v>5972128</v>
      </c>
      <c r="F64" s="36" t="n">
        <f aca="false">F48</f>
        <v>5735485.44</v>
      </c>
      <c r="G64" s="36" t="n">
        <f aca="false">G48</f>
        <v>5503575.7312</v>
      </c>
      <c r="H64" s="36" t="n">
        <f aca="false">H48</f>
        <v>446197.292799997</v>
      </c>
      <c r="I64" s="36" t="n">
        <f aca="false">I48</f>
        <v>0</v>
      </c>
      <c r="J64" s="36" t="n">
        <f aca="false">J48</f>
        <v>0</v>
      </c>
      <c r="K64" s="36" t="n">
        <f aca="false">K48</f>
        <v>0</v>
      </c>
      <c r="L64" s="36" t="n">
        <f aca="false">L48</f>
        <v>60136295.4295183</v>
      </c>
    </row>
    <row r="65" customFormat="false" ht="15" hidden="false" customHeight="false" outlineLevel="0" collapsed="false">
      <c r="A65" s="7"/>
      <c r="B65" s="12" t="s">
        <v>254</v>
      </c>
      <c r="C65" s="43" t="n">
        <f aca="false">IFERROR(IRR(C64:L64,0.1),"N/A")</f>
        <v>0.116230788081895</v>
      </c>
      <c r="D65" s="7"/>
      <c r="E65" s="7"/>
      <c r="F65" s="7"/>
      <c r="G65" s="7"/>
      <c r="H65" s="7"/>
      <c r="I65" s="7"/>
      <c r="J65" s="7"/>
      <c r="K65" s="7"/>
      <c r="L65" s="7"/>
    </row>
    <row r="66" customFormat="false" ht="15" hidden="false" customHeight="false" outlineLevel="0" collapsed="false">
      <c r="A66" s="7"/>
      <c r="B66" s="7"/>
      <c r="C66" s="7"/>
      <c r="D66" s="7"/>
      <c r="E66" s="7"/>
      <c r="F66" s="7"/>
      <c r="G66" s="7"/>
      <c r="H66" s="7"/>
      <c r="I66" s="7"/>
      <c r="J66" s="7"/>
      <c r="K66" s="7"/>
      <c r="L66" s="7"/>
    </row>
    <row r="67" customFormat="false" ht="15" hidden="false" customHeight="false" outlineLevel="0" collapsed="false">
      <c r="A67" s="7"/>
      <c r="B67" s="27" t="s">
        <v>256</v>
      </c>
      <c r="C67" s="9"/>
      <c r="D67" s="9"/>
      <c r="E67" s="9"/>
      <c r="F67" s="9"/>
      <c r="G67" s="9"/>
      <c r="H67" s="9"/>
      <c r="I67" s="9"/>
      <c r="J67" s="9"/>
      <c r="K67" s="9"/>
      <c r="L67" s="9"/>
    </row>
    <row r="68" customFormat="false" ht="15" hidden="false" customHeight="false" outlineLevel="0" collapsed="false">
      <c r="A68" s="7"/>
      <c r="B68" s="28" t="s">
        <v>257</v>
      </c>
      <c r="C68" s="17" t="n">
        <f aca="false">IF(SUM(C12:L12)=0,"Unpaid",SUMPRODUCT(C12:L12,C7:L7)/SUM(C12:L12))</f>
        <v>6.7159560625417</v>
      </c>
      <c r="D68" s="7"/>
      <c r="E68" s="7"/>
      <c r="F68" s="7"/>
      <c r="G68" s="7"/>
      <c r="H68" s="7"/>
      <c r="I68" s="7"/>
      <c r="J68" s="7"/>
      <c r="K68" s="7"/>
      <c r="L68" s="7"/>
    </row>
    <row r="69" customFormat="false" ht="15" hidden="false" customHeight="false" outlineLevel="0" collapsed="false">
      <c r="A69" s="7"/>
      <c r="B69" s="28" t="s">
        <v>258</v>
      </c>
      <c r="C69" s="17" t="n">
        <f aca="false">IF(SUM(C19:L19)=0,"Unpaid",SUMPRODUCT(C19:L19,C7:L7)/SUM(C19:L19))</f>
        <v>9.42550055730812</v>
      </c>
      <c r="D69" s="7"/>
      <c r="E69" s="7"/>
      <c r="F69" s="7"/>
      <c r="G69" s="7"/>
      <c r="H69" s="7"/>
      <c r="I69" s="7"/>
      <c r="J69" s="7"/>
      <c r="K69" s="7"/>
      <c r="L69" s="7"/>
    </row>
    <row r="70" customFormat="false" ht="15" hidden="false" customHeight="false" outlineLevel="0" collapsed="false">
      <c r="A70" s="7"/>
      <c r="B70" s="28" t="s">
        <v>259</v>
      </c>
      <c r="C70" s="17" t="n">
        <f aca="false">IF(SUM(C26:L26)=0,"Unpaid",SUMPRODUCT(C26:L26,C7:L7)/SUM(C26:L26))</f>
        <v>10</v>
      </c>
      <c r="D70" s="7"/>
      <c r="E70" s="7"/>
      <c r="F70" s="7"/>
      <c r="G70" s="7"/>
      <c r="H70" s="7"/>
      <c r="I70" s="7"/>
      <c r="J70" s="7"/>
      <c r="K70" s="7"/>
      <c r="L70" s="7"/>
    </row>
    <row r="71" customFormat="false" ht="15" hidden="false" customHeight="false" outlineLevel="0" collapsed="false">
      <c r="A71" s="7"/>
      <c r="B71" s="28" t="s">
        <v>260</v>
      </c>
      <c r="C71" s="17" t="n">
        <f aca="false">IF(SUM(C33:L33)=0,"Unpaid",SUMPRODUCT(C33:L33,C7:L7)/SUM(C33:L33))</f>
        <v>10</v>
      </c>
      <c r="D71" s="7"/>
      <c r="E71" s="7"/>
      <c r="F71" s="7"/>
      <c r="G71" s="7"/>
      <c r="H71" s="7"/>
      <c r="I71" s="7"/>
      <c r="J71" s="7"/>
      <c r="K71" s="7"/>
      <c r="L71" s="7"/>
    </row>
    <row r="72" customFormat="false" ht="15" hidden="false" customHeight="false" outlineLevel="0" collapsed="false">
      <c r="A72" s="7"/>
      <c r="B72" s="28" t="s">
        <v>261</v>
      </c>
      <c r="C72" s="17" t="n">
        <f aca="false">IF(SUM(C40:L40)=0,"Unpaid",SUMPRODUCT(C40:L40,C7:L7)/SUM(C40:L40))</f>
        <v>10</v>
      </c>
      <c r="D72" s="7"/>
      <c r="E72" s="7"/>
      <c r="F72" s="7"/>
      <c r="G72" s="7"/>
      <c r="H72" s="7"/>
      <c r="I72" s="7"/>
      <c r="J72" s="7"/>
      <c r="K72" s="7"/>
      <c r="L72" s="7"/>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5"/>
    <col collapsed="false" customWidth="true" hidden="false" outlineLevel="0" max="3" min="3" style="0" width="14"/>
  </cols>
  <sheetData>
    <row r="1" customFormat="false" ht="17.35" hidden="false" customHeight="false" outlineLevel="0" collapsed="false">
      <c r="A1" s="1"/>
      <c r="B1" s="24" t="s">
        <v>262</v>
      </c>
      <c r="C1" s="1"/>
      <c r="D1" s="1"/>
      <c r="E1" s="1"/>
      <c r="F1" s="1"/>
      <c r="G1" s="1"/>
      <c r="H1" s="1"/>
      <c r="I1" s="1"/>
      <c r="J1" s="1"/>
      <c r="K1" s="1"/>
      <c r="L1" s="1"/>
      <c r="M1" s="3"/>
      <c r="N1" s="3"/>
      <c r="O1" s="3"/>
      <c r="P1" s="3"/>
      <c r="Q1" s="3"/>
      <c r="R1" s="3"/>
      <c r="S1" s="3"/>
      <c r="T1" s="3"/>
      <c r="U1" s="3"/>
      <c r="V1" s="3"/>
      <c r="W1" s="3"/>
      <c r="X1" s="3"/>
      <c r="Y1" s="3"/>
      <c r="Z1" s="3"/>
      <c r="AA1" s="3"/>
      <c r="AB1" s="3"/>
      <c r="AC1" s="3"/>
      <c r="AD1" s="3"/>
    </row>
    <row r="2" customFormat="false" ht="21.75" hidden="false" customHeight="true" outlineLevel="0" collapsed="false">
      <c r="A2" s="1"/>
      <c r="B2" s="25" t="s">
        <v>263</v>
      </c>
      <c r="C2" s="1"/>
      <c r="D2" s="1"/>
      <c r="E2" s="1"/>
      <c r="F2" s="1"/>
      <c r="G2" s="1"/>
      <c r="H2" s="1"/>
      <c r="I2" s="1"/>
      <c r="J2" s="1"/>
      <c r="K2" s="1"/>
      <c r="L2" s="1"/>
      <c r="M2" s="3"/>
      <c r="N2" s="3"/>
      <c r="O2" s="3"/>
      <c r="P2" s="3"/>
      <c r="Q2" s="3"/>
      <c r="R2" s="3"/>
      <c r="S2" s="3"/>
      <c r="T2" s="3"/>
      <c r="U2" s="3"/>
      <c r="V2" s="3"/>
      <c r="W2" s="3"/>
      <c r="X2" s="3"/>
      <c r="Y2" s="3"/>
      <c r="Z2" s="3"/>
      <c r="AA2" s="3"/>
      <c r="AB2" s="3"/>
      <c r="AC2" s="3"/>
      <c r="AD2" s="3"/>
    </row>
    <row r="3" customFormat="false" ht="15" hidden="false" customHeight="false" outlineLevel="0" collapsed="false">
      <c r="A3" s="1"/>
      <c r="B3" s="26" t="s">
        <v>26</v>
      </c>
      <c r="C3" s="1"/>
      <c r="D3" s="1"/>
      <c r="E3" s="1"/>
      <c r="F3" s="1"/>
      <c r="G3" s="1"/>
      <c r="H3" s="1"/>
      <c r="I3" s="1"/>
      <c r="J3" s="1"/>
      <c r="K3" s="1"/>
      <c r="L3" s="1"/>
      <c r="M3" s="3"/>
      <c r="N3" s="3"/>
      <c r="O3" s="3"/>
      <c r="P3" s="3"/>
      <c r="Q3" s="3"/>
      <c r="R3" s="3"/>
      <c r="S3" s="3"/>
      <c r="T3" s="3"/>
      <c r="U3" s="3"/>
      <c r="V3" s="3"/>
      <c r="W3" s="3"/>
      <c r="X3" s="3"/>
      <c r="Y3" s="3"/>
      <c r="Z3" s="3"/>
      <c r="AA3" s="3"/>
      <c r="AB3" s="3"/>
      <c r="AC3" s="3"/>
      <c r="AD3" s="3"/>
    </row>
    <row r="4" customFormat="false" ht="15" hidden="false" customHeight="false" outlineLevel="0" collapsed="false">
      <c r="A4" s="7"/>
      <c r="B4" s="7"/>
      <c r="C4" s="7"/>
      <c r="D4" s="7"/>
      <c r="E4" s="7"/>
      <c r="F4" s="7"/>
      <c r="G4" s="7"/>
      <c r="H4" s="7"/>
      <c r="I4" s="7"/>
      <c r="J4" s="7"/>
      <c r="K4" s="7"/>
      <c r="L4" s="7"/>
    </row>
    <row r="5" customFormat="false" ht="15" hidden="false" customHeight="false" outlineLevel="0" collapsed="false">
      <c r="A5" s="7"/>
      <c r="B5" s="7"/>
      <c r="C5" s="7"/>
      <c r="D5" s="7"/>
      <c r="E5" s="7"/>
      <c r="F5" s="7"/>
      <c r="G5" s="7"/>
      <c r="H5" s="7"/>
      <c r="I5" s="7"/>
      <c r="J5" s="7"/>
      <c r="K5" s="7"/>
      <c r="L5" s="7"/>
    </row>
    <row r="6" customFormat="false" ht="15" hidden="false" customHeight="false" outlineLevel="0" collapsed="false">
      <c r="A6" s="7"/>
      <c r="B6" s="27" t="s">
        <v>262</v>
      </c>
      <c r="C6" s="9"/>
      <c r="D6" s="9"/>
      <c r="E6" s="9"/>
      <c r="F6" s="9"/>
      <c r="G6" s="9"/>
      <c r="H6" s="9"/>
      <c r="I6" s="9"/>
      <c r="J6" s="9"/>
      <c r="K6" s="9"/>
      <c r="L6" s="9"/>
    </row>
    <row r="7" customFormat="false" ht="15" hidden="false" customHeight="false" outlineLevel="0" collapsed="false">
      <c r="A7" s="7"/>
      <c r="B7" s="28" t="s">
        <v>264</v>
      </c>
      <c r="C7" s="44" t="b">
        <f aca="false">AND(ROUND(Waterfall!C151,0)=0,ROUND(Waterfall!D151,0)=0,ROUND(Waterfall!E151,0)=0,ROUND(Waterfall!F151,0)=0,ROUND(Waterfall!G151,0)=0,ROUND(Waterfall!H151,0)=0,ROUND(Waterfall!I151,0)=0,ROUND(Waterfall!J151,0)=0,ROUND(Waterfall!K151,0)=0,ROUND(Waterfall!L151,0)=0)</f>
        <v>1</v>
      </c>
      <c r="D7" s="7"/>
      <c r="E7" s="7"/>
      <c r="F7" s="7"/>
      <c r="G7" s="7"/>
      <c r="H7" s="7"/>
      <c r="I7" s="7"/>
      <c r="J7" s="7"/>
      <c r="K7" s="7"/>
      <c r="L7" s="7"/>
    </row>
    <row r="8" customFormat="false" ht="15" hidden="false" customHeight="false" outlineLevel="0" collapsed="false">
      <c r="A8" s="7"/>
      <c r="B8" s="28" t="s">
        <v>265</v>
      </c>
      <c r="C8" s="44" t="b">
        <f aca="false">AND(ROUND(Pool_CF!C35-Pool_CF!C14-Waterfall!C150,0)=0,ROUND(Pool_CF!D35-Pool_CF!D14-Waterfall!D150,0)=0,ROUND(Pool_CF!E35-Pool_CF!E14-Waterfall!E150,0)=0,ROUND(Pool_CF!F35-Pool_CF!F14-Waterfall!F150,0)=0,ROUND(Pool_CF!G35-Pool_CF!G14-Waterfall!G150,0)=0,ROUND(Pool_CF!H35-Pool_CF!H14-Waterfall!H150,0)=0,ROUND(Pool_CF!I35-Pool_CF!I14-Waterfall!I150,0)=0,ROUND(Pool_CF!J35-Pool_CF!J14-Waterfall!J150,0)=0,ROUND(Pool_CF!K35-Pool_CF!K14-Waterfall!K150,0)=0,ROUND(Pool_CF!L35-Pool_CF!L14-Waterfall!L150,0)=0)</f>
        <v>1</v>
      </c>
      <c r="D8" s="7"/>
      <c r="E8" s="7"/>
      <c r="F8" s="7"/>
      <c r="G8" s="7"/>
      <c r="H8" s="7"/>
      <c r="I8" s="7"/>
      <c r="J8" s="7"/>
      <c r="K8" s="7"/>
      <c r="L8" s="7"/>
    </row>
    <row r="9" customFormat="false" ht="15" hidden="false" customHeight="false" outlineLevel="0" collapsed="false">
      <c r="A9" s="7"/>
      <c r="B9" s="28" t="s">
        <v>266</v>
      </c>
      <c r="C9" s="44" t="b">
        <f aca="false">AND(ROUND(Pool_CF!C15+Pool_CF!C18+Pool_CF!C19+Pool_CF!C20-Pool_CF!C21-Pool_Size,0)=0,ROUND(Pool_CF!D15+Pool_CF!D18+Pool_CF!D19+Pool_CF!D20-Pool_CF!D21-Pool_Size,0)=0,ROUND(Pool_CF!E15+Pool_CF!E18+Pool_CF!E19+Pool_CF!E20-Pool_CF!E21-Pool_Size,0)=0,ROUND(Pool_CF!F15+Pool_CF!F18+Pool_CF!F19+Pool_CF!F20-Pool_CF!F21-Pool_Size,0)=0,ROUND(Pool_CF!G15+Pool_CF!G18+Pool_CF!G19+Pool_CF!G20-Pool_CF!G21-Pool_Size,0)=0,ROUND(Pool_CF!H15+Pool_CF!H18+Pool_CF!H19+Pool_CF!H20-Pool_CF!H21-Pool_Size,0)=0,ROUND(Pool_CF!I15+Pool_CF!I18+Pool_CF!I19+Pool_CF!I20-Pool_CF!I21-Pool_Size,0)=0,ROUND(Pool_CF!J15+Pool_CF!J18+Pool_CF!J19+Pool_CF!J20-Pool_CF!J21-Pool_Size,0)=0,ROUND(Pool_CF!K15+Pool_CF!K18+Pool_CF!K19+Pool_CF!K20-Pool_CF!K21-Pool_Size,0)=0,ROUND(Pool_CF!L15+Pool_CF!L18+Pool_CF!L19+Pool_CF!L20-Pool_CF!L21-Pool_Size,0)=0)</f>
        <v>1</v>
      </c>
      <c r="D9" s="7"/>
      <c r="E9" s="7"/>
      <c r="F9" s="7"/>
      <c r="G9" s="7"/>
      <c r="H9" s="7"/>
      <c r="I9" s="7"/>
      <c r="J9" s="7"/>
      <c r="K9" s="7"/>
      <c r="L9" s="7"/>
    </row>
    <row r="10" customFormat="false" ht="15" hidden="false" customHeight="false" outlineLevel="0" collapsed="false">
      <c r="A10" s="7"/>
      <c r="B10" s="28" t="s">
        <v>267</v>
      </c>
      <c r="C10" s="44" t="b">
        <f aca="false">(AAA_Size+AA_Size+A_Size+BBB_Size+BB_Size+Equity_Size)=Pool_Size</f>
        <v>1</v>
      </c>
      <c r="D10" s="7"/>
      <c r="E10" s="7"/>
      <c r="F10" s="7"/>
      <c r="G10" s="7"/>
      <c r="H10" s="7"/>
      <c r="I10" s="7"/>
      <c r="J10" s="7"/>
      <c r="K10" s="7"/>
      <c r="L10" s="7"/>
    </row>
    <row r="11" customFormat="false" ht="15" hidden="false" customHeight="false" outlineLevel="0" collapsed="false">
      <c r="A11" s="7"/>
      <c r="B11" s="28" t="s">
        <v>268</v>
      </c>
      <c r="C11" s="44" t="b">
        <f aca="false">AND(MIN(Waterfall!C134:L134)&gt;=0,MIN(Waterfall!C136:L136)&gt;=0,MIN(Waterfall!C138:L138)&gt;=0,MIN(Waterfall!C140:L140)&gt;=0,MIN(Waterfall!C142:L142)&gt;=0)</f>
        <v>1</v>
      </c>
      <c r="D11" s="7"/>
      <c r="E11" s="7"/>
      <c r="F11" s="7"/>
      <c r="G11" s="7"/>
      <c r="H11" s="7"/>
      <c r="I11" s="7"/>
      <c r="J11" s="7"/>
      <c r="K11" s="7"/>
      <c r="L11" s="7"/>
    </row>
    <row r="12" customFormat="false" ht="15" hidden="false" customHeight="false" outlineLevel="0" collapsed="false">
      <c r="A12" s="7"/>
      <c r="B12" s="28" t="s">
        <v>269</v>
      </c>
      <c r="C12" s="44" t="b">
        <f aca="false">AND(Waterfall!C22&lt;=Waterfall!C21,Waterfall!D22&lt;=Waterfall!D21,Waterfall!E22&lt;=Waterfall!E21,Waterfall!F22&lt;=Waterfall!F21,Waterfall!G22&lt;=Waterfall!G21,Waterfall!H22&lt;=Waterfall!H21,Waterfall!I22&lt;=Waterfall!I21,Waterfall!J22&lt;=Waterfall!J21,Waterfall!K22&lt;=Waterfall!K21,Waterfall!L22&lt;=Waterfall!L21)</f>
        <v>1</v>
      </c>
      <c r="D12" s="7"/>
      <c r="E12" s="7"/>
      <c r="F12" s="7"/>
      <c r="G12" s="7"/>
      <c r="H12" s="7"/>
      <c r="I12" s="7"/>
      <c r="J12" s="7"/>
      <c r="K12" s="7"/>
      <c r="L12" s="7"/>
    </row>
    <row r="13" customFormat="false" ht="15" hidden="false" customHeight="false" outlineLevel="0" collapsed="false">
      <c r="A13" s="7"/>
      <c r="B13" s="28" t="s">
        <v>270</v>
      </c>
      <c r="C13" s="44" t="b">
        <f aca="false">AND(Waterfall!C25&lt;=Waterfall!C24,Waterfall!D25&lt;=Waterfall!D24,Waterfall!E25&lt;=Waterfall!E24,Waterfall!F25&lt;=Waterfall!F24,Waterfall!G25&lt;=Waterfall!G24,Waterfall!H25&lt;=Waterfall!H24,Waterfall!I25&lt;=Waterfall!I24,Waterfall!J25&lt;=Waterfall!J24,Waterfall!K25&lt;=Waterfall!K24,Waterfall!L25&lt;=Waterfall!L24)</f>
        <v>1</v>
      </c>
      <c r="D13" s="7"/>
      <c r="E13" s="7"/>
      <c r="F13" s="7"/>
      <c r="G13" s="7"/>
      <c r="H13" s="7"/>
      <c r="I13" s="7"/>
      <c r="J13" s="7"/>
      <c r="K13" s="7"/>
      <c r="L13" s="7"/>
    </row>
    <row r="14" customFormat="false" ht="15" hidden="false" customHeight="false" outlineLevel="0" collapsed="false">
      <c r="A14" s="7"/>
      <c r="B14" s="28" t="s">
        <v>271</v>
      </c>
      <c r="C14" s="44" t="b">
        <f aca="false">AND(Waterfall!C42&lt;=Waterfall!C41,Waterfall!D42&lt;=Waterfall!D41,Waterfall!E42&lt;=Waterfall!E41,Waterfall!F42&lt;=Waterfall!F41,Waterfall!G42&lt;=Waterfall!G41,Waterfall!H42&lt;=Waterfall!H41,Waterfall!I42&lt;=Waterfall!I41,Waterfall!J42&lt;=Waterfall!J41,Waterfall!K42&lt;=Waterfall!K41,Waterfall!L42&lt;=Waterfall!L41)</f>
        <v>1</v>
      </c>
      <c r="D14" s="7"/>
      <c r="E14" s="7"/>
      <c r="F14" s="7"/>
      <c r="G14" s="7"/>
      <c r="H14" s="7"/>
      <c r="I14" s="7"/>
      <c r="J14" s="7"/>
      <c r="K14" s="7"/>
      <c r="L14" s="7"/>
    </row>
    <row r="15" customFormat="false" ht="15" hidden="false" customHeight="false" outlineLevel="0" collapsed="false">
      <c r="A15" s="7"/>
      <c r="B15" s="28" t="s">
        <v>272</v>
      </c>
      <c r="C15" s="44" t="b">
        <f aca="false">AND(Waterfall!C59&lt;=Waterfall!C58,Waterfall!D59&lt;=Waterfall!D58,Waterfall!E59&lt;=Waterfall!E58,Waterfall!F59&lt;=Waterfall!F58,Waterfall!G59&lt;=Waterfall!G58,Waterfall!H59&lt;=Waterfall!H58,Waterfall!I59&lt;=Waterfall!I58,Waterfall!J59&lt;=Waterfall!J58,Waterfall!K59&lt;=Waterfall!K58,Waterfall!L59&lt;=Waterfall!L58)</f>
        <v>1</v>
      </c>
      <c r="D15" s="7"/>
      <c r="E15" s="7"/>
      <c r="F15" s="7"/>
      <c r="G15" s="7"/>
      <c r="H15" s="7"/>
      <c r="I15" s="7"/>
      <c r="J15" s="7"/>
      <c r="K15" s="7"/>
      <c r="L15" s="7"/>
    </row>
    <row r="16" customFormat="false" ht="15" hidden="false" customHeight="false" outlineLevel="0" collapsed="false">
      <c r="A16" s="7"/>
      <c r="B16" s="28" t="s">
        <v>273</v>
      </c>
      <c r="C16" s="44" t="b">
        <f aca="false">AND(Waterfall!C76&lt;=Waterfall!C75,Waterfall!D76&lt;=Waterfall!D75,Waterfall!E76&lt;=Waterfall!E75,Waterfall!F76&lt;=Waterfall!F75,Waterfall!G76&lt;=Waterfall!G75,Waterfall!H76&lt;=Waterfall!H75,Waterfall!I76&lt;=Waterfall!I75,Waterfall!J76&lt;=Waterfall!J75,Waterfall!K76&lt;=Waterfall!K75,Waterfall!L76&lt;=Waterfall!L75)</f>
        <v>1</v>
      </c>
      <c r="D16" s="7"/>
      <c r="E16" s="7"/>
      <c r="F16" s="7"/>
      <c r="G16" s="7"/>
      <c r="H16" s="7"/>
      <c r="I16" s="7"/>
      <c r="J16" s="7"/>
      <c r="K16" s="7"/>
      <c r="L16" s="7"/>
    </row>
    <row r="17" customFormat="false" ht="15" hidden="false" customHeight="false" outlineLevel="0" collapsed="false">
      <c r="A17" s="7"/>
      <c r="B17" s="28" t="s">
        <v>274</v>
      </c>
      <c r="C17" s="44" t="b">
        <f aca="false">AND(Waterfall!C143=Equity_Size,Waterfall!D143=Equity_Size,Waterfall!E143=Equity_Size,Waterfall!F143=Equity_Size,Waterfall!G143=Equity_Size,Waterfall!H143=Equity_Size,Waterfall!I143=Equity_Size,Waterfall!J143=Equity_Size,Waterfall!K143=Equity_Size,Waterfall!L143=Equity_Size)</f>
        <v>1</v>
      </c>
      <c r="D17" s="7"/>
      <c r="E17" s="7"/>
      <c r="F17" s="7"/>
      <c r="G17" s="7"/>
      <c r="H17" s="7"/>
      <c r="I17" s="7"/>
      <c r="J17" s="7"/>
      <c r="K17" s="7"/>
      <c r="L17" s="7"/>
    </row>
    <row r="18" customFormat="false" ht="15" hidden="false" customHeight="false" outlineLevel="0" collapsed="false">
      <c r="A18" s="7"/>
      <c r="B18" s="28" t="s">
        <v>275</v>
      </c>
      <c r="C18" s="44" t="b">
        <f aca="false">Pool_CF!L26&lt;=Pool_Size</f>
        <v>1</v>
      </c>
      <c r="D18" s="7"/>
      <c r="E18" s="7"/>
      <c r="F18" s="7"/>
      <c r="G18" s="7"/>
      <c r="H18" s="7"/>
      <c r="I18" s="7"/>
      <c r="J18" s="7"/>
      <c r="K18" s="7"/>
      <c r="L18" s="7"/>
    </row>
    <row r="19" customFormat="false" ht="15" hidden="false" customHeight="false" outlineLevel="0" collapsed="false">
      <c r="A19" s="7"/>
      <c r="B19" s="28" t="s">
        <v>276</v>
      </c>
      <c r="C19" s="44" t="b">
        <f aca="false">SUM(Pool_CF!C28:L28)&lt;=Pool_CF!L18*Recovery_Rate</f>
        <v>1</v>
      </c>
      <c r="D19" s="7"/>
      <c r="E19" s="7"/>
      <c r="F19" s="7"/>
      <c r="G19" s="7"/>
      <c r="H19" s="7"/>
      <c r="I19" s="7"/>
      <c r="J19" s="7"/>
      <c r="K19" s="7"/>
      <c r="L19" s="7"/>
    </row>
    <row r="20" customFormat="false" ht="15" hidden="false" customHeight="false" outlineLevel="0" collapsed="false">
      <c r="A20" s="7"/>
      <c r="B20" s="7"/>
      <c r="C20" s="7"/>
      <c r="D20" s="7"/>
      <c r="E20" s="7"/>
      <c r="F20" s="7"/>
      <c r="G20" s="7"/>
      <c r="H20" s="7"/>
      <c r="I20" s="7"/>
      <c r="J20" s="7"/>
      <c r="K20" s="7"/>
      <c r="L20" s="7"/>
    </row>
    <row r="21" customFormat="false" ht="15" hidden="false" customHeight="false" outlineLevel="0" collapsed="false">
      <c r="A21" s="7"/>
      <c r="B21" s="12" t="s">
        <v>277</v>
      </c>
      <c r="C21" s="45" t="b">
        <f aca="false">AND(C7:C19)</f>
        <v>1</v>
      </c>
      <c r="D21" s="7"/>
      <c r="E21" s="7"/>
      <c r="F21" s="7"/>
      <c r="G21" s="7"/>
      <c r="H21" s="7"/>
      <c r="I21" s="7"/>
      <c r="J21" s="7"/>
      <c r="K21" s="7"/>
      <c r="L21" s="7"/>
    </row>
  </sheetData>
  <conditionalFormatting sqref="C7:C21">
    <cfRule type="cellIs" priority="2" operator="equal" aboveAverage="0" equalAverage="0" bottom="0" percent="0" rank="0" text="" dxfId="0">
      <formula>1</formula>
    </cfRule>
    <cfRule type="cellIs" priority="3" operator="equal" aboveAverage="0" equalAverage="0" bottom="0" percent="0" rank="0" text="" dxfId="1">
      <formula>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6" t="s">
        <v>278</v>
      </c>
    </row>
    <row r="3" customFormat="false" ht="3.75" hidden="false" customHeight="true" outlineLevel="0" collapsed="false">
      <c r="B3" s="47"/>
    </row>
    <row r="5" customFormat="false" ht="19.5" hidden="false" customHeight="true" outlineLevel="0" collapsed="false">
      <c r="B5" s="48" t="s">
        <v>279</v>
      </c>
    </row>
    <row r="6" customFormat="false" ht="48" hidden="false" customHeight="true" outlineLevel="0" collapsed="false">
      <c r="B6" s="49" t="s">
        <v>280</v>
      </c>
    </row>
    <row r="8" customFormat="false" ht="19.5" hidden="false" customHeight="true" outlineLevel="0" collapsed="false">
      <c r="B8" s="48" t="s">
        <v>281</v>
      </c>
    </row>
    <row r="9" customFormat="false" ht="61.5" hidden="false" customHeight="true" outlineLevel="0" collapsed="false">
      <c r="B9" s="49" t="s">
        <v>282</v>
      </c>
    </row>
    <row r="11" customFormat="false" ht="19.5" hidden="false" customHeight="true" outlineLevel="0" collapsed="false">
      <c r="B11" s="48" t="s">
        <v>283</v>
      </c>
    </row>
    <row r="12" customFormat="false" ht="75.75" hidden="false" customHeight="true" outlineLevel="0" collapsed="false">
      <c r="B12" s="49" t="s">
        <v>284</v>
      </c>
    </row>
    <row r="14" customFormat="false" ht="19.5" hidden="false" customHeight="true" outlineLevel="0" collapsed="false">
      <c r="B14" s="48" t="s">
        <v>285</v>
      </c>
    </row>
    <row r="15" customFormat="false" ht="61.5" hidden="false" customHeight="true" outlineLevel="0" collapsed="false">
      <c r="B15" s="49" t="s">
        <v>286</v>
      </c>
    </row>
    <row r="17" customFormat="false" ht="19.5" hidden="false" customHeight="true" outlineLevel="0" collapsed="false">
      <c r="B17" s="48" t="s">
        <v>287</v>
      </c>
    </row>
    <row r="18" customFormat="false" ht="33.75" hidden="false" customHeight="true" outlineLevel="0" collapsed="false">
      <c r="B18" s="49" t="s">
        <v>288</v>
      </c>
    </row>
    <row r="20" customFormat="false" ht="19.5" hidden="false" customHeight="true" outlineLevel="0" collapsed="false">
      <c r="B20" s="48" t="s">
        <v>289</v>
      </c>
    </row>
    <row r="21" customFormat="false" ht="33.75" hidden="false" customHeight="true" outlineLevel="0" collapsed="false">
      <c r="B21" s="49" t="s">
        <v>290</v>
      </c>
    </row>
    <row r="23" customFormat="false" ht="21.75" hidden="false" customHeight="true" outlineLevel="0" collapsed="false">
      <c r="B23" s="50" t="s">
        <v>291</v>
      </c>
    </row>
    <row r="25" customFormat="false" ht="18" hidden="false" customHeight="true" outlineLevel="0" collapsed="false">
      <c r="B25" s="51" t="s">
        <v>292</v>
      </c>
    </row>
    <row r="26" customFormat="false" ht="201.75" hidden="false" customHeight="true" outlineLevel="0" collapsed="false">
      <c r="B26" s="52" t="s">
        <v>293</v>
      </c>
    </row>
    <row r="28" customFormat="false" ht="18" hidden="false" customHeight="true" outlineLevel="0" collapsed="false">
      <c r="B28" s="53" t="s">
        <v>294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2026-05-15T18:52:44Z</dcterms:created>
  <dc:creator>openpyxl</dc:creator>
  <dc:description/>
  <dc:language>en-GB</dc:language>
  <cp:lastModifiedBy/>
  <dcterms:modified xsi:type="dcterms:W3CDTF">2026-05-15T18:52:44Z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