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2.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7.xml" ContentType="application/vnd.openxmlformats-officedocument.spreadsheetml.worksheet+xml"/>
  <Override PartName="/xl/worksheets/sheet1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SaaS_Metrics" sheetId="3" state="visible" r:id="rId5"/>
    <sheet name="Ad_Revenue" sheetId="4" state="visible" r:id="rId6"/>
    <sheet name="Cohorts" sheetId="5" state="visible" r:id="rId7"/>
    <sheet name="Channel_S&amp;M" sheetId="6" state="visible" r:id="rId8"/>
    <sheet name="Staffing" sheetId="7" state="visible" r:id="rId9"/>
    <sheet name="Capex_Amort" sheetId="8" state="visible" r:id="rId10"/>
    <sheet name="Income_Statement" sheetId="9" state="visible" r:id="rId11"/>
    <sheet name="Working_Capital" sheetId="10" state="visible" r:id="rId12"/>
    <sheet name="Cash_Flow" sheetId="11" state="visible" r:id="rId13"/>
    <sheet name="Balance_Sheet" sheetId="12" state="visible" r:id="rId14"/>
    <sheet name="Monthly_Y1" sheetId="13" state="visible" r:id="rId15"/>
    <sheet name="Unit_Economics" sheetId="14" state="visible" r:id="rId16"/>
    <sheet name="Checks" sheetId="15" state="visible" r:id="rId17"/>
    <sheet name="Disclaimer" sheetId="16" state="visible" r:id="rId18"/>
  </sheets>
  <definedNames>
    <definedName function="false" hidden="false" name="Accrued_Days" vbProcedure="false">Assumptions!$C$129</definedName>
    <definedName function="false" hidden="false" name="ARPA_Y1" vbProcedure="false">Assumptions!$C$10</definedName>
    <definedName function="false" hidden="false" name="ARPA_Y2" vbProcedure="false">Assumptions!$D$10</definedName>
    <definedName function="false" hidden="false" name="ARPA_Y3" vbProcedure="false">Assumptions!$E$10</definedName>
    <definedName function="false" hidden="false" name="ARPA_Y4" vbProcedure="false">Assumptions!$F$10</definedName>
    <definedName function="false" hidden="false" name="ARPA_Y5" vbProcedure="false">Assumptions!$G$10</definedName>
    <definedName function="false" hidden="false" name="Benefits_Loading" vbProcedure="false">Assumptions!$C$52</definedName>
    <definedName function="false" hidden="false" name="Bid_CPM" vbProcedure="false">Assumptions!$C$26</definedName>
    <definedName function="false" hidden="false" name="Borrow_Spread" vbProcedure="false">Assumptions!$C$112</definedName>
    <definedName function="false" hidden="false" name="Capex_Growth" vbProcedure="false">Assumptions!$C$102</definedName>
    <definedName function="false" hidden="false" name="Channel_Spend_Growth" vbProcedure="false">Assumptions!$C$85</definedName>
    <definedName function="false" hidden="false" name="Ch_Content" vbProcedure="false">Assumptions!$C$57</definedName>
    <definedName function="false" hidden="false" name="Ch_Events" vbProcedure="false">Assumptions!$C$60</definedName>
    <definedName function="false" hidden="false" name="Ch_Outbound" vbProcedure="false">Assumptions!$C$58</definedName>
    <definedName function="false" hidden="false" name="Ch_PaidSearch" vbProcedure="false">Assumptions!$C$55</definedName>
    <definedName function="false" hidden="false" name="Ch_PaidSocial" vbProcedure="false">Assumptions!$C$56</definedName>
    <definedName function="false" hidden="false" name="Ch_Partnerships" vbProcedure="false">Assumptions!$C$59</definedName>
    <definedName function="false" hidden="false" name="Cloud_AdTech_Y1" vbProcedure="false">Assumptions!$C$37</definedName>
    <definedName function="false" hidden="false" name="Cloud_AdTech_Y2" vbProcedure="false">Assumptions!$D$37</definedName>
    <definedName function="false" hidden="false" name="Cloud_AdTech_Y3" vbProcedure="false">Assumptions!$E$37</definedName>
    <definedName function="false" hidden="false" name="Cloud_AdTech_Y4" vbProcedure="false">Assumptions!$F$37</definedName>
    <definedName function="false" hidden="false" name="Cloud_AdTech_Y5" vbProcedure="false">Assumptions!$G$37</definedName>
    <definedName function="false" hidden="false" name="Cloud_SaaS_Y1" vbProcedure="false">Assumptions!$C$38</definedName>
    <definedName function="false" hidden="false" name="Cloud_SaaS_Y2" vbProcedure="false">Assumptions!$D$38</definedName>
    <definedName function="false" hidden="false" name="Cloud_SaaS_Y3" vbProcedure="false">Assumptions!$E$38</definedName>
    <definedName function="false" hidden="false" name="Cloud_SaaS_Y4" vbProcedure="false">Assumptions!$F$38</definedName>
    <definedName function="false" hidden="false" name="Cloud_SaaS_Y5" vbProcedure="false">Assumptions!$G$38</definedName>
    <definedName function="false" hidden="false" name="Cohort_Retention_M12" vbProcedure="false">Assumptions!$C$16</definedName>
    <definedName function="false" hidden="false" name="Cohort_Retention_M24" vbProcedure="false">Assumptions!$C$17</definedName>
    <definedName function="false" hidden="false" name="Cohort_Retention_M36" vbProcedure="false">Assumptions!$C$18</definedName>
    <definedName function="false" hidden="false" name="Cohort_Retention_M48" vbProcedure="false">Assumptions!$C$19</definedName>
    <definedName function="false" hidden="false" name="Cohort_Retention_M60" vbProcedure="false">Assumptions!$C$20</definedName>
    <definedName function="false" hidden="false" name="Cohort_Tol" vbProcedure="false">Assumptions!$C$159</definedName>
    <definedName function="false" hidden="false" name="Contraction_Rate" vbProcedure="false">Assumptions!$C$12</definedName>
    <definedName function="false" hidden="false" name="Conv_LM_CT" vbProcedure="false">Assumptions!$C$69</definedName>
    <definedName function="false" hidden="false" name="Conv_LM_EV" vbProcedure="false">Assumptions!$C$81</definedName>
    <definedName function="false" hidden="false" name="Conv_LM_OB" vbProcedure="false">Assumptions!$C$73</definedName>
    <definedName function="false" hidden="false" name="Conv_LM_PS" vbProcedure="false">Assumptions!$C$61</definedName>
    <definedName function="false" hidden="false" name="Conv_LM_PSO" vbProcedure="false">Assumptions!$C$65</definedName>
    <definedName function="false" hidden="false" name="Conv_LM_PT" vbProcedure="false">Assumptions!$C$77</definedName>
    <definedName function="false" hidden="false" name="Conv_MS_CT" vbProcedure="false">Assumptions!$C$70</definedName>
    <definedName function="false" hidden="false" name="Conv_MS_EV" vbProcedure="false">Assumptions!$C$82</definedName>
    <definedName function="false" hidden="false" name="Conv_MS_OB" vbProcedure="false">Assumptions!$C$74</definedName>
    <definedName function="false" hidden="false" name="Conv_MS_PS" vbProcedure="false">Assumptions!$C$62</definedName>
    <definedName function="false" hidden="false" name="Conv_MS_PSO" vbProcedure="false">Assumptions!$C$66</definedName>
    <definedName function="false" hidden="false" name="Conv_MS_PT" vbProcedure="false">Assumptions!$C$78</definedName>
    <definedName function="false" hidden="false" name="Conv_SW_CT" vbProcedure="false">Assumptions!$C$71</definedName>
    <definedName function="false" hidden="false" name="Conv_SW_EV" vbProcedure="false">Assumptions!$C$83</definedName>
    <definedName function="false" hidden="false" name="Conv_SW_OB" vbProcedure="false">Assumptions!$C$75</definedName>
    <definedName function="false" hidden="false" name="Conv_SW_PS" vbProcedure="false">Assumptions!$C$63</definedName>
    <definedName function="false" hidden="false" name="Conv_SW_PSO" vbProcedure="false">Assumptions!$C$67</definedName>
    <definedName function="false" hidden="false" name="Conv_SW_PT" vbProcedure="false">Assumptions!$C$79</definedName>
    <definedName function="false" hidden="false" name="CPL_CT" vbProcedure="false">Assumptions!$C$72</definedName>
    <definedName function="false" hidden="false" name="CPL_EV" vbProcedure="false">Assumptions!$C$84</definedName>
    <definedName function="false" hidden="false" name="CPL_OB" vbProcedure="false">Assumptions!$C$76</definedName>
    <definedName function="false" hidden="false" name="CPL_PS" vbProcedure="false">Assumptions!$C$64</definedName>
    <definedName function="false" hidden="false" name="CPL_PSO" vbProcedure="false">Assumptions!$C$68</definedName>
    <definedName function="false" hidden="false" name="CPL_PT" vbProcedure="false">Assumptions!$C$80</definedName>
    <definedName function="false" hidden="false" name="Cust_Churn_Y1" vbProcedure="false">Assumptions!$C$9</definedName>
    <definedName function="false" hidden="false" name="Cust_Churn_Y2" vbProcedure="false">Assumptions!$D$9</definedName>
    <definedName function="false" hidden="false" name="Cust_Churn_Y3" vbProcedure="false">Assumptions!$E$9</definedName>
    <definedName function="false" hidden="false" name="Cust_Churn_Y4" vbProcedure="false">Assumptions!$F$9</definedName>
    <definedName function="false" hidden="false" name="Cust_Churn_Y5" vbProcedure="false">Assumptions!$G$9</definedName>
    <definedName function="false" hidden="false" name="Data_Acq_Pct" vbProcedure="false">Assumptions!$C$39</definedName>
    <definedName function="false" hidden="false" name="Debt_Term" vbProcedure="false">Assumptions!$C$110</definedName>
    <definedName function="false" hidden="false" name="DPO_Operating" vbProcedure="false">Assumptions!$C$127</definedName>
    <definedName function="false" hidden="false" name="DPO_Publishers" vbProcedure="false">Assumptions!$C$126</definedName>
    <definedName function="false" hidden="false" name="DSO_AdTech" vbProcedure="false">Assumptions!$C$124</definedName>
    <definedName function="false" hidden="false" name="DSO_SaaS" vbProcedure="false">Assumptions!$C$125</definedName>
    <definedName function="false" hidden="false" name="DSP_Share_Y1" vbProcedure="false">Assumptions!$C$28</definedName>
    <definedName function="false" hidden="false" name="DSP_Share_Y2" vbProcedure="false">Assumptions!$D$28</definedName>
    <definedName function="false" hidden="false" name="DSP_Share_Y3" vbProcedure="false">Assumptions!$E$28</definedName>
    <definedName function="false" hidden="false" name="DSP_Share_Y4" vbProcedure="false">Assumptions!$F$28</definedName>
    <definedName function="false" hidden="false" name="DSP_Share_Y5" vbProcedure="false">Assumptions!$G$28</definedName>
    <definedName function="false" hidden="false" name="DSP_Take_Rate" vbProcedure="false">Assumptions!$C$29</definedName>
    <definedName function="false" hidden="false" name="Equity_Raise_Y1" vbProcedure="false">Assumptions!$C$115</definedName>
    <definedName function="false" hidden="false" name="Equity_Raise_Y2" vbProcedure="false">Assumptions!$D$115</definedName>
    <definedName function="false" hidden="false" name="Equity_Raise_Y3" vbProcedure="false">Assumptions!$E$115</definedName>
    <definedName function="false" hidden="false" name="Equity_Raise_Y4" vbProcedure="false">Assumptions!$F$115</definedName>
    <definedName function="false" hidden="false" name="Equity_Raise_Y5" vbProcedure="false">Assumptions!$G$115</definedName>
    <definedName function="false" hidden="false" name="Expansion_Rate" vbProcedure="false">Assumptions!$C$11</definedName>
    <definedName function="false" hidden="false" name="Gross_Churn_Y1" vbProcedure="false">Assumptions!$C$13</definedName>
    <definedName function="false" hidden="false" name="Gross_Churn_Y2" vbProcedure="false">Assumptions!$D$13</definedName>
    <definedName function="false" hidden="false" name="Gross_Churn_Y3" vbProcedure="false">Assumptions!$E$13</definedName>
    <definedName function="false" hidden="false" name="Gross_Churn_Y4" vbProcedure="false">Assumptions!$F$13</definedName>
    <definedName function="false" hidden="false" name="Gross_Churn_Y5" vbProcedure="false">Assumptions!$G$13</definedName>
    <definedName function="false" hidden="false" name="HC_CS_Y1" vbProcedure="false">Assumptions!$C$45</definedName>
    <definedName function="false" hidden="false" name="HC_CS_Y2" vbProcedure="false">Assumptions!$D$45</definedName>
    <definedName function="false" hidden="false" name="HC_CS_Y3" vbProcedure="false">Assumptions!$E$45</definedName>
    <definedName function="false" hidden="false" name="HC_CS_Y4" vbProcedure="false">Assumptions!$F$45</definedName>
    <definedName function="false" hidden="false" name="HC_CS_Y5" vbProcedure="false">Assumptions!$G$45</definedName>
    <definedName function="false" hidden="false" name="HC_Eng_Y1" vbProcedure="false">Assumptions!$C$43</definedName>
    <definedName function="false" hidden="false" name="HC_Eng_Y2" vbProcedure="false">Assumptions!$D$43</definedName>
    <definedName function="false" hidden="false" name="HC_Eng_Y3" vbProcedure="false">Assumptions!$E$43</definedName>
    <definedName function="false" hidden="false" name="HC_Eng_Y4" vbProcedure="false">Assumptions!$F$43</definedName>
    <definedName function="false" hidden="false" name="HC_Eng_Y5" vbProcedure="false">Assumptions!$G$43</definedName>
    <definedName function="false" hidden="false" name="HC_GA_Y1" vbProcedure="false">Assumptions!$C$46</definedName>
    <definedName function="false" hidden="false" name="HC_GA_Y2" vbProcedure="false">Assumptions!$D$46</definedName>
    <definedName function="false" hidden="false" name="HC_GA_Y3" vbProcedure="false">Assumptions!$E$46</definedName>
    <definedName function="false" hidden="false" name="HC_GA_Y4" vbProcedure="false">Assumptions!$F$46</definedName>
    <definedName function="false" hidden="false" name="HC_GA_Y5" vbProcedure="false">Assumptions!$G$46</definedName>
    <definedName function="false" hidden="false" name="HC_SM_Y1" vbProcedure="false">Assumptions!$C$44</definedName>
    <definedName function="false" hidden="false" name="HC_SM_Y2" vbProcedure="false">Assumptions!$D$44</definedName>
    <definedName function="false" hidden="false" name="HC_SM_Y3" vbProcedure="false">Assumptions!$E$44</definedName>
    <definedName function="false" hidden="false" name="HC_SM_Y4" vbProcedure="false">Assumptions!$F$44</definedName>
    <definedName function="false" hidden="false" name="HC_SM_Y5" vbProcedure="false">Assumptions!$G$44</definedName>
    <definedName function="false" hidden="false" name="Impressions_Y1" vbProcedure="false">Assumptions!$C$23</definedName>
    <definedName function="false" hidden="false" name="Impr_Growth_Y2" vbProcedure="false">Assumptions!$D$25</definedName>
    <definedName function="false" hidden="false" name="Impr_Growth_Y3" vbProcedure="false">Assumptions!$E$25</definedName>
    <definedName function="false" hidden="false" name="Impr_Growth_Y4" vbProcedure="false">Assumptions!$F$25</definedName>
    <definedName function="false" hidden="false" name="Impr_Growth_Y5" vbProcedure="false">Assumptions!$G$25</definedName>
    <definedName function="false" hidden="false" name="Impr_Scale" vbProcedure="false">Assumptions!$C$24</definedName>
    <definedName function="false" hidden="false" name="Insurance_Pct" vbProcedure="false">Assumptions!$C$91</definedName>
    <definedName function="false" hidden="false" name="New_Cust_Y1" vbProcedure="false">Assumptions!$C$8</definedName>
    <definedName function="false" hidden="false" name="New_Cust_Y2" vbProcedure="false">Assumptions!$D$8</definedName>
    <definedName function="false" hidden="false" name="New_Cust_Y3" vbProcedure="false">Assumptions!$E$8</definedName>
    <definedName function="false" hidden="false" name="New_Cust_Y4" vbProcedure="false">Assumptions!$F$8</definedName>
    <definedName function="false" hidden="false" name="New_Cust_Y5" vbProcedure="false">Assumptions!$G$8</definedName>
    <definedName function="false" hidden="false" name="Opening_Accrued" vbProcedure="false">Assumptions!$C$141</definedName>
    <definedName function="false" hidden="false" name="Opening_AP" vbProcedure="false">Assumptions!$C$139</definedName>
    <definedName function="false" hidden="false" name="Opening_AR" vbProcedure="false">Assumptions!$C$133</definedName>
    <definedName function="false" hidden="false" name="Opening_BS_Check" vbProcedure="false">Assumptions!$C$148</definedName>
    <definedName function="false" hidden="false" name="Opening_Cap_SW" vbProcedure="false">Assumptions!$C$135</definedName>
    <definedName function="false" hidden="false" name="Opening_Cash" vbProcedure="false">Assumptions!$C$132</definedName>
    <definedName function="false" hidden="false" name="Opening_Customers" vbProcedure="false">Assumptions!$C$7</definedName>
    <definedName function="false" hidden="false" name="Opening_Debt" vbProcedure="false">Assumptions!$C$109</definedName>
    <definedName function="false" hidden="false" name="Opening_Debt_Current" vbProcedure="false">Assumptions!$C$142</definedName>
    <definedName function="false" hidden="false" name="Opening_Debt_NonCurr" vbProcedure="false">Assumptions!$C$143</definedName>
    <definedName function="false" hidden="false" name="Opening_DR" vbProcedure="false">Assumptions!$C$140</definedName>
    <definedName function="false" hidden="false" name="Opening_NOL" vbProcedure="false">Assumptions!$C$121</definedName>
    <definedName function="false" hidden="false" name="Opening_Other_NCA" vbProcedure="false">Assumptions!$C$137</definedName>
    <definedName function="false" hidden="false" name="Opening_PPE" vbProcedure="false">Assumptions!$C$136</definedName>
    <definedName function="false" hidden="false" name="Opening_Prepaid" vbProcedure="false">Assumptions!$C$134</definedName>
    <definedName function="false" hidden="false" name="Opening_Ret_Earnings" vbProcedure="false">Assumptions!$C$146</definedName>
    <definedName function="false" hidden="false" name="Opening_Share_Capital" vbProcedure="false">Assumptions!$C$145</definedName>
    <definedName function="false" hidden="false" name="Opening_Total_Assets" vbProcedure="false">Assumptions!$C$138</definedName>
    <definedName function="false" hidden="false" name="Opening_Total_Equity" vbProcedure="false">Assumptions!$C$147</definedName>
    <definedName function="false" hidden="false" name="Opening_Total_Liab" vbProcedure="false">Assumptions!$C$144</definedName>
    <definedName function="false" hidden="false" name="Payment_Pct" vbProcedure="false">Assumptions!$C$40</definedName>
    <definedName function="false" hidden="false" name="Phys_Capex_Y1" vbProcedure="false">Assumptions!$C$101</definedName>
    <definedName function="false" hidden="false" name="Phys_Life" vbProcedure="false">Assumptions!$C$103</definedName>
    <definedName function="false" hidden="false" name="Prepaid_Days" vbProcedure="false">Assumptions!$C$128</definedName>
    <definedName function="false" hidden="false" name="ProServ_Pct" vbProcedure="false">Assumptions!$C$34</definedName>
    <definedName function="false" hidden="false" name="RD_Cap_Rate" vbProcedure="false">Assumptions!$C$104</definedName>
    <definedName function="false" hidden="false" name="RD_Credit_Rate" vbProcedure="false">Assumptions!$C$119</definedName>
    <definedName function="false" hidden="false" name="RD_Qualifying_Pct" vbProcedure="false">Assumptions!$C$120</definedName>
    <definedName function="false" hidden="false" name="Rent_Growth" vbProcedure="false">Assumptions!$C$90</definedName>
    <definedName function="false" hidden="false" name="Rent_Y1" vbProcedure="false">Assumptions!$C$89</definedName>
    <definedName function="false" hidden="false" name="Runway_Cap" vbProcedure="false">Assumptions!$C$158</definedName>
    <definedName function="false" hidden="false" name="Sal_CS" vbProcedure="false">Assumptions!$C$49</definedName>
    <definedName function="false" hidden="false" name="Sal_Eng" vbProcedure="false">Assumptions!$C$47</definedName>
    <definedName function="false" hidden="false" name="Sal_GA" vbProcedure="false">Assumptions!$C$50</definedName>
    <definedName function="false" hidden="false" name="Sal_SM" vbProcedure="false">Assumptions!$C$48</definedName>
    <definedName function="false" hidden="false" name="SBC_Pct" vbProcedure="false">Assumptions!$C$92</definedName>
    <definedName function="false" hidden="false" name="Seas_Q1" vbProcedure="false">Assumptions!$C$95</definedName>
    <definedName function="false" hidden="false" name="Seas_Q2" vbProcedure="false">Assumptions!$C$96</definedName>
    <definedName function="false" hidden="false" name="Seas_Q3" vbProcedure="false">Assumptions!$C$97</definedName>
    <definedName function="false" hidden="false" name="Seas_Q4" vbProcedure="false">Assumptions!$C$98</definedName>
    <definedName function="false" hidden="false" name="SOFR_Rate" vbProcedure="false">Assumptions!$C$111</definedName>
    <definedName function="false" hidden="false" name="SSP_Take_Rate" vbProcedure="false">Assumptions!$C$30</definedName>
    <definedName function="false" hidden="false" name="Stress_Top_Cust" vbProcedure="false">Assumptions!$C$33</definedName>
    <definedName function="false" hidden="false" name="SW_Life" vbProcedure="false">Assumptions!$C$105</definedName>
    <definedName function="false" hidden="false" name="SW_Opening_Life" vbProcedure="false">Assumptions!$C$106</definedName>
    <definedName function="false" hidden="false" name="SW_Tools_Per_Head" vbProcedure="false">Assumptions!$C$88</definedName>
    <definedName function="false" hidden="false" name="Tax_Rate" vbProcedure="false">Assumptions!$C$118</definedName>
    <definedName function="false" hidden="false" name="Threshold_GM_Max" vbProcedure="false">Assumptions!$C$152</definedName>
    <definedName function="false" hidden="false" name="Threshold_GM_Min" vbProcedure="false">Assumptions!$C$151</definedName>
    <definedName function="false" hidden="false" name="Threshold_LTVCAC" vbProcedure="false">Assumptions!$C$155</definedName>
    <definedName function="false" hidden="false" name="Threshold_NRR_Max" vbProcedure="false">Assumptions!$C$154</definedName>
    <definedName function="false" hidden="false" name="Threshold_NRR_Min" vbProcedure="false">Assumptions!$C$153</definedName>
    <definedName function="false" hidden="false" name="Threshold_RuleOf40" vbProcedure="false">Assumptions!$C$156</definedName>
    <definedName function="false" hidden="false" name="Threshold_Runway" vbProcedure="false">Assumptions!$C$157</definedName>
    <definedName function="false" hidden="false" name="Top5_Advertiser_Conc" vbProcedure="false">Assumptions!$C$31</definedName>
    <definedName function="false" hidden="false" name="Top5_Publisher_Conc" vbProcedure="false">Assumptions!$C$32</definedName>
    <definedName function="false" hidden="false" name="Wage_Inflation" vbProcedure="false">Assumptions!$C$51</definedName>
    <definedName function="false" hidden="false" name="Win_Rate" vbProcedure="false">Assumptions!$C$27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<sst xmlns="http://schemas.openxmlformats.org/spreadsheetml/2006/main" count="593" uniqueCount="519">
  <si>
    <t xml:space="preserve">AdTech / MarTech Platform -- Operating Model v1</t>
  </si>
  <si>
    <t xml:space="preserve">FINAMODEL.com</t>
  </si>
  <si>
    <t xml:space="preserve">Model</t>
  </si>
  <si>
    <t xml:space="preserve">AdTech / MarTech Platform 5-Year Operating Model</t>
  </si>
  <si>
    <t xml:space="preserve">Version</t>
  </si>
  <si>
    <t xml:space="preserve">v2 (2026-05-14)</t>
  </si>
  <si>
    <t xml:space="preserve">Preparer</t>
  </si>
  <si>
    <t xml:space="preserve">Finamodel</t>
  </si>
  <si>
    <t xml:space="preserve">Date Prepared</t>
  </si>
  <si>
    <t xml:space="preserve">15 May 2026</t>
  </si>
  <si>
    <t xml:space="preserve">Status</t>
  </si>
  <si>
    <t xml:space="preserve">For illustrative purposes only.</t>
  </si>
  <si>
    <t xml:space="preserve">Sheet Index</t>
  </si>
  <si>
    <t xml:space="preserve">Assumptions</t>
  </si>
  <si>
    <t xml:space="preserve">All model inputs</t>
  </si>
  <si>
    <t xml:space="preserve">SaaS_Metrics</t>
  </si>
  <si>
    <t xml:space="preserve">ARR waterfall + customer counts</t>
  </si>
  <si>
    <t xml:space="preserve">Ad_Revenue</t>
  </si>
  <si>
    <t xml:space="preserve">DSP / SSP gross + net revenue</t>
  </si>
  <si>
    <t xml:space="preserve">Cohorts</t>
  </si>
  <si>
    <t xml:space="preserve">Vintage retention curves</t>
  </si>
  <si>
    <t xml:space="preserve">Channel_S&amp;M</t>
  </si>
  <si>
    <t xml:space="preserve">Per-channel CAC + S&amp;M productivity</t>
  </si>
  <si>
    <t xml:space="preserve">Staffing</t>
  </si>
  <si>
    <t xml:space="preserve">Headcount + salary build</t>
  </si>
  <si>
    <t xml:space="preserve">Capex_Amort</t>
  </si>
  <si>
    <t xml:space="preserve">Physical + capitalised software</t>
  </si>
  <si>
    <t xml:space="preserve">Income_Statement</t>
  </si>
  <si>
    <t xml:space="preserve">P&amp;L with per-stream gross margin</t>
  </si>
  <si>
    <t xml:space="preserve">Working_Capital</t>
  </si>
  <si>
    <t xml:space="preserve">AR / AP / DR / prepaid / accrued</t>
  </si>
  <si>
    <t xml:space="preserve">Balance_Sheet</t>
  </si>
  <si>
    <t xml:space="preserve">BS with balance check</t>
  </si>
  <si>
    <t xml:space="preserve">Cash_Flow</t>
  </si>
  <si>
    <t xml:space="preserve">CFO / CFI / CFF indirect method</t>
  </si>
  <si>
    <t xml:space="preserve">Monthly_Y1</t>
  </si>
  <si>
    <t xml:space="preserve">Year 1 monthly seasonality view</t>
  </si>
  <si>
    <t xml:space="preserve">Unit_Economics</t>
  </si>
  <si>
    <t xml:space="preserve">CAC / LTV / runway / stress</t>
  </si>
  <si>
    <t xml:space="preserve">Checks</t>
  </si>
  <si>
    <t xml:space="preserve">Integrity checks (PASS / FAIL)</t>
  </si>
  <si>
    <t xml:space="preserve">About this model</t>
  </si>
  <si>
    <t xml:space="preserve">An AdTech revenue model projects multi-stream growth for a programmatic advertising platform by separating advertiser and publisher acquisition, pricing elasticity, churn dynamics, and the margin expansion that comes with network effects and cloud infrastructure scale. The model answers whether an AdTech company can achieve unit economics milestones (LTV/CAC &gt; 3x, CAC payback &lt; 18 months) and when EBITDA breakeven occurs as the platform scales from $20M to $50M+ in annual revenue. Revenue streams include programmatic CPM/CPC/CPA rates by advertiser cohort, subscription fees from publishers, and professional services, each growing at distinct rates as the network matures.
The financial build includes cohort-based customer acquisition and churn modelling for both sides of the marketplace, pricing power assumptions that reflect data moat defensibility, and cost of revenue driven by cloud infrastructure, data licensing, and customer success headcount scaled explicitly by headcount assumption (not as a percentage of revenue). Operating expenses separate into sales and marketing headcount costs, R&amp;D for algorithm and platform improvements, and G&amp;A, with wage inflation and benefits loading applied consistently. The model explicitly tracks unit economics: CAC payback in months, LTV calculated from customer lifetime value net of churn, and Rule of 40 (growth rate plus EBITDA margin) to benchmark against public SaaS peers.
Venture investors, growth equity sponsors, and strategic acquirers use AdTech models to evaluate whether the company can scale sustainably, identify which margin levers (pricing, churn improvement, or infrastructure efficiency) drive profitability, and compare operating metrics to Datadog, Twilio, and other platform benchmarks.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</si>
  <si>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</si>
  <si>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</si>
  <si>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</si>
  <si>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</si>
  <si>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</si>
  <si>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Year 1</t>
  </si>
  <si>
    <t xml:space="preserve">Year 2</t>
  </si>
  <si>
    <t xml:space="preserve">Year 3</t>
  </si>
  <si>
    <t xml:space="preserve">Year 4</t>
  </si>
  <si>
    <t xml:space="preserve">Year 5</t>
  </si>
  <si>
    <t xml:space="preserve">SaaS Revenue</t>
  </si>
  <si>
    <t xml:space="preserve">Opening Customers</t>
  </si>
  <si>
    <t xml:space="preserve">New Logo Customers (per year)</t>
  </si>
  <si>
    <t xml:space="preserve">Customer Churn Rate (annual)</t>
  </si>
  <si>
    <t xml:space="preserve">Monthly ARPA ($)</t>
  </si>
  <si>
    <t xml:space="preserve">ARR Expansion Rate</t>
  </si>
  <si>
    <t xml:space="preserve">ARR Contraction Rate</t>
  </si>
  <si>
    <t xml:space="preserve">ARR Gross Churn Rate</t>
  </si>
  <si>
    <t xml:space="preserve">Cohort Retention Curve</t>
  </si>
  <si>
    <t xml:space="preserve">Cohort Retention M12</t>
  </si>
  <si>
    <t xml:space="preserve">Cohort Retention M24</t>
  </si>
  <si>
    <t xml:space="preserve">Cohort Retention M36</t>
  </si>
  <si>
    <t xml:space="preserve">Cohort Retention M48</t>
  </si>
  <si>
    <t xml:space="preserve">Cohort Retention M60</t>
  </si>
  <si>
    <t xml:space="preserve">Ad Platform Revenue</t>
  </si>
  <si>
    <t xml:space="preserve">Impressions Processed (bn)</t>
  </si>
  <si>
    <t xml:space="preserve">Impressions Scale (per bn)</t>
  </si>
  <si>
    <t xml:space="preserve">Impressions Growth (YoY)</t>
  </si>
  <si>
    <t xml:space="preserve">Bid CPM ($)</t>
  </si>
  <si>
    <t xml:space="preserve">Win Rate</t>
  </si>
  <si>
    <t xml:space="preserve">DSP Spend Share</t>
  </si>
  <si>
    <t xml:space="preserve">DSP Take Rate</t>
  </si>
  <si>
    <t xml:space="preserve">SSP Take Rate</t>
  </si>
  <si>
    <t xml:space="preserve">Top 5 Advertiser Concentration</t>
  </si>
  <si>
    <t xml:space="preserve">Top 5 Publisher Concentration</t>
  </si>
  <si>
    <t xml:space="preserve">Stress Loss Top Customer</t>
  </si>
  <si>
    <t xml:space="preserve">Prof Services (% Rev)</t>
  </si>
  <si>
    <t xml:space="preserve">COGS</t>
  </si>
  <si>
    <t xml:space="preserve">Cloud AdTech (% Ad Rev)</t>
  </si>
  <si>
    <t xml:space="preserve">Cloud SaaS (% SaaS Rev)</t>
  </si>
  <si>
    <t xml:space="preserve">Data Acq (% Ad Rev)</t>
  </si>
  <si>
    <t xml:space="preserve">Payment Processing (% Total Rev)</t>
  </si>
  <si>
    <t xml:space="preserve">Headcount: Engineering</t>
  </si>
  <si>
    <t xml:space="preserve">Headcount: Sales &amp; Marketing</t>
  </si>
  <si>
    <t xml:space="preserve">Headcount: Customer Success</t>
  </si>
  <si>
    <t xml:space="preserve">Headcount: G&amp;A</t>
  </si>
  <si>
    <t xml:space="preserve">Salary: Eng ($)</t>
  </si>
  <si>
    <t xml:space="preserve">Salary: S&amp;M ($)</t>
  </si>
  <si>
    <t xml:space="preserve">Salary: CS ($)</t>
  </si>
  <si>
    <t xml:space="preserve">Salary: G&amp;A ($)</t>
  </si>
  <si>
    <t xml:space="preserve">Annual Wage Inflation</t>
  </si>
  <si>
    <t xml:space="preserve">Benefits &amp; Payroll Loading</t>
  </si>
  <si>
    <t xml:space="preserve">Channel S&amp;M (Y1 spend $)</t>
  </si>
  <si>
    <t xml:space="preserve">Paid Search Spend ($)</t>
  </si>
  <si>
    <t xml:space="preserve">Paid Social Spend ($)</t>
  </si>
  <si>
    <t xml:space="preserve">Content/SEO Spend ($)</t>
  </si>
  <si>
    <t xml:space="preserve">Outbound Spend ($)</t>
  </si>
  <si>
    <t xml:space="preserve">Partnerships Spend ($)</t>
  </si>
  <si>
    <t xml:space="preserve">Events Spend ($)</t>
  </si>
  <si>
    <t xml:space="preserve">Lead-MQL: PS</t>
  </si>
  <si>
    <t xml:space="preserve">MQL-SQL: PS</t>
  </si>
  <si>
    <t xml:space="preserve">SQL-Won: PS</t>
  </si>
  <si>
    <t xml:space="preserve">CPL Paid Search ($)</t>
  </si>
  <si>
    <t xml:space="preserve">Lead-MQL: PSO</t>
  </si>
  <si>
    <t xml:space="preserve">MQL-SQL: PSO</t>
  </si>
  <si>
    <t xml:space="preserve">SQL-Won: PSO</t>
  </si>
  <si>
    <t xml:space="preserve">CPL Paid Social ($)</t>
  </si>
  <si>
    <t xml:space="preserve">Lead-MQL: CT</t>
  </si>
  <si>
    <t xml:space="preserve">MQL-SQL: CT</t>
  </si>
  <si>
    <t xml:space="preserve">SQL-Won: CT</t>
  </si>
  <si>
    <t xml:space="preserve">CPL Content/SEO ($)</t>
  </si>
  <si>
    <t xml:space="preserve">Lead-MQL: OB</t>
  </si>
  <si>
    <t xml:space="preserve">MQL-SQL: OB</t>
  </si>
  <si>
    <t xml:space="preserve">SQL-Won: OB</t>
  </si>
  <si>
    <t xml:space="preserve">CPL Outbound ($)</t>
  </si>
  <si>
    <t xml:space="preserve">Lead-MQL: PT</t>
  </si>
  <si>
    <t xml:space="preserve">MQL-SQL: PT</t>
  </si>
  <si>
    <t xml:space="preserve">SQL-Won: PT</t>
  </si>
  <si>
    <t xml:space="preserve">CPL Partnerships ($)</t>
  </si>
  <si>
    <t xml:space="preserve">Lead-MQL: EV</t>
  </si>
  <si>
    <t xml:space="preserve">MQL-SQL: EV</t>
  </si>
  <si>
    <t xml:space="preserve">SQL-Won: EV</t>
  </si>
  <si>
    <t xml:space="preserve">CPL Events ($)</t>
  </si>
  <si>
    <t xml:space="preserve">Channel Spend Growth (annual)</t>
  </si>
  <si>
    <t xml:space="preserve">Non-Headcount OpEx</t>
  </si>
  <si>
    <t xml:space="preserve">Software &amp; Tools ($/head/yr)</t>
  </si>
  <si>
    <t xml:space="preserve">Rent &amp; Facilities ($)</t>
  </si>
  <si>
    <t xml:space="preserve">Rent Annual Growth</t>
  </si>
  <si>
    <t xml:space="preserve">Insurance &amp; Compliance (% Rev)</t>
  </si>
  <si>
    <t xml:space="preserve">Stock-Based Compensation (% Rev)</t>
  </si>
  <si>
    <t xml:space="preserve">Y1 Seasonality</t>
  </si>
  <si>
    <t xml:space="preserve">Seasonality Q1 (ad spend)</t>
  </si>
  <si>
    <t xml:space="preserve">Seasonality Q2 (ad spend)</t>
  </si>
  <si>
    <t xml:space="preserve">Seasonality Q3 (ad spend)</t>
  </si>
  <si>
    <t xml:space="preserve">Seasonality Q4 (ad spend)</t>
  </si>
  <si>
    <t xml:space="preserve">Capex &amp; Amortisation</t>
  </si>
  <si>
    <t xml:space="preserve">Physical Capex ($)</t>
  </si>
  <si>
    <t xml:space="preserve">Capex Annual Growth</t>
  </si>
  <si>
    <t xml:space="preserve">Physical Asset Life (yrs)</t>
  </si>
  <si>
    <t xml:space="preserve">R&amp;D Capitalisation Rate</t>
  </si>
  <si>
    <t xml:space="preserve">Capitalised Software Life (yrs)</t>
  </si>
  <si>
    <t xml:space="preserve">Opening SW Life (yrs)</t>
  </si>
  <si>
    <t xml:space="preserve">Debt &amp; Interest</t>
  </si>
  <si>
    <t xml:space="preserve">Opening Term Loan Balance ($)</t>
  </si>
  <si>
    <t xml:space="preserve">Loan Term (yrs)</t>
  </si>
  <si>
    <t xml:space="preserve">SOFR Rate</t>
  </si>
  <si>
    <t xml:space="preserve">Borrowing Spread</t>
  </si>
  <si>
    <t xml:space="preserve">Equity Raises</t>
  </si>
  <si>
    <t xml:space="preserve">Equity Raise ($)</t>
  </si>
  <si>
    <t xml:space="preserve">Tax</t>
  </si>
  <si>
    <t xml:space="preserve">Corporate Tax Rate</t>
  </si>
  <si>
    <t xml:space="preserve">R&amp;D Tax Credit Rate</t>
  </si>
  <si>
    <t xml:space="preserve">R&amp;D Qualifying %</t>
  </si>
  <si>
    <t xml:space="preserve">Opening NOL ($)</t>
  </si>
  <si>
    <t xml:space="preserve">Working Capital</t>
  </si>
  <si>
    <t xml:space="preserve">DSO AdTech (days)</t>
  </si>
  <si>
    <t xml:space="preserve">DSO SaaS (days)</t>
  </si>
  <si>
    <t xml:space="preserve">DPO Publishers (days)</t>
  </si>
  <si>
    <t xml:space="preserve">DPO Operating (days)</t>
  </si>
  <si>
    <t xml:space="preserve">Prepaid Days (Total Rev)</t>
  </si>
  <si>
    <t xml:space="preserve">Accrued Days (OpEx ex-payroll)</t>
  </si>
  <si>
    <t xml:space="preserve">Opening Balance Sheet</t>
  </si>
  <si>
    <t xml:space="preserve">Opening Cash ($)</t>
  </si>
  <si>
    <t xml:space="preserve">Opening Accounts Receivable</t>
  </si>
  <si>
    <t xml:space="preserve">Opening Prepaid Expenses</t>
  </si>
  <si>
    <t xml:space="preserve">Opening Capitalised Software (Net)</t>
  </si>
  <si>
    <t xml:space="preserve">Opening PP&amp;E (Net)</t>
  </si>
  <si>
    <t xml:space="preserve">Opening Other Non-Current Assets</t>
  </si>
  <si>
    <t xml:space="preserve">Opening Total Assets</t>
  </si>
  <si>
    <t xml:space="preserve">Opening Accounts Payable</t>
  </si>
  <si>
    <t xml:space="preserve">Opening Deferred Revenue</t>
  </si>
  <si>
    <t xml:space="preserve">Opening Accrued Expenses</t>
  </si>
  <si>
    <t xml:space="preserve">Opening Debt (Current Portion)</t>
  </si>
  <si>
    <t xml:space="preserve">Opening Debt (Non-Current)</t>
  </si>
  <si>
    <t xml:space="preserve">Opening Total Liabilities</t>
  </si>
  <si>
    <t xml:space="preserve">Opening Share Capital</t>
  </si>
  <si>
    <t xml:space="preserve">Opening Retained Earnings (derived)</t>
  </si>
  <si>
    <t xml:space="preserve">Opening Total Equity</t>
  </si>
  <si>
    <t xml:space="preserve">Opening BS Check</t>
  </si>
  <si>
    <t xml:space="preserve">Check Thresholds</t>
  </si>
  <si>
    <t xml:space="preserve">Min Gross Margin</t>
  </si>
  <si>
    <t xml:space="preserve">Max Gross Margin</t>
  </si>
  <si>
    <t xml:space="preserve">Min NRR</t>
  </si>
  <si>
    <t xml:space="preserve">Max NRR</t>
  </si>
  <si>
    <t xml:space="preserve">Min LTV/CAC</t>
  </si>
  <si>
    <t xml:space="preserve">Min Rule of 40 (Y3+)</t>
  </si>
  <si>
    <t xml:space="preserve">Min Months of Runway</t>
  </si>
  <si>
    <t xml:space="preserve">Runway Cap (when cash positive)</t>
  </si>
  <si>
    <t xml:space="preserve">Cohort Reconcile Tolerance</t>
  </si>
  <si>
    <t xml:space="preserve">SaaS Metrics &amp; ARR Waterfall</t>
  </si>
  <si>
    <t xml:space="preserve">Customers, ARR, retention</t>
  </si>
  <si>
    <t xml:space="preserve">Customer Counts</t>
  </si>
  <si>
    <t xml:space="preserve">New Logo Customers</t>
  </si>
  <si>
    <t xml:space="preserve">Churned Customers</t>
  </si>
  <si>
    <t xml:space="preserve">Closing Customers</t>
  </si>
  <si>
    <t xml:space="preserve">ARR Waterfall ($)</t>
  </si>
  <si>
    <t xml:space="preserve">Opening ARR</t>
  </si>
  <si>
    <t xml:space="preserve">  New ARR</t>
  </si>
  <si>
    <t xml:space="preserve">  Expansion ARR</t>
  </si>
  <si>
    <t xml:space="preserve">  Contraction ARR</t>
  </si>
  <si>
    <t xml:space="preserve">  Churned ARR</t>
  </si>
  <si>
    <t xml:space="preserve">Net New ARR</t>
  </si>
  <si>
    <t xml:space="preserve">Closing ARR</t>
  </si>
  <si>
    <t xml:space="preserve">Recognised SaaS Revenue</t>
  </si>
  <si>
    <t xml:space="preserve">SaaS Revenue (mid-yr avg)</t>
  </si>
  <si>
    <t xml:space="preserve">Retention Metrics</t>
  </si>
  <si>
    <t xml:space="preserve">Net Revenue Retention (NRR)</t>
  </si>
  <si>
    <t xml:space="preserve">Gross Revenue Retention (GRR)</t>
  </si>
  <si>
    <t xml:space="preserve">DSP / SSP split</t>
  </si>
  <si>
    <t xml:space="preserve">Inventory Driver Chain</t>
  </si>
  <si>
    <t xml:space="preserve">Impressions (bn)</t>
  </si>
  <si>
    <t xml:space="preserve">Gross Ad Spend Processed</t>
  </si>
  <si>
    <t xml:space="preserve">DSP / SSP Split</t>
  </si>
  <si>
    <t xml:space="preserve">DSP Share of Gross Spend</t>
  </si>
  <si>
    <t xml:space="preserve">  DSP Gross Spend</t>
  </si>
  <si>
    <t xml:space="preserve">  Net DSP Revenue</t>
  </si>
  <si>
    <t xml:space="preserve">  SSP Gross Spend</t>
  </si>
  <si>
    <t xml:space="preserve">  Net SSP Revenue</t>
  </si>
  <si>
    <t xml:space="preserve">  Implicit Publisher Payout (SSP)</t>
  </si>
  <si>
    <t xml:space="preserve">Net Ad Revenue</t>
  </si>
  <si>
    <t xml:space="preserve">Total Revenue Build</t>
  </si>
  <si>
    <t xml:space="preserve">  SaaS Revenue</t>
  </si>
  <si>
    <t xml:space="preserve">  Net Ad Revenue</t>
  </si>
  <si>
    <t xml:space="preserve">Core Revenue</t>
  </si>
  <si>
    <t xml:space="preserve">  Professional Services</t>
  </si>
  <si>
    <t xml:space="preserve">Total Revenue</t>
  </si>
  <si>
    <t xml:space="preserve">Revenue YoY Growth</t>
  </si>
  <si>
    <t xml:space="preserve">Vintage Cohort Retention</t>
  </si>
  <si>
    <t xml:space="preserve">ARR retained by age</t>
  </si>
  <si>
    <t xml:space="preserve">M0</t>
  </si>
  <si>
    <t xml:space="preserve">M12</t>
  </si>
  <si>
    <t xml:space="preserve">M24</t>
  </si>
  <si>
    <t xml:space="preserve">M36</t>
  </si>
  <si>
    <t xml:space="preserve">M48</t>
  </si>
  <si>
    <t xml:space="preserve">M60</t>
  </si>
  <si>
    <t xml:space="preserve">Opening Vintage</t>
  </si>
  <si>
    <t xml:space="preserve">New Y1 Vintage</t>
  </si>
  <si>
    <t xml:space="preserve">New Y2 Vintage</t>
  </si>
  <si>
    <t xml:space="preserve">New Y3 Vintage</t>
  </si>
  <si>
    <t xml:space="preserve">New Y4 Vintage</t>
  </si>
  <si>
    <t xml:space="preserve">New Y5 Vintage</t>
  </si>
  <si>
    <t xml:space="preserve">Total ARR by Age</t>
  </si>
  <si>
    <t xml:space="preserve">Reconciliation vs SaaS Closing ARR</t>
  </si>
  <si>
    <t xml:space="preserve">Y1 Vintage-Implied Closing ARR</t>
  </si>
  <si>
    <t xml:space="preserve">Y2 Vintage-Implied Closing ARR</t>
  </si>
  <si>
    <t xml:space="preserve">Y3 Vintage-Implied Closing ARR</t>
  </si>
  <si>
    <t xml:space="preserve">Y4 Vintage-Implied Closing ARR</t>
  </si>
  <si>
    <t xml:space="preserve">Y5 Vintage-Implied Closing ARR</t>
  </si>
  <si>
    <t xml:space="preserve">Channel S&amp;M Productivity</t>
  </si>
  <si>
    <t xml:space="preserve">Per-channel spend, conversion, CAC</t>
  </si>
  <si>
    <t xml:space="preserve">Spend</t>
  </si>
  <si>
    <t xml:space="preserve">Leads</t>
  </si>
  <si>
    <t xml:space="preserve">MQLs</t>
  </si>
  <si>
    <t xml:space="preserve">SQLs</t>
  </si>
  <si>
    <t xml:space="preserve">Won</t>
  </si>
  <si>
    <t xml:space="preserve">CAC</t>
  </si>
  <si>
    <t xml:space="preserve">Funnel Won</t>
  </si>
  <si>
    <t xml:space="preserve">Paid Search</t>
  </si>
  <si>
    <t xml:space="preserve">Paid Social</t>
  </si>
  <si>
    <t xml:space="preserve">Content / SEO</t>
  </si>
  <si>
    <t xml:space="preserve">Outbound</t>
  </si>
  <si>
    <t xml:space="preserve">Partnerships</t>
  </si>
  <si>
    <t xml:space="preserve">Events</t>
  </si>
  <si>
    <t xml:space="preserve">Total Y1</t>
  </si>
  <si>
    <t xml:space="preserve">Total Channel Spend by Year</t>
  </si>
  <si>
    <t xml:space="preserve">Total Channel Spend</t>
  </si>
  <si>
    <t xml:space="preserve">Total Channel Customers Won</t>
  </si>
  <si>
    <t xml:space="preserve">Diff vs SaaS_Metrics New Logos</t>
  </si>
  <si>
    <t xml:space="preserve">Blended CAC by Year</t>
  </si>
  <si>
    <t xml:space="preserve">Staffing Schedule</t>
  </si>
  <si>
    <t xml:space="preserve">Headcount, salary, total people cost</t>
  </si>
  <si>
    <t xml:space="preserve">Headcount by Department</t>
  </si>
  <si>
    <t xml:space="preserve">  Engineering</t>
  </si>
  <si>
    <t xml:space="preserve">  Sales &amp; Marketing</t>
  </si>
  <si>
    <t xml:space="preserve">  Customer Success</t>
  </si>
  <si>
    <t xml:space="preserve">  G&amp;A</t>
  </si>
  <si>
    <t xml:space="preserve">Total Headcount</t>
  </si>
  <si>
    <t xml:space="preserve">Salary per Head (with inflation)</t>
  </si>
  <si>
    <t xml:space="preserve">  Engineering Salary</t>
  </si>
  <si>
    <t xml:space="preserve">  S&amp;M Salary</t>
  </si>
  <si>
    <t xml:space="preserve">  CS Salary</t>
  </si>
  <si>
    <t xml:space="preserve">  G&amp;A Salary</t>
  </si>
  <si>
    <t xml:space="preserve">Total People Cost (incl. benefits)</t>
  </si>
  <si>
    <t xml:space="preserve">  Engineering Cost</t>
  </si>
  <si>
    <t xml:space="preserve">  S&amp;M Cost</t>
  </si>
  <si>
    <t xml:space="preserve">  CS Cost</t>
  </si>
  <si>
    <t xml:space="preserve">  G&amp;A Cost</t>
  </si>
  <si>
    <t xml:space="preserve">Total People Cost</t>
  </si>
  <si>
    <t xml:space="preserve">Physical + vintage-year capitalised software</t>
  </si>
  <si>
    <t xml:space="preserve">Physical Capex</t>
  </si>
  <si>
    <t xml:space="preserve">  Depreciation: Opening PPE</t>
  </si>
  <si>
    <t xml:space="preserve">  Depreciation: New Capex</t>
  </si>
  <si>
    <t xml:space="preserve">Total Depreciation</t>
  </si>
  <si>
    <t xml:space="preserve">Net PP&amp;E</t>
  </si>
  <si>
    <t xml:space="preserve">Capitalised Software (vintage schedule)</t>
  </si>
  <si>
    <t xml:space="preserve">Total R&amp;D Salary Cost</t>
  </si>
  <si>
    <t xml:space="preserve">Capitalised Software Spend</t>
  </si>
  <si>
    <t xml:space="preserve">  Amort: Opening Vintage</t>
  </si>
  <si>
    <t xml:space="preserve">  Amort: Y1 Vintage</t>
  </si>
  <si>
    <t xml:space="preserve">  Amort: Y2 Vintage</t>
  </si>
  <si>
    <t xml:space="preserve">  Amort: Y3 Vintage</t>
  </si>
  <si>
    <t xml:space="preserve">  Amort: Y4 Vintage</t>
  </si>
  <si>
    <t xml:space="preserve">  Amort: Y5 Vintage</t>
  </si>
  <si>
    <t xml:space="preserve">Total Amortisation</t>
  </si>
  <si>
    <t xml:space="preserve">Net Capitalised Software</t>
  </si>
  <si>
    <t xml:space="preserve">Totals</t>
  </si>
  <si>
    <t xml:space="preserve">Total Capex</t>
  </si>
  <si>
    <t xml:space="preserve">Total D&amp;A</t>
  </si>
  <si>
    <t xml:space="preserve">Income Statement</t>
  </si>
  <si>
    <t xml:space="preserve">Per-stream GP, EBITDA, NI</t>
  </si>
  <si>
    <t xml:space="preserve">Revenue</t>
  </si>
  <si>
    <t xml:space="preserve">Cost of Revenue</t>
  </si>
  <si>
    <t xml:space="preserve">  Cloud Hosting (AdTech)</t>
  </si>
  <si>
    <t xml:space="preserve">  Cloud Hosting (SaaS)</t>
  </si>
  <si>
    <t xml:space="preserve">  Data Acquisition</t>
  </si>
  <si>
    <t xml:space="preserve">  Customer Success (people)</t>
  </si>
  <si>
    <t xml:space="preserve">  Payment Processing</t>
  </si>
  <si>
    <t xml:space="preserve">Total COGS</t>
  </si>
  <si>
    <t xml:space="preserve">Gross Profit</t>
  </si>
  <si>
    <t xml:space="preserve">Gross Margin (blended)</t>
  </si>
  <si>
    <t xml:space="preserve">  Gross Margin (SaaS only)</t>
  </si>
  <si>
    <t xml:space="preserve">  Gross Margin (AdTech only)</t>
  </si>
  <si>
    <t xml:space="preserve">Operating Expenses</t>
  </si>
  <si>
    <t xml:space="preserve">  S&amp;M People Cost</t>
  </si>
  <si>
    <t xml:space="preserve">  Marketing Programs</t>
  </si>
  <si>
    <t xml:space="preserve">  R&amp;D People Cost</t>
  </si>
  <si>
    <t xml:space="preserve">  Less: Capitalised R&amp;D</t>
  </si>
  <si>
    <t xml:space="preserve">  G&amp;A People Cost</t>
  </si>
  <si>
    <t xml:space="preserve">  Software &amp; Tools</t>
  </si>
  <si>
    <t xml:space="preserve">  Rent &amp; Facilities</t>
  </si>
  <si>
    <t xml:space="preserve">  Insurance &amp; Compliance</t>
  </si>
  <si>
    <t xml:space="preserve">  Stock-Based Compensation</t>
  </si>
  <si>
    <t xml:space="preserve">Total Operating Expenses</t>
  </si>
  <si>
    <t xml:space="preserve">EBITDA</t>
  </si>
  <si>
    <t xml:space="preserve">EBITDA Margin</t>
  </si>
  <si>
    <t xml:space="preserve">Depreciation &amp; Amortisation</t>
  </si>
  <si>
    <t xml:space="preserve">EBIT</t>
  </si>
  <si>
    <t xml:space="preserve">Below the Line</t>
  </si>
  <si>
    <t xml:space="preserve">Debt Opening Balance</t>
  </si>
  <si>
    <t xml:space="preserve">Principal Repayment</t>
  </si>
  <si>
    <t xml:space="preserve">Debt Closing Balance</t>
  </si>
  <si>
    <t xml:space="preserve">Interest Expense</t>
  </si>
  <si>
    <t xml:space="preserve">Interest Income</t>
  </si>
  <si>
    <t xml:space="preserve">Earnings Before Tax</t>
  </si>
  <si>
    <t xml:space="preserve">  NOL Brought Forward</t>
  </si>
  <si>
    <t xml:space="preserve">  NOL Used</t>
  </si>
  <si>
    <t xml:space="preserve">  Adjusted Taxable Income</t>
  </si>
  <si>
    <t xml:space="preserve">  Tax Before Credits</t>
  </si>
  <si>
    <t xml:space="preserve">  R&amp;D Tax Credit</t>
  </si>
  <si>
    <t xml:space="preserve">  Income Tax</t>
  </si>
  <si>
    <t xml:space="preserve">  NOL Generated</t>
  </si>
  <si>
    <t xml:space="preserve">  NOL Carried Forward</t>
  </si>
  <si>
    <t xml:space="preserve">Net Income</t>
  </si>
  <si>
    <t xml:space="preserve">Working Capital Schedule</t>
  </si>
  <si>
    <t xml:space="preserve">AR, AP, DR, prepaid</t>
  </si>
  <si>
    <t xml:space="preserve">Accounts Receivable (Split)</t>
  </si>
  <si>
    <t xml:space="preserve">  Closing AR (AdTech)</t>
  </si>
  <si>
    <t xml:space="preserve">  Closing AR (SaaS+ProServ)</t>
  </si>
  <si>
    <t xml:space="preserve">Closing AR (Total)</t>
  </si>
  <si>
    <t xml:space="preserve">Opening AR</t>
  </si>
  <si>
    <t xml:space="preserve">Change in AR</t>
  </si>
  <si>
    <t xml:space="preserve">Accounts Payable (Split)</t>
  </si>
  <si>
    <t xml:space="preserve">  AP Base: Publisher Payouts</t>
  </si>
  <si>
    <t xml:space="preserve">  Closing AP (Publishers)</t>
  </si>
  <si>
    <t xml:space="preserve">  AP Base: Operating</t>
  </si>
  <si>
    <t xml:space="preserve">  Closing AP (Operating)</t>
  </si>
  <si>
    <t xml:space="preserve">Closing AP (Total)</t>
  </si>
  <si>
    <t xml:space="preserve">Opening AP</t>
  </si>
  <si>
    <t xml:space="preserve">Change in AP</t>
  </si>
  <si>
    <t xml:space="preserve">Deferred Revenue</t>
  </si>
  <si>
    <t xml:space="preserve">  New Billings</t>
  </si>
  <si>
    <t xml:space="preserve">Closing Deferred Revenue</t>
  </si>
  <si>
    <t xml:space="preserve">Change in Deferred Revenue</t>
  </si>
  <si>
    <t xml:space="preserve">Prepaid Expenses</t>
  </si>
  <si>
    <t xml:space="preserve">Opening Prepaid</t>
  </si>
  <si>
    <t xml:space="preserve">Closing Prepaid</t>
  </si>
  <si>
    <t xml:space="preserve">Change in Prepaid</t>
  </si>
  <si>
    <t xml:space="preserve">Accrued Expenses</t>
  </si>
  <si>
    <t xml:space="preserve">Opening Accrued</t>
  </si>
  <si>
    <t xml:space="preserve">Closing Accrued</t>
  </si>
  <si>
    <t xml:space="preserve">Change in Accrued</t>
  </si>
  <si>
    <t xml:space="preserve">Total Working Capital Change</t>
  </si>
  <si>
    <t xml:space="preserve">Cash Flow Statement</t>
  </si>
  <si>
    <t xml:space="preserve">Indirect method</t>
  </si>
  <si>
    <t xml:space="preserve">Operating Activities</t>
  </si>
  <si>
    <t xml:space="preserve">  Net Income</t>
  </si>
  <si>
    <t xml:space="preserve">  Add: D&amp;A</t>
  </si>
  <si>
    <t xml:space="preserve">  Add: SBC</t>
  </si>
  <si>
    <t xml:space="preserve">  Working Capital Changes</t>
  </si>
  <si>
    <t xml:space="preserve">Cash from Operations</t>
  </si>
  <si>
    <t xml:space="preserve">Investing Activities</t>
  </si>
  <si>
    <t xml:space="preserve">  Capital Expenditure</t>
  </si>
  <si>
    <t xml:space="preserve">Cash from Investing</t>
  </si>
  <si>
    <t xml:space="preserve">Financing Activities</t>
  </si>
  <si>
    <t xml:space="preserve">  Debt Principal Repayment</t>
  </si>
  <si>
    <t xml:space="preserve">  Proceeds from Equity Issuance</t>
  </si>
  <si>
    <t xml:space="preserve">Cash from Financing</t>
  </si>
  <si>
    <t xml:space="preserve">Net Change in Cash</t>
  </si>
  <si>
    <t xml:space="preserve">Opening Cash</t>
  </si>
  <si>
    <t xml:space="preserve">Closing Cash</t>
  </si>
  <si>
    <t xml:space="preserve">Balance Sheet</t>
  </si>
  <si>
    <t xml:space="preserve">Assets / Liabilities / Equity</t>
  </si>
  <si>
    <t xml:space="preserve">Current Assets</t>
  </si>
  <si>
    <t xml:space="preserve">  Cash &amp; Cash Equivalents</t>
  </si>
  <si>
    <t xml:space="preserve">  Accounts Receivable</t>
  </si>
  <si>
    <t xml:space="preserve">  Prepaid Expenses</t>
  </si>
  <si>
    <t xml:space="preserve">Total Current Assets</t>
  </si>
  <si>
    <t xml:space="preserve">Non-Current Assets</t>
  </si>
  <si>
    <t xml:space="preserve">  PP&amp;E (Net)</t>
  </si>
  <si>
    <t xml:space="preserve">  Capitalised Software (Net)</t>
  </si>
  <si>
    <t xml:space="preserve">  Other Non-Current Assets</t>
  </si>
  <si>
    <t xml:space="preserve">Total Non-Current Assets</t>
  </si>
  <si>
    <t xml:space="preserve">TOTAL ASSETS</t>
  </si>
  <si>
    <t xml:space="preserve">Current Liabilities</t>
  </si>
  <si>
    <t xml:space="preserve">  Accounts Payable</t>
  </si>
  <si>
    <t xml:space="preserve">  Deferred Revenue</t>
  </si>
  <si>
    <t xml:space="preserve">  Accrued Expenses</t>
  </si>
  <si>
    <t xml:space="preserve">  Current Portion of Debt</t>
  </si>
  <si>
    <t xml:space="preserve">Total Current Liabilities</t>
  </si>
  <si>
    <t xml:space="preserve">Non-Current Liabilities</t>
  </si>
  <si>
    <t xml:space="preserve">  Term Loan (Non-Current)</t>
  </si>
  <si>
    <t xml:space="preserve">Total Non-Current Liabilities</t>
  </si>
  <si>
    <t xml:space="preserve">TOTAL LIABILITIES</t>
  </si>
  <si>
    <t xml:space="preserve">Shareholders' Equity</t>
  </si>
  <si>
    <t xml:space="preserve">  Share Capital (incl. APIC)</t>
  </si>
  <si>
    <t xml:space="preserve">  Retained Earnings</t>
  </si>
  <si>
    <t xml:space="preserve">TOTAL EQUITY</t>
  </si>
  <si>
    <t xml:space="preserve">TOTAL LIABILITIES + EQUITY</t>
  </si>
  <si>
    <t xml:space="preserve">Balance Check (Assets - L&amp;E)</t>
  </si>
  <si>
    <t xml:space="preserve">Year 1 Monthly View</t>
  </si>
  <si>
    <t xml:space="preserve">Seasonality applied to annuals</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</si>
  <si>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</si>
  <si>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</si>
  <si>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</si>
  <si>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</si>
  <si>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</si>
  <si>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</si>
  <si>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</si>
  <si>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</si>
  <si>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</si>
  <si>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</si>
  <si>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</si>
  <si>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</si>
  <si>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Y1 Annual</t>
  </si>
  <si>
    <t xml:space="preserve">Monthly Weights</t>
  </si>
  <si>
    <t xml:space="preserve">Ad Weight</t>
  </si>
  <si>
    <t xml:space="preserve">SaaS Weight (flat)</t>
  </si>
  <si>
    <t xml:space="preserve">OpEx Weight (flat)</t>
  </si>
  <si>
    <t xml:space="preserve">SaaS + ProServ Revenue</t>
  </si>
  <si>
    <t xml:space="preserve">Costs &amp; EBITDA</t>
  </si>
  <si>
    <t xml:space="preserve">Total OpEx</t>
  </si>
  <si>
    <t xml:space="preserve">Monthly EBITDA</t>
  </si>
  <si>
    <t xml:space="preserve">Cash Trough View</t>
  </si>
  <si>
    <t xml:space="preserve">Monthly Cash Proxy</t>
  </si>
  <si>
    <t xml:space="preserve">Cumulative Cash</t>
  </si>
  <si>
    <t xml:space="preserve">Unit Economics</t>
  </si>
  <si>
    <t xml:space="preserve">CAC, LTV, runway, stress</t>
  </si>
  <si>
    <t xml:space="preserve">CAC / LTV</t>
  </si>
  <si>
    <t xml:space="preserve">Total S&amp;M Cost</t>
  </si>
  <si>
    <t xml:space="preserve">Customer Acquisition Cost</t>
  </si>
  <si>
    <t xml:space="preserve">Monthly ARPA</t>
  </si>
  <si>
    <t xml:space="preserve">Annual ARPA</t>
  </si>
  <si>
    <t xml:space="preserve">Annual Gross Churn</t>
  </si>
  <si>
    <t xml:space="preserve">Customer LTV</t>
  </si>
  <si>
    <t xml:space="preserve">LTV / CAC</t>
  </si>
  <si>
    <t xml:space="preserve">CAC Payback (months)</t>
  </si>
  <si>
    <t xml:space="preserve">Retention</t>
  </si>
  <si>
    <t xml:space="preserve">Net Revenue Retention</t>
  </si>
  <si>
    <t xml:space="preserve">Gross Revenue Retention</t>
  </si>
  <si>
    <t xml:space="preserve">Growth &amp; Efficiency</t>
  </si>
  <si>
    <t xml:space="preserve">Rule of 40</t>
  </si>
  <si>
    <t xml:space="preserve">Free Cash Flow</t>
  </si>
  <si>
    <t xml:space="preserve">FCF Margin</t>
  </si>
  <si>
    <t xml:space="preserve">Cash &amp; Concentration</t>
  </si>
  <si>
    <t xml:space="preserve">Months of Runway</t>
  </si>
  <si>
    <t xml:space="preserve">Revenue if Top Customer Churns</t>
  </si>
  <si>
    <t xml:space="preserve">Top 5 Advertiser Revenue (concentration)</t>
  </si>
  <si>
    <t xml:space="preserve">Top 5 Publisher Payout (concentration)</t>
  </si>
  <si>
    <t xml:space="preserve">Model Checks</t>
  </si>
  <si>
    <t xml:space="preserve">PASS / FAIL integrity tests</t>
  </si>
  <si>
    <t xml:space="preserve">All Years</t>
  </si>
  <si>
    <t xml:space="preserve">BS Balance</t>
  </si>
  <si>
    <t xml:space="preserve">Gross Margin &gt;= Min</t>
  </si>
  <si>
    <t xml:space="preserve">Gross Margin &lt;= Max</t>
  </si>
  <si>
    <t xml:space="preserve">NRR &gt;= Min</t>
  </si>
  <si>
    <t xml:space="preserve">NRR &lt;= Max</t>
  </si>
  <si>
    <t xml:space="preserve">Cash Positive</t>
  </si>
  <si>
    <t xml:space="preserve">Headcount Reconciliation</t>
  </si>
  <si>
    <t xml:space="preserve">Debt Amortisation</t>
  </si>
  <si>
    <t xml:space="preserve">Rule of 40 (Y3+)</t>
  </si>
  <si>
    <t xml:space="preserve">LTV/CAC &gt;= Threshold (Y3+)</t>
  </si>
  <si>
    <t xml:space="preserve">Net Cap SW &gt; 0</t>
  </si>
  <si>
    <t xml:space="preserve">Months of Runway &gt;= Min</t>
  </si>
  <si>
    <t xml:space="preserve">Cohorts Reconcile to SaaS ARR</t>
  </si>
  <si>
    <t xml:space="preserve">Stress Revenue &gt; 0</t>
  </si>
  <si>
    <t xml:space="preserve">Channel Won = SaaS Logos</t>
  </si>
  <si>
    <t xml:space="preserve">Monthly Y1 EBITDA = Annual</t>
  </si>
  <si>
    <t xml:space="preserve">Opening BS Balances</t>
  </si>
  <si>
    <t xml:space="preserve">Opening Debt Split Reconciles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</si>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</sst>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9">
    <numFmt numFmtId="164" formatCode="General"/>
    <numFmt numFmtId="165" formatCode="#,##0"/>
    <numFmt numFmtId="166" formatCode="0.0%"/>
    <numFmt numFmtId="167" formatCode="\$#,##0"/>
    <numFmt numFmtId="168" formatCode="\$#,##0.00"/>
    <numFmt numFmtId="169" formatCode="0.00"/>
    <numFmt numFmtId="170" formatCode="0.00\x"/>
    <numFmt numFmtId="171" formatCode="#,##0.0"/>
    <numFmt numFmtId="172" formatCode="&quot;PASS&quot;;&quot;FAIL&quot;;&quot;FAIL&quot;;&quot;FAIL&quot;"/>
  </numFmts>
  <fonts count="30">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sz val="11"/>
      <color theme="1"/>
      <name val="Arial"/>
      <family val="0"/>
      <charset val="1"/>
    </font>
    <font>
      <b val="true"/>
      <sz val="10"/>
      <name val="Arial"/>
      <family val="0"/>
      <charset val="1"/>
    </font>
    <font>
      <sz val="10"/>
      <name val="Arial"/>
      <family val="0"/>
      <charset val="1"/>
    </font>
    <font>
      <i val="true"/>
      <sz val="10"/>
      <color rgb="FF595959"/>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i val="true"/>
      <sz val="10"/>
      <color theme="0"/>
      <name val="Arial"/>
      <family val="0"/>
      <charset val="1"/>
    </font>
    <font>
      <b val="true"/>
      <sz val="10"/>
      <color theme="0"/>
      <name val="Arial"/>
      <family val="0"/>
      <charset val="1"/>
    </font>
    <font>
      <b val="true"/>
      <sz val="10"/>
      <color rgb="FF000000"/>
      <name val="Arial"/>
      <family val="0"/>
      <charset val="1"/>
    </font>
    <font>
      <sz val="10"/>
      <color rgb="FF0070C0"/>
      <name val="Arial"/>
      <family val="0"/>
      <charset val="1"/>
    </font>
    <font>
      <sz val="10"/>
      <color rgb="FF000000"/>
      <name val="Arial"/>
      <family val="0"/>
      <charset val="1"/>
    </font>
    <font>
      <sz val="10"/>
      <color rgb="FF00B050"/>
      <name val="Arial"/>
      <family val="0"/>
      <charset val="1"/>
    </font>
    <font>
      <b val="true"/>
      <sz val="10"/>
      <color rgb="FF9C0006"/>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D9D9D9"/>
        <bgColor rgb="FFD6E4F0"/>
      </patternFill>
    </fill>
    <fill>
      <patternFill patternType="solid">
        <fgColor rgb="FFD6E4F0"/>
        <bgColor rgb="FFD9D9D9"/>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4" borderId="0" xfId="0" applyFont="true" applyBorder="false" applyAlignment="true" applyProtection="false">
      <alignment horizontal="left" vertical="center" textRotation="0" wrapText="false" indent="0" shrinkToFit="false"/>
      <protection locked="true" hidden="false"/>
    </xf>
    <xf numFmtId="164" fontId="13" fillId="4"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left" vertical="center" textRotation="0" wrapText="false" indent="0" shrinkToFit="false"/>
      <protection locked="true" hidden="false"/>
    </xf>
    <xf numFmtId="164" fontId="18" fillId="2" borderId="0" xfId="0" applyFont="true" applyBorder="false" applyAlignment="true" applyProtection="false">
      <alignment horizontal="center" vertical="center" textRotation="0" wrapText="false" indent="0" shrinkToFit="false"/>
      <protection locked="true" hidden="false"/>
    </xf>
    <xf numFmtId="164" fontId="19"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5" fontId="20" fillId="5" borderId="0" xfId="0" applyFont="true" applyBorder="false" applyAlignment="true" applyProtection="false">
      <alignment horizontal="right" vertical="center" textRotation="0" wrapText="false" indent="0" shrinkToFit="false"/>
      <protection locked="true" hidden="false"/>
    </xf>
    <xf numFmtId="166" fontId="20" fillId="5" borderId="0" xfId="0" applyFont="true" applyBorder="false" applyAlignment="true" applyProtection="false">
      <alignment horizontal="right" vertical="center" textRotation="0" wrapText="false" indent="0" shrinkToFit="false"/>
      <protection locked="true" hidden="false"/>
    </xf>
    <xf numFmtId="167" fontId="20" fillId="5" borderId="0" xfId="0" applyFont="true" applyBorder="false" applyAlignment="true" applyProtection="false">
      <alignment horizontal="right" vertical="center" textRotation="0" wrapText="false" indent="0" shrinkToFit="false"/>
      <protection locked="true" hidden="false"/>
    </xf>
    <xf numFmtId="168" fontId="20" fillId="5" borderId="0" xfId="0" applyFont="true" applyBorder="false" applyAlignment="true" applyProtection="false">
      <alignment horizontal="right" vertical="center" textRotation="0" wrapText="false" indent="0" shrinkToFit="false"/>
      <protection locked="true" hidden="false"/>
    </xf>
    <xf numFmtId="167" fontId="21" fillId="0" borderId="0" xfId="0" applyFont="true" applyBorder="false" applyAlignment="true" applyProtection="false">
      <alignment horizontal="right" vertical="center" textRotation="0" wrapText="false" indent="0" shrinkToFit="false"/>
      <protection locked="true" hidden="false"/>
    </xf>
    <xf numFmtId="169" fontId="20" fillId="5" borderId="0" xfId="0" applyFont="true" applyBorder="false" applyAlignment="true" applyProtection="false">
      <alignment horizontal="right" vertical="center" textRotation="0" wrapText="false" indent="0" shrinkToFit="false"/>
      <protection locked="true" hidden="false"/>
    </xf>
    <xf numFmtId="165" fontId="21" fillId="0" borderId="0" xfId="0" applyFont="true" applyBorder="false" applyAlignment="true" applyProtection="false">
      <alignment horizontal="right"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false" indent="0" shrinkToFit="false"/>
      <protection locked="true" hidden="false"/>
    </xf>
    <xf numFmtId="165" fontId="9" fillId="0" borderId="1" xfId="0" applyFont="true" applyBorder="true" applyAlignment="true" applyProtection="false">
      <alignment horizontal="right" vertical="center" textRotation="0" wrapText="false" indent="0" shrinkToFit="false"/>
      <protection locked="true" hidden="false"/>
    </xf>
    <xf numFmtId="167" fontId="9" fillId="0" borderId="1" xfId="0" applyFont="true" applyBorder="tru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7" fontId="9" fillId="0" borderId="2" xfId="0" applyFont="true" applyBorder="true" applyAlignment="true" applyProtection="false">
      <alignment horizontal="right" vertical="center" textRotation="0" wrapText="false" indent="0" shrinkToFit="false"/>
      <protection locked="true" hidden="false"/>
    </xf>
    <xf numFmtId="166" fontId="21" fillId="0" borderId="0" xfId="0" applyFont="true" applyBorder="false" applyAlignment="true" applyProtection="false">
      <alignment horizontal="right" vertical="center" textRotation="0" wrapText="false" indent="0" shrinkToFit="false"/>
      <protection locked="true" hidden="false"/>
    </xf>
    <xf numFmtId="168" fontId="21"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7" fontId="22" fillId="0" borderId="0" xfId="0" applyFont="true" applyBorder="false" applyAlignment="true" applyProtection="false">
      <alignment horizontal="right" vertical="center" textRotation="0" wrapText="false" indent="0" shrinkToFit="false"/>
      <protection locked="true" hidden="false"/>
    </xf>
    <xf numFmtId="165" fontId="9" fillId="0" borderId="2" xfId="0" applyFont="true" applyBorder="true" applyAlignment="true" applyProtection="false">
      <alignment horizontal="right" vertical="center" textRotation="0" wrapText="false" indent="0" shrinkToFit="false"/>
      <protection locked="true" hidden="false"/>
    </xf>
    <xf numFmtId="165" fontId="22" fillId="0" borderId="0" xfId="0" applyFont="true" applyBorder="false" applyAlignment="true" applyProtection="false">
      <alignment horizontal="right" vertical="center" textRotation="0" wrapText="false" indent="0" shrinkToFit="false"/>
      <protection locked="true" hidden="false"/>
    </xf>
    <xf numFmtId="167" fontId="23" fillId="0" borderId="0" xfId="0" applyFont="true" applyBorder="false" applyAlignment="true" applyProtection="false">
      <alignment horizontal="right" vertical="center" textRotation="0" wrapText="fals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70" fontId="21" fillId="0" borderId="0" xfId="0" applyFont="true" applyBorder="false" applyAlignment="true" applyProtection="false">
      <alignment horizontal="right" vertical="center" textRotation="0" wrapText="false" indent="0" shrinkToFit="false"/>
      <protection locked="true" hidden="false"/>
    </xf>
    <xf numFmtId="171" fontId="21" fillId="0" borderId="0" xfId="0" applyFont="true" applyBorder="false" applyAlignment="true" applyProtection="false">
      <alignment horizontal="right" vertical="center" textRotation="0" wrapText="false" indent="0" shrinkToFit="false"/>
      <protection locked="true" hidden="false"/>
    </xf>
    <xf numFmtId="172" fontId="21" fillId="0" borderId="0" xfId="0" applyFont="true" applyBorder="false" applyAlignment="true" applyProtection="false">
      <alignment horizontal="center" vertical="center" textRotation="0" wrapText="false" indent="0" shrinkToFit="false"/>
      <protection locked="true" hidden="false"/>
    </xf>
    <xf numFmtId="172" fontId="9" fillId="0" borderId="0" xfId="0" applyFont="true" applyBorder="fals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5" fillId="6" borderId="0" xfId="0" applyFont="true" applyBorder="false" applyAlignment="true" applyProtection="false">
      <alignment horizontal="left" vertical="center" textRotation="0" wrapText="false" indent="1" shrinkToFit="false"/>
      <protection locked="true" hidden="false"/>
    </xf>
    <xf numFmtId="164" fontId="26" fillId="0"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8" fillId="7" borderId="0" xfId="0" applyFont="true" applyBorder="false" applyAlignment="true" applyProtection="false">
      <alignment horizontal="left" vertical="top" textRotation="0" wrapText="true" indent="1" shrinkToFit="false"/>
      <protection locked="true" hidden="false"/>
    </xf>
    <xf numFmtId="164" fontId="29"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1F4E79"/>
      <rgbColor rgb="FFB4C7E7"/>
      <rgbColor rgb="FF808080"/>
      <rgbColor rgb="FF8FAADC"/>
      <rgbColor rgb="FF993366"/>
      <rgbColor rgb="FFFFF2CC"/>
      <rgbColor rgb="FFD6E4F0"/>
      <rgbColor rgb="FF660066"/>
      <rgbColor rgb="FFFF7F50"/>
      <rgbColor rgb="FF0070C0"/>
      <rgbColor rgb="FFD9D9D9"/>
      <rgbColor rgb="FF000080"/>
      <rgbColor rgb="FFFF00FF"/>
      <rgbColor rgb="FFFFFF00"/>
      <rgbColor rgb="FF00FFFF"/>
      <rgbColor rgb="FF800080"/>
      <rgbColor rgb="FF800000"/>
      <rgbColor rgb="FF008080"/>
      <rgbColor rgb="FF0000FF"/>
      <rgbColor rgb="FF00CCFF"/>
      <rgbColor rgb="FFF2F2F2"/>
      <rgbColor rgb="FFA9D18E"/>
      <rgbColor rgb="FFFFFF99"/>
      <rgbColor rgb="FF9DC3E6"/>
      <rgbColor rgb="FFFF99CC"/>
      <rgbColor rgb="FFCC99FF"/>
      <rgbColor rgb="FFF4B084"/>
      <rgbColor rgb="FF3366FF"/>
      <rgbColor rgb="FF33CCCC"/>
      <rgbColor rgb="FF99CC00"/>
      <rgbColor rgb="FFFFCC00"/>
      <rgbColor rgb="FFFF9900"/>
      <rgbColor rgb="FFED7D31"/>
      <rgbColor rgb="FF595959"/>
      <rgbColor rgb="FF70AD47"/>
      <rgbColor rgb="FF1F3864"/>
      <rgbColor rgb="FF00B050"/>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3864"/>
    <pageSetUpPr fitToPage="false"/>
  </sheetPr>
  <dimension ref="A1:AD3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3" min="3" style="0" width="70"/>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6"/>
      <c r="D4" s="6"/>
      <c r="E4" s="6"/>
      <c r="F4" s="6"/>
      <c r="G4" s="6"/>
      <c r="H4" s="6"/>
    </row>
    <row r="5" customFormat="false" ht="15" hidden="false" customHeight="false" outlineLevel="0" collapsed="false">
      <c r="A5" s="5"/>
      <c r="B5" s="5"/>
      <c r="C5" s="5"/>
      <c r="D5" s="5"/>
      <c r="E5" s="5"/>
      <c r="F5" s="5"/>
      <c r="G5" s="5"/>
      <c r="H5" s="5"/>
    </row>
    <row r="6" customFormat="false" ht="15" hidden="false" customHeight="false" outlineLevel="0" collapsed="false">
      <c r="A6" s="5"/>
      <c r="B6" s="7" t="s">
        <v>2</v>
      </c>
      <c r="C6" s="8" t="s">
        <v>3</v>
      </c>
      <c r="D6" s="5"/>
      <c r="E6" s="5"/>
      <c r="F6" s="5"/>
      <c r="G6" s="5"/>
      <c r="H6" s="5"/>
    </row>
    <row r="7" customFormat="false" ht="15" hidden="false" customHeight="false" outlineLevel="0" collapsed="false">
      <c r="A7" s="5"/>
      <c r="B7" s="7" t="s">
        <v>4</v>
      </c>
      <c r="C7" s="8" t="s">
        <v>5</v>
      </c>
      <c r="D7" s="5"/>
      <c r="E7" s="5"/>
      <c r="F7" s="5"/>
      <c r="G7" s="5"/>
      <c r="H7" s="5"/>
    </row>
    <row r="8" customFormat="false" ht="15" hidden="false" customHeight="false" outlineLevel="0" collapsed="false">
      <c r="A8" s="5"/>
      <c r="B8" s="7" t="s">
        <v>6</v>
      </c>
      <c r="C8" s="8" t="s">
        <v>7</v>
      </c>
      <c r="D8" s="5"/>
      <c r="E8" s="5"/>
      <c r="F8" s="5"/>
      <c r="G8" s="5"/>
      <c r="H8" s="5"/>
    </row>
    <row r="9" customFormat="false" ht="15" hidden="false" customHeight="false" outlineLevel="0" collapsed="false">
      <c r="A9" s="5"/>
      <c r="B9" s="7" t="s">
        <v>8</v>
      </c>
      <c r="C9" s="8" t="s">
        <v>9</v>
      </c>
      <c r="D9" s="5"/>
      <c r="E9" s="5"/>
      <c r="F9" s="5"/>
      <c r="G9" s="5"/>
      <c r="H9" s="5"/>
    </row>
    <row r="10" customFormat="false" ht="15" hidden="false" customHeight="false" outlineLevel="0" collapsed="false">
      <c r="A10" s="5"/>
      <c r="B10" s="7" t="s">
        <v>10</v>
      </c>
      <c r="C10" s="8" t="s">
        <v>11</v>
      </c>
      <c r="D10" s="5"/>
      <c r="E10" s="5"/>
      <c r="F10" s="5"/>
      <c r="G10" s="5"/>
      <c r="H10" s="5"/>
    </row>
    <row r="11" customFormat="false" ht="15" hidden="false" customHeight="false" outlineLevel="0" collapsed="false">
      <c r="A11" s="5"/>
      <c r="B11" s="5"/>
      <c r="C11" s="5"/>
      <c r="D11" s="5"/>
      <c r="E11" s="5"/>
      <c r="F11" s="5"/>
      <c r="G11" s="5"/>
      <c r="H11" s="5"/>
    </row>
    <row r="12" customFormat="false" ht="15" hidden="false" customHeight="false" outlineLevel="0" collapsed="false">
      <c r="A12" s="5"/>
      <c r="B12" s="9" t="s">
        <v>12</v>
      </c>
      <c r="C12" s="5"/>
      <c r="D12" s="5"/>
      <c r="E12" s="5"/>
      <c r="F12" s="5"/>
      <c r="G12" s="5"/>
      <c r="H12" s="5"/>
    </row>
    <row r="13" customFormat="false" ht="15" hidden="false" customHeight="false" outlineLevel="0" collapsed="false">
      <c r="A13" s="5"/>
      <c r="B13" s="10" t="s">
        <v>13</v>
      </c>
      <c r="C13" s="11" t="s">
        <v>14</v>
      </c>
      <c r="D13" s="5"/>
      <c r="E13" s="5"/>
      <c r="F13" s="5"/>
      <c r="G13" s="5"/>
      <c r="H13" s="5"/>
    </row>
    <row r="14" customFormat="false" ht="15" hidden="false" customHeight="false" outlineLevel="0" collapsed="false">
      <c r="A14" s="5"/>
      <c r="B14" s="10" t="s">
        <v>15</v>
      </c>
      <c r="C14" s="11" t="s">
        <v>16</v>
      </c>
      <c r="D14" s="5"/>
      <c r="E14" s="5"/>
      <c r="F14" s="5"/>
      <c r="G14" s="5"/>
      <c r="H14" s="5"/>
    </row>
    <row r="15" customFormat="false" ht="15" hidden="false" customHeight="false" outlineLevel="0" collapsed="false">
      <c r="A15" s="5"/>
      <c r="B15" s="10" t="s">
        <v>17</v>
      </c>
      <c r="C15" s="11" t="s">
        <v>18</v>
      </c>
      <c r="D15" s="5"/>
      <c r="E15" s="5"/>
      <c r="F15" s="5"/>
      <c r="G15" s="5"/>
      <c r="H15" s="5"/>
    </row>
    <row r="16" customFormat="false" ht="15" hidden="false" customHeight="false" outlineLevel="0" collapsed="false">
      <c r="A16" s="5"/>
      <c r="B16" s="10" t="s">
        <v>19</v>
      </c>
      <c r="C16" s="11" t="s">
        <v>20</v>
      </c>
      <c r="D16" s="5"/>
      <c r="E16" s="5"/>
      <c r="F16" s="5"/>
      <c r="G16" s="5"/>
      <c r="H16" s="5"/>
    </row>
    <row r="17" customFormat="false" ht="15" hidden="false" customHeight="false" outlineLevel="0" collapsed="false">
      <c r="A17" s="5"/>
      <c r="B17" s="10" t="s">
        <v>21</v>
      </c>
      <c r="C17" s="11" t="s">
        <v>22</v>
      </c>
      <c r="D17" s="5"/>
      <c r="E17" s="5"/>
      <c r="F17" s="5"/>
      <c r="G17" s="5"/>
      <c r="H17" s="5"/>
    </row>
    <row r="18" customFormat="false" ht="15" hidden="false" customHeight="false" outlineLevel="0" collapsed="false">
      <c r="A18" s="5"/>
      <c r="B18" s="10" t="s">
        <v>23</v>
      </c>
      <c r="C18" s="11" t="s">
        <v>24</v>
      </c>
      <c r="D18" s="5"/>
      <c r="E18" s="5"/>
      <c r="F18" s="5"/>
      <c r="G18" s="5"/>
      <c r="H18" s="5"/>
    </row>
    <row r="19" customFormat="false" ht="15" hidden="false" customHeight="false" outlineLevel="0" collapsed="false">
      <c r="A19" s="5"/>
      <c r="B19" s="10" t="s">
        <v>25</v>
      </c>
      <c r="C19" s="11" t="s">
        <v>26</v>
      </c>
      <c r="D19" s="5"/>
      <c r="E19" s="5"/>
      <c r="F19" s="5"/>
      <c r="G19" s="5"/>
      <c r="H19" s="5"/>
    </row>
    <row r="20" customFormat="false" ht="15" hidden="false" customHeight="false" outlineLevel="0" collapsed="false">
      <c r="A20" s="5"/>
      <c r="B20" s="10" t="s">
        <v>27</v>
      </c>
      <c r="C20" s="11" t="s">
        <v>28</v>
      </c>
      <c r="D20" s="5"/>
      <c r="E20" s="5"/>
      <c r="F20" s="5"/>
      <c r="G20" s="5"/>
      <c r="H20" s="5"/>
    </row>
    <row r="21" customFormat="false" ht="15" hidden="false" customHeight="false" outlineLevel="0" collapsed="false">
      <c r="A21" s="5"/>
      <c r="B21" s="10" t="s">
        <v>29</v>
      </c>
      <c r="C21" s="11" t="s">
        <v>30</v>
      </c>
      <c r="D21" s="5"/>
      <c r="E21" s="5"/>
      <c r="F21" s="5"/>
      <c r="G21" s="5"/>
      <c r="H21" s="5"/>
    </row>
    <row r="22" customFormat="false" ht="15" hidden="false" customHeight="false" outlineLevel="0" collapsed="false">
      <c r="A22" s="5"/>
      <c r="B22" s="10" t="s">
        <v>31</v>
      </c>
      <c r="C22" s="11" t="s">
        <v>32</v>
      </c>
      <c r="D22" s="5"/>
      <c r="E22" s="5"/>
      <c r="F22" s="5"/>
      <c r="G22" s="5"/>
      <c r="H22" s="5"/>
    </row>
    <row r="23" customFormat="false" ht="15" hidden="false" customHeight="false" outlineLevel="0" collapsed="false">
      <c r="A23" s="5"/>
      <c r="B23" s="10" t="s">
        <v>33</v>
      </c>
      <c r="C23" s="11" t="s">
        <v>34</v>
      </c>
      <c r="D23" s="5"/>
      <c r="E23" s="5"/>
      <c r="F23" s="5"/>
      <c r="G23" s="5"/>
      <c r="H23" s="5"/>
    </row>
    <row r="24" customFormat="false" ht="15" hidden="false" customHeight="false" outlineLevel="0" collapsed="false">
      <c r="A24" s="5"/>
      <c r="B24" s="10" t="s">
        <v>35</v>
      </c>
      <c r="C24" s="11" t="s">
        <v>36</v>
      </c>
      <c r="D24" s="5"/>
      <c r="E24" s="5"/>
      <c r="F24" s="5"/>
      <c r="G24" s="5"/>
      <c r="H24" s="5"/>
    </row>
    <row r="25" customFormat="false" ht="15" hidden="false" customHeight="false" outlineLevel="0" collapsed="false">
      <c r="A25" s="5"/>
      <c r="B25" s="10" t="s">
        <v>37</v>
      </c>
      <c r="C25" s="11" t="s">
        <v>38</v>
      </c>
      <c r="D25" s="5"/>
      <c r="E25" s="5"/>
      <c r="F25" s="5"/>
      <c r="G25" s="5"/>
      <c r="H25" s="5"/>
    </row>
    <row r="26" customFormat="false" ht="15" hidden="false" customHeight="false" outlineLevel="0" collapsed="false">
      <c r="A26" s="5"/>
      <c r="B26" s="10" t="s">
        <v>39</v>
      </c>
      <c r="C26" s="11" t="s">
        <v>40</v>
      </c>
      <c r="D26" s="5"/>
      <c r="E26" s="5"/>
      <c r="F26" s="5"/>
      <c r="G26" s="5"/>
      <c r="H26" s="5"/>
    </row>
    <row r="29" customFormat="false" ht="19.5" hidden="false" customHeight="true" outlineLevel="0" collapsed="false">
      <c r="B29" s="12" t="s">
        <v>41</v>
      </c>
      <c r="C29" s="13"/>
      <c r="D29" s="13"/>
      <c r="E29" s="13"/>
      <c r="F29" s="13"/>
      <c r="G29" s="13"/>
    </row>
    <row r="30" customFormat="false" ht="246" hidden="false" customHeight="true" outlineLevel="0" collapsed="false">
      <c r="B30" s="14" t="s">
        <v>42</v>
      </c>
      <c r="C30" s="14"/>
      <c r="D30" s="14"/>
      <c r="E30" s="14"/>
      <c r="F30" s="14"/>
      <c r="G30" s="14"/>
    </row>
    <row r="32" customFormat="false" ht="19.5" hidden="false" customHeight="true" outlineLevel="0" collapsed="false">
      <c r="B32" s="12" t="s">
        <v>43</v>
      </c>
      <c r="C32" s="13"/>
      <c r="D32" s="13"/>
      <c r="E32" s="13"/>
      <c r="F32" s="13"/>
      <c r="G32" s="13"/>
    </row>
    <row r="33" customFormat="false" ht="57" hidden="false" customHeight="true" outlineLevel="0" collapsed="false">
      <c r="B33" s="14" t="s">
        <v>44</v>
      </c>
      <c r="C33" s="14"/>
      <c r="D33" s="14"/>
      <c r="E33" s="14"/>
      <c r="F33" s="14"/>
      <c r="G33" s="14"/>
    </row>
    <row r="34" customFormat="false" ht="15" hidden="false" customHeight="false" outlineLevel="0" collapsed="false">
      <c r="B34" s="15" t="s">
        <v>45</v>
      </c>
      <c r="C34" s="15"/>
      <c r="D34" s="15"/>
      <c r="E34" s="15"/>
      <c r="F34" s="15"/>
      <c r="G34" s="15"/>
    </row>
    <row r="35" customFormat="false" ht="15" hidden="false" customHeight="false" outlineLevel="0" collapsed="false">
      <c r="B35" s="16" t="s">
        <v>46</v>
      </c>
    </row>
  </sheetData>
  <mergeCells count="3">
    <mergeCell ref="B30:G30"/>
    <mergeCell ref="B33:G33"/>
    <mergeCell ref="B34:G34"/>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DC3E6"/>
    <pageSetUpPr fitToPage="false"/>
  </sheetPr>
  <dimension ref="A1:AD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7" min="3" style="0" width="14"/>
  </cols>
  <sheetData>
    <row r="1" customFormat="false" ht="25.5" hidden="false" customHeight="true" outlineLevel="0" collapsed="false">
      <c r="A1" s="1"/>
      <c r="B1" s="3" t="s">
        <v>356</v>
      </c>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357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48</v>
      </c>
      <c r="D4" s="18" t="s">
        <v>49</v>
      </c>
      <c r="E4" s="18" t="s">
        <v>50</v>
      </c>
      <c r="F4" s="18" t="s">
        <v>51</v>
      </c>
      <c r="G4" s="18" t="s">
        <v>52</v>
      </c>
    </row>
    <row r="5" customFormat="false" ht="15" hidden="false" customHeight="false" outlineLevel="0" collapsed="false">
      <c r="A5" s="5"/>
      <c r="B5" s="5"/>
      <c r="C5" s="5"/>
      <c r="D5" s="5"/>
      <c r="E5" s="5"/>
      <c r="F5" s="5"/>
      <c r="G5" s="5"/>
    </row>
    <row r="6" customFormat="false" ht="15" hidden="false" customHeight="false" outlineLevel="0" collapsed="false">
      <c r="A6" s="5"/>
      <c r="B6" s="19" t="s">
        <v>358</v>
      </c>
      <c r="C6" s="20"/>
      <c r="D6" s="20"/>
      <c r="E6" s="20"/>
      <c r="F6" s="20"/>
      <c r="G6" s="20"/>
    </row>
    <row r="7" customFormat="false" ht="15" hidden="false" customHeight="false" outlineLevel="0" collapsed="false">
      <c r="A7" s="5"/>
      <c r="B7" s="8" t="s">
        <v>359</v>
      </c>
      <c r="C7" s="25" t="n">
        <f aca="false">Ad_Revenue!C23*DSO_AdTech/365</f>
        <v>698153.424657534</v>
      </c>
      <c r="D7" s="25" t="n">
        <f aca="false">Ad_Revenue!D23*DSO_AdTech/365</f>
        <v>855909.246575343</v>
      </c>
      <c r="E7" s="25" t="n">
        <f aca="false">Ad_Revenue!E23*DSO_AdTech/365</f>
        <v>1023734.5890411</v>
      </c>
      <c r="F7" s="25" t="n">
        <f aca="false">Ad_Revenue!F23*DSO_AdTech/365</f>
        <v>1198342.76054795</v>
      </c>
      <c r="G7" s="25" t="n">
        <f aca="false">Ad_Revenue!G23*DSO_AdTech/365</f>
        <v>1361423.68058219</v>
      </c>
    </row>
    <row r="8" customFormat="false" ht="15" hidden="false" customHeight="false" outlineLevel="0" collapsed="false">
      <c r="A8" s="5"/>
      <c r="B8" s="8" t="s">
        <v>360</v>
      </c>
      <c r="C8" s="25" t="n">
        <f aca="false">(Ad_Revenue!C22+Ad_Revenue!C25)*DSO_SaaS/365</f>
        <v>2874828.5270442</v>
      </c>
      <c r="D8" s="25" t="n">
        <f aca="false">(Ad_Revenue!D22+Ad_Revenue!D25)*DSO_SaaS/365</f>
        <v>3594620.46321141</v>
      </c>
      <c r="E8" s="25" t="n">
        <f aca="false">(Ad_Revenue!E22+Ad_Revenue!E25)*DSO_SaaS/365</f>
        <v>4550980.69764158</v>
      </c>
      <c r="F8" s="25" t="n">
        <f aca="false">(Ad_Revenue!F22+Ad_Revenue!F25)*DSO_SaaS/365</f>
        <v>5808016.72834063</v>
      </c>
      <c r="G8" s="25" t="n">
        <f aca="false">(Ad_Revenue!G22+Ad_Revenue!G25)*DSO_SaaS/365</f>
        <v>7422191.52383505</v>
      </c>
    </row>
    <row r="9" customFormat="false" ht="15" hidden="false" customHeight="false" outlineLevel="0" collapsed="false">
      <c r="A9" s="5"/>
      <c r="B9" s="28" t="s">
        <v>361</v>
      </c>
      <c r="C9" s="30" t="n">
        <f aca="false">C7+C8</f>
        <v>3572981.95170174</v>
      </c>
      <c r="D9" s="30" t="n">
        <f aca="false">D7+D8</f>
        <v>4450529.70978675</v>
      </c>
      <c r="E9" s="30" t="n">
        <f aca="false">E7+E8</f>
        <v>5574715.28668267</v>
      </c>
      <c r="F9" s="30" t="n">
        <f aca="false">F7+F8</f>
        <v>7006359.48888858</v>
      </c>
      <c r="G9" s="30" t="n">
        <f aca="false">G7+G8</f>
        <v>8783615.20441724</v>
      </c>
    </row>
    <row r="10" customFormat="false" ht="15" hidden="false" customHeight="false" outlineLevel="0" collapsed="false">
      <c r="A10" s="5"/>
      <c r="B10" s="8" t="s">
        <v>362</v>
      </c>
      <c r="C10" s="25" t="n">
        <f aca="false">Opening_AR</f>
        <v>3500000</v>
      </c>
      <c r="D10" s="25" t="n">
        <f aca="false">C9</f>
        <v>3572981.95170174</v>
      </c>
      <c r="E10" s="25" t="n">
        <f aca="false">D9</f>
        <v>4450529.70978675</v>
      </c>
      <c r="F10" s="25" t="n">
        <f aca="false">E9</f>
        <v>5574715.28668267</v>
      </c>
      <c r="G10" s="25" t="n">
        <f aca="false">F9</f>
        <v>7006359.48888858</v>
      </c>
    </row>
    <row r="11" customFormat="false" ht="15" hidden="false" customHeight="false" outlineLevel="0" collapsed="false">
      <c r="A11" s="5"/>
      <c r="B11" s="28" t="s">
        <v>363</v>
      </c>
      <c r="C11" s="30" t="n">
        <f aca="false">C9-C10</f>
        <v>72981.951701737</v>
      </c>
      <c r="D11" s="30" t="n">
        <f aca="false">D9-D10</f>
        <v>877547.758085017</v>
      </c>
      <c r="E11" s="30" t="n">
        <f aca="false">E9-E10</f>
        <v>1124185.57689592</v>
      </c>
      <c r="F11" s="30" t="n">
        <f aca="false">F9-F10</f>
        <v>1431644.2022059</v>
      </c>
      <c r="G11" s="30" t="n">
        <f aca="false">G9-G10</f>
        <v>1777255.71552867</v>
      </c>
    </row>
    <row r="12" customFormat="false" ht="15" hidden="false" customHeight="false" outlineLevel="0" collapsed="false">
      <c r="A12" s="5"/>
      <c r="B12" s="19" t="s">
        <v>364</v>
      </c>
      <c r="C12" s="20"/>
      <c r="D12" s="20"/>
      <c r="E12" s="20"/>
      <c r="F12" s="20"/>
      <c r="G12" s="20"/>
    </row>
    <row r="13" customFormat="false" ht="15" hidden="false" customHeight="false" outlineLevel="0" collapsed="false">
      <c r="A13" s="5"/>
      <c r="B13" s="8" t="s">
        <v>365</v>
      </c>
      <c r="C13" s="37" t="n">
        <f aca="false">Ad_Revenue!C19</f>
        <v>12777600</v>
      </c>
      <c r="D13" s="37" t="n">
        <f aca="false">Ad_Revenue!D19</f>
        <v>17968500</v>
      </c>
      <c r="E13" s="37" t="n">
        <f aca="false">Ad_Revenue!E19</f>
        <v>24357300</v>
      </c>
      <c r="F13" s="37" t="n">
        <f aca="false">Ad_Revenue!F19</f>
        <v>29891278.56</v>
      </c>
      <c r="G13" s="37" t="n">
        <f aca="false">Ad_Revenue!G19</f>
        <v>36358141.71</v>
      </c>
    </row>
    <row r="14" customFormat="false" ht="15" hidden="false" customHeight="false" outlineLevel="0" collapsed="false">
      <c r="A14" s="5"/>
      <c r="B14" s="8" t="s">
        <v>366</v>
      </c>
      <c r="C14" s="25" t="n">
        <f aca="false">C13*DPO_Publishers/365</f>
        <v>1225249.31506849</v>
      </c>
      <c r="D14" s="25" t="n">
        <f aca="false">D13*DPO_Publishers/365</f>
        <v>1723006.84931507</v>
      </c>
      <c r="E14" s="25" t="n">
        <f aca="false">E13*DPO_Publishers/365</f>
        <v>2335631.50684932</v>
      </c>
      <c r="F14" s="25" t="n">
        <f aca="false">F13*DPO_Publishers/365</f>
        <v>2866286.98520548</v>
      </c>
      <c r="G14" s="25" t="n">
        <f aca="false">G13*DPO_Publishers/365</f>
        <v>3486397.15027397</v>
      </c>
    </row>
    <row r="15" customFormat="false" ht="15" hidden="false" customHeight="false" outlineLevel="0" collapsed="false">
      <c r="A15" s="5"/>
      <c r="B15" s="8" t="s">
        <v>367</v>
      </c>
      <c r="C15" s="37" t="n">
        <f aca="false">Income_Statement!C17-Staffing!C20+Income_Statement!C24+Income_Statement!C28+Income_Statement!C29+Income_Statement!C30</f>
        <v>8934399.50515464</v>
      </c>
      <c r="D15" s="37" t="n">
        <f aca="false">Income_Statement!D17-Staffing!D20+Income_Statement!D24+Income_Statement!D28+Income_Statement!D29+Income_Statement!D30</f>
        <v>10238753.8621134</v>
      </c>
      <c r="E15" s="37" t="n">
        <f aca="false">Income_Statement!E17-Staffing!E20+Income_Statement!E24+Income_Statement!E28+Income_Statement!E29+Income_Statement!E30</f>
        <v>11657544.328933</v>
      </c>
      <c r="F15" s="37" t="n">
        <f aca="false">Income_Statement!F17-Staffing!F20+Income_Statement!F24+Income_Statement!F28+Income_Statement!F29+Income_Statement!F30</f>
        <v>13285883.9615306</v>
      </c>
      <c r="G15" s="37" t="n">
        <f aca="false">Income_Statement!G17-Staffing!G20+Income_Statement!G24+Income_Statement!G28+Income_Statement!G29+Income_Statement!G30</f>
        <v>15047521.892773</v>
      </c>
    </row>
    <row r="16" customFormat="false" ht="15" hidden="false" customHeight="false" outlineLevel="0" collapsed="false">
      <c r="A16" s="5"/>
      <c r="B16" s="8" t="s">
        <v>368</v>
      </c>
      <c r="C16" s="25" t="n">
        <f aca="false">C15*DPO_Operating/365</f>
        <v>979112.274537495</v>
      </c>
      <c r="D16" s="25" t="n">
        <f aca="false">D15*DPO_Operating/365</f>
        <v>1122055.21776585</v>
      </c>
      <c r="E16" s="25" t="n">
        <f aca="false">E15*DPO_Operating/365</f>
        <v>1277539.1045406</v>
      </c>
      <c r="F16" s="25" t="n">
        <f aca="false">F15*DPO_Operating/365</f>
        <v>1455987.2834554</v>
      </c>
      <c r="G16" s="25" t="n">
        <f aca="false">G15*DPO_Operating/365</f>
        <v>1649043.49509842</v>
      </c>
    </row>
    <row r="17" customFormat="false" ht="15" hidden="false" customHeight="false" outlineLevel="0" collapsed="false">
      <c r="A17" s="5"/>
      <c r="B17" s="28" t="s">
        <v>369</v>
      </c>
      <c r="C17" s="30" t="n">
        <f aca="false">C14+C16</f>
        <v>2204361.58960599</v>
      </c>
      <c r="D17" s="30" t="n">
        <f aca="false">D14+D16</f>
        <v>2845062.06708092</v>
      </c>
      <c r="E17" s="30" t="n">
        <f aca="false">E14+E16</f>
        <v>3613170.61138992</v>
      </c>
      <c r="F17" s="30" t="n">
        <f aca="false">F14+F16</f>
        <v>4322274.26866088</v>
      </c>
      <c r="G17" s="30" t="n">
        <f aca="false">G14+G16</f>
        <v>5135440.64537239</v>
      </c>
    </row>
    <row r="18" customFormat="false" ht="15" hidden="false" customHeight="false" outlineLevel="0" collapsed="false">
      <c r="A18" s="5"/>
      <c r="B18" s="8" t="s">
        <v>370</v>
      </c>
      <c r="C18" s="25" t="n">
        <f aca="false">Opening_AP</f>
        <v>2000000</v>
      </c>
      <c r="D18" s="25" t="n">
        <f aca="false">C17</f>
        <v>2204361.58960599</v>
      </c>
      <c r="E18" s="25" t="n">
        <f aca="false">D17</f>
        <v>2845062.06708092</v>
      </c>
      <c r="F18" s="25" t="n">
        <f aca="false">E17</f>
        <v>3613170.61138992</v>
      </c>
      <c r="G18" s="25" t="n">
        <f aca="false">F17</f>
        <v>4322274.26866088</v>
      </c>
    </row>
    <row r="19" customFormat="false" ht="15" hidden="false" customHeight="false" outlineLevel="0" collapsed="false">
      <c r="A19" s="5"/>
      <c r="B19" s="28" t="s">
        <v>371</v>
      </c>
      <c r="C19" s="30" t="n">
        <f aca="false">C17-C18</f>
        <v>204361.589605988</v>
      </c>
      <c r="D19" s="30" t="n">
        <f aca="false">D17-D18</f>
        <v>640700.477474933</v>
      </c>
      <c r="E19" s="30" t="n">
        <f aca="false">E17-E18</f>
        <v>768108.544308996</v>
      </c>
      <c r="F19" s="30" t="n">
        <f aca="false">F17-F18</f>
        <v>709103.657270967</v>
      </c>
      <c r="G19" s="30" t="n">
        <f aca="false">G17-G18</f>
        <v>813166.376711506</v>
      </c>
    </row>
    <row r="20" customFormat="false" ht="15" hidden="false" customHeight="false" outlineLevel="0" collapsed="false">
      <c r="A20" s="5"/>
      <c r="B20" s="19" t="s">
        <v>372</v>
      </c>
      <c r="C20" s="20"/>
      <c r="D20" s="20"/>
      <c r="E20" s="20"/>
      <c r="F20" s="20"/>
      <c r="G20" s="20"/>
    </row>
    <row r="21" customFormat="false" ht="15" hidden="false" customHeight="false" outlineLevel="0" collapsed="false">
      <c r="A21" s="5"/>
      <c r="B21" s="8" t="s">
        <v>173</v>
      </c>
      <c r="C21" s="25" t="n">
        <f aca="false">Opening_DR</f>
        <v>3000000</v>
      </c>
      <c r="D21" s="25" t="n">
        <f aca="false">C23</f>
        <v>2924550</v>
      </c>
      <c r="E21" s="25" t="n">
        <f aca="false">D23</f>
        <v>3757050</v>
      </c>
      <c r="F21" s="25" t="n">
        <f aca="false">E23</f>
        <v>4832337.75</v>
      </c>
      <c r="G21" s="25" t="n">
        <f aca="false">F23</f>
        <v>6193002.7275</v>
      </c>
    </row>
    <row r="22" customFormat="false" ht="15" hidden="false" customHeight="false" outlineLevel="0" collapsed="false">
      <c r="A22" s="5"/>
      <c r="B22" s="8" t="s">
        <v>373</v>
      </c>
      <c r="C22" s="37" t="n">
        <f aca="false">SaaS_Metrics!C13+SaaS_Metrics!C14</f>
        <v>5849100</v>
      </c>
      <c r="D22" s="37" t="n">
        <f aca="false">SaaS_Metrics!D13+SaaS_Metrics!D14</f>
        <v>7514100</v>
      </c>
      <c r="E22" s="37" t="n">
        <f aca="false">SaaS_Metrics!E13+SaaS_Metrics!E14</f>
        <v>9664675.5</v>
      </c>
      <c r="F22" s="37" t="n">
        <f aca="false">SaaS_Metrics!F13+SaaS_Metrics!F14</f>
        <v>12386005.455</v>
      </c>
      <c r="G22" s="37" t="n">
        <f aca="false">SaaS_Metrics!G13+SaaS_Metrics!G14</f>
        <v>15568517.136825</v>
      </c>
    </row>
    <row r="23" customFormat="false" ht="15" hidden="false" customHeight="false" outlineLevel="0" collapsed="false">
      <c r="A23" s="5"/>
      <c r="B23" s="8" t="s">
        <v>374</v>
      </c>
      <c r="C23" s="25" t="n">
        <f aca="false">C22*0.5</f>
        <v>2924550</v>
      </c>
      <c r="D23" s="25" t="n">
        <f aca="false">D22*0.5</f>
        <v>3757050</v>
      </c>
      <c r="E23" s="25" t="n">
        <f aca="false">E22*0.5</f>
        <v>4832337.75</v>
      </c>
      <c r="F23" s="25" t="n">
        <f aca="false">F22*0.5</f>
        <v>6193002.7275</v>
      </c>
      <c r="G23" s="25" t="n">
        <f aca="false">G22*0.5</f>
        <v>7784258.5684125</v>
      </c>
    </row>
    <row r="24" customFormat="false" ht="15" hidden="false" customHeight="false" outlineLevel="0" collapsed="false">
      <c r="A24" s="5"/>
      <c r="B24" s="28" t="s">
        <v>375</v>
      </c>
      <c r="C24" s="30" t="n">
        <f aca="false">C23-C21</f>
        <v>-75450</v>
      </c>
      <c r="D24" s="30" t="n">
        <f aca="false">D23-D21</f>
        <v>832500</v>
      </c>
      <c r="E24" s="30" t="n">
        <f aca="false">E23-E21</f>
        <v>1075287.75</v>
      </c>
      <c r="F24" s="30" t="n">
        <f aca="false">F23-F21</f>
        <v>1360664.9775</v>
      </c>
      <c r="G24" s="30" t="n">
        <f aca="false">G23-G21</f>
        <v>1591255.8409125</v>
      </c>
    </row>
    <row r="25" customFormat="false" ht="15" hidden="false" customHeight="false" outlineLevel="0" collapsed="false">
      <c r="A25" s="5"/>
      <c r="B25" s="19" t="s">
        <v>376</v>
      </c>
      <c r="C25" s="20"/>
      <c r="D25" s="20"/>
      <c r="E25" s="20"/>
      <c r="F25" s="20"/>
      <c r="G25" s="20"/>
    </row>
    <row r="26" customFormat="false" ht="15" hidden="false" customHeight="false" outlineLevel="0" collapsed="false">
      <c r="A26" s="5"/>
      <c r="B26" s="8" t="s">
        <v>377</v>
      </c>
      <c r="C26" s="25" t="n">
        <f aca="false">Opening_Prepaid</f>
        <v>500000</v>
      </c>
      <c r="D26" s="25" t="n">
        <f aca="false">C27</f>
        <v>951424.939980229</v>
      </c>
      <c r="E26" s="25" t="n">
        <f aca="false">D27</f>
        <v>1183958.19799463</v>
      </c>
      <c r="F26" s="25" t="n">
        <f aca="false">E27</f>
        <v>1478990.03742409</v>
      </c>
      <c r="G26" s="25" t="n">
        <f aca="false">F27</f>
        <v>1851451.76893447</v>
      </c>
    </row>
    <row r="27" customFormat="false" ht="15" hidden="false" customHeight="false" outlineLevel="0" collapsed="false">
      <c r="A27" s="5"/>
      <c r="B27" s="8" t="s">
        <v>378</v>
      </c>
      <c r="C27" s="25" t="n">
        <f aca="false">Income_Statement!C10*Prepaid_Days/365</f>
        <v>951424.939980229</v>
      </c>
      <c r="D27" s="25" t="n">
        <f aca="false">Income_Statement!D10*Prepaid_Days/365</f>
        <v>1183958.19799463</v>
      </c>
      <c r="E27" s="25" t="n">
        <f aca="false">Income_Statement!E10*Prepaid_Days/365</f>
        <v>1478990.03742409</v>
      </c>
      <c r="F27" s="25" t="n">
        <f aca="false">Income_Statement!F10*Prepaid_Days/365</f>
        <v>1851451.76893447</v>
      </c>
      <c r="G27" s="25" t="n">
        <f aca="false">Income_Statement!G10*Prepaid_Days/365</f>
        <v>2309355.77448616</v>
      </c>
    </row>
    <row r="28" customFormat="false" ht="15" hidden="false" customHeight="false" outlineLevel="0" collapsed="false">
      <c r="A28" s="5"/>
      <c r="B28" s="28" t="s">
        <v>379</v>
      </c>
      <c r="C28" s="30" t="n">
        <f aca="false">C27-C26</f>
        <v>451424.939980229</v>
      </c>
      <c r="D28" s="30" t="n">
        <f aca="false">D27-D26</f>
        <v>232533.258014405</v>
      </c>
      <c r="E28" s="30" t="n">
        <f aca="false">E27-E26</f>
        <v>295031.839429459</v>
      </c>
      <c r="F28" s="30" t="n">
        <f aca="false">F27-F26</f>
        <v>372461.73151038</v>
      </c>
      <c r="G28" s="30" t="n">
        <f aca="false">G27-G26</f>
        <v>457904.005551687</v>
      </c>
    </row>
    <row r="29" customFormat="false" ht="15" hidden="false" customHeight="false" outlineLevel="0" collapsed="false">
      <c r="A29" s="5"/>
      <c r="B29" s="19" t="s">
        <v>380</v>
      </c>
      <c r="C29" s="20"/>
      <c r="D29" s="20"/>
      <c r="E29" s="20"/>
      <c r="F29" s="20"/>
      <c r="G29" s="20"/>
    </row>
    <row r="30" customFormat="false" ht="15" hidden="false" customHeight="false" outlineLevel="0" collapsed="false">
      <c r="A30" s="5"/>
      <c r="B30" s="8" t="s">
        <v>381</v>
      </c>
      <c r="C30" s="25" t="n">
        <f aca="false">Opening_Accrued</f>
        <v>1500000</v>
      </c>
      <c r="D30" s="25" t="n">
        <f aca="false">C31</f>
        <v>570111.001271007</v>
      </c>
      <c r="E30" s="25" t="n">
        <f aca="false">D31</f>
        <v>664990.989973168</v>
      </c>
      <c r="F30" s="25" t="n">
        <f aca="false">E31</f>
        <v>775533.437120463</v>
      </c>
      <c r="G30" s="25" t="n">
        <f aca="false">F31</f>
        <v>903860.916025102</v>
      </c>
    </row>
    <row r="31" customFormat="false" ht="15" hidden="false" customHeight="false" outlineLevel="0" collapsed="false">
      <c r="A31" s="5"/>
      <c r="B31" s="8" t="s">
        <v>382</v>
      </c>
      <c r="C31" s="25" t="n">
        <f aca="false">(Income_Statement!C24+Income_Statement!C28+Income_Statement!C29+Income_Statement!C30+Income_Statement!C31)*Accrued_Days/365</f>
        <v>570111.001271007</v>
      </c>
      <c r="D31" s="25" t="n">
        <f aca="false">(Income_Statement!D24+Income_Statement!D28+Income_Statement!D29+Income_Statement!D30+Income_Statement!D31)*Accrued_Days/365</f>
        <v>664990.989973168</v>
      </c>
      <c r="E31" s="25" t="n">
        <f aca="false">(Income_Statement!E24+Income_Statement!E28+Income_Statement!E29+Income_Statement!E30+Income_Statement!E31)*Accrued_Days/365</f>
        <v>775533.437120463</v>
      </c>
      <c r="F31" s="25" t="n">
        <f aca="false">(Income_Statement!F24+Income_Statement!F28+Income_Statement!F29+Income_Statement!F30+Income_Statement!F31)*Accrued_Days/365</f>
        <v>903860.916025102</v>
      </c>
      <c r="G31" s="25" t="n">
        <f aca="false">(Income_Statement!G24+Income_Statement!G28+Income_Statement!G29+Income_Statement!G30+Income_Statement!G31)*Accrued_Days/365</f>
        <v>1053690.66069347</v>
      </c>
    </row>
    <row r="32" customFormat="false" ht="15" hidden="false" customHeight="false" outlineLevel="0" collapsed="false">
      <c r="A32" s="5"/>
      <c r="B32" s="28" t="s">
        <v>383</v>
      </c>
      <c r="C32" s="30" t="n">
        <f aca="false">C31-C30</f>
        <v>-929888.998728993</v>
      </c>
      <c r="D32" s="30" t="n">
        <f aca="false">D31-D30</f>
        <v>94879.9887021608</v>
      </c>
      <c r="E32" s="30" t="n">
        <f aca="false">E31-E30</f>
        <v>110542.447147296</v>
      </c>
      <c r="F32" s="30" t="n">
        <f aca="false">F31-F30</f>
        <v>128327.478904639</v>
      </c>
      <c r="G32" s="30" t="n">
        <f aca="false">G31-G30</f>
        <v>149829.74466837</v>
      </c>
    </row>
    <row r="33" customFormat="false" ht="15" hidden="false" customHeight="false" outlineLevel="0" collapsed="false">
      <c r="A33" s="5"/>
      <c r="B33" s="5"/>
      <c r="C33" s="5"/>
      <c r="D33" s="5"/>
      <c r="E33" s="5"/>
      <c r="F33" s="5"/>
      <c r="G33" s="5"/>
    </row>
    <row r="34" customFormat="false" ht="15" hidden="false" customHeight="false" outlineLevel="0" collapsed="false">
      <c r="A34" s="5"/>
      <c r="B34" s="31" t="s">
        <v>384</v>
      </c>
      <c r="C34" s="32" t="n">
        <f aca="false">-C11+C19+C24-C28+C32</f>
        <v>-1325384.30080497</v>
      </c>
      <c r="D34" s="32" t="n">
        <f aca="false">-D11+D19+D24-D28+D32</f>
        <v>457999.450077671</v>
      </c>
      <c r="E34" s="32" t="n">
        <f aca="false">-E11+E19+E24-E28+E32</f>
        <v>534721.325130914</v>
      </c>
      <c r="F34" s="32" t="n">
        <f aca="false">-F11+F19+F24-F28+F32</f>
        <v>393990.179959324</v>
      </c>
      <c r="G34" s="32" t="n">
        <f aca="false">-G11+G19+G24-G28+G32</f>
        <v>319092.24121202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08080"/>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6"/>
    <col collapsed="false" customWidth="true" hidden="false" outlineLevel="0" max="7" min="3" style="0" width="14"/>
  </cols>
  <sheetData>
    <row r="1" customFormat="false" ht="25.5" hidden="false" customHeight="true" outlineLevel="0" collapsed="false">
      <c r="A1" s="1"/>
      <c r="B1" s="3" t="s">
        <v>385</v>
      </c>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386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48</v>
      </c>
      <c r="D4" s="18" t="s">
        <v>49</v>
      </c>
      <c r="E4" s="18" t="s">
        <v>50</v>
      </c>
      <c r="F4" s="18" t="s">
        <v>51</v>
      </c>
      <c r="G4" s="18" t="s">
        <v>52</v>
      </c>
    </row>
    <row r="5" customFormat="false" ht="15" hidden="false" customHeight="false" outlineLevel="0" collapsed="false">
      <c r="A5" s="5"/>
      <c r="B5" s="5"/>
      <c r="C5" s="5"/>
      <c r="D5" s="5"/>
      <c r="E5" s="5"/>
      <c r="F5" s="5"/>
      <c r="G5" s="5"/>
    </row>
    <row r="6" customFormat="false" ht="15" hidden="false" customHeight="false" outlineLevel="0" collapsed="false">
      <c r="A6" s="5"/>
      <c r="B6" s="19" t="s">
        <v>387</v>
      </c>
      <c r="C6" s="20"/>
      <c r="D6" s="20"/>
      <c r="E6" s="20"/>
      <c r="F6" s="20"/>
      <c r="G6" s="20"/>
    </row>
    <row r="7" customFormat="false" ht="15" hidden="false" customHeight="false" outlineLevel="0" collapsed="false">
      <c r="A7" s="5"/>
      <c r="B7" s="5"/>
      <c r="C7" s="5"/>
      <c r="D7" s="5"/>
      <c r="E7" s="5"/>
      <c r="F7" s="5"/>
      <c r="G7" s="5"/>
    </row>
    <row r="8" customFormat="false" ht="15" hidden="false" customHeight="false" outlineLevel="0" collapsed="false">
      <c r="A8" s="5"/>
      <c r="B8" s="8" t="s">
        <v>388</v>
      </c>
      <c r="C8" s="37" t="n">
        <f aca="false">Income_Statement!C54</f>
        <v>-5914639.71134021</v>
      </c>
      <c r="D8" s="37" t="n">
        <f aca="false">Income_Statement!D54</f>
        <v>-5926221.64197265</v>
      </c>
      <c r="E8" s="37" t="n">
        <f aca="false">Income_Statement!E54</f>
        <v>-2613150.2799361</v>
      </c>
      <c r="F8" s="37" t="n">
        <f aca="false">Income_Statement!F54</f>
        <v>2769758.65203962</v>
      </c>
      <c r="G8" s="37" t="n">
        <f aca="false">Income_Statement!G54</f>
        <v>9483192.839525</v>
      </c>
    </row>
    <row r="9" customFormat="false" ht="15" hidden="false" customHeight="false" outlineLevel="0" collapsed="false">
      <c r="A9" s="5"/>
      <c r="B9" s="8" t="s">
        <v>389</v>
      </c>
      <c r="C9" s="37" t="n">
        <f aca="false">Capex_Amort!C25</f>
        <v>2876250</v>
      </c>
      <c r="D9" s="37" t="n">
        <f aca="false">Capex_Amort!D25</f>
        <v>3720333.33333333</v>
      </c>
      <c r="E9" s="37" t="n">
        <f aca="false">Capex_Amort!E25</f>
        <v>2683827.91666667</v>
      </c>
      <c r="F9" s="37" t="n">
        <f aca="false">Capex_Amort!F25</f>
        <v>3085042.74583333</v>
      </c>
      <c r="G9" s="37" t="n">
        <f aca="false">Capex_Amort!G25</f>
        <v>3443778.34697917</v>
      </c>
    </row>
    <row r="10" customFormat="false" ht="15" hidden="false" customHeight="false" outlineLevel="0" collapsed="false">
      <c r="A10" s="5"/>
      <c r="B10" s="8" t="s">
        <v>390</v>
      </c>
      <c r="C10" s="37" t="n">
        <f aca="false">Income_Statement!C31</f>
        <v>1389080.41237113</v>
      </c>
      <c r="D10" s="37" t="n">
        <f aca="false">Income_Statement!D31</f>
        <v>1728578.96907216</v>
      </c>
      <c r="E10" s="37" t="n">
        <f aca="false">Income_Statement!E31</f>
        <v>2159325.45463918</v>
      </c>
      <c r="F10" s="37" t="n">
        <f aca="false">Income_Statement!F31</f>
        <v>2703119.58264433</v>
      </c>
      <c r="G10" s="37" t="n">
        <f aca="false">Income_Statement!G31</f>
        <v>3371659.43074979</v>
      </c>
    </row>
    <row r="11" customFormat="false" ht="15" hidden="false" customHeight="false" outlineLevel="0" collapsed="false">
      <c r="A11" s="5"/>
      <c r="B11" s="8" t="s">
        <v>391</v>
      </c>
      <c r="C11" s="37" t="n">
        <f aca="false">Working_Capital!C34</f>
        <v>-1325384.30080497</v>
      </c>
      <c r="D11" s="37" t="n">
        <f aca="false">Working_Capital!D34</f>
        <v>457999.450077671</v>
      </c>
      <c r="E11" s="37" t="n">
        <f aca="false">Working_Capital!E34</f>
        <v>534721.325130914</v>
      </c>
      <c r="F11" s="37" t="n">
        <f aca="false">Working_Capital!F34</f>
        <v>393990.179959324</v>
      </c>
      <c r="G11" s="37" t="n">
        <f aca="false">Working_Capital!G34</f>
        <v>319092.24121202</v>
      </c>
    </row>
    <row r="12" customFormat="false" ht="15" hidden="false" customHeight="false" outlineLevel="0" collapsed="false">
      <c r="A12" s="5"/>
      <c r="B12" s="31" t="s">
        <v>392</v>
      </c>
      <c r="C12" s="32" t="n">
        <f aca="false">SUM(C8:C11)</f>
        <v>-2974693.59977404</v>
      </c>
      <c r="D12" s="32" t="n">
        <f aca="false">SUM(D8:D11)</f>
        <v>-19309.889489483</v>
      </c>
      <c r="E12" s="32" t="n">
        <f aca="false">SUM(E8:E11)</f>
        <v>2764724.41650066</v>
      </c>
      <c r="F12" s="32" t="n">
        <f aca="false">SUM(F8:F11)</f>
        <v>8951911.16047661</v>
      </c>
      <c r="G12" s="32" t="n">
        <f aca="false">SUM(G8:G11)</f>
        <v>16617722.858466</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19" t="s">
        <v>393</v>
      </c>
      <c r="C14" s="20"/>
      <c r="D14" s="20"/>
      <c r="E14" s="20"/>
      <c r="F14" s="20"/>
      <c r="G14" s="20"/>
    </row>
    <row r="15" customFormat="false" ht="15" hidden="false" customHeight="false" outlineLevel="0" collapsed="false">
      <c r="A15" s="5"/>
      <c r="B15" s="8" t="s">
        <v>394</v>
      </c>
      <c r="C15" s="37" t="n">
        <f aca="false">-Capex_Amort!C24</f>
        <v>-2268750</v>
      </c>
      <c r="D15" s="37" t="n">
        <f aca="false">-Capex_Amort!D24</f>
        <v>-2658250</v>
      </c>
      <c r="E15" s="37" t="n">
        <f aca="false">-Capex_Amort!E24</f>
        <v>-3022783.75</v>
      </c>
      <c r="F15" s="37" t="n">
        <f aca="false">-Capex_Amort!F24</f>
        <v>-3311309.4875</v>
      </c>
      <c r="G15" s="37" t="n">
        <f aca="false">-Capex_Amort!G24</f>
        <v>-3565317.5534375</v>
      </c>
    </row>
    <row r="16" customFormat="false" ht="15" hidden="false" customHeight="false" outlineLevel="0" collapsed="false">
      <c r="A16" s="5"/>
      <c r="B16" s="31" t="s">
        <v>395</v>
      </c>
      <c r="C16" s="32" t="n">
        <f aca="false">C15</f>
        <v>-2268750</v>
      </c>
      <c r="D16" s="32" t="n">
        <f aca="false">D15</f>
        <v>-2658250</v>
      </c>
      <c r="E16" s="32" t="n">
        <f aca="false">E15</f>
        <v>-3022783.75</v>
      </c>
      <c r="F16" s="32" t="n">
        <f aca="false">F15</f>
        <v>-3311309.4875</v>
      </c>
      <c r="G16" s="32" t="n">
        <f aca="false">G15</f>
        <v>-3565317.5534375</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19" t="s">
        <v>396</v>
      </c>
      <c r="C18" s="20"/>
      <c r="D18" s="20"/>
      <c r="E18" s="20"/>
      <c r="F18" s="20"/>
      <c r="G18" s="20"/>
    </row>
    <row r="19" customFormat="false" ht="15" hidden="false" customHeight="false" outlineLevel="0" collapsed="false">
      <c r="A19" s="5"/>
      <c r="B19" s="8" t="s">
        <v>397</v>
      </c>
      <c r="C19" s="37" t="n">
        <f aca="false">-Income_Statement!C39</f>
        <v>-1000000</v>
      </c>
      <c r="D19" s="37" t="n">
        <f aca="false">-Income_Statement!D39</f>
        <v>-1000000</v>
      </c>
      <c r="E19" s="37" t="n">
        <f aca="false">-Income_Statement!E39</f>
        <v>-1000000</v>
      </c>
      <c r="F19" s="37" t="n">
        <f aca="false">-Income_Statement!F39</f>
        <v>-1000000</v>
      </c>
      <c r="G19" s="37" t="n">
        <f aca="false">-Income_Statement!G39</f>
        <v>-1000000</v>
      </c>
    </row>
    <row r="20" customFormat="false" ht="15" hidden="false" customHeight="false" outlineLevel="0" collapsed="false">
      <c r="A20" s="5"/>
      <c r="B20" s="8" t="s">
        <v>398</v>
      </c>
      <c r="C20" s="25" t="n">
        <f aca="false">Equity_Raise_Y1</f>
        <v>5000000</v>
      </c>
      <c r="D20" s="25" t="n">
        <f aca="false">Equity_Raise_Y2</f>
        <v>0</v>
      </c>
      <c r="E20" s="25" t="n">
        <f aca="false">Equity_Raise_Y3</f>
        <v>25000000</v>
      </c>
      <c r="F20" s="25" t="n">
        <f aca="false">Equity_Raise_Y4</f>
        <v>0</v>
      </c>
      <c r="G20" s="25" t="n">
        <f aca="false">Equity_Raise_Y5</f>
        <v>30000000</v>
      </c>
    </row>
    <row r="21" customFormat="false" ht="15" hidden="false" customHeight="false" outlineLevel="0" collapsed="false">
      <c r="A21" s="5"/>
      <c r="B21" s="31" t="s">
        <v>399</v>
      </c>
      <c r="C21" s="32" t="n">
        <f aca="false">C19+C20</f>
        <v>4000000</v>
      </c>
      <c r="D21" s="32" t="n">
        <f aca="false">D19+D20</f>
        <v>-1000000</v>
      </c>
      <c r="E21" s="32" t="n">
        <f aca="false">E19+E20</f>
        <v>24000000</v>
      </c>
      <c r="F21" s="32" t="n">
        <f aca="false">F19+F20</f>
        <v>-1000000</v>
      </c>
      <c r="G21" s="32" t="n">
        <f aca="false">G19+G20</f>
        <v>29000000</v>
      </c>
    </row>
    <row r="22" customFormat="false" ht="15" hidden="false" customHeight="false" outlineLevel="0" collapsed="false">
      <c r="A22" s="5"/>
      <c r="B22" s="35" t="s">
        <v>400</v>
      </c>
      <c r="C22" s="36" t="n">
        <f aca="false">C12+C16+C21</f>
        <v>-1243443.59977404</v>
      </c>
      <c r="D22" s="36" t="n">
        <f aca="false">D12+D16+D21</f>
        <v>-3677559.88948948</v>
      </c>
      <c r="E22" s="36" t="n">
        <f aca="false">E12+E16+E21</f>
        <v>23741940.6665007</v>
      </c>
      <c r="F22" s="36" t="n">
        <f aca="false">F12+F16+F21</f>
        <v>4640601.67297661</v>
      </c>
      <c r="G22" s="36" t="n">
        <f aca="false">G12+G16+G21</f>
        <v>42052405.3050285</v>
      </c>
    </row>
    <row r="23" customFormat="false" ht="15" hidden="false" customHeight="false" outlineLevel="0" collapsed="false">
      <c r="A23" s="5"/>
      <c r="B23" s="8" t="s">
        <v>401</v>
      </c>
      <c r="C23" s="25" t="n">
        <f aca="false">Opening_Cash</f>
        <v>12000000</v>
      </c>
      <c r="D23" s="25" t="n">
        <f aca="false">C24</f>
        <v>10756556.400226</v>
      </c>
      <c r="E23" s="25" t="n">
        <f aca="false">D24</f>
        <v>7078996.51073647</v>
      </c>
      <c r="F23" s="25" t="n">
        <f aca="false">E24</f>
        <v>30820937.1772371</v>
      </c>
      <c r="G23" s="25" t="n">
        <f aca="false">F24</f>
        <v>35461538.8502137</v>
      </c>
    </row>
    <row r="24" customFormat="false" ht="15" hidden="false" customHeight="false" outlineLevel="0" collapsed="false">
      <c r="A24" s="5"/>
      <c r="B24" s="31" t="s">
        <v>402</v>
      </c>
      <c r="C24" s="32" t="n">
        <f aca="false">C23+C22</f>
        <v>10756556.400226</v>
      </c>
      <c r="D24" s="32" t="n">
        <f aca="false">D23+D22</f>
        <v>7078996.51073647</v>
      </c>
      <c r="E24" s="32" t="n">
        <f aca="false">E23+E22</f>
        <v>30820937.1772371</v>
      </c>
      <c r="F24" s="32" t="n">
        <f aca="false">F23+F22</f>
        <v>35461538.8502137</v>
      </c>
      <c r="G24" s="32" t="n">
        <f aca="false">G23+G22</f>
        <v>77513944.1552422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08080"/>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6"/>
    <col collapsed="false" customWidth="true" hidden="false" outlineLevel="0" max="7" min="3" style="0" width="14"/>
  </cols>
  <sheetData>
    <row r="1" customFormat="false" ht="25.5" hidden="false" customHeight="true" outlineLevel="0" collapsed="false">
      <c r="A1" s="1"/>
      <c r="B1" s="3" t="s">
        <v>403</v>
      </c>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404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48</v>
      </c>
      <c r="D4" s="18" t="s">
        <v>49</v>
      </c>
      <c r="E4" s="18" t="s">
        <v>50</v>
      </c>
      <c r="F4" s="18" t="s">
        <v>51</v>
      </c>
      <c r="G4" s="18" t="s">
        <v>52</v>
      </c>
    </row>
    <row r="5" customFormat="false" ht="15" hidden="false" customHeight="false" outlineLevel="0" collapsed="false">
      <c r="A5" s="5"/>
      <c r="B5" s="5"/>
      <c r="C5" s="5"/>
      <c r="D5" s="5"/>
      <c r="E5" s="5"/>
      <c r="F5" s="5"/>
      <c r="G5" s="5"/>
    </row>
    <row r="6" customFormat="false" ht="15" hidden="false" customHeight="false" outlineLevel="0" collapsed="false">
      <c r="A6" s="5"/>
      <c r="B6" s="19" t="s">
        <v>405</v>
      </c>
      <c r="C6" s="20"/>
      <c r="D6" s="20"/>
      <c r="E6" s="20"/>
      <c r="F6" s="20"/>
      <c r="G6" s="20"/>
    </row>
    <row r="7" customFormat="false" ht="15" hidden="false" customHeight="false" outlineLevel="0" collapsed="false">
      <c r="A7" s="5"/>
      <c r="B7" s="8" t="s">
        <v>406</v>
      </c>
      <c r="C7" s="37" t="n">
        <f aca="false">Cash_Flow!C24</f>
        <v>10756556.400226</v>
      </c>
      <c r="D7" s="37" t="n">
        <f aca="false">Cash_Flow!D24</f>
        <v>7078996.51073647</v>
      </c>
      <c r="E7" s="37" t="n">
        <f aca="false">Cash_Flow!E24</f>
        <v>30820937.1772371</v>
      </c>
      <c r="F7" s="37" t="n">
        <f aca="false">Cash_Flow!F24</f>
        <v>35461538.8502137</v>
      </c>
      <c r="G7" s="37" t="n">
        <f aca="false">Cash_Flow!G24</f>
        <v>77513944.1552422</v>
      </c>
    </row>
    <row r="8" customFormat="false" ht="15" hidden="false" customHeight="false" outlineLevel="0" collapsed="false">
      <c r="A8" s="5"/>
      <c r="B8" s="8" t="s">
        <v>407</v>
      </c>
      <c r="C8" s="37" t="n">
        <f aca="false">Working_Capital!C9</f>
        <v>3572981.95170174</v>
      </c>
      <c r="D8" s="37" t="n">
        <f aca="false">Working_Capital!D9</f>
        <v>4450529.70978675</v>
      </c>
      <c r="E8" s="37" t="n">
        <f aca="false">Working_Capital!E9</f>
        <v>5574715.28668267</v>
      </c>
      <c r="F8" s="37" t="n">
        <f aca="false">Working_Capital!F9</f>
        <v>7006359.48888858</v>
      </c>
      <c r="G8" s="37" t="n">
        <f aca="false">Working_Capital!G9</f>
        <v>8783615.20441724</v>
      </c>
    </row>
    <row r="9" customFormat="false" ht="15" hidden="false" customHeight="false" outlineLevel="0" collapsed="false">
      <c r="A9" s="5"/>
      <c r="B9" s="8" t="s">
        <v>408</v>
      </c>
      <c r="C9" s="37" t="n">
        <f aca="false">Working_Capital!C27</f>
        <v>951424.939980229</v>
      </c>
      <c r="D9" s="37" t="n">
        <f aca="false">Working_Capital!D27</f>
        <v>1183958.19799463</v>
      </c>
      <c r="E9" s="37" t="n">
        <f aca="false">Working_Capital!E27</f>
        <v>1478990.03742409</v>
      </c>
      <c r="F9" s="37" t="n">
        <f aca="false">Working_Capital!F27</f>
        <v>1851451.76893447</v>
      </c>
      <c r="G9" s="37" t="n">
        <f aca="false">Working_Capital!G27</f>
        <v>2309355.77448616</v>
      </c>
    </row>
    <row r="10" customFormat="false" ht="15" hidden="false" customHeight="false" outlineLevel="0" collapsed="false">
      <c r="A10" s="5"/>
      <c r="B10" s="28" t="s">
        <v>409</v>
      </c>
      <c r="C10" s="30" t="n">
        <f aca="false">SUM(C7:C9)</f>
        <v>15280963.2919079</v>
      </c>
      <c r="D10" s="30" t="n">
        <f aca="false">SUM(D7:D9)</f>
        <v>12713484.4185179</v>
      </c>
      <c r="E10" s="30" t="n">
        <f aca="false">SUM(E7:E9)</f>
        <v>37874642.5013439</v>
      </c>
      <c r="F10" s="30" t="n">
        <f aca="false">SUM(F7:F9)</f>
        <v>44319350.1080368</v>
      </c>
      <c r="G10" s="30" t="n">
        <f aca="false">SUM(G7:G9)</f>
        <v>88606915.1341456</v>
      </c>
    </row>
    <row r="11" customFormat="false" ht="15" hidden="false" customHeight="false" outlineLevel="0" collapsed="false">
      <c r="A11" s="5"/>
      <c r="B11" s="19" t="s">
        <v>410</v>
      </c>
      <c r="C11" s="20"/>
      <c r="D11" s="20"/>
      <c r="E11" s="20"/>
      <c r="F11" s="20"/>
      <c r="G11" s="20"/>
    </row>
    <row r="12" customFormat="false" ht="15" hidden="false" customHeight="false" outlineLevel="0" collapsed="false">
      <c r="A12" s="5"/>
      <c r="B12" s="8" t="s">
        <v>411</v>
      </c>
      <c r="C12" s="37" t="n">
        <f aca="false">Capex_Amort!C11</f>
        <v>880000</v>
      </c>
      <c r="D12" s="37" t="n">
        <f aca="false">Capex_Amort!D11</f>
        <v>912000</v>
      </c>
      <c r="E12" s="37" t="n">
        <f aca="false">Capex_Amort!E11</f>
        <v>893600</v>
      </c>
      <c r="F12" s="37" t="n">
        <f aca="false">Capex_Amort!F11</f>
        <v>822280</v>
      </c>
      <c r="G12" s="37" t="n">
        <f aca="false">Capex_Amort!G11</f>
        <v>695394</v>
      </c>
    </row>
    <row r="13" customFormat="false" ht="15" hidden="false" customHeight="false" outlineLevel="0" collapsed="false">
      <c r="A13" s="5"/>
      <c r="B13" s="8" t="s">
        <v>412</v>
      </c>
      <c r="C13" s="37" t="n">
        <f aca="false">Capex_Amort!C22</f>
        <v>3312500</v>
      </c>
      <c r="D13" s="37" t="n">
        <f aca="false">Capex_Amort!D22</f>
        <v>2218416.66666667</v>
      </c>
      <c r="E13" s="37" t="n">
        <f aca="false">Capex_Amort!E22</f>
        <v>2575772.5</v>
      </c>
      <c r="F13" s="37" t="n">
        <f aca="false">Capex_Amort!F22</f>
        <v>2873359.24166667</v>
      </c>
      <c r="G13" s="37" t="n">
        <f aca="false">Capex_Amort!G22</f>
        <v>3121784.448125</v>
      </c>
    </row>
    <row r="14" customFormat="false" ht="15" hidden="false" customHeight="false" outlineLevel="0" collapsed="false">
      <c r="A14" s="5"/>
      <c r="B14" s="8" t="s">
        <v>413</v>
      </c>
      <c r="C14" s="25" t="n">
        <f aca="false">Opening_Other_NCA</f>
        <v>200000</v>
      </c>
      <c r="D14" s="25" t="n">
        <f aca="false">C14</f>
        <v>200000</v>
      </c>
      <c r="E14" s="25" t="n">
        <f aca="false">D14</f>
        <v>200000</v>
      </c>
      <c r="F14" s="25" t="n">
        <f aca="false">E14</f>
        <v>200000</v>
      </c>
      <c r="G14" s="25" t="n">
        <f aca="false">F14</f>
        <v>200000</v>
      </c>
    </row>
    <row r="15" customFormat="false" ht="15" hidden="false" customHeight="false" outlineLevel="0" collapsed="false">
      <c r="A15" s="5"/>
      <c r="B15" s="28" t="s">
        <v>414</v>
      </c>
      <c r="C15" s="30" t="n">
        <f aca="false">SUM(C12:C14)</f>
        <v>4392500</v>
      </c>
      <c r="D15" s="30" t="n">
        <f aca="false">SUM(D12:D14)</f>
        <v>3330416.66666667</v>
      </c>
      <c r="E15" s="30" t="n">
        <f aca="false">SUM(E12:E14)</f>
        <v>3669372.5</v>
      </c>
      <c r="F15" s="30" t="n">
        <f aca="false">SUM(F12:F14)</f>
        <v>3895639.24166667</v>
      </c>
      <c r="G15" s="30" t="n">
        <f aca="false">SUM(G12:G14)</f>
        <v>4017178.448125</v>
      </c>
    </row>
    <row r="16" customFormat="false" ht="15" hidden="false" customHeight="false" outlineLevel="0" collapsed="false">
      <c r="A16" s="5"/>
      <c r="B16" s="31" t="s">
        <v>415</v>
      </c>
      <c r="C16" s="32" t="n">
        <f aca="false">C10+C15</f>
        <v>19673463.2919079</v>
      </c>
      <c r="D16" s="32" t="n">
        <f aca="false">D10+D15</f>
        <v>16043901.0851845</v>
      </c>
      <c r="E16" s="32" t="n">
        <f aca="false">E10+E15</f>
        <v>41544015.0013439</v>
      </c>
      <c r="F16" s="32" t="n">
        <f aca="false">F10+F15</f>
        <v>48214989.3497035</v>
      </c>
      <c r="G16" s="32" t="n">
        <f aca="false">G10+G15</f>
        <v>92624093.5822706</v>
      </c>
    </row>
    <row r="17" customFormat="false" ht="15" hidden="false" customHeight="false" outlineLevel="0" collapsed="false">
      <c r="A17" s="5"/>
      <c r="B17" s="19" t="s">
        <v>416</v>
      </c>
      <c r="C17" s="20"/>
      <c r="D17" s="20"/>
      <c r="E17" s="20"/>
      <c r="F17" s="20"/>
      <c r="G17" s="20"/>
    </row>
    <row r="18" customFormat="false" ht="15" hidden="false" customHeight="false" outlineLevel="0" collapsed="false">
      <c r="A18" s="5"/>
      <c r="B18" s="8" t="s">
        <v>417</v>
      </c>
      <c r="C18" s="37" t="n">
        <f aca="false">Working_Capital!C17</f>
        <v>2204361.58960599</v>
      </c>
      <c r="D18" s="37" t="n">
        <f aca="false">Working_Capital!D17</f>
        <v>2845062.06708092</v>
      </c>
      <c r="E18" s="37" t="n">
        <f aca="false">Working_Capital!E17</f>
        <v>3613170.61138992</v>
      </c>
      <c r="F18" s="37" t="n">
        <f aca="false">Working_Capital!F17</f>
        <v>4322274.26866088</v>
      </c>
      <c r="G18" s="37" t="n">
        <f aca="false">Working_Capital!G17</f>
        <v>5135440.64537239</v>
      </c>
    </row>
    <row r="19" customFormat="false" ht="15" hidden="false" customHeight="false" outlineLevel="0" collapsed="false">
      <c r="A19" s="5"/>
      <c r="B19" s="8" t="s">
        <v>418</v>
      </c>
      <c r="C19" s="37" t="n">
        <f aca="false">Working_Capital!C23</f>
        <v>2924550</v>
      </c>
      <c r="D19" s="37" t="n">
        <f aca="false">Working_Capital!D23</f>
        <v>3757050</v>
      </c>
      <c r="E19" s="37" t="n">
        <f aca="false">Working_Capital!E23</f>
        <v>4832337.75</v>
      </c>
      <c r="F19" s="37" t="n">
        <f aca="false">Working_Capital!F23</f>
        <v>6193002.7275</v>
      </c>
      <c r="G19" s="37" t="n">
        <f aca="false">Working_Capital!G23</f>
        <v>7784258.5684125</v>
      </c>
    </row>
    <row r="20" customFormat="false" ht="15" hidden="false" customHeight="false" outlineLevel="0" collapsed="false">
      <c r="A20" s="5"/>
      <c r="B20" s="8" t="s">
        <v>419</v>
      </c>
      <c r="C20" s="37" t="n">
        <f aca="false">Working_Capital!C31</f>
        <v>570111.001271007</v>
      </c>
      <c r="D20" s="37" t="n">
        <f aca="false">Working_Capital!D31</f>
        <v>664990.989973168</v>
      </c>
      <c r="E20" s="37" t="n">
        <f aca="false">Working_Capital!E31</f>
        <v>775533.437120463</v>
      </c>
      <c r="F20" s="37" t="n">
        <f aca="false">Working_Capital!F31</f>
        <v>903860.916025102</v>
      </c>
      <c r="G20" s="37" t="n">
        <f aca="false">Working_Capital!G31</f>
        <v>1053690.66069347</v>
      </c>
    </row>
    <row r="21" customFormat="false" ht="15" hidden="false" customHeight="false" outlineLevel="0" collapsed="false">
      <c r="A21" s="5"/>
      <c r="B21" s="8" t="s">
        <v>420</v>
      </c>
      <c r="C21" s="25" t="n">
        <f aca="false">MIN(Income_Statement!C39,Income_Statement!C40)</f>
        <v>1000000</v>
      </c>
      <c r="D21" s="25" t="n">
        <f aca="false">MIN(Income_Statement!D39,Income_Statement!D40)</f>
        <v>1000000</v>
      </c>
      <c r="E21" s="25" t="n">
        <f aca="false">MIN(Income_Statement!E39,Income_Statement!E40)</f>
        <v>1000000</v>
      </c>
      <c r="F21" s="25" t="n">
        <f aca="false">MIN(Income_Statement!F39,Income_Statement!F40)</f>
        <v>1000000</v>
      </c>
      <c r="G21" s="25" t="n">
        <f aca="false">MIN(Income_Statement!G39,Income_Statement!G40)</f>
        <v>0</v>
      </c>
    </row>
    <row r="22" customFormat="false" ht="15" hidden="false" customHeight="false" outlineLevel="0" collapsed="false">
      <c r="A22" s="5"/>
      <c r="B22" s="28" t="s">
        <v>421</v>
      </c>
      <c r="C22" s="30" t="n">
        <f aca="false">SUM(C18:C21)</f>
        <v>6699022.590877</v>
      </c>
      <c r="D22" s="30" t="n">
        <f aca="false">SUM(D18:D21)</f>
        <v>8267103.05705409</v>
      </c>
      <c r="E22" s="30" t="n">
        <f aca="false">SUM(E18:E21)</f>
        <v>10221041.7985104</v>
      </c>
      <c r="F22" s="30" t="n">
        <f aca="false">SUM(F18:F21)</f>
        <v>12419137.912186</v>
      </c>
      <c r="G22" s="30" t="n">
        <f aca="false">SUM(G18:G21)</f>
        <v>13973389.8744784</v>
      </c>
    </row>
    <row r="23" customFormat="false" ht="15" hidden="false" customHeight="false" outlineLevel="0" collapsed="false">
      <c r="A23" s="5"/>
      <c r="B23" s="19" t="s">
        <v>422</v>
      </c>
      <c r="C23" s="20"/>
      <c r="D23" s="20"/>
      <c r="E23" s="20"/>
      <c r="F23" s="20"/>
      <c r="G23" s="20"/>
    </row>
    <row r="24" customFormat="false" ht="15" hidden="false" customHeight="false" outlineLevel="0" collapsed="false">
      <c r="A24" s="5"/>
      <c r="B24" s="8" t="s">
        <v>423</v>
      </c>
      <c r="C24" s="25" t="n">
        <f aca="false">MAX(0,Income_Statement!C40-C21)</f>
        <v>3000000</v>
      </c>
      <c r="D24" s="25" t="n">
        <f aca="false">MAX(0,Income_Statement!D40-D21)</f>
        <v>2000000</v>
      </c>
      <c r="E24" s="25" t="n">
        <f aca="false">MAX(0,Income_Statement!E40-E21)</f>
        <v>1000000</v>
      </c>
      <c r="F24" s="25" t="n">
        <f aca="false">MAX(0,Income_Statement!F40-F21)</f>
        <v>0</v>
      </c>
      <c r="G24" s="25" t="n">
        <f aca="false">MAX(0,Income_Statement!G40-G21)</f>
        <v>0</v>
      </c>
    </row>
    <row r="25" customFormat="false" ht="15" hidden="false" customHeight="false" outlineLevel="0" collapsed="false">
      <c r="A25" s="5"/>
      <c r="B25" s="28" t="s">
        <v>424</v>
      </c>
      <c r="C25" s="30" t="n">
        <f aca="false">C24</f>
        <v>3000000</v>
      </c>
      <c r="D25" s="30" t="n">
        <f aca="false">D24</f>
        <v>2000000</v>
      </c>
      <c r="E25" s="30" t="n">
        <f aca="false">E24</f>
        <v>1000000</v>
      </c>
      <c r="F25" s="30" t="n">
        <f aca="false">F24</f>
        <v>0</v>
      </c>
      <c r="G25" s="30" t="n">
        <f aca="false">G24</f>
        <v>0</v>
      </c>
    </row>
    <row r="26" customFormat="false" ht="15" hidden="false" customHeight="false" outlineLevel="0" collapsed="false">
      <c r="A26" s="5"/>
      <c r="B26" s="31" t="s">
        <v>425</v>
      </c>
      <c r="C26" s="32" t="n">
        <f aca="false">C22+C25</f>
        <v>9699022.590877</v>
      </c>
      <c r="D26" s="32" t="n">
        <f aca="false">D22+D25</f>
        <v>10267103.0570541</v>
      </c>
      <c r="E26" s="32" t="n">
        <f aca="false">E22+E25</f>
        <v>11221041.7985104</v>
      </c>
      <c r="F26" s="32" t="n">
        <f aca="false">F22+F25</f>
        <v>12419137.912186</v>
      </c>
      <c r="G26" s="32" t="n">
        <f aca="false">G22+G25</f>
        <v>13973389.8744784</v>
      </c>
    </row>
    <row r="27" customFormat="false" ht="15" hidden="false" customHeight="false" outlineLevel="0" collapsed="false">
      <c r="A27" s="5"/>
      <c r="B27" s="19" t="s">
        <v>426</v>
      </c>
      <c r="C27" s="20"/>
      <c r="D27" s="20"/>
      <c r="E27" s="20"/>
      <c r="F27" s="20"/>
      <c r="G27" s="20"/>
    </row>
    <row r="28" customFormat="false" ht="15" hidden="false" customHeight="false" outlineLevel="0" collapsed="false">
      <c r="A28" s="5"/>
      <c r="B28" s="8" t="s">
        <v>427</v>
      </c>
      <c r="C28" s="25" t="n">
        <f aca="false">Opening_Share_Capital+Equity_Raise_Y1+Income_Statement!C31</f>
        <v>41389080.4123711</v>
      </c>
      <c r="D28" s="25" t="n">
        <f aca="false">C28+Equity_Raise_Y2+Income_Statement!D31</f>
        <v>43117659.3814433</v>
      </c>
      <c r="E28" s="25" t="n">
        <f aca="false">D28+Equity_Raise_Y3+Income_Statement!E31</f>
        <v>70276984.8360825</v>
      </c>
      <c r="F28" s="25" t="n">
        <f aca="false">E28+Equity_Raise_Y4+Income_Statement!F31</f>
        <v>72980104.4187268</v>
      </c>
      <c r="G28" s="25" t="n">
        <f aca="false">F28+Equity_Raise_Y5+Income_Statement!G31</f>
        <v>106351763.849477</v>
      </c>
    </row>
    <row r="29" customFormat="false" ht="15" hidden="false" customHeight="false" outlineLevel="0" collapsed="false">
      <c r="A29" s="5"/>
      <c r="B29" s="8" t="s">
        <v>428</v>
      </c>
      <c r="C29" s="25" t="n">
        <f aca="false">Opening_Ret_Earnings+Income_Statement!C54</f>
        <v>-31414639.7113402</v>
      </c>
      <c r="D29" s="25" t="n">
        <f aca="false">C29+Income_Statement!D54</f>
        <v>-37340861.3533129</v>
      </c>
      <c r="E29" s="25" t="n">
        <f aca="false">D29+Income_Statement!E54</f>
        <v>-39954011.633249</v>
      </c>
      <c r="F29" s="25" t="n">
        <f aca="false">E29+Income_Statement!F54</f>
        <v>-37184252.9812093</v>
      </c>
      <c r="G29" s="25" t="n">
        <f aca="false">F29+Income_Statement!G54</f>
        <v>-27701060.1416843</v>
      </c>
    </row>
    <row r="30" customFormat="false" ht="15" hidden="false" customHeight="false" outlineLevel="0" collapsed="false">
      <c r="A30" s="5"/>
      <c r="B30" s="31" t="s">
        <v>429</v>
      </c>
      <c r="C30" s="32" t="n">
        <f aca="false">C28+C29</f>
        <v>9974440.70103093</v>
      </c>
      <c r="D30" s="32" t="n">
        <f aca="false">D28+D29</f>
        <v>5776798.02813044</v>
      </c>
      <c r="E30" s="32" t="n">
        <f aca="false">E28+E29</f>
        <v>30322973.2028335</v>
      </c>
      <c r="F30" s="32" t="n">
        <f aca="false">F28+F29</f>
        <v>35795851.4375175</v>
      </c>
      <c r="G30" s="32" t="n">
        <f aca="false">G28+G29</f>
        <v>78650703.7077923</v>
      </c>
    </row>
    <row r="31" customFormat="false" ht="15" hidden="false" customHeight="false" outlineLevel="0" collapsed="false">
      <c r="A31" s="5"/>
      <c r="B31" s="28" t="s">
        <v>430</v>
      </c>
      <c r="C31" s="30" t="n">
        <f aca="false">C26+C30</f>
        <v>19673463.2919079</v>
      </c>
      <c r="D31" s="30" t="n">
        <f aca="false">D26+D30</f>
        <v>16043901.0851845</v>
      </c>
      <c r="E31" s="30" t="n">
        <f aca="false">E26+E30</f>
        <v>41544015.0013439</v>
      </c>
      <c r="F31" s="30" t="n">
        <f aca="false">F26+F30</f>
        <v>48214989.3497034</v>
      </c>
      <c r="G31" s="30" t="n">
        <f aca="false">G26+G30</f>
        <v>92624093.5822706</v>
      </c>
    </row>
    <row r="32" customFormat="false" ht="15" hidden="false" customHeight="false" outlineLevel="0" collapsed="false">
      <c r="A32" s="5"/>
      <c r="B32" s="35" t="s">
        <v>431</v>
      </c>
      <c r="C32" s="40" t="n">
        <f aca="false">C16-C31</f>
        <v>0</v>
      </c>
      <c r="D32" s="40" t="n">
        <f aca="false">D16-D31</f>
        <v>0</v>
      </c>
      <c r="E32" s="40" t="n">
        <f aca="false">E16-E31</f>
        <v>0</v>
      </c>
      <c r="F32" s="40" t="n">
        <f aca="false">F16-F31</f>
        <v>0</v>
      </c>
      <c r="G32" s="40" t="n">
        <f aca="false">G16-G31</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4C7E7"/>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14" min="3" style="0" width="11"/>
    <col collapsed="false" customWidth="true" hidden="false" outlineLevel="0" max="15" min="15" style="0" width="14"/>
  </cols>
  <sheetData>
    <row r="1" customFormat="false" ht="25.5" hidden="false" customHeight="true" outlineLevel="0" collapsed="false">
      <c r="A1" s="1"/>
      <c r="B1" s="3" t="s">
        <v>432</v>
      </c>
      <c r="C1" s="1"/>
      <c r="D1" s="1"/>
      <c r="E1" s="1"/>
      <c r="F1" s="1"/>
      <c r="G1" s="1"/>
      <c r="H1" s="1"/>
      <c r="I1" s="1"/>
      <c r="J1" s="1"/>
      <c r="K1" s="1"/>
      <c r="L1" s="1"/>
      <c r="M1" s="1"/>
      <c r="N1" s="1"/>
      <c r="O1" s="1"/>
      <c r="P1" s="2"/>
      <c r="Q1" s="2"/>
      <c r="R1" s="2"/>
      <c r="S1" s="2"/>
      <c r="T1" s="2"/>
      <c r="U1" s="2"/>
      <c r="V1" s="2"/>
      <c r="W1" s="2"/>
      <c r="X1" s="2"/>
      <c r="Y1" s="2"/>
      <c r="Z1" s="2"/>
      <c r="AA1" s="2"/>
      <c r="AB1" s="2"/>
      <c r="AC1" s="2"/>
      <c r="AD1" s="2"/>
    </row>
    <row r="2" customFormat="false" ht="21.75" hidden="false" customHeight="true" outlineLevel="0" collapsed="false">
      <c r="A2" s="1"/>
      <c r="B2" s="17" t="s">
        <v>433</v>
      </c>
      <c r="C2" s="1"/>
      <c r="D2" s="1"/>
      <c r="E2" s="1"/>
      <c r="F2" s="1"/>
      <c r="G2" s="1"/>
      <c r="H2" s="1"/>
      <c r="I2" s="1"/>
      <c r="J2" s="1"/>
      <c r="K2" s="1"/>
      <c r="L2" s="1"/>
      <c r="M2" s="1"/>
      <c r="N2" s="1"/>
      <c r="O2" s="1"/>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1"/>
      <c r="I3" s="1"/>
      <c r="J3" s="1"/>
      <c r="K3" s="1"/>
      <c r="L3" s="1"/>
      <c r="M3" s="1"/>
      <c r="N3" s="1"/>
      <c r="O3" s="1"/>
      <c r="P3" s="2"/>
      <c r="Q3" s="2"/>
      <c r="R3" s="2"/>
      <c r="S3" s="2"/>
      <c r="T3" s="2"/>
      <c r="U3" s="2"/>
      <c r="V3" s="2"/>
      <c r="W3" s="2"/>
      <c r="X3" s="2"/>
      <c r="Y3" s="2"/>
      <c r="Z3" s="2"/>
      <c r="AA3" s="2"/>
      <c r="AB3" s="2"/>
      <c r="AC3" s="2"/>
      <c r="AD3" s="2"/>
    </row>
    <row r="4" customFormat="false" ht="15" hidden="false" customHeight="false" outlineLevel="0" collapsed="false">
      <c r="A4" s="5"/>
      <c r="B4" s="6"/>
      <c r="C4" s="18" t="s">
        <v>434</v>
      </c>
      <c r="D4" s="18" t="s">
        <v>435</v>
      </c>
      <c r="E4" s="18" t="s">
        <v>436</v>
      </c>
      <c r="F4" s="18" t="s">
        <v>437</v>
      </c>
      <c r="G4" s="18" t="s">
        <v>438</v>
      </c>
      <c r="H4" s="18" t="s">
        <v>439</v>
      </c>
      <c r="I4" s="18" t="s">
        <v>440</v>
      </c>
      <c r="J4" s="18" t="s">
        <v>441</v>
      </c>
      <c r="K4" s="18" t="s">
        <v>442</v>
      </c>
      <c r="L4" s="18" t="s">
        <v>443</v>
      </c>
      <c r="M4" s="18" t="s">
        <v>444</v>
      </c>
      <c r="N4" s="18" t="s">
        <v>445</v>
      </c>
      <c r="O4" s="18" t="s">
        <v>446</v>
      </c>
    </row>
    <row r="5" customFormat="false" ht="15" hidden="false" customHeight="false" outlineLevel="0" collapsed="false">
      <c r="A5" s="5"/>
      <c r="B5" s="5"/>
      <c r="C5" s="5"/>
      <c r="D5" s="5"/>
      <c r="E5" s="5"/>
      <c r="F5" s="5"/>
      <c r="G5" s="5"/>
      <c r="H5" s="5"/>
      <c r="I5" s="5"/>
      <c r="J5" s="5"/>
      <c r="K5" s="5"/>
      <c r="L5" s="5"/>
      <c r="M5" s="5"/>
      <c r="N5" s="5"/>
      <c r="O5" s="5"/>
    </row>
    <row r="6" customFormat="false" ht="15" hidden="false" customHeight="false" outlineLevel="0" collapsed="false">
      <c r="A6" s="5"/>
      <c r="B6" s="19" t="s">
        <v>447</v>
      </c>
      <c r="C6" s="20"/>
      <c r="D6" s="20"/>
      <c r="E6" s="20"/>
      <c r="F6" s="20"/>
      <c r="G6" s="20"/>
      <c r="H6" s="20"/>
      <c r="I6" s="20"/>
      <c r="J6" s="20"/>
      <c r="K6" s="20"/>
      <c r="L6" s="20"/>
      <c r="M6" s="20"/>
      <c r="N6" s="20"/>
      <c r="O6" s="5"/>
    </row>
    <row r="7" customFormat="false" ht="15" hidden="false" customHeight="false" outlineLevel="0" collapsed="false">
      <c r="A7" s="5"/>
      <c r="B7" s="8" t="s">
        <v>448</v>
      </c>
      <c r="C7" s="33" t="n">
        <f aca="false">Seas_Q1/3</f>
        <v>0.06</v>
      </c>
      <c r="D7" s="33" t="n">
        <f aca="false">Seas_Q1/3</f>
        <v>0.06</v>
      </c>
      <c r="E7" s="33" t="n">
        <f aca="false">Seas_Q1/3</f>
        <v>0.06</v>
      </c>
      <c r="F7" s="33" t="n">
        <f aca="false">Seas_Q2/3</f>
        <v>0.0733333333333333</v>
      </c>
      <c r="G7" s="33" t="n">
        <f aca="false">Seas_Q2/3</f>
        <v>0.0733333333333333</v>
      </c>
      <c r="H7" s="33" t="n">
        <f aca="false">Seas_Q2/3</f>
        <v>0.0733333333333333</v>
      </c>
      <c r="I7" s="33" t="n">
        <f aca="false">Seas_Q3/3</f>
        <v>0.0833333333333333</v>
      </c>
      <c r="J7" s="33" t="n">
        <f aca="false">Seas_Q3/3</f>
        <v>0.0833333333333333</v>
      </c>
      <c r="K7" s="33" t="n">
        <f aca="false">Seas_Q3/3</f>
        <v>0.0833333333333333</v>
      </c>
      <c r="L7" s="33" t="n">
        <f aca="false">Seas_Q4/3</f>
        <v>0.116666666666667</v>
      </c>
      <c r="M7" s="33" t="n">
        <f aca="false">Seas_Q4/3</f>
        <v>0.116666666666667</v>
      </c>
      <c r="N7" s="33" t="n">
        <f aca="false">Seas_Q4/3</f>
        <v>0.116666666666667</v>
      </c>
      <c r="O7" s="5"/>
    </row>
    <row r="8" customFormat="false" ht="15" hidden="false" customHeight="false" outlineLevel="0" collapsed="false">
      <c r="A8" s="5"/>
      <c r="B8" s="8" t="s">
        <v>449</v>
      </c>
      <c r="C8" s="33" t="n">
        <f aca="false">1/12</f>
        <v>0.0833333333333333</v>
      </c>
      <c r="D8" s="33" t="n">
        <f aca="false">1/12</f>
        <v>0.0833333333333333</v>
      </c>
      <c r="E8" s="33" t="n">
        <f aca="false">1/12</f>
        <v>0.0833333333333333</v>
      </c>
      <c r="F8" s="33" t="n">
        <f aca="false">1/12</f>
        <v>0.0833333333333333</v>
      </c>
      <c r="G8" s="33" t="n">
        <f aca="false">1/12</f>
        <v>0.0833333333333333</v>
      </c>
      <c r="H8" s="33" t="n">
        <f aca="false">1/12</f>
        <v>0.0833333333333333</v>
      </c>
      <c r="I8" s="33" t="n">
        <f aca="false">1/12</f>
        <v>0.0833333333333333</v>
      </c>
      <c r="J8" s="33" t="n">
        <f aca="false">1/12</f>
        <v>0.0833333333333333</v>
      </c>
      <c r="K8" s="33" t="n">
        <f aca="false">1/12</f>
        <v>0.0833333333333333</v>
      </c>
      <c r="L8" s="33" t="n">
        <f aca="false">1/12</f>
        <v>0.0833333333333333</v>
      </c>
      <c r="M8" s="33" t="n">
        <f aca="false">1/12</f>
        <v>0.0833333333333333</v>
      </c>
      <c r="N8" s="33" t="n">
        <f aca="false">1/12</f>
        <v>0.0833333333333333</v>
      </c>
      <c r="O8" s="5"/>
    </row>
    <row r="9" customFormat="false" ht="15" hidden="false" customHeight="false" outlineLevel="0" collapsed="false">
      <c r="A9" s="5"/>
      <c r="B9" s="8" t="s">
        <v>450</v>
      </c>
      <c r="C9" s="33" t="n">
        <f aca="false">1/12</f>
        <v>0.0833333333333333</v>
      </c>
      <c r="D9" s="33" t="n">
        <f aca="false">1/12</f>
        <v>0.0833333333333333</v>
      </c>
      <c r="E9" s="33" t="n">
        <f aca="false">1/12</f>
        <v>0.0833333333333333</v>
      </c>
      <c r="F9" s="33" t="n">
        <f aca="false">1/12</f>
        <v>0.0833333333333333</v>
      </c>
      <c r="G9" s="33" t="n">
        <f aca="false">1/12</f>
        <v>0.0833333333333333</v>
      </c>
      <c r="H9" s="33" t="n">
        <f aca="false">1/12</f>
        <v>0.0833333333333333</v>
      </c>
      <c r="I9" s="33" t="n">
        <f aca="false">1/12</f>
        <v>0.0833333333333333</v>
      </c>
      <c r="J9" s="33" t="n">
        <f aca="false">1/12</f>
        <v>0.0833333333333333</v>
      </c>
      <c r="K9" s="33" t="n">
        <f aca="false">1/12</f>
        <v>0.0833333333333333</v>
      </c>
      <c r="L9" s="33" t="n">
        <f aca="false">1/12</f>
        <v>0.0833333333333333</v>
      </c>
      <c r="M9" s="33" t="n">
        <f aca="false">1/12</f>
        <v>0.0833333333333333</v>
      </c>
      <c r="N9" s="33" t="n">
        <f aca="false">1/12</f>
        <v>0.0833333333333333</v>
      </c>
      <c r="O9" s="5"/>
    </row>
    <row r="10" customFormat="false" ht="15" hidden="false" customHeight="false" outlineLevel="0" collapsed="false">
      <c r="A10" s="5"/>
      <c r="B10" s="19" t="s">
        <v>313</v>
      </c>
      <c r="C10" s="20"/>
      <c r="D10" s="20"/>
      <c r="E10" s="20"/>
      <c r="F10" s="20"/>
      <c r="G10" s="20"/>
      <c r="H10" s="20"/>
      <c r="I10" s="20"/>
      <c r="J10" s="20"/>
      <c r="K10" s="20"/>
      <c r="L10" s="20"/>
      <c r="M10" s="20"/>
      <c r="N10" s="20"/>
      <c r="O10" s="5"/>
    </row>
    <row r="11" customFormat="false" ht="15" hidden="false" customHeight="false" outlineLevel="0" collapsed="false">
      <c r="A11" s="5"/>
      <c r="B11" s="8" t="s">
        <v>222</v>
      </c>
      <c r="C11" s="25" t="n">
        <f aca="false">Ad_Revenue!$C$23*C7</f>
        <v>339768</v>
      </c>
      <c r="D11" s="25" t="n">
        <f aca="false">Ad_Revenue!$C$23*D7</f>
        <v>339768</v>
      </c>
      <c r="E11" s="25" t="n">
        <f aca="false">Ad_Revenue!$C$23*E7</f>
        <v>339768</v>
      </c>
      <c r="F11" s="25" t="n">
        <f aca="false">Ad_Revenue!$C$23*F7</f>
        <v>415272</v>
      </c>
      <c r="G11" s="25" t="n">
        <f aca="false">Ad_Revenue!$C$23*G7</f>
        <v>415272</v>
      </c>
      <c r="H11" s="25" t="n">
        <f aca="false">Ad_Revenue!$C$23*H7</f>
        <v>415272</v>
      </c>
      <c r="I11" s="25" t="n">
        <f aca="false">Ad_Revenue!$C$23*I7</f>
        <v>471900</v>
      </c>
      <c r="J11" s="25" t="n">
        <f aca="false">Ad_Revenue!$C$23*J7</f>
        <v>471900</v>
      </c>
      <c r="K11" s="25" t="n">
        <f aca="false">Ad_Revenue!$C$23*K7</f>
        <v>471900</v>
      </c>
      <c r="L11" s="25" t="n">
        <f aca="false">Ad_Revenue!$C$23*L7</f>
        <v>660660</v>
      </c>
      <c r="M11" s="25" t="n">
        <f aca="false">Ad_Revenue!$C$23*M7</f>
        <v>660660</v>
      </c>
      <c r="N11" s="25" t="n">
        <f aca="false">Ad_Revenue!$C$23*N7</f>
        <v>660660</v>
      </c>
      <c r="O11" s="5"/>
    </row>
    <row r="12" customFormat="false" ht="15" hidden="false" customHeight="false" outlineLevel="0" collapsed="false">
      <c r="A12" s="5"/>
      <c r="B12" s="8" t="s">
        <v>451</v>
      </c>
      <c r="C12" s="25" t="n">
        <f aca="false">(Ad_Revenue!$C$22+Ad_Revenue!$C$25)*C8</f>
        <v>1457378.35051546</v>
      </c>
      <c r="D12" s="25" t="n">
        <f aca="false">(Ad_Revenue!$C$22+Ad_Revenue!$C$25)*D8</f>
        <v>1457378.35051546</v>
      </c>
      <c r="E12" s="25" t="n">
        <f aca="false">(Ad_Revenue!$C$22+Ad_Revenue!$C$25)*E8</f>
        <v>1457378.35051546</v>
      </c>
      <c r="F12" s="25" t="n">
        <f aca="false">(Ad_Revenue!$C$22+Ad_Revenue!$C$25)*F8</f>
        <v>1457378.35051546</v>
      </c>
      <c r="G12" s="25" t="n">
        <f aca="false">(Ad_Revenue!$C$22+Ad_Revenue!$C$25)*G8</f>
        <v>1457378.35051546</v>
      </c>
      <c r="H12" s="25" t="n">
        <f aca="false">(Ad_Revenue!$C$22+Ad_Revenue!$C$25)*H8</f>
        <v>1457378.35051546</v>
      </c>
      <c r="I12" s="25" t="n">
        <f aca="false">(Ad_Revenue!$C$22+Ad_Revenue!$C$25)*I8</f>
        <v>1457378.35051546</v>
      </c>
      <c r="J12" s="25" t="n">
        <f aca="false">(Ad_Revenue!$C$22+Ad_Revenue!$C$25)*J8</f>
        <v>1457378.35051546</v>
      </c>
      <c r="K12" s="25" t="n">
        <f aca="false">(Ad_Revenue!$C$22+Ad_Revenue!$C$25)*K8</f>
        <v>1457378.35051546</v>
      </c>
      <c r="L12" s="25" t="n">
        <f aca="false">(Ad_Revenue!$C$22+Ad_Revenue!$C$25)*L8</f>
        <v>1457378.35051546</v>
      </c>
      <c r="M12" s="25" t="n">
        <f aca="false">(Ad_Revenue!$C$22+Ad_Revenue!$C$25)*M8</f>
        <v>1457378.35051546</v>
      </c>
      <c r="N12" s="25" t="n">
        <f aca="false">(Ad_Revenue!$C$22+Ad_Revenue!$C$25)*N8</f>
        <v>1457378.35051546</v>
      </c>
      <c r="O12" s="5"/>
    </row>
    <row r="13" customFormat="false" ht="15" hidden="false" customHeight="false" outlineLevel="0" collapsed="false">
      <c r="A13" s="5"/>
      <c r="B13" s="35" t="s">
        <v>228</v>
      </c>
      <c r="C13" s="30" t="n">
        <f aca="false">C11+C12</f>
        <v>1797146.35051546</v>
      </c>
      <c r="D13" s="30" t="n">
        <f aca="false">D11+D12</f>
        <v>1797146.35051546</v>
      </c>
      <c r="E13" s="30" t="n">
        <f aca="false">E11+E12</f>
        <v>1797146.35051546</v>
      </c>
      <c r="F13" s="30" t="n">
        <f aca="false">F11+F12</f>
        <v>1872650.35051546</v>
      </c>
      <c r="G13" s="30" t="n">
        <f aca="false">G11+G12</f>
        <v>1872650.35051546</v>
      </c>
      <c r="H13" s="30" t="n">
        <f aca="false">H11+H12</f>
        <v>1872650.35051546</v>
      </c>
      <c r="I13" s="30" t="n">
        <f aca="false">I11+I12</f>
        <v>1929278.35051546</v>
      </c>
      <c r="J13" s="30" t="n">
        <f aca="false">J11+J12</f>
        <v>1929278.35051546</v>
      </c>
      <c r="K13" s="30" t="n">
        <f aca="false">K11+K12</f>
        <v>1929278.35051546</v>
      </c>
      <c r="L13" s="30" t="n">
        <f aca="false">L11+L12</f>
        <v>2118038.35051546</v>
      </c>
      <c r="M13" s="30" t="n">
        <f aca="false">M11+M12</f>
        <v>2118038.35051546</v>
      </c>
      <c r="N13" s="30" t="n">
        <f aca="false">N11+N12</f>
        <v>2118038.35051546</v>
      </c>
      <c r="O13" s="30" t="n">
        <f aca="false">SUM(C13:N13)</f>
        <v>23151340.2061856</v>
      </c>
    </row>
    <row r="14" customFormat="false" ht="15" hidden="false" customHeight="false" outlineLevel="0" collapsed="false">
      <c r="A14" s="5"/>
      <c r="B14" s="19" t="s">
        <v>452</v>
      </c>
      <c r="C14" s="20"/>
      <c r="D14" s="20"/>
      <c r="E14" s="20"/>
      <c r="F14" s="20"/>
      <c r="G14" s="20"/>
      <c r="H14" s="20"/>
      <c r="I14" s="20"/>
      <c r="J14" s="20"/>
      <c r="K14" s="20"/>
      <c r="L14" s="20"/>
      <c r="M14" s="20"/>
      <c r="N14" s="20"/>
      <c r="O14" s="5"/>
    </row>
    <row r="15" customFormat="false" ht="15" hidden="false" customHeight="false" outlineLevel="0" collapsed="false">
      <c r="A15" s="5"/>
      <c r="B15" s="8" t="s">
        <v>320</v>
      </c>
      <c r="C15" s="25" t="n">
        <f aca="false">Income_Statement!$C$17*(C13/Income_Statement!$C$10)</f>
        <v>437587.908176139</v>
      </c>
      <c r="D15" s="25" t="n">
        <f aca="false">Income_Statement!$C$17*(D13/Income_Statement!$C$10)</f>
        <v>437587.908176139</v>
      </c>
      <c r="E15" s="25" t="n">
        <f aca="false">Income_Statement!$C$17*(E13/Income_Statement!$C$10)</f>
        <v>437587.908176139</v>
      </c>
      <c r="F15" s="25" t="n">
        <f aca="false">Income_Statement!$C$17*(F13/Income_Statement!$C$10)</f>
        <v>455972.408364148</v>
      </c>
      <c r="G15" s="25" t="n">
        <f aca="false">Income_Statement!$C$17*(G13/Income_Statement!$C$10)</f>
        <v>455972.408364148</v>
      </c>
      <c r="H15" s="25" t="n">
        <f aca="false">Income_Statement!$C$17*(H13/Income_Statement!$C$10)</f>
        <v>455972.408364148</v>
      </c>
      <c r="I15" s="25" t="n">
        <f aca="false">Income_Statement!$C$17*(I13/Income_Statement!$C$10)</f>
        <v>469760.783505155</v>
      </c>
      <c r="J15" s="25" t="n">
        <f aca="false">Income_Statement!$C$17*(J13/Income_Statement!$C$10)</f>
        <v>469760.783505155</v>
      </c>
      <c r="K15" s="25" t="n">
        <f aca="false">Income_Statement!$C$17*(K13/Income_Statement!$C$10)</f>
        <v>469760.783505155</v>
      </c>
      <c r="L15" s="25" t="n">
        <f aca="false">Income_Statement!$C$17*(L13/Income_Statement!$C$10)</f>
        <v>515722.033975177</v>
      </c>
      <c r="M15" s="25" t="n">
        <f aca="false">Income_Statement!$C$17*(M13/Income_Statement!$C$10)</f>
        <v>515722.033975177</v>
      </c>
      <c r="N15" s="25" t="n">
        <f aca="false">Income_Statement!$C$17*(N13/Income_Statement!$C$10)</f>
        <v>515722.033975177</v>
      </c>
      <c r="O15" s="5"/>
    </row>
    <row r="16" customFormat="false" ht="15" hidden="false" customHeight="false" outlineLevel="0" collapsed="false">
      <c r="A16" s="5"/>
      <c r="B16" s="8" t="s">
        <v>453</v>
      </c>
      <c r="C16" s="25" t="n">
        <f aca="false">Income_Statement!$C$32*C9</f>
        <v>1716050.04295533</v>
      </c>
      <c r="D16" s="25" t="n">
        <f aca="false">Income_Statement!$C$32*D9</f>
        <v>1716050.04295533</v>
      </c>
      <c r="E16" s="25" t="n">
        <f aca="false">Income_Statement!$C$32*E9</f>
        <v>1716050.04295533</v>
      </c>
      <c r="F16" s="25" t="n">
        <f aca="false">Income_Statement!$C$32*F9</f>
        <v>1716050.04295533</v>
      </c>
      <c r="G16" s="25" t="n">
        <f aca="false">Income_Statement!$C$32*G9</f>
        <v>1716050.04295533</v>
      </c>
      <c r="H16" s="25" t="n">
        <f aca="false">Income_Statement!$C$32*H9</f>
        <v>1716050.04295533</v>
      </c>
      <c r="I16" s="25" t="n">
        <f aca="false">Income_Statement!$C$32*I9</f>
        <v>1716050.04295533</v>
      </c>
      <c r="J16" s="25" t="n">
        <f aca="false">Income_Statement!$C$32*J9</f>
        <v>1716050.04295533</v>
      </c>
      <c r="K16" s="25" t="n">
        <f aca="false">Income_Statement!$C$32*K9</f>
        <v>1716050.04295533</v>
      </c>
      <c r="L16" s="25" t="n">
        <f aca="false">Income_Statement!$C$32*L9</f>
        <v>1716050.04295533</v>
      </c>
      <c r="M16" s="25" t="n">
        <f aca="false">Income_Statement!$C$32*M9</f>
        <v>1716050.04295533</v>
      </c>
      <c r="N16" s="25" t="n">
        <f aca="false">Income_Statement!$C$32*N9</f>
        <v>1716050.04295533</v>
      </c>
      <c r="O16" s="5"/>
    </row>
    <row r="17" customFormat="false" ht="15" hidden="false" customHeight="false" outlineLevel="0" collapsed="false">
      <c r="A17" s="5"/>
      <c r="B17" s="35" t="s">
        <v>454</v>
      </c>
      <c r="C17" s="30" t="n">
        <f aca="false">C13-C15-C16</f>
        <v>-356491.600616002</v>
      </c>
      <c r="D17" s="30" t="n">
        <f aca="false">D13-D15-D16</f>
        <v>-356491.600616002</v>
      </c>
      <c r="E17" s="30" t="n">
        <f aca="false">E13-E15-E16</f>
        <v>-356491.600616002</v>
      </c>
      <c r="F17" s="30" t="n">
        <f aca="false">F13-F15-F16</f>
        <v>-299372.10080401</v>
      </c>
      <c r="G17" s="30" t="n">
        <f aca="false">G13-G15-G16</f>
        <v>-299372.10080401</v>
      </c>
      <c r="H17" s="30" t="n">
        <f aca="false">H13-H15-H16</f>
        <v>-299372.10080401</v>
      </c>
      <c r="I17" s="30" t="n">
        <f aca="false">I13-I15-I16</f>
        <v>-256532.475945017</v>
      </c>
      <c r="J17" s="30" t="n">
        <f aca="false">J13-J15-J16</f>
        <v>-256532.475945017</v>
      </c>
      <c r="K17" s="30" t="n">
        <f aca="false">K13-K15-K16</f>
        <v>-256532.475945017</v>
      </c>
      <c r="L17" s="30" t="n">
        <f aca="false">L13-L15-L16</f>
        <v>-113733.72641504</v>
      </c>
      <c r="M17" s="30" t="n">
        <f aca="false">M13-M15-M16</f>
        <v>-113733.72641504</v>
      </c>
      <c r="N17" s="30" t="n">
        <f aca="false">N13-N15-N16</f>
        <v>-113733.72641504</v>
      </c>
      <c r="O17" s="30" t="n">
        <f aca="false">SUM(C17:N17)</f>
        <v>-3078389.71134021</v>
      </c>
    </row>
    <row r="18" customFormat="false" ht="15" hidden="false" customHeight="false" outlineLevel="0" collapsed="false">
      <c r="A18" s="5"/>
      <c r="B18" s="19" t="s">
        <v>455</v>
      </c>
      <c r="C18" s="20"/>
      <c r="D18" s="20"/>
      <c r="E18" s="20"/>
      <c r="F18" s="20"/>
      <c r="G18" s="20"/>
      <c r="H18" s="20"/>
      <c r="I18" s="20"/>
      <c r="J18" s="20"/>
      <c r="K18" s="20"/>
      <c r="L18" s="20"/>
      <c r="M18" s="20"/>
      <c r="N18" s="20"/>
      <c r="O18" s="5"/>
    </row>
    <row r="19" customFormat="false" ht="15" hidden="false" customHeight="false" outlineLevel="0" collapsed="false">
      <c r="A19" s="5"/>
      <c r="B19" s="8" t="s">
        <v>456</v>
      </c>
      <c r="C19" s="25" t="n">
        <f aca="false">C17</f>
        <v>-356491.600616002</v>
      </c>
      <c r="D19" s="25" t="n">
        <f aca="false">D17</f>
        <v>-356491.600616002</v>
      </c>
      <c r="E19" s="25" t="n">
        <f aca="false">E17</f>
        <v>-356491.600616002</v>
      </c>
      <c r="F19" s="25" t="n">
        <f aca="false">F17</f>
        <v>-299372.10080401</v>
      </c>
      <c r="G19" s="25" t="n">
        <f aca="false">G17</f>
        <v>-299372.10080401</v>
      </c>
      <c r="H19" s="25" t="n">
        <f aca="false">H17</f>
        <v>-299372.10080401</v>
      </c>
      <c r="I19" s="25" t="n">
        <f aca="false">I17</f>
        <v>-256532.475945017</v>
      </c>
      <c r="J19" s="25" t="n">
        <f aca="false">J17</f>
        <v>-256532.475945017</v>
      </c>
      <c r="K19" s="25" t="n">
        <f aca="false">K17</f>
        <v>-256532.475945017</v>
      </c>
      <c r="L19" s="25" t="n">
        <f aca="false">L17</f>
        <v>-113733.72641504</v>
      </c>
      <c r="M19" s="25" t="n">
        <f aca="false">M17</f>
        <v>-113733.72641504</v>
      </c>
      <c r="N19" s="25" t="n">
        <f aca="false">N17</f>
        <v>-113733.72641504</v>
      </c>
      <c r="O19" s="5"/>
    </row>
    <row r="20" customFormat="false" ht="15" hidden="false" customHeight="false" outlineLevel="0" collapsed="false">
      <c r="A20" s="5"/>
      <c r="B20" s="35" t="s">
        <v>457</v>
      </c>
      <c r="C20" s="30" t="n">
        <f aca="false">Opening_Cash+C19</f>
        <v>11643508.399384</v>
      </c>
      <c r="D20" s="30" t="n">
        <f aca="false">C20+D19</f>
        <v>11287016.798768</v>
      </c>
      <c r="E20" s="30" t="n">
        <f aca="false">D20+E19</f>
        <v>10930525.198152</v>
      </c>
      <c r="F20" s="30" t="n">
        <f aca="false">E20+F19</f>
        <v>10631153.097348</v>
      </c>
      <c r="G20" s="30" t="n">
        <f aca="false">F20+G19</f>
        <v>10331780.996544</v>
      </c>
      <c r="H20" s="30" t="n">
        <f aca="false">G20+H19</f>
        <v>10032408.89574</v>
      </c>
      <c r="I20" s="30" t="n">
        <f aca="false">H20+I19</f>
        <v>9775876.41979495</v>
      </c>
      <c r="J20" s="30" t="n">
        <f aca="false">I20+J19</f>
        <v>9519343.94384993</v>
      </c>
      <c r="K20" s="30" t="n">
        <f aca="false">J20+K19</f>
        <v>9262811.46790491</v>
      </c>
      <c r="L20" s="30" t="n">
        <f aca="false">K20+L19</f>
        <v>9149077.74148987</v>
      </c>
      <c r="M20" s="30" t="n">
        <f aca="false">L20+M19</f>
        <v>9035344.01507483</v>
      </c>
      <c r="N20" s="30" t="n">
        <f aca="false">M20+N19</f>
        <v>8921610.28865979</v>
      </c>
      <c r="O20"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4"/>
  </cols>
  <sheetData>
    <row r="1" customFormat="false" ht="25.5" hidden="false" customHeight="true" outlineLevel="0" collapsed="false">
      <c r="A1" s="1"/>
      <c r="B1" s="3" t="s">
        <v>458</v>
      </c>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459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48</v>
      </c>
      <c r="D4" s="18" t="s">
        <v>49</v>
      </c>
      <c r="E4" s="18" t="s">
        <v>50</v>
      </c>
      <c r="F4" s="18" t="s">
        <v>51</v>
      </c>
      <c r="G4" s="18" t="s">
        <v>52</v>
      </c>
    </row>
    <row r="5" customFormat="false" ht="15" hidden="false" customHeight="false" outlineLevel="0" collapsed="false">
      <c r="A5" s="5"/>
      <c r="B5" s="5"/>
      <c r="C5" s="5"/>
      <c r="D5" s="5"/>
      <c r="E5" s="5"/>
      <c r="F5" s="5"/>
      <c r="G5" s="5"/>
    </row>
    <row r="6" customFormat="false" ht="15" hidden="false" customHeight="false" outlineLevel="0" collapsed="false">
      <c r="A6" s="5"/>
      <c r="B6" s="19" t="s">
        <v>460</v>
      </c>
      <c r="C6" s="20"/>
      <c r="D6" s="20"/>
      <c r="E6" s="20"/>
      <c r="F6" s="20"/>
      <c r="G6" s="20"/>
    </row>
    <row r="7" customFormat="false" ht="15" hidden="false" customHeight="false" outlineLevel="0" collapsed="false">
      <c r="A7" s="5"/>
      <c r="B7" s="8" t="s">
        <v>461</v>
      </c>
      <c r="C7" s="25" t="n">
        <f aca="false">Staffing!C19+Income_Statement!C24</f>
        <v>9250000</v>
      </c>
      <c r="D7" s="25" t="n">
        <f aca="false">Staffing!D19+Income_Statement!D24</f>
        <v>11089000</v>
      </c>
      <c r="E7" s="25" t="n">
        <f aca="false">Staffing!E19+Income_Statement!E24</f>
        <v>12928480</v>
      </c>
      <c r="F7" s="25" t="n">
        <f aca="false">Staffing!F19+Income_Statement!F24</f>
        <v>14606770.6</v>
      </c>
      <c r="G7" s="25" t="n">
        <f aca="false">Staffing!G19+Income_Statement!G24</f>
        <v>16281472.6825</v>
      </c>
    </row>
    <row r="8" customFormat="false" ht="15" hidden="false" customHeight="false" outlineLevel="0" collapsed="false">
      <c r="A8" s="5"/>
      <c r="B8" s="8" t="s">
        <v>195</v>
      </c>
      <c r="C8" s="39" t="n">
        <f aca="false">SaaS_Metrics!C8</f>
        <v>200</v>
      </c>
      <c r="D8" s="39" t="n">
        <f aca="false">SaaS_Metrics!D8</f>
        <v>250</v>
      </c>
      <c r="E8" s="39" t="n">
        <f aca="false">SaaS_Metrics!E8</f>
        <v>310</v>
      </c>
      <c r="F8" s="39" t="n">
        <f aca="false">SaaS_Metrics!F8</f>
        <v>380</v>
      </c>
      <c r="G8" s="39" t="n">
        <f aca="false">SaaS_Metrics!G8</f>
        <v>450</v>
      </c>
    </row>
    <row r="9" customFormat="false" ht="15" hidden="false" customHeight="false" outlineLevel="0" collapsed="false">
      <c r="A9" s="5"/>
      <c r="B9" s="8" t="s">
        <v>462</v>
      </c>
      <c r="C9" s="25" t="n">
        <f aca="false">C7/MAX(1,C8)</f>
        <v>46250</v>
      </c>
      <c r="D9" s="25" t="n">
        <f aca="false">D7/MAX(1,D8)</f>
        <v>44356</v>
      </c>
      <c r="E9" s="25" t="n">
        <f aca="false">E7/MAX(1,E8)</f>
        <v>41704.7741935484</v>
      </c>
      <c r="F9" s="25" t="n">
        <f aca="false">F7/MAX(1,F8)</f>
        <v>38438.87</v>
      </c>
      <c r="G9" s="25" t="n">
        <f aca="false">G7/MAX(1,G8)</f>
        <v>36181.0504055556</v>
      </c>
    </row>
    <row r="10" customFormat="false" ht="15" hidden="false" customHeight="false" outlineLevel="0" collapsed="false">
      <c r="A10" s="5"/>
      <c r="B10" s="8" t="s">
        <v>463</v>
      </c>
      <c r="C10" s="25" t="n">
        <f aca="false">ARPA_Y1</f>
        <v>1500</v>
      </c>
      <c r="D10" s="25" t="n">
        <f aca="false">ARPA_Y2</f>
        <v>1575</v>
      </c>
      <c r="E10" s="25" t="n">
        <f aca="false">ARPA_Y3</f>
        <v>1654</v>
      </c>
      <c r="F10" s="25" t="n">
        <f aca="false">ARPA_Y4</f>
        <v>1736</v>
      </c>
      <c r="G10" s="25" t="n">
        <f aca="false">ARPA_Y5</f>
        <v>1823</v>
      </c>
    </row>
    <row r="11" customFormat="false" ht="15" hidden="false" customHeight="false" outlineLevel="0" collapsed="false">
      <c r="A11" s="5"/>
      <c r="B11" s="8" t="s">
        <v>464</v>
      </c>
      <c r="C11" s="25" t="n">
        <f aca="false">C10*12</f>
        <v>18000</v>
      </c>
      <c r="D11" s="25" t="n">
        <f aca="false">D10*12</f>
        <v>18900</v>
      </c>
      <c r="E11" s="25" t="n">
        <f aca="false">E10*12</f>
        <v>19848</v>
      </c>
      <c r="F11" s="25" t="n">
        <f aca="false">F10*12</f>
        <v>20832</v>
      </c>
      <c r="G11" s="25" t="n">
        <f aca="false">G10*12</f>
        <v>21876</v>
      </c>
    </row>
    <row r="12" customFormat="false" ht="15" hidden="false" customHeight="false" outlineLevel="0" collapsed="false">
      <c r="A12" s="5"/>
      <c r="B12" s="8" t="s">
        <v>322</v>
      </c>
      <c r="C12" s="41" t="n">
        <f aca="false">Income_Statement!C19</f>
        <v>0.756509586405899</v>
      </c>
      <c r="D12" s="41" t="n">
        <f aca="false">Income_Statement!D19</f>
        <v>0.768910443585268</v>
      </c>
      <c r="E12" s="41" t="n">
        <f aca="false">Income_Statement!E19</f>
        <v>0.788720221893264</v>
      </c>
      <c r="F12" s="41" t="n">
        <f aca="false">Income_Statement!F19</f>
        <v>0.810062766923574</v>
      </c>
      <c r="G12" s="41" t="n">
        <f aca="false">Income_Statement!G19</f>
        <v>0.832761213666013</v>
      </c>
    </row>
    <row r="13" customFormat="false" ht="15" hidden="false" customHeight="false" outlineLevel="0" collapsed="false">
      <c r="A13" s="5"/>
      <c r="B13" s="8" t="s">
        <v>465</v>
      </c>
      <c r="C13" s="33" t="n">
        <f aca="false">Gross_Churn_Y1</f>
        <v>0.12</v>
      </c>
      <c r="D13" s="33" t="n">
        <f aca="false">Gross_Churn_Y2</f>
        <v>0.115</v>
      </c>
      <c r="E13" s="33" t="n">
        <f aca="false">Gross_Churn_Y3</f>
        <v>0.11</v>
      </c>
      <c r="F13" s="33" t="n">
        <f aca="false">Gross_Churn_Y4</f>
        <v>0.105</v>
      </c>
      <c r="G13" s="33" t="n">
        <f aca="false">Gross_Churn_Y5</f>
        <v>0.1</v>
      </c>
    </row>
    <row r="14" customFormat="false" ht="15" hidden="false" customHeight="false" outlineLevel="0" collapsed="false">
      <c r="A14" s="5"/>
      <c r="B14" s="8" t="s">
        <v>466</v>
      </c>
      <c r="C14" s="25" t="n">
        <f aca="false">C11*C12/C13</f>
        <v>113476.437960885</v>
      </c>
      <c r="D14" s="25" t="n">
        <f aca="false">D11*D12/D13</f>
        <v>126368.759858796</v>
      </c>
      <c r="E14" s="25" t="n">
        <f aca="false">E11*E12/E13</f>
        <v>142313.808764886</v>
      </c>
      <c r="F14" s="25" t="n">
        <f aca="false">F11*F12/F13</f>
        <v>160716.452957637</v>
      </c>
      <c r="G14" s="25" t="n">
        <f aca="false">G11*G12/G13</f>
        <v>182174.843101577</v>
      </c>
    </row>
    <row r="15" customFormat="false" ht="15" hidden="false" customHeight="false" outlineLevel="0" collapsed="false">
      <c r="A15" s="5"/>
      <c r="B15" s="8" t="s">
        <v>467</v>
      </c>
      <c r="C15" s="42" t="n">
        <f aca="false">C14/MAX(1,C9)</f>
        <v>2.45354460455967</v>
      </c>
      <c r="D15" s="42" t="n">
        <f aca="false">D14/MAX(1,D9)</f>
        <v>2.84896654023799</v>
      </c>
      <c r="E15" s="42" t="n">
        <f aca="false">E14/MAX(1,E9)</f>
        <v>3.41241048577364</v>
      </c>
      <c r="F15" s="42" t="n">
        <f aca="false">F14/MAX(1,F9)</f>
        <v>4.18109202891857</v>
      </c>
      <c r="G15" s="42" t="n">
        <f aca="false">G14/MAX(1,G9)</f>
        <v>5.03508994513892</v>
      </c>
    </row>
    <row r="16" customFormat="false" ht="15" hidden="false" customHeight="false" outlineLevel="0" collapsed="false">
      <c r="A16" s="5"/>
      <c r="B16" s="8" t="s">
        <v>468</v>
      </c>
      <c r="C16" s="43" t="n">
        <f aca="false">C9/MAX(1,C10*C12)</f>
        <v>40.7573597048775</v>
      </c>
      <c r="D16" s="43" t="n">
        <f aca="false">D9/MAX(1,D10*D12)</f>
        <v>36.6265537391113</v>
      </c>
      <c r="E16" s="43" t="n">
        <f aca="false">E9/MAX(1,E10*E12)</f>
        <v>31.9688705522708</v>
      </c>
      <c r="F16" s="43" t="n">
        <f aca="false">F9/MAX(1,F10*F12)</f>
        <v>27.3339389554824</v>
      </c>
      <c r="G16" s="43" t="n">
        <f aca="false">G9/MAX(1,G10*G12)</f>
        <v>23.8327420775974</v>
      </c>
    </row>
    <row r="17" customFormat="false" ht="15" hidden="false" customHeight="false" outlineLevel="0" collapsed="false">
      <c r="A17" s="5"/>
      <c r="B17" s="19" t="s">
        <v>469</v>
      </c>
      <c r="C17" s="20"/>
      <c r="D17" s="20"/>
      <c r="E17" s="20"/>
      <c r="F17" s="20"/>
      <c r="G17" s="20"/>
    </row>
    <row r="18" customFormat="false" ht="15" hidden="false" customHeight="false" outlineLevel="0" collapsed="false">
      <c r="A18" s="5"/>
      <c r="B18" s="8" t="s">
        <v>470</v>
      </c>
      <c r="C18" s="41" t="n">
        <f aca="false">SaaS_Metrics!C23</f>
        <v>1</v>
      </c>
      <c r="D18" s="41" t="n">
        <f aca="false">SaaS_Metrics!D23</f>
        <v>1.005</v>
      </c>
      <c r="E18" s="41" t="n">
        <f aca="false">SaaS_Metrics!E23</f>
        <v>1.01</v>
      </c>
      <c r="F18" s="41" t="n">
        <f aca="false">SaaS_Metrics!F23</f>
        <v>1.015</v>
      </c>
      <c r="G18" s="41" t="n">
        <f aca="false">SaaS_Metrics!G23</f>
        <v>1.02</v>
      </c>
    </row>
    <row r="19" customFormat="false" ht="15" hidden="false" customHeight="false" outlineLevel="0" collapsed="false">
      <c r="A19" s="5"/>
      <c r="B19" s="8" t="s">
        <v>471</v>
      </c>
      <c r="C19" s="41" t="n">
        <f aca="false">SaaS_Metrics!C24</f>
        <v>0.85</v>
      </c>
      <c r="D19" s="41" t="n">
        <f aca="false">SaaS_Metrics!D24</f>
        <v>0.855</v>
      </c>
      <c r="E19" s="41" t="n">
        <f aca="false">SaaS_Metrics!E24</f>
        <v>0.86</v>
      </c>
      <c r="F19" s="41" t="n">
        <f aca="false">SaaS_Metrics!F24</f>
        <v>0.865</v>
      </c>
      <c r="G19" s="41" t="n">
        <f aca="false">SaaS_Metrics!G24</f>
        <v>0.87</v>
      </c>
    </row>
    <row r="20" customFormat="false" ht="15" hidden="false" customHeight="false" outlineLevel="0" collapsed="false">
      <c r="A20" s="5"/>
      <c r="B20" s="19" t="s">
        <v>472</v>
      </c>
      <c r="C20" s="20"/>
      <c r="D20" s="20"/>
      <c r="E20" s="20"/>
      <c r="F20" s="20"/>
      <c r="G20" s="20"/>
    </row>
    <row r="21" customFormat="false" ht="15" hidden="false" customHeight="false" outlineLevel="0" collapsed="false">
      <c r="A21" s="5"/>
      <c r="B21" s="8" t="s">
        <v>229</v>
      </c>
      <c r="C21" s="41" t="n">
        <f aca="false">Ad_Revenue!C27</f>
        <v>0</v>
      </c>
      <c r="D21" s="41" t="n">
        <f aca="false">Ad_Revenue!D27</f>
        <v>0.244405258095543</v>
      </c>
      <c r="E21" s="41" t="n">
        <f aca="false">Ad_Revenue!E27</f>
        <v>0.249191094693359</v>
      </c>
      <c r="F21" s="41" t="n">
        <f aca="false">Ad_Revenue!F27</f>
        <v>0.251835186232278</v>
      </c>
      <c r="G21" s="41" t="n">
        <f aca="false">Ad_Revenue!G27</f>
        <v>0.247321595536467</v>
      </c>
    </row>
    <row r="22" customFormat="false" ht="15" hidden="false" customHeight="false" outlineLevel="0" collapsed="false">
      <c r="A22" s="5"/>
      <c r="B22" s="8" t="s">
        <v>337</v>
      </c>
      <c r="C22" s="41" t="n">
        <f aca="false">Income_Statement!C34</f>
        <v>-0.132968099640198</v>
      </c>
      <c r="D22" s="41" t="n">
        <f aca="false">Income_Statement!D34</f>
        <v>-0.0794849429833791</v>
      </c>
      <c r="E22" s="41" t="n">
        <f aca="false">Income_Statement!E34</f>
        <v>0.0014483076731795</v>
      </c>
      <c r="F22" s="41" t="n">
        <f aca="false">Income_Statement!F34</f>
        <v>0.103610493332247</v>
      </c>
      <c r="G22" s="41" t="n">
        <f aca="false">Income_Statement!G34</f>
        <v>0.203422715248007</v>
      </c>
    </row>
    <row r="23" customFormat="false" ht="15" hidden="false" customHeight="false" outlineLevel="0" collapsed="false">
      <c r="A23" s="5"/>
      <c r="B23" s="8" t="s">
        <v>473</v>
      </c>
      <c r="C23" s="33" t="n">
        <f aca="false">C21+C22</f>
        <v>-0.132968099640198</v>
      </c>
      <c r="D23" s="33" t="n">
        <f aca="false">D21+D22</f>
        <v>0.164920315112164</v>
      </c>
      <c r="E23" s="33" t="n">
        <f aca="false">E21+E22</f>
        <v>0.250639402366539</v>
      </c>
      <c r="F23" s="33" t="n">
        <f aca="false">F21+F22</f>
        <v>0.355445679564525</v>
      </c>
      <c r="G23" s="33" t="n">
        <f aca="false">G21+G22</f>
        <v>0.450744310784474</v>
      </c>
    </row>
    <row r="24" customFormat="false" ht="15" hidden="false" customHeight="false" outlineLevel="0" collapsed="false">
      <c r="A24" s="5"/>
      <c r="B24" s="8" t="s">
        <v>474</v>
      </c>
      <c r="C24" s="25" t="n">
        <f aca="false">Cash_Flow!C12+Cash_Flow!C16</f>
        <v>-5243443.59977404</v>
      </c>
      <c r="D24" s="25" t="n">
        <f aca="false">Cash_Flow!D12+Cash_Flow!D16</f>
        <v>-2677559.88948948</v>
      </c>
      <c r="E24" s="25" t="n">
        <f aca="false">Cash_Flow!E12+Cash_Flow!E16</f>
        <v>-258059.333499341</v>
      </c>
      <c r="F24" s="25" t="n">
        <f aca="false">Cash_Flow!F12+Cash_Flow!F16</f>
        <v>5640601.67297661</v>
      </c>
      <c r="G24" s="25" t="n">
        <f aca="false">Cash_Flow!G12+Cash_Flow!G16</f>
        <v>13052405.3050285</v>
      </c>
    </row>
    <row r="25" customFormat="false" ht="15" hidden="false" customHeight="false" outlineLevel="0" collapsed="false">
      <c r="A25" s="5"/>
      <c r="B25" s="8" t="s">
        <v>475</v>
      </c>
      <c r="C25" s="33" t="n">
        <f aca="false">C24/Ad_Revenue!C26</f>
        <v>-0.226485531855866</v>
      </c>
      <c r="D25" s="33" t="n">
        <f aca="false">D24/Ad_Revenue!D26</f>
        <v>-0.0929396899093373</v>
      </c>
      <c r="E25" s="33" t="n">
        <f aca="false">E24/Ad_Revenue!E26</f>
        <v>-0.00717055410831888</v>
      </c>
      <c r="F25" s="33" t="n">
        <f aca="false">F24/Ad_Revenue!F26</f>
        <v>0.12520204527819</v>
      </c>
      <c r="G25" s="33" t="n">
        <f aca="false">G24/Ad_Revenue!G26</f>
        <v>0.232272664065467</v>
      </c>
    </row>
    <row r="26" customFormat="false" ht="15" hidden="false" customHeight="false" outlineLevel="0" collapsed="false">
      <c r="A26" s="5"/>
      <c r="B26" s="19" t="s">
        <v>476</v>
      </c>
      <c r="C26" s="20"/>
      <c r="D26" s="20"/>
      <c r="E26" s="20"/>
      <c r="F26" s="20"/>
      <c r="G26" s="20"/>
    </row>
    <row r="27" customFormat="false" ht="15" hidden="false" customHeight="false" outlineLevel="0" collapsed="false">
      <c r="A27" s="5"/>
      <c r="B27" s="8" t="s">
        <v>477</v>
      </c>
      <c r="C27" s="43" t="n">
        <f aca="false">IF(Cash_Flow!C12&gt;=0,Runway_Cap,Cash_Flow!C24/(-Cash_Flow!C12/12))</f>
        <v>43.3922595633097</v>
      </c>
      <c r="D27" s="43" t="n">
        <f aca="false">IF(Cash_Flow!D12&gt;=0,Runway_Cap,Cash_Flow!D24/(-Cash_Flow!D12/12))</f>
        <v>4399.19442185851</v>
      </c>
      <c r="E27" s="43" t="n">
        <f aca="false">IF(Cash_Flow!E12&gt;=0,Runway_Cap,Cash_Flow!E24/(-Cash_Flow!E12/12))</f>
        <v>999</v>
      </c>
      <c r="F27" s="43" t="n">
        <f aca="false">IF(Cash_Flow!F12&gt;=0,Runway_Cap,Cash_Flow!F24/(-Cash_Flow!F12/12))</f>
        <v>999</v>
      </c>
      <c r="G27" s="43" t="n">
        <f aca="false">IF(Cash_Flow!G12&gt;=0,Runway_Cap,Cash_Flow!G24/(-Cash_Flow!G12/12))</f>
        <v>999</v>
      </c>
    </row>
    <row r="28" customFormat="false" ht="15" hidden="false" customHeight="false" outlineLevel="0" collapsed="false">
      <c r="A28" s="5"/>
      <c r="B28" s="8" t="s">
        <v>478</v>
      </c>
      <c r="C28" s="25" t="n">
        <f aca="false">Ad_Revenue!C26*(1-Stress_Top_Cust)</f>
        <v>20373179.3814433</v>
      </c>
      <c r="D28" s="25" t="n">
        <f aca="false">Ad_Revenue!D26*(1-Stress_Top_Cust)</f>
        <v>25352491.5463918</v>
      </c>
      <c r="E28" s="25" t="n">
        <f aca="false">Ad_Revenue!E26*(1-Stress_Top_Cust)</f>
        <v>31670106.6680412</v>
      </c>
      <c r="F28" s="25" t="n">
        <f aca="false">Ad_Revenue!F26*(1-Stress_Top_Cust)</f>
        <v>39645753.8787835</v>
      </c>
      <c r="G28" s="25" t="n">
        <f aca="false">Ad_Revenue!G26*(1-Stress_Top_Cust)</f>
        <v>49451004.9843303</v>
      </c>
    </row>
    <row r="29" customFormat="false" ht="15" hidden="false" customHeight="false" outlineLevel="0" collapsed="false">
      <c r="A29" s="5"/>
      <c r="B29" s="8" t="s">
        <v>479</v>
      </c>
      <c r="C29" s="25" t="n">
        <f aca="false">Ad_Revenue!C23*Top5_Advertiser_Conc</f>
        <v>2265120</v>
      </c>
      <c r="D29" s="25" t="n">
        <f aca="false">Ad_Revenue!D23*Top5_Advertiser_Conc</f>
        <v>2776950</v>
      </c>
      <c r="E29" s="25" t="n">
        <f aca="false">Ad_Revenue!E23*Top5_Advertiser_Conc</f>
        <v>3321450</v>
      </c>
      <c r="F29" s="25" t="n">
        <f aca="false">Ad_Revenue!F23*Top5_Advertiser_Conc</f>
        <v>3887956.512</v>
      </c>
      <c r="G29" s="25" t="n">
        <f aca="false">Ad_Revenue!G23*Top5_Advertiser_Conc</f>
        <v>4417063.497</v>
      </c>
    </row>
    <row r="30" customFormat="false" ht="15" hidden="false" customHeight="false" outlineLevel="0" collapsed="false">
      <c r="A30" s="5"/>
      <c r="B30" s="8" t="s">
        <v>480</v>
      </c>
      <c r="C30" s="25" t="n">
        <f aca="false">Ad_Revenue!C19*Top5_Publisher_Conc</f>
        <v>6388800</v>
      </c>
      <c r="D30" s="25" t="n">
        <f aca="false">Ad_Revenue!D19*Top5_Publisher_Conc</f>
        <v>8984250</v>
      </c>
      <c r="E30" s="25" t="n">
        <f aca="false">Ad_Revenue!E19*Top5_Publisher_Conc</f>
        <v>12178650</v>
      </c>
      <c r="F30" s="25" t="n">
        <f aca="false">Ad_Revenue!F19*Top5_Publisher_Conc</f>
        <v>14945639.28</v>
      </c>
      <c r="G30" s="25" t="n">
        <f aca="false">Ad_Revenue!G19*Top5_Publisher_Conc</f>
        <v>18179070.855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6"/>
    <col collapsed="false" customWidth="true" hidden="false" outlineLevel="0" max="8" min="3" style="0" width="12"/>
  </cols>
  <sheetData>
    <row r="1" customFormat="false" ht="25.5" hidden="false" customHeight="true" outlineLevel="0" collapsed="false">
      <c r="A1" s="1"/>
      <c r="B1" s="3" t="s">
        <v>481</v>
      </c>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482</v>
      </c>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48</v>
      </c>
      <c r="D4" s="18" t="s">
        <v>49</v>
      </c>
      <c r="E4" s="18" t="s">
        <v>50</v>
      </c>
      <c r="F4" s="18" t="s">
        <v>51</v>
      </c>
      <c r="G4" s="18" t="s">
        <v>52</v>
      </c>
      <c r="H4" s="18" t="s">
        <v>483</v>
      </c>
    </row>
    <row r="5" customFormat="false" ht="15" hidden="false" customHeight="false" outlineLevel="0" collapsed="false">
      <c r="A5" s="5"/>
      <c r="B5" s="5"/>
      <c r="C5" s="5"/>
      <c r="D5" s="5"/>
      <c r="E5" s="5"/>
      <c r="F5" s="5"/>
      <c r="G5" s="5"/>
      <c r="H5" s="5"/>
    </row>
    <row r="6" customFormat="false" ht="15" hidden="false" customHeight="false" outlineLevel="0" collapsed="false">
      <c r="A6" s="5"/>
      <c r="B6" s="8" t="s">
        <v>484</v>
      </c>
      <c r="C6" s="44" t="n">
        <f aca="false">ABS(Balance_Sheet!C32)&lt;0.01</f>
        <v>1</v>
      </c>
      <c r="D6" s="44" t="n">
        <f aca="false">ABS(Balance_Sheet!D32)&lt;0.01</f>
        <v>1</v>
      </c>
      <c r="E6" s="44" t="n">
        <f aca="false">ABS(Balance_Sheet!E32)&lt;0.01</f>
        <v>1</v>
      </c>
      <c r="F6" s="44" t="n">
        <f aca="false">ABS(Balance_Sheet!F32)&lt;0.01</f>
        <v>1</v>
      </c>
      <c r="G6" s="44" t="n">
        <f aca="false">ABS(Balance_Sheet!G32)&lt;0.01</f>
        <v>1</v>
      </c>
      <c r="H6" s="45" t="n">
        <f aca="false">AND(C6,D6,E6,F6,G6)</f>
        <v>1</v>
      </c>
    </row>
    <row r="7" customFormat="false" ht="15" hidden="false" customHeight="false" outlineLevel="0" collapsed="false">
      <c r="A7" s="5"/>
      <c r="B7" s="8" t="s">
        <v>485</v>
      </c>
      <c r="C7" s="44" t="n">
        <f aca="false">Income_Statement!C19&gt;=Threshold_GM_Min</f>
        <v>1</v>
      </c>
      <c r="D7" s="44" t="n">
        <f aca="false">Income_Statement!D19&gt;=Threshold_GM_Min</f>
        <v>1</v>
      </c>
      <c r="E7" s="44" t="n">
        <f aca="false">Income_Statement!E19&gt;=Threshold_GM_Min</f>
        <v>1</v>
      </c>
      <c r="F7" s="44" t="n">
        <f aca="false">Income_Statement!F19&gt;=Threshold_GM_Min</f>
        <v>1</v>
      </c>
      <c r="G7" s="44" t="n">
        <f aca="false">Income_Statement!G19&gt;=Threshold_GM_Min</f>
        <v>1</v>
      </c>
      <c r="H7" s="45" t="n">
        <f aca="false">AND(C7,D7,E7,F7,G7)</f>
        <v>1</v>
      </c>
    </row>
    <row r="8" customFormat="false" ht="15" hidden="false" customHeight="false" outlineLevel="0" collapsed="false">
      <c r="A8" s="5"/>
      <c r="B8" s="8" t="s">
        <v>486</v>
      </c>
      <c r="C8" s="44" t="n">
        <f aca="false">Income_Statement!C19&lt;=Threshold_GM_Max</f>
        <v>1</v>
      </c>
      <c r="D8" s="44" t="n">
        <f aca="false">Income_Statement!D19&lt;=Threshold_GM_Max</f>
        <v>1</v>
      </c>
      <c r="E8" s="44" t="n">
        <f aca="false">Income_Statement!E19&lt;=Threshold_GM_Max</f>
        <v>1</v>
      </c>
      <c r="F8" s="44" t="n">
        <f aca="false">Income_Statement!F19&lt;=Threshold_GM_Max</f>
        <v>1</v>
      </c>
      <c r="G8" s="44" t="n">
        <f aca="false">Income_Statement!G19&lt;=Threshold_GM_Max</f>
        <v>1</v>
      </c>
      <c r="H8" s="45" t="n">
        <f aca="false">AND(C8,D8,E8,F8,G8)</f>
        <v>1</v>
      </c>
    </row>
    <row r="9" customFormat="false" ht="15" hidden="false" customHeight="false" outlineLevel="0" collapsed="false">
      <c r="A9" s="5"/>
      <c r="B9" s="8" t="s">
        <v>487</v>
      </c>
      <c r="C9" s="44" t="n">
        <f aca="false">SaaS_Metrics!C23&gt;=Threshold_NRR_Min</f>
        <v>1</v>
      </c>
      <c r="D9" s="44" t="n">
        <f aca="false">SaaS_Metrics!D23&gt;=Threshold_NRR_Min</f>
        <v>1</v>
      </c>
      <c r="E9" s="44" t="n">
        <f aca="false">SaaS_Metrics!E23&gt;=Threshold_NRR_Min</f>
        <v>1</v>
      </c>
      <c r="F9" s="44" t="n">
        <f aca="false">SaaS_Metrics!F23&gt;=Threshold_NRR_Min</f>
        <v>1</v>
      </c>
      <c r="G9" s="44" t="n">
        <f aca="false">SaaS_Metrics!G23&gt;=Threshold_NRR_Min</f>
        <v>1</v>
      </c>
      <c r="H9" s="45" t="n">
        <f aca="false">AND(C9,D9,E9,F9,G9)</f>
        <v>1</v>
      </c>
    </row>
    <row r="10" customFormat="false" ht="15" hidden="false" customHeight="false" outlineLevel="0" collapsed="false">
      <c r="A10" s="5"/>
      <c r="B10" s="8" t="s">
        <v>488</v>
      </c>
      <c r="C10" s="44" t="n">
        <f aca="false">SaaS_Metrics!C23&lt;=Threshold_NRR_Max</f>
        <v>1</v>
      </c>
      <c r="D10" s="44" t="n">
        <f aca="false">SaaS_Metrics!D23&lt;=Threshold_NRR_Max</f>
        <v>1</v>
      </c>
      <c r="E10" s="44" t="n">
        <f aca="false">SaaS_Metrics!E23&lt;=Threshold_NRR_Max</f>
        <v>1</v>
      </c>
      <c r="F10" s="44" t="n">
        <f aca="false">SaaS_Metrics!F23&lt;=Threshold_NRR_Max</f>
        <v>1</v>
      </c>
      <c r="G10" s="44" t="n">
        <f aca="false">SaaS_Metrics!G23&lt;=Threshold_NRR_Max</f>
        <v>1</v>
      </c>
      <c r="H10" s="45" t="n">
        <f aca="false">AND(C10,D10,E10,F10,G10)</f>
        <v>1</v>
      </c>
    </row>
    <row r="11" customFormat="false" ht="15" hidden="false" customHeight="false" outlineLevel="0" collapsed="false">
      <c r="A11" s="5"/>
      <c r="B11" s="8" t="s">
        <v>489</v>
      </c>
      <c r="C11" s="44" t="n">
        <f aca="false">Cash_Flow!C24&gt;0</f>
        <v>1</v>
      </c>
      <c r="D11" s="44" t="n">
        <f aca="false">Cash_Flow!D24&gt;0</f>
        <v>1</v>
      </c>
      <c r="E11" s="44" t="n">
        <f aca="false">Cash_Flow!E24&gt;0</f>
        <v>1</v>
      </c>
      <c r="F11" s="44" t="n">
        <f aca="false">Cash_Flow!F24&gt;0</f>
        <v>1</v>
      </c>
      <c r="G11" s="44" t="n">
        <f aca="false">Cash_Flow!G24&gt;0</f>
        <v>1</v>
      </c>
      <c r="H11" s="45" t="n">
        <f aca="false">AND(C11,D11,E11,F11,G11)</f>
        <v>1</v>
      </c>
    </row>
    <row r="12" customFormat="false" ht="15" hidden="false" customHeight="false" outlineLevel="0" collapsed="false">
      <c r="A12" s="5"/>
      <c r="B12" s="8" t="s">
        <v>490</v>
      </c>
      <c r="C12" s="44" t="n">
        <f aca="false">Staffing!C11=SUM(Staffing!C7:C10)</f>
        <v>1</v>
      </c>
      <c r="D12" s="44" t="n">
        <f aca="false">Staffing!D11=SUM(Staffing!D7:D10)</f>
        <v>1</v>
      </c>
      <c r="E12" s="44" t="n">
        <f aca="false">Staffing!E11=SUM(Staffing!E7:E10)</f>
        <v>1</v>
      </c>
      <c r="F12" s="44" t="n">
        <f aca="false">Staffing!F11=SUM(Staffing!F7:F10)</f>
        <v>1</v>
      </c>
      <c r="G12" s="44" t="n">
        <f aca="false">Staffing!G11=SUM(Staffing!G7:G10)</f>
        <v>1</v>
      </c>
      <c r="H12" s="45" t="n">
        <f aca="false">AND(C12,D12,E12,F12,G12)</f>
        <v>1</v>
      </c>
    </row>
    <row r="13" customFormat="false" ht="15" hidden="false" customHeight="false" outlineLevel="0" collapsed="false">
      <c r="A13" s="5"/>
      <c r="B13" s="8" t="s">
        <v>491</v>
      </c>
      <c r="C13" s="44" t="n">
        <f aca="false">ABS(Income_Statement!C40-(Income_Statement!C38-Income_Statement!C39))&lt;0.01</f>
        <v>1</v>
      </c>
      <c r="D13" s="44" t="n">
        <f aca="false">ABS(Income_Statement!D40-(Income_Statement!D38-Income_Statement!D39))&lt;0.01</f>
        <v>1</v>
      </c>
      <c r="E13" s="44" t="n">
        <f aca="false">ABS(Income_Statement!E40-(Income_Statement!E38-Income_Statement!E39))&lt;0.01</f>
        <v>1</v>
      </c>
      <c r="F13" s="44" t="n">
        <f aca="false">ABS(Income_Statement!F40-(Income_Statement!F38-Income_Statement!F39))&lt;0.01</f>
        <v>1</v>
      </c>
      <c r="G13" s="44" t="n">
        <f aca="false">ABS(Income_Statement!G40-(Income_Statement!G38-Income_Statement!G39))&lt;0.01</f>
        <v>1</v>
      </c>
      <c r="H13" s="45" t="n">
        <f aca="false">AND(C13,D13,E13,F13,G13)</f>
        <v>1</v>
      </c>
    </row>
    <row r="14" customFormat="false" ht="15" hidden="false" customHeight="false" outlineLevel="0" collapsed="false">
      <c r="A14" s="5"/>
      <c r="B14" s="8" t="s">
        <v>492</v>
      </c>
      <c r="C14" s="44" t="n">
        <f aca="false">TRUE()</f>
        <v>1</v>
      </c>
      <c r="D14" s="44" t="n">
        <f aca="false">TRUE()</f>
        <v>1</v>
      </c>
      <c r="E14" s="44" t="n">
        <f aca="false">Unit_Economics!E23&gt;=Threshold_RuleOf40</f>
        <v>0</v>
      </c>
      <c r="F14" s="44" t="n">
        <f aca="false">Unit_Economics!F23&gt;=Threshold_RuleOf40</f>
        <v>1</v>
      </c>
      <c r="G14" s="44" t="n">
        <f aca="false">Unit_Economics!G23&gt;=Threshold_RuleOf40</f>
        <v>1</v>
      </c>
      <c r="H14" s="45" t="n">
        <f aca="false">AND(C14,D14,E14,F14,G14)</f>
        <v>0</v>
      </c>
    </row>
    <row r="15" customFormat="false" ht="15" hidden="false" customHeight="false" outlineLevel="0" collapsed="false">
      <c r="A15" s="5"/>
      <c r="B15" s="8" t="s">
        <v>493</v>
      </c>
      <c r="C15" s="44" t="n">
        <f aca="false">TRUE()</f>
        <v>1</v>
      </c>
      <c r="D15" s="44" t="n">
        <f aca="false">TRUE()</f>
        <v>1</v>
      </c>
      <c r="E15" s="44" t="n">
        <f aca="false">Unit_Economics!E15&gt;=Threshold_LTVCAC</f>
        <v>1</v>
      </c>
      <c r="F15" s="44" t="n">
        <f aca="false">Unit_Economics!F15&gt;=Threshold_LTVCAC</f>
        <v>1</v>
      </c>
      <c r="G15" s="44" t="n">
        <f aca="false">Unit_Economics!G15&gt;=Threshold_LTVCAC</f>
        <v>1</v>
      </c>
      <c r="H15" s="45" t="n">
        <f aca="false">AND(C15,D15,E15,F15,G15)</f>
        <v>1</v>
      </c>
    </row>
    <row r="16" customFormat="false" ht="15" hidden="false" customHeight="false" outlineLevel="0" collapsed="false">
      <c r="A16" s="5"/>
      <c r="B16" s="8" t="s">
        <v>494</v>
      </c>
      <c r="C16" s="44" t="n">
        <f aca="false">Capex_Amort!C22&gt;0</f>
        <v>1</v>
      </c>
      <c r="D16" s="44" t="n">
        <f aca="false">Capex_Amort!D22&gt;0</f>
        <v>1</v>
      </c>
      <c r="E16" s="44" t="n">
        <f aca="false">Capex_Amort!E22&gt;0</f>
        <v>1</v>
      </c>
      <c r="F16" s="44" t="n">
        <f aca="false">Capex_Amort!F22&gt;0</f>
        <v>1</v>
      </c>
      <c r="G16" s="44" t="n">
        <f aca="false">Capex_Amort!G22&gt;0</f>
        <v>1</v>
      </c>
      <c r="H16" s="45" t="n">
        <f aca="false">AND(C16,D16,E16,F16,G16)</f>
        <v>1</v>
      </c>
    </row>
    <row r="17" customFormat="false" ht="15" hidden="false" customHeight="false" outlineLevel="0" collapsed="false">
      <c r="A17" s="5"/>
      <c r="B17" s="8" t="s">
        <v>495</v>
      </c>
      <c r="C17" s="44" t="n">
        <f aca="false">Unit_Economics!C27&gt;=Threshold_Runway</f>
        <v>1</v>
      </c>
      <c r="D17" s="44" t="n">
        <f aca="false">Unit_Economics!D27&gt;=Threshold_Runway</f>
        <v>1</v>
      </c>
      <c r="E17" s="44" t="n">
        <f aca="false">Unit_Economics!E27&gt;=Threshold_Runway</f>
        <v>1</v>
      </c>
      <c r="F17" s="44" t="n">
        <f aca="false">Unit_Economics!F27&gt;=Threshold_Runway</f>
        <v>1</v>
      </c>
      <c r="G17" s="44" t="n">
        <f aca="false">Unit_Economics!G27&gt;=Threshold_Runway</f>
        <v>1</v>
      </c>
      <c r="H17" s="45" t="n">
        <f aca="false">AND(C17,D17,E17,F17,G17)</f>
        <v>1</v>
      </c>
    </row>
    <row r="18" customFormat="false" ht="15" hidden="false" customHeight="false" outlineLevel="0" collapsed="false">
      <c r="A18" s="5"/>
      <c r="B18" s="8" t="s">
        <v>496</v>
      </c>
      <c r="C18" s="44" t="n">
        <f aca="false">ABS(Cohorts!E16)&lt;Cohort_Tol</f>
        <v>1</v>
      </c>
      <c r="D18" s="44" t="n">
        <f aca="false">ABS(Cohorts!E17)&lt;Cohort_Tol</f>
        <v>1</v>
      </c>
      <c r="E18" s="44" t="n">
        <f aca="false">ABS(Cohorts!E18)&lt;Cohort_Tol</f>
        <v>1</v>
      </c>
      <c r="F18" s="44" t="n">
        <f aca="false">ABS(Cohorts!E19)&lt;Cohort_Tol</f>
        <v>1</v>
      </c>
      <c r="G18" s="44" t="n">
        <f aca="false">ABS(Cohorts!E20)&lt;Cohort_Tol</f>
        <v>1</v>
      </c>
      <c r="H18" s="45" t="n">
        <f aca="false">AND(C18,D18,E18,F18,G18)</f>
        <v>1</v>
      </c>
    </row>
    <row r="19" customFormat="false" ht="15" hidden="false" customHeight="false" outlineLevel="0" collapsed="false">
      <c r="A19" s="5"/>
      <c r="B19" s="8" t="s">
        <v>497</v>
      </c>
      <c r="C19" s="44" t="n">
        <f aca="false">Unit_Economics!C28&gt;0</f>
        <v>1</v>
      </c>
      <c r="D19" s="44" t="n">
        <f aca="false">Unit_Economics!D28&gt;0</f>
        <v>1</v>
      </c>
      <c r="E19" s="44" t="n">
        <f aca="false">Unit_Economics!E28&gt;0</f>
        <v>1</v>
      </c>
      <c r="F19" s="44" t="n">
        <f aca="false">Unit_Economics!F28&gt;0</f>
        <v>1</v>
      </c>
      <c r="G19" s="44" t="n">
        <f aca="false">Unit_Economics!G28&gt;0</f>
        <v>1</v>
      </c>
      <c r="H19" s="45" t="n">
        <f aca="false">AND(C19,D19,E19,F19,G19)</f>
        <v>1</v>
      </c>
    </row>
    <row r="20" customFormat="false" ht="15" hidden="false" customHeight="false" outlineLevel="0" collapsed="false">
      <c r="A20" s="5"/>
      <c r="B20" s="8" t="s">
        <v>498</v>
      </c>
      <c r="C20" s="44" t="n">
        <f aca="false">ABS('Channel_S&amp;M'!C17)&lt;=1</f>
        <v>1</v>
      </c>
      <c r="D20" s="44" t="n">
        <f aca="false">ABS('Channel_S&amp;M'!D17)&lt;=1</f>
        <v>1</v>
      </c>
      <c r="E20" s="44" t="n">
        <f aca="false">ABS('Channel_S&amp;M'!E17)&lt;=1</f>
        <v>1</v>
      </c>
      <c r="F20" s="44" t="n">
        <f aca="false">ABS('Channel_S&amp;M'!F17)&lt;=1</f>
        <v>1</v>
      </c>
      <c r="G20" s="44" t="n">
        <f aca="false">ABS('Channel_S&amp;M'!G17)&lt;=1</f>
        <v>1</v>
      </c>
      <c r="H20" s="45" t="n">
        <f aca="false">AND(C20,D20,E20,F20,G20)</f>
        <v>1</v>
      </c>
    </row>
    <row r="21" customFormat="false" ht="15" hidden="false" customHeight="false" outlineLevel="0" collapsed="false">
      <c r="A21" s="5"/>
      <c r="B21" s="8" t="s">
        <v>499</v>
      </c>
      <c r="C21" s="44" t="n">
        <f aca="false">ABS(Monthly_Y1!O17-Income_Statement!C33)&lt;0.01</f>
        <v>1</v>
      </c>
      <c r="D21" s="44" t="n">
        <f aca="false">TRUE()</f>
        <v>1</v>
      </c>
      <c r="E21" s="44" t="n">
        <f aca="false">TRUE()</f>
        <v>1</v>
      </c>
      <c r="F21" s="44" t="n">
        <f aca="false">TRUE()</f>
        <v>1</v>
      </c>
      <c r="G21" s="44" t="n">
        <f aca="false">TRUE()</f>
        <v>1</v>
      </c>
      <c r="H21" s="45" t="n">
        <f aca="false">AND(C21,D21,E21,F21,G21)</f>
        <v>1</v>
      </c>
    </row>
    <row r="22" customFormat="false" ht="15" hidden="false" customHeight="false" outlineLevel="0" collapsed="false">
      <c r="A22" s="5"/>
      <c r="B22" s="8" t="s">
        <v>500</v>
      </c>
      <c r="C22" s="44" t="n">
        <f aca="false">ABS(Opening_BS_Check)&lt;0.01</f>
        <v>1</v>
      </c>
      <c r="D22" s="44" t="n">
        <f aca="false">TRUE()</f>
        <v>1</v>
      </c>
      <c r="E22" s="44" t="n">
        <f aca="false">TRUE()</f>
        <v>1</v>
      </c>
      <c r="F22" s="44" t="n">
        <f aca="false">TRUE()</f>
        <v>1</v>
      </c>
      <c r="G22" s="44" t="n">
        <f aca="false">TRUE()</f>
        <v>1</v>
      </c>
      <c r="H22" s="45" t="n">
        <f aca="false">AND(C22,D22,E22,F22,G22)</f>
        <v>1</v>
      </c>
    </row>
    <row r="23" customFormat="false" ht="15" hidden="false" customHeight="false" outlineLevel="0" collapsed="false">
      <c r="A23" s="5"/>
      <c r="B23" s="8" t="s">
        <v>501</v>
      </c>
      <c r="C23" s="44" t="n">
        <f aca="false">ABS((Opening_Debt_Current+Opening_Debt_NonCurr)-Opening_Debt)&lt;0.01</f>
        <v>1</v>
      </c>
      <c r="D23" s="44" t="n">
        <f aca="false">TRUE()</f>
        <v>1</v>
      </c>
      <c r="E23" s="44" t="n">
        <f aca="false">TRUE()</f>
        <v>1</v>
      </c>
      <c r="F23" s="44" t="n">
        <f aca="false">TRUE()</f>
        <v>1</v>
      </c>
      <c r="G23" s="44" t="n">
        <f aca="false">TRUE()</f>
        <v>1</v>
      </c>
      <c r="H23" s="45" t="n">
        <f aca="false">AND(C23,D23,E23,F23,G23)</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6" t="s">
        <v>502</v>
      </c>
    </row>
    <row r="3" customFormat="false" ht="3.75" hidden="false" customHeight="true" outlineLevel="0" collapsed="false">
      <c r="B3" s="47"/>
    </row>
    <row r="5" customFormat="false" ht="19.5" hidden="false" customHeight="true" outlineLevel="0" collapsed="false">
      <c r="B5" s="48" t="s">
        <v>503</v>
      </c>
    </row>
    <row r="6" customFormat="false" ht="48" hidden="false" customHeight="true" outlineLevel="0" collapsed="false">
      <c r="B6" s="49" t="s">
        <v>504</v>
      </c>
    </row>
    <row r="8" customFormat="false" ht="19.5" hidden="false" customHeight="true" outlineLevel="0" collapsed="false">
      <c r="B8" s="48" t="s">
        <v>505</v>
      </c>
    </row>
    <row r="9" customFormat="false" ht="61.5" hidden="false" customHeight="true" outlineLevel="0" collapsed="false">
      <c r="B9" s="49" t="s">
        <v>506</v>
      </c>
    </row>
    <row r="11" customFormat="false" ht="19.5" hidden="false" customHeight="true" outlineLevel="0" collapsed="false">
      <c r="B11" s="48" t="s">
        <v>507</v>
      </c>
    </row>
    <row r="12" customFormat="false" ht="75.75" hidden="false" customHeight="true" outlineLevel="0" collapsed="false">
      <c r="B12" s="49" t="s">
        <v>508</v>
      </c>
    </row>
    <row r="14" customFormat="false" ht="19.5" hidden="false" customHeight="true" outlineLevel="0" collapsed="false">
      <c r="B14" s="48" t="s">
        <v>509</v>
      </c>
    </row>
    <row r="15" customFormat="false" ht="61.5" hidden="false" customHeight="true" outlineLevel="0" collapsed="false">
      <c r="B15" s="49" t="s">
        <v>510</v>
      </c>
    </row>
    <row r="17" customFormat="false" ht="19.5" hidden="false" customHeight="true" outlineLevel="0" collapsed="false">
      <c r="B17" s="48" t="s">
        <v>511</v>
      </c>
    </row>
    <row r="18" customFormat="false" ht="33.75" hidden="false" customHeight="true" outlineLevel="0" collapsed="false">
      <c r="B18" s="49" t="s">
        <v>512</v>
      </c>
    </row>
    <row r="20" customFormat="false" ht="19.5" hidden="false" customHeight="true" outlineLevel="0" collapsed="false">
      <c r="B20" s="48" t="s">
        <v>513</v>
      </c>
    </row>
    <row r="21" customFormat="false" ht="33.75" hidden="false" customHeight="true" outlineLevel="0" collapsed="false">
      <c r="B21" s="49" t="s">
        <v>514</v>
      </c>
    </row>
    <row r="23" customFormat="false" ht="21.75" hidden="false" customHeight="true" outlineLevel="0" collapsed="false">
      <c r="B23" s="50" t="s">
        <v>515</v>
      </c>
    </row>
    <row r="25" customFormat="false" ht="18" hidden="false" customHeight="true" outlineLevel="0" collapsed="false">
      <c r="B25" s="51" t="s">
        <v>516</v>
      </c>
    </row>
    <row r="26" customFormat="false" ht="201.75" hidden="false" customHeight="true" outlineLevel="0" collapsed="false">
      <c r="B26" s="52" t="s">
        <v>517</v>
      </c>
    </row>
    <row r="28" customFormat="false" ht="18" hidden="false" customHeight="true" outlineLevel="0" collapsed="false">
      <c r="B28" s="53" t="s">
        <v>518</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DC3E6"/>
    <pageSetUpPr fitToPage="false"/>
  </sheetPr>
  <dimension ref="A1:AD15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2"/>
    <col collapsed="false" customWidth="true" hidden="false" outlineLevel="0" max="7" min="3" style="0" width="14"/>
  </cols>
  <sheetData>
    <row r="1" customFormat="false" ht="25.5" hidden="false" customHeight="true" outlineLevel="0" collapsed="false">
      <c r="A1" s="1"/>
      <c r="B1" s="3" t="s">
        <v>13</v>
      </c>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47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48</v>
      </c>
      <c r="D4" s="18" t="s">
        <v>49</v>
      </c>
      <c r="E4" s="18" t="s">
        <v>50</v>
      </c>
      <c r="F4" s="18" t="s">
        <v>51</v>
      </c>
      <c r="G4" s="18" t="s">
        <v>52</v>
      </c>
    </row>
    <row r="5" customFormat="false" ht="15" hidden="false" customHeight="false" outlineLevel="0" collapsed="false">
      <c r="A5" s="5"/>
      <c r="B5" s="5"/>
      <c r="C5" s="5"/>
      <c r="D5" s="5"/>
      <c r="E5" s="5"/>
      <c r="F5" s="5"/>
      <c r="G5" s="5"/>
    </row>
    <row r="6" customFormat="false" ht="15" hidden="false" customHeight="false" outlineLevel="0" collapsed="false">
      <c r="A6" s="5"/>
      <c r="B6" s="19" t="s">
        <v>53</v>
      </c>
      <c r="C6" s="20"/>
      <c r="D6" s="20"/>
      <c r="E6" s="20"/>
      <c r="F6" s="20"/>
      <c r="G6" s="20"/>
    </row>
    <row r="7" customFormat="false" ht="15" hidden="false" customHeight="false" outlineLevel="0" collapsed="false">
      <c r="A7" s="5"/>
      <c r="B7" s="8" t="s">
        <v>54</v>
      </c>
      <c r="C7" s="21" t="n">
        <v>833</v>
      </c>
      <c r="D7" s="5"/>
      <c r="E7" s="5"/>
      <c r="F7" s="5"/>
      <c r="G7" s="5"/>
    </row>
    <row r="8" customFormat="false" ht="15" hidden="false" customHeight="false" outlineLevel="0" collapsed="false">
      <c r="A8" s="5"/>
      <c r="B8" s="8" t="s">
        <v>55</v>
      </c>
      <c r="C8" s="21" t="n">
        <v>200</v>
      </c>
      <c r="D8" s="21" t="n">
        <v>250</v>
      </c>
      <c r="E8" s="21" t="n">
        <v>310</v>
      </c>
      <c r="F8" s="21" t="n">
        <v>380</v>
      </c>
      <c r="G8" s="21" t="n">
        <v>450</v>
      </c>
    </row>
    <row r="9" customFormat="false" ht="15" hidden="false" customHeight="false" outlineLevel="0" collapsed="false">
      <c r="A9" s="5"/>
      <c r="B9" s="8" t="s">
        <v>56</v>
      </c>
      <c r="C9" s="22" t="n">
        <v>0.12</v>
      </c>
      <c r="D9" s="22" t="n">
        <v>0.115</v>
      </c>
      <c r="E9" s="22" t="n">
        <v>0.11</v>
      </c>
      <c r="F9" s="22" t="n">
        <v>0.105</v>
      </c>
      <c r="G9" s="22" t="n">
        <v>0.1</v>
      </c>
    </row>
    <row r="10" customFormat="false" ht="15" hidden="false" customHeight="false" outlineLevel="0" collapsed="false">
      <c r="A10" s="5"/>
      <c r="B10" s="8" t="s">
        <v>57</v>
      </c>
      <c r="C10" s="23" t="n">
        <v>1500</v>
      </c>
      <c r="D10" s="23" t="n">
        <v>1575</v>
      </c>
      <c r="E10" s="23" t="n">
        <v>1654</v>
      </c>
      <c r="F10" s="23" t="n">
        <v>1736</v>
      </c>
      <c r="G10" s="23" t="n">
        <v>1823</v>
      </c>
    </row>
    <row r="11" customFormat="false" ht="15" hidden="false" customHeight="false" outlineLevel="0" collapsed="false">
      <c r="A11" s="5"/>
      <c r="B11" s="8" t="s">
        <v>58</v>
      </c>
      <c r="C11" s="22" t="n">
        <v>0.15</v>
      </c>
      <c r="D11" s="5"/>
      <c r="E11" s="5"/>
      <c r="F11" s="5"/>
      <c r="G11" s="5"/>
    </row>
    <row r="12" customFormat="false" ht="15" hidden="false" customHeight="false" outlineLevel="0" collapsed="false">
      <c r="A12" s="5"/>
      <c r="B12" s="8" t="s">
        <v>59</v>
      </c>
      <c r="C12" s="22" t="n">
        <v>0.03</v>
      </c>
      <c r="D12" s="5"/>
      <c r="E12" s="5"/>
      <c r="F12" s="5"/>
      <c r="G12" s="5"/>
    </row>
    <row r="13" customFormat="false" ht="15" hidden="false" customHeight="false" outlineLevel="0" collapsed="false">
      <c r="A13" s="5"/>
      <c r="B13" s="8" t="s">
        <v>60</v>
      </c>
      <c r="C13" s="22" t="n">
        <v>0.12</v>
      </c>
      <c r="D13" s="22" t="n">
        <v>0.115</v>
      </c>
      <c r="E13" s="22" t="n">
        <v>0.11</v>
      </c>
      <c r="F13" s="22" t="n">
        <v>0.105</v>
      </c>
      <c r="G13" s="22" t="n">
        <v>0.1</v>
      </c>
    </row>
    <row r="14" customFormat="false" ht="15" hidden="false" customHeight="false" outlineLevel="0" collapsed="false">
      <c r="A14" s="5"/>
      <c r="B14" s="5"/>
      <c r="C14" s="5"/>
      <c r="D14" s="5"/>
      <c r="E14" s="5"/>
      <c r="F14" s="5"/>
      <c r="G14" s="5"/>
    </row>
    <row r="15" customFormat="false" ht="15" hidden="false" customHeight="false" outlineLevel="0" collapsed="false">
      <c r="A15" s="5"/>
      <c r="B15" s="19" t="s">
        <v>61</v>
      </c>
      <c r="C15" s="20"/>
      <c r="D15" s="20"/>
      <c r="E15" s="20"/>
      <c r="F15" s="20"/>
      <c r="G15" s="20"/>
    </row>
    <row r="16" customFormat="false" ht="15" hidden="false" customHeight="false" outlineLevel="0" collapsed="false">
      <c r="A16" s="5"/>
      <c r="B16" s="8" t="s">
        <v>62</v>
      </c>
      <c r="C16" s="22" t="n">
        <v>0.88</v>
      </c>
      <c r="D16" s="5"/>
      <c r="E16" s="5"/>
      <c r="F16" s="5"/>
      <c r="G16" s="5"/>
    </row>
    <row r="17" customFormat="false" ht="15" hidden="false" customHeight="false" outlineLevel="0" collapsed="false">
      <c r="A17" s="5"/>
      <c r="B17" s="8" t="s">
        <v>63</v>
      </c>
      <c r="C17" s="22" t="n">
        <v>0.8</v>
      </c>
      <c r="D17" s="5"/>
      <c r="E17" s="5"/>
      <c r="F17" s="5"/>
      <c r="G17" s="5"/>
    </row>
    <row r="18" customFormat="false" ht="15" hidden="false" customHeight="false" outlineLevel="0" collapsed="false">
      <c r="A18" s="5"/>
      <c r="B18" s="8" t="s">
        <v>64</v>
      </c>
      <c r="C18" s="22" t="n">
        <v>0.74</v>
      </c>
      <c r="D18" s="5"/>
      <c r="E18" s="5"/>
      <c r="F18" s="5"/>
      <c r="G18" s="5"/>
    </row>
    <row r="19" customFormat="false" ht="15" hidden="false" customHeight="false" outlineLevel="0" collapsed="false">
      <c r="A19" s="5"/>
      <c r="B19" s="8" t="s">
        <v>65</v>
      </c>
      <c r="C19" s="22" t="n">
        <v>0.7</v>
      </c>
      <c r="D19" s="5"/>
      <c r="E19" s="5"/>
      <c r="F19" s="5"/>
      <c r="G19" s="5"/>
    </row>
    <row r="20" customFormat="false" ht="15" hidden="false" customHeight="false" outlineLevel="0" collapsed="false">
      <c r="A20" s="5"/>
      <c r="B20" s="8" t="s">
        <v>66</v>
      </c>
      <c r="C20" s="22" t="n">
        <v>0.67</v>
      </c>
      <c r="D20" s="5"/>
      <c r="E20" s="5"/>
      <c r="F20" s="5"/>
      <c r="G20" s="5"/>
    </row>
    <row r="21" customFormat="false" ht="15" hidden="false" customHeight="false" outlineLevel="0" collapsed="false">
      <c r="A21" s="5"/>
      <c r="B21" s="5"/>
      <c r="C21" s="5"/>
      <c r="D21" s="5"/>
      <c r="E21" s="5"/>
      <c r="F21" s="5"/>
      <c r="G21" s="5"/>
    </row>
    <row r="22" customFormat="false" ht="15" hidden="false" customHeight="false" outlineLevel="0" collapsed="false">
      <c r="A22" s="5"/>
      <c r="B22" s="19" t="s">
        <v>67</v>
      </c>
      <c r="C22" s="20"/>
      <c r="D22" s="20"/>
      <c r="E22" s="20"/>
      <c r="F22" s="20"/>
      <c r="G22" s="20"/>
    </row>
    <row r="23" customFormat="false" ht="15" hidden="false" customHeight="false" outlineLevel="0" collapsed="false">
      <c r="A23" s="5"/>
      <c r="B23" s="8" t="s">
        <v>68</v>
      </c>
      <c r="C23" s="21" t="n">
        <v>110</v>
      </c>
      <c r="D23" s="5"/>
      <c r="E23" s="5"/>
      <c r="F23" s="5"/>
      <c r="G23" s="5"/>
    </row>
    <row r="24" customFormat="false" ht="15" hidden="false" customHeight="false" outlineLevel="0" collapsed="false">
      <c r="A24" s="5"/>
      <c r="B24" s="8" t="s">
        <v>69</v>
      </c>
      <c r="C24" s="21" t="n">
        <v>1000000</v>
      </c>
      <c r="D24" s="5"/>
      <c r="E24" s="5"/>
      <c r="F24" s="5"/>
      <c r="G24" s="5"/>
    </row>
    <row r="25" customFormat="false" ht="15" hidden="false" customHeight="false" outlineLevel="0" collapsed="false">
      <c r="A25" s="5"/>
      <c r="B25" s="8" t="s">
        <v>70</v>
      </c>
      <c r="C25" s="5"/>
      <c r="D25" s="22" t="n">
        <v>0.25</v>
      </c>
      <c r="E25" s="22" t="n">
        <v>0.22</v>
      </c>
      <c r="F25" s="22" t="n">
        <v>0.18</v>
      </c>
      <c r="G25" s="22" t="n">
        <v>0.15</v>
      </c>
    </row>
    <row r="26" customFormat="false" ht="15" hidden="false" customHeight="false" outlineLevel="0" collapsed="false">
      <c r="A26" s="5"/>
      <c r="B26" s="8" t="s">
        <v>71</v>
      </c>
      <c r="C26" s="24" t="n">
        <v>2.2</v>
      </c>
      <c r="D26" s="5"/>
      <c r="E26" s="5"/>
      <c r="F26" s="5"/>
      <c r="G26" s="5"/>
    </row>
    <row r="27" customFormat="false" ht="15" hidden="false" customHeight="false" outlineLevel="0" collapsed="false">
      <c r="A27" s="5"/>
      <c r="B27" s="8" t="s">
        <v>72</v>
      </c>
      <c r="C27" s="22" t="n">
        <v>0.15</v>
      </c>
      <c r="D27" s="5"/>
      <c r="E27" s="5"/>
      <c r="F27" s="5"/>
      <c r="G27" s="5"/>
    </row>
    <row r="28" customFormat="false" ht="15" hidden="false" customHeight="false" outlineLevel="0" collapsed="false">
      <c r="A28" s="5"/>
      <c r="B28" s="8" t="s">
        <v>73</v>
      </c>
      <c r="C28" s="22" t="n">
        <v>0.6</v>
      </c>
      <c r="D28" s="22" t="n">
        <v>0.55</v>
      </c>
      <c r="E28" s="22" t="n">
        <v>0.5</v>
      </c>
      <c r="F28" s="22" t="n">
        <v>0.48</v>
      </c>
      <c r="G28" s="22" t="n">
        <v>0.45</v>
      </c>
    </row>
    <row r="29" customFormat="false" ht="15" hidden="false" customHeight="false" outlineLevel="0" collapsed="false">
      <c r="A29" s="5"/>
      <c r="B29" s="8" t="s">
        <v>74</v>
      </c>
      <c r="C29" s="22" t="n">
        <v>0.18</v>
      </c>
      <c r="D29" s="5"/>
      <c r="E29" s="5"/>
      <c r="F29" s="5"/>
      <c r="G29" s="5"/>
    </row>
    <row r="30" customFormat="false" ht="15" hidden="false" customHeight="false" outlineLevel="0" collapsed="false">
      <c r="A30" s="5"/>
      <c r="B30" s="8" t="s">
        <v>75</v>
      </c>
      <c r="C30" s="22" t="n">
        <v>0.12</v>
      </c>
      <c r="D30" s="5"/>
      <c r="E30" s="5"/>
      <c r="F30" s="5"/>
      <c r="G30" s="5"/>
    </row>
    <row r="31" customFormat="false" ht="15" hidden="false" customHeight="false" outlineLevel="0" collapsed="false">
      <c r="A31" s="5"/>
      <c r="B31" s="8" t="s">
        <v>76</v>
      </c>
      <c r="C31" s="22" t="n">
        <v>0.4</v>
      </c>
      <c r="D31" s="5"/>
      <c r="E31" s="5"/>
      <c r="F31" s="5"/>
      <c r="G31" s="5"/>
    </row>
    <row r="32" customFormat="false" ht="15" hidden="false" customHeight="false" outlineLevel="0" collapsed="false">
      <c r="A32" s="5"/>
      <c r="B32" s="8" t="s">
        <v>77</v>
      </c>
      <c r="C32" s="22" t="n">
        <v>0.5</v>
      </c>
      <c r="D32" s="5"/>
      <c r="E32" s="5"/>
      <c r="F32" s="5"/>
      <c r="G32" s="5"/>
    </row>
    <row r="33" customFormat="false" ht="15" hidden="false" customHeight="false" outlineLevel="0" collapsed="false">
      <c r="A33" s="5"/>
      <c r="B33" s="8" t="s">
        <v>78</v>
      </c>
      <c r="C33" s="22" t="n">
        <v>0.12</v>
      </c>
      <c r="D33" s="5"/>
      <c r="E33" s="5"/>
      <c r="F33" s="5"/>
      <c r="G33" s="5"/>
    </row>
    <row r="34" customFormat="false" ht="15" hidden="false" customHeight="false" outlineLevel="0" collapsed="false">
      <c r="A34" s="5"/>
      <c r="B34" s="8" t="s">
        <v>79</v>
      </c>
      <c r="C34" s="22" t="n">
        <v>0.03</v>
      </c>
      <c r="D34" s="5"/>
      <c r="E34" s="5"/>
      <c r="F34" s="5"/>
      <c r="G34" s="5"/>
    </row>
    <row r="35" customFormat="false" ht="15" hidden="false" customHeight="false" outlineLevel="0" collapsed="false">
      <c r="A35" s="5"/>
      <c r="B35" s="5"/>
      <c r="C35" s="5"/>
      <c r="D35" s="5"/>
      <c r="E35" s="5"/>
      <c r="F35" s="5"/>
      <c r="G35" s="5"/>
    </row>
    <row r="36" customFormat="false" ht="15" hidden="false" customHeight="false" outlineLevel="0" collapsed="false">
      <c r="A36" s="5"/>
      <c r="B36" s="19" t="s">
        <v>80</v>
      </c>
      <c r="C36" s="20"/>
      <c r="D36" s="20"/>
      <c r="E36" s="20"/>
      <c r="F36" s="20"/>
      <c r="G36" s="20"/>
    </row>
    <row r="37" customFormat="false" ht="15" hidden="false" customHeight="false" outlineLevel="0" collapsed="false">
      <c r="A37" s="5"/>
      <c r="B37" s="8" t="s">
        <v>81</v>
      </c>
      <c r="C37" s="22" t="n">
        <v>0.28</v>
      </c>
      <c r="D37" s="22" t="n">
        <v>0.25</v>
      </c>
      <c r="E37" s="22" t="n">
        <v>0.22</v>
      </c>
      <c r="F37" s="22" t="n">
        <v>0.2</v>
      </c>
      <c r="G37" s="22" t="n">
        <v>0.18</v>
      </c>
    </row>
    <row r="38" customFormat="false" ht="15" hidden="false" customHeight="false" outlineLevel="0" collapsed="false">
      <c r="A38" s="5"/>
      <c r="B38" s="8" t="s">
        <v>82</v>
      </c>
      <c r="C38" s="22" t="n">
        <v>0.08</v>
      </c>
      <c r="D38" s="22" t="n">
        <v>0.075</v>
      </c>
      <c r="E38" s="22" t="n">
        <v>0.07</v>
      </c>
      <c r="F38" s="22" t="n">
        <v>0.065</v>
      </c>
      <c r="G38" s="22" t="n">
        <v>0.06</v>
      </c>
    </row>
    <row r="39" customFormat="false" ht="15" hidden="false" customHeight="false" outlineLevel="0" collapsed="false">
      <c r="A39" s="5"/>
      <c r="B39" s="8" t="s">
        <v>83</v>
      </c>
      <c r="C39" s="22" t="n">
        <v>0.04</v>
      </c>
      <c r="D39" s="5"/>
      <c r="E39" s="5"/>
      <c r="F39" s="5"/>
      <c r="G39" s="5"/>
    </row>
    <row r="40" customFormat="false" ht="15" hidden="false" customHeight="false" outlineLevel="0" collapsed="false">
      <c r="A40" s="5"/>
      <c r="B40" s="8" t="s">
        <v>84</v>
      </c>
      <c r="C40" s="22" t="n">
        <v>0.01</v>
      </c>
      <c r="D40" s="5"/>
      <c r="E40" s="5"/>
      <c r="F40" s="5"/>
      <c r="G40" s="5"/>
    </row>
    <row r="41" customFormat="false" ht="15" hidden="false" customHeight="false" outlineLevel="0" collapsed="false">
      <c r="A41" s="5"/>
      <c r="B41" s="5"/>
      <c r="C41" s="5"/>
      <c r="D41" s="5"/>
      <c r="E41" s="5"/>
      <c r="F41" s="5"/>
      <c r="G41" s="5"/>
    </row>
    <row r="42" customFormat="false" ht="15" hidden="false" customHeight="false" outlineLevel="0" collapsed="false">
      <c r="A42" s="5"/>
      <c r="B42" s="19" t="s">
        <v>23</v>
      </c>
      <c r="C42" s="20"/>
      <c r="D42" s="20"/>
      <c r="E42" s="20"/>
      <c r="F42" s="20"/>
      <c r="G42" s="20"/>
    </row>
    <row r="43" customFormat="false" ht="15" hidden="false" customHeight="false" outlineLevel="0" collapsed="false">
      <c r="A43" s="5"/>
      <c r="B43" s="8" t="s">
        <v>85</v>
      </c>
      <c r="C43" s="21" t="n">
        <v>45</v>
      </c>
      <c r="D43" s="21" t="n">
        <v>52</v>
      </c>
      <c r="E43" s="21" t="n">
        <v>58</v>
      </c>
      <c r="F43" s="21" t="n">
        <v>62</v>
      </c>
      <c r="G43" s="21" t="n">
        <v>65</v>
      </c>
    </row>
    <row r="44" customFormat="false" ht="15" hidden="false" customHeight="false" outlineLevel="0" collapsed="false">
      <c r="A44" s="5"/>
      <c r="B44" s="8" t="s">
        <v>86</v>
      </c>
      <c r="C44" s="21" t="n">
        <v>35</v>
      </c>
      <c r="D44" s="21" t="n">
        <v>42</v>
      </c>
      <c r="E44" s="21" t="n">
        <v>48</v>
      </c>
      <c r="F44" s="21" t="n">
        <v>52</v>
      </c>
      <c r="G44" s="21" t="n">
        <v>55</v>
      </c>
    </row>
    <row r="45" customFormat="false" ht="15" hidden="false" customHeight="false" outlineLevel="0" collapsed="false">
      <c r="A45" s="5"/>
      <c r="B45" s="8" t="s">
        <v>87</v>
      </c>
      <c r="C45" s="21" t="n">
        <v>20</v>
      </c>
      <c r="D45" s="21" t="n">
        <v>24</v>
      </c>
      <c r="E45" s="21" t="n">
        <v>27</v>
      </c>
      <c r="F45" s="21" t="n">
        <v>29</v>
      </c>
      <c r="G45" s="21" t="n">
        <v>30</v>
      </c>
    </row>
    <row r="46" customFormat="false" ht="15" hidden="false" customHeight="false" outlineLevel="0" collapsed="false">
      <c r="A46" s="5"/>
      <c r="B46" s="8" t="s">
        <v>88</v>
      </c>
      <c r="C46" s="21" t="n">
        <v>20</v>
      </c>
      <c r="D46" s="21" t="n">
        <v>22</v>
      </c>
      <c r="E46" s="21" t="n">
        <v>24</v>
      </c>
      <c r="F46" s="21" t="n">
        <v>25</v>
      </c>
      <c r="G46" s="21" t="n">
        <v>26</v>
      </c>
    </row>
    <row r="47" customFormat="false" ht="15" hidden="false" customHeight="false" outlineLevel="0" collapsed="false">
      <c r="A47" s="5"/>
      <c r="B47" s="8" t="s">
        <v>89</v>
      </c>
      <c r="C47" s="23" t="n">
        <v>140000</v>
      </c>
      <c r="D47" s="5"/>
      <c r="E47" s="5"/>
      <c r="F47" s="5"/>
      <c r="G47" s="5"/>
    </row>
    <row r="48" customFormat="false" ht="15" hidden="false" customHeight="false" outlineLevel="0" collapsed="false">
      <c r="A48" s="5"/>
      <c r="B48" s="8" t="s">
        <v>90</v>
      </c>
      <c r="C48" s="23" t="n">
        <v>120000</v>
      </c>
      <c r="D48" s="5"/>
      <c r="E48" s="5"/>
      <c r="F48" s="5"/>
      <c r="G48" s="5"/>
    </row>
    <row r="49" customFormat="false" ht="15" hidden="false" customHeight="false" outlineLevel="0" collapsed="false">
      <c r="A49" s="5"/>
      <c r="B49" s="8" t="s">
        <v>91</v>
      </c>
      <c r="C49" s="23" t="n">
        <v>90000</v>
      </c>
      <c r="D49" s="5"/>
      <c r="E49" s="5"/>
      <c r="F49" s="5"/>
      <c r="G49" s="5"/>
    </row>
    <row r="50" customFormat="false" ht="15" hidden="false" customHeight="false" outlineLevel="0" collapsed="false">
      <c r="A50" s="5"/>
      <c r="B50" s="8" t="s">
        <v>92</v>
      </c>
      <c r="C50" s="23" t="n">
        <v>100000</v>
      </c>
      <c r="D50" s="5"/>
      <c r="E50" s="5"/>
      <c r="F50" s="5"/>
      <c r="G50" s="5"/>
    </row>
    <row r="51" customFormat="false" ht="15" hidden="false" customHeight="false" outlineLevel="0" collapsed="false">
      <c r="A51" s="5"/>
      <c r="B51" s="8" t="s">
        <v>93</v>
      </c>
      <c r="C51" s="22" t="n">
        <v>0.03</v>
      </c>
      <c r="D51" s="5"/>
      <c r="E51" s="5"/>
      <c r="F51" s="5"/>
      <c r="G51" s="5"/>
    </row>
    <row r="52" customFormat="false" ht="15" hidden="false" customHeight="false" outlineLevel="0" collapsed="false">
      <c r="A52" s="5"/>
      <c r="B52" s="8" t="s">
        <v>94</v>
      </c>
      <c r="C52" s="22" t="n">
        <v>0.25</v>
      </c>
      <c r="D52" s="5"/>
      <c r="E52" s="5"/>
      <c r="F52" s="5"/>
      <c r="G52" s="5"/>
    </row>
    <row r="53" customFormat="false" ht="15" hidden="false" customHeight="false" outlineLevel="0" collapsed="false">
      <c r="A53" s="5"/>
      <c r="B53" s="5"/>
      <c r="C53" s="5"/>
      <c r="D53" s="5"/>
      <c r="E53" s="5"/>
      <c r="F53" s="5"/>
      <c r="G53" s="5"/>
    </row>
    <row r="54" customFormat="false" ht="15" hidden="false" customHeight="false" outlineLevel="0" collapsed="false">
      <c r="A54" s="5"/>
      <c r="B54" s="19" t="s">
        <v>95</v>
      </c>
      <c r="C54" s="20"/>
      <c r="D54" s="20"/>
      <c r="E54" s="20"/>
      <c r="F54" s="20"/>
      <c r="G54" s="20"/>
    </row>
    <row r="55" customFormat="false" ht="15" hidden="false" customHeight="false" outlineLevel="0" collapsed="false">
      <c r="A55" s="5"/>
      <c r="B55" s="8" t="s">
        <v>96</v>
      </c>
      <c r="C55" s="23" t="n">
        <v>1200000</v>
      </c>
      <c r="D55" s="5"/>
      <c r="E55" s="5"/>
      <c r="F55" s="5"/>
      <c r="G55" s="5"/>
    </row>
    <row r="56" customFormat="false" ht="15" hidden="false" customHeight="false" outlineLevel="0" collapsed="false">
      <c r="A56" s="5"/>
      <c r="B56" s="8" t="s">
        <v>97</v>
      </c>
      <c r="C56" s="23" t="n">
        <v>900000</v>
      </c>
      <c r="D56" s="5"/>
      <c r="E56" s="5"/>
      <c r="F56" s="5"/>
      <c r="G56" s="5"/>
    </row>
    <row r="57" customFormat="false" ht="15" hidden="false" customHeight="false" outlineLevel="0" collapsed="false">
      <c r="A57" s="5"/>
      <c r="B57" s="8" t="s">
        <v>98</v>
      </c>
      <c r="C57" s="23" t="n">
        <v>400000</v>
      </c>
      <c r="D57" s="5"/>
      <c r="E57" s="5"/>
      <c r="F57" s="5"/>
      <c r="G57" s="5"/>
    </row>
    <row r="58" customFormat="false" ht="15" hidden="false" customHeight="false" outlineLevel="0" collapsed="false">
      <c r="A58" s="5"/>
      <c r="B58" s="8" t="s">
        <v>99</v>
      </c>
      <c r="C58" s="23" t="n">
        <v>700000</v>
      </c>
      <c r="D58" s="5"/>
      <c r="E58" s="5"/>
      <c r="F58" s="5"/>
      <c r="G58" s="5"/>
    </row>
    <row r="59" customFormat="false" ht="15" hidden="false" customHeight="false" outlineLevel="0" collapsed="false">
      <c r="A59" s="5"/>
      <c r="B59" s="8" t="s">
        <v>100</v>
      </c>
      <c r="C59" s="23" t="n">
        <v>500000</v>
      </c>
      <c r="D59" s="5"/>
      <c r="E59" s="5"/>
      <c r="F59" s="5"/>
      <c r="G59" s="5"/>
    </row>
    <row r="60" customFormat="false" ht="15" hidden="false" customHeight="false" outlineLevel="0" collapsed="false">
      <c r="A60" s="5"/>
      <c r="B60" s="8" t="s">
        <v>101</v>
      </c>
      <c r="C60" s="23" t="n">
        <v>300000</v>
      </c>
      <c r="D60" s="5"/>
      <c r="E60" s="5"/>
      <c r="F60" s="5"/>
      <c r="G60" s="5"/>
    </row>
    <row r="61" customFormat="false" ht="15" hidden="false" customHeight="false" outlineLevel="0" collapsed="false">
      <c r="A61" s="5"/>
      <c r="B61" s="8" t="s">
        <v>102</v>
      </c>
      <c r="C61" s="22" t="n">
        <v>0.25</v>
      </c>
      <c r="D61" s="5"/>
      <c r="E61" s="5"/>
      <c r="F61" s="5"/>
      <c r="G61" s="5"/>
    </row>
    <row r="62" customFormat="false" ht="15" hidden="false" customHeight="false" outlineLevel="0" collapsed="false">
      <c r="A62" s="5"/>
      <c r="B62" s="8" t="s">
        <v>103</v>
      </c>
      <c r="C62" s="22" t="n">
        <v>0.35</v>
      </c>
      <c r="D62" s="5"/>
      <c r="E62" s="5"/>
      <c r="F62" s="5"/>
      <c r="G62" s="5"/>
    </row>
    <row r="63" customFormat="false" ht="15" hidden="false" customHeight="false" outlineLevel="0" collapsed="false">
      <c r="A63" s="5"/>
      <c r="B63" s="8" t="s">
        <v>104</v>
      </c>
      <c r="C63" s="22" t="n">
        <v>0.25</v>
      </c>
      <c r="D63" s="5"/>
      <c r="E63" s="5"/>
      <c r="F63" s="5"/>
      <c r="G63" s="5"/>
    </row>
    <row r="64" customFormat="false" ht="15" hidden="false" customHeight="false" outlineLevel="0" collapsed="false">
      <c r="A64" s="5"/>
      <c r="B64" s="8" t="s">
        <v>105</v>
      </c>
      <c r="C64" s="23" t="n">
        <v>80</v>
      </c>
      <c r="D64" s="5"/>
      <c r="E64" s="5"/>
      <c r="F64" s="5"/>
      <c r="G64" s="5"/>
    </row>
    <row r="65" customFormat="false" ht="15" hidden="false" customHeight="false" outlineLevel="0" collapsed="false">
      <c r="A65" s="5"/>
      <c r="B65" s="8" t="s">
        <v>106</v>
      </c>
      <c r="C65" s="22" t="n">
        <v>0.2</v>
      </c>
      <c r="D65" s="5"/>
      <c r="E65" s="5"/>
      <c r="F65" s="5"/>
      <c r="G65" s="5"/>
    </row>
    <row r="66" customFormat="false" ht="15" hidden="false" customHeight="false" outlineLevel="0" collapsed="false">
      <c r="A66" s="5"/>
      <c r="B66" s="8" t="s">
        <v>107</v>
      </c>
      <c r="C66" s="22" t="n">
        <v>0.3</v>
      </c>
      <c r="D66" s="5"/>
      <c r="E66" s="5"/>
      <c r="F66" s="5"/>
      <c r="G66" s="5"/>
    </row>
    <row r="67" customFormat="false" ht="15" hidden="false" customHeight="false" outlineLevel="0" collapsed="false">
      <c r="A67" s="5"/>
      <c r="B67" s="8" t="s">
        <v>108</v>
      </c>
      <c r="C67" s="22" t="n">
        <v>0.2</v>
      </c>
      <c r="D67" s="5"/>
      <c r="E67" s="5"/>
      <c r="F67" s="5"/>
      <c r="G67" s="5"/>
    </row>
    <row r="68" customFormat="false" ht="15" hidden="false" customHeight="false" outlineLevel="0" collapsed="false">
      <c r="A68" s="5"/>
      <c r="B68" s="8" t="s">
        <v>109</v>
      </c>
      <c r="C68" s="23" t="n">
        <v>90</v>
      </c>
      <c r="D68" s="5"/>
      <c r="E68" s="5"/>
      <c r="F68" s="5"/>
      <c r="G68" s="5"/>
    </row>
    <row r="69" customFormat="false" ht="15" hidden="false" customHeight="false" outlineLevel="0" collapsed="false">
      <c r="A69" s="5"/>
      <c r="B69" s="8" t="s">
        <v>110</v>
      </c>
      <c r="C69" s="22" t="n">
        <v>0.35</v>
      </c>
      <c r="D69" s="5"/>
      <c r="E69" s="5"/>
      <c r="F69" s="5"/>
      <c r="G69" s="5"/>
    </row>
    <row r="70" customFormat="false" ht="15" hidden="false" customHeight="false" outlineLevel="0" collapsed="false">
      <c r="A70" s="5"/>
      <c r="B70" s="8" t="s">
        <v>111</v>
      </c>
      <c r="C70" s="22" t="n">
        <v>0.4</v>
      </c>
      <c r="D70" s="5"/>
      <c r="E70" s="5"/>
      <c r="F70" s="5"/>
      <c r="G70" s="5"/>
    </row>
    <row r="71" customFormat="false" ht="15" hidden="false" customHeight="false" outlineLevel="0" collapsed="false">
      <c r="A71" s="5"/>
      <c r="B71" s="8" t="s">
        <v>112</v>
      </c>
      <c r="C71" s="22" t="n">
        <v>0.28</v>
      </c>
      <c r="D71" s="5"/>
      <c r="E71" s="5"/>
      <c r="F71" s="5"/>
      <c r="G71" s="5"/>
    </row>
    <row r="72" customFormat="false" ht="15" hidden="false" customHeight="false" outlineLevel="0" collapsed="false">
      <c r="A72" s="5"/>
      <c r="B72" s="8" t="s">
        <v>113</v>
      </c>
      <c r="C72" s="23" t="n">
        <v>40</v>
      </c>
      <c r="D72" s="5"/>
      <c r="E72" s="5"/>
      <c r="F72" s="5"/>
      <c r="G72" s="5"/>
    </row>
    <row r="73" customFormat="false" ht="15" hidden="false" customHeight="false" outlineLevel="0" collapsed="false">
      <c r="A73" s="5"/>
      <c r="B73" s="8" t="s">
        <v>114</v>
      </c>
      <c r="C73" s="22" t="n">
        <v>0.18</v>
      </c>
      <c r="D73" s="5"/>
      <c r="E73" s="5"/>
      <c r="F73" s="5"/>
      <c r="G73" s="5"/>
    </row>
    <row r="74" customFormat="false" ht="15" hidden="false" customHeight="false" outlineLevel="0" collapsed="false">
      <c r="A74" s="5"/>
      <c r="B74" s="8" t="s">
        <v>115</v>
      </c>
      <c r="C74" s="22" t="n">
        <v>0.32</v>
      </c>
      <c r="D74" s="5"/>
      <c r="E74" s="5"/>
      <c r="F74" s="5"/>
      <c r="G74" s="5"/>
    </row>
    <row r="75" customFormat="false" ht="15" hidden="false" customHeight="false" outlineLevel="0" collapsed="false">
      <c r="A75" s="5"/>
      <c r="B75" s="8" t="s">
        <v>116</v>
      </c>
      <c r="C75" s="22" t="n">
        <v>0.3</v>
      </c>
      <c r="D75" s="5"/>
      <c r="E75" s="5"/>
      <c r="F75" s="5"/>
      <c r="G75" s="5"/>
    </row>
    <row r="76" customFormat="false" ht="15" hidden="false" customHeight="false" outlineLevel="0" collapsed="false">
      <c r="A76" s="5"/>
      <c r="B76" s="8" t="s">
        <v>117</v>
      </c>
      <c r="C76" s="23" t="n">
        <v>200</v>
      </c>
      <c r="D76" s="5"/>
      <c r="E76" s="5"/>
      <c r="F76" s="5"/>
      <c r="G76" s="5"/>
    </row>
    <row r="77" customFormat="false" ht="15" hidden="false" customHeight="false" outlineLevel="0" collapsed="false">
      <c r="A77" s="5"/>
      <c r="B77" s="8" t="s">
        <v>118</v>
      </c>
      <c r="C77" s="22" t="n">
        <v>0.4</v>
      </c>
      <c r="D77" s="5"/>
      <c r="E77" s="5"/>
      <c r="F77" s="5"/>
      <c r="G77" s="5"/>
    </row>
    <row r="78" customFormat="false" ht="15" hidden="false" customHeight="false" outlineLevel="0" collapsed="false">
      <c r="A78" s="5"/>
      <c r="B78" s="8" t="s">
        <v>119</v>
      </c>
      <c r="C78" s="22" t="n">
        <v>0.45</v>
      </c>
      <c r="D78" s="5"/>
      <c r="E78" s="5"/>
      <c r="F78" s="5"/>
      <c r="G78" s="5"/>
    </row>
    <row r="79" customFormat="false" ht="15" hidden="false" customHeight="false" outlineLevel="0" collapsed="false">
      <c r="A79" s="5"/>
      <c r="B79" s="8" t="s">
        <v>120</v>
      </c>
      <c r="C79" s="22" t="n">
        <v>0.35</v>
      </c>
      <c r="D79" s="5"/>
      <c r="E79" s="5"/>
      <c r="F79" s="5"/>
      <c r="G79" s="5"/>
    </row>
    <row r="80" customFormat="false" ht="15" hidden="false" customHeight="false" outlineLevel="0" collapsed="false">
      <c r="A80" s="5"/>
      <c r="B80" s="8" t="s">
        <v>121</v>
      </c>
      <c r="C80" s="23" t="n">
        <v>150</v>
      </c>
      <c r="D80" s="5"/>
      <c r="E80" s="5"/>
      <c r="F80" s="5"/>
      <c r="G80" s="5"/>
    </row>
    <row r="81" customFormat="false" ht="15" hidden="false" customHeight="false" outlineLevel="0" collapsed="false">
      <c r="A81" s="5"/>
      <c r="B81" s="8" t="s">
        <v>122</v>
      </c>
      <c r="C81" s="22" t="n">
        <v>0.3</v>
      </c>
      <c r="D81" s="5"/>
      <c r="E81" s="5"/>
      <c r="F81" s="5"/>
      <c r="G81" s="5"/>
    </row>
    <row r="82" customFormat="false" ht="15" hidden="false" customHeight="false" outlineLevel="0" collapsed="false">
      <c r="A82" s="5"/>
      <c r="B82" s="8" t="s">
        <v>123</v>
      </c>
      <c r="C82" s="22" t="n">
        <v>0.38</v>
      </c>
      <c r="D82" s="5"/>
      <c r="E82" s="5"/>
      <c r="F82" s="5"/>
      <c r="G82" s="5"/>
    </row>
    <row r="83" customFormat="false" ht="15" hidden="false" customHeight="false" outlineLevel="0" collapsed="false">
      <c r="A83" s="5"/>
      <c r="B83" s="8" t="s">
        <v>124</v>
      </c>
      <c r="C83" s="22" t="n">
        <v>0.32</v>
      </c>
      <c r="D83" s="5"/>
      <c r="E83" s="5"/>
      <c r="F83" s="5"/>
      <c r="G83" s="5"/>
    </row>
    <row r="84" customFormat="false" ht="15" hidden="false" customHeight="false" outlineLevel="0" collapsed="false">
      <c r="A84" s="5"/>
      <c r="B84" s="8" t="s">
        <v>125</v>
      </c>
      <c r="C84" s="23" t="n">
        <v>180</v>
      </c>
      <c r="D84" s="5"/>
      <c r="E84" s="5"/>
      <c r="F84" s="5"/>
      <c r="G84" s="5"/>
    </row>
    <row r="85" customFormat="false" ht="15" hidden="false" customHeight="false" outlineLevel="0" collapsed="false">
      <c r="A85" s="5"/>
      <c r="B85" s="8" t="s">
        <v>126</v>
      </c>
      <c r="C85" s="22" t="n">
        <v>0.15</v>
      </c>
      <c r="D85" s="5"/>
      <c r="E85" s="5"/>
      <c r="F85" s="5"/>
      <c r="G85" s="5"/>
    </row>
    <row r="86" customFormat="false" ht="15" hidden="false" customHeight="false" outlineLevel="0" collapsed="false">
      <c r="A86" s="5"/>
      <c r="B86" s="5"/>
      <c r="C86" s="5"/>
      <c r="D86" s="5"/>
      <c r="E86" s="5"/>
      <c r="F86" s="5"/>
      <c r="G86" s="5"/>
    </row>
    <row r="87" customFormat="false" ht="15" hidden="false" customHeight="false" outlineLevel="0" collapsed="false">
      <c r="A87" s="5"/>
      <c r="B87" s="19" t="s">
        <v>127</v>
      </c>
      <c r="C87" s="20"/>
      <c r="D87" s="20"/>
      <c r="E87" s="20"/>
      <c r="F87" s="20"/>
      <c r="G87" s="20"/>
    </row>
    <row r="88" customFormat="false" ht="15" hidden="false" customHeight="false" outlineLevel="0" collapsed="false">
      <c r="A88" s="5"/>
      <c r="B88" s="8" t="s">
        <v>128</v>
      </c>
      <c r="C88" s="23" t="n">
        <v>5000</v>
      </c>
      <c r="D88" s="5"/>
      <c r="E88" s="5"/>
      <c r="F88" s="5"/>
      <c r="G88" s="5"/>
    </row>
    <row r="89" customFormat="false" ht="15" hidden="false" customHeight="false" outlineLevel="0" collapsed="false">
      <c r="A89" s="5"/>
      <c r="B89" s="8" t="s">
        <v>129</v>
      </c>
      <c r="C89" s="23" t="n">
        <v>600000</v>
      </c>
      <c r="D89" s="5"/>
      <c r="E89" s="5"/>
      <c r="F89" s="5"/>
      <c r="G89" s="5"/>
    </row>
    <row r="90" customFormat="false" ht="15" hidden="false" customHeight="false" outlineLevel="0" collapsed="false">
      <c r="A90" s="5"/>
      <c r="B90" s="8" t="s">
        <v>130</v>
      </c>
      <c r="C90" s="22" t="n">
        <v>0.05</v>
      </c>
      <c r="D90" s="5"/>
      <c r="E90" s="5"/>
      <c r="F90" s="5"/>
      <c r="G90" s="5"/>
    </row>
    <row r="91" customFormat="false" ht="15" hidden="false" customHeight="false" outlineLevel="0" collapsed="false">
      <c r="A91" s="5"/>
      <c r="B91" s="8" t="s">
        <v>131</v>
      </c>
      <c r="C91" s="22" t="n">
        <v>0.015</v>
      </c>
      <c r="D91" s="5"/>
      <c r="E91" s="5"/>
      <c r="F91" s="5"/>
      <c r="G91" s="5"/>
    </row>
    <row r="92" customFormat="false" ht="15" hidden="false" customHeight="false" outlineLevel="0" collapsed="false">
      <c r="A92" s="5"/>
      <c r="B92" s="8" t="s">
        <v>132</v>
      </c>
      <c r="C92" s="22" t="n">
        <v>0.06</v>
      </c>
      <c r="D92" s="5"/>
      <c r="E92" s="5"/>
      <c r="F92" s="5"/>
      <c r="G92" s="5"/>
    </row>
    <row r="93" customFormat="false" ht="15" hidden="false" customHeight="false" outlineLevel="0" collapsed="false">
      <c r="A93" s="5"/>
      <c r="B93" s="5"/>
      <c r="C93" s="5"/>
      <c r="D93" s="5"/>
      <c r="E93" s="5"/>
      <c r="F93" s="5"/>
      <c r="G93" s="5"/>
    </row>
    <row r="94" customFormat="false" ht="15" hidden="false" customHeight="false" outlineLevel="0" collapsed="false">
      <c r="A94" s="5"/>
      <c r="B94" s="19" t="s">
        <v>133</v>
      </c>
      <c r="C94" s="20"/>
      <c r="D94" s="20"/>
      <c r="E94" s="20"/>
      <c r="F94" s="20"/>
      <c r="G94" s="20"/>
    </row>
    <row r="95" customFormat="false" ht="15" hidden="false" customHeight="false" outlineLevel="0" collapsed="false">
      <c r="A95" s="5"/>
      <c r="B95" s="8" t="s">
        <v>134</v>
      </c>
      <c r="C95" s="22" t="n">
        <v>0.18</v>
      </c>
      <c r="D95" s="5"/>
      <c r="E95" s="5"/>
      <c r="F95" s="5"/>
      <c r="G95" s="5"/>
    </row>
    <row r="96" customFormat="false" ht="15" hidden="false" customHeight="false" outlineLevel="0" collapsed="false">
      <c r="A96" s="5"/>
      <c r="B96" s="8" t="s">
        <v>135</v>
      </c>
      <c r="C96" s="22" t="n">
        <v>0.22</v>
      </c>
      <c r="D96" s="5"/>
      <c r="E96" s="5"/>
      <c r="F96" s="5"/>
      <c r="G96" s="5"/>
    </row>
    <row r="97" customFormat="false" ht="15" hidden="false" customHeight="false" outlineLevel="0" collapsed="false">
      <c r="A97" s="5"/>
      <c r="B97" s="8" t="s">
        <v>136</v>
      </c>
      <c r="C97" s="22" t="n">
        <v>0.25</v>
      </c>
      <c r="D97" s="5"/>
      <c r="E97" s="5"/>
      <c r="F97" s="5"/>
      <c r="G97" s="5"/>
    </row>
    <row r="98" customFormat="false" ht="15" hidden="false" customHeight="false" outlineLevel="0" collapsed="false">
      <c r="A98" s="5"/>
      <c r="B98" s="8" t="s">
        <v>137</v>
      </c>
      <c r="C98" s="22" t="n">
        <v>0.35</v>
      </c>
      <c r="D98" s="5"/>
      <c r="E98" s="5"/>
      <c r="F98" s="5"/>
      <c r="G98" s="5"/>
    </row>
    <row r="99" customFormat="false" ht="15" hidden="false" customHeight="false" outlineLevel="0" collapsed="false">
      <c r="A99" s="5"/>
      <c r="B99" s="5"/>
      <c r="C99" s="5"/>
      <c r="D99" s="5"/>
      <c r="E99" s="5"/>
      <c r="F99" s="5"/>
      <c r="G99" s="5"/>
    </row>
    <row r="100" customFormat="false" ht="15" hidden="false" customHeight="false" outlineLevel="0" collapsed="false">
      <c r="A100" s="5"/>
      <c r="B100" s="19" t="s">
        <v>138</v>
      </c>
      <c r="C100" s="20"/>
      <c r="D100" s="20"/>
      <c r="E100" s="20"/>
      <c r="F100" s="20"/>
      <c r="G100" s="20"/>
    </row>
    <row r="101" customFormat="false" ht="15" hidden="false" customHeight="false" outlineLevel="0" collapsed="false">
      <c r="A101" s="5"/>
      <c r="B101" s="8" t="s">
        <v>139</v>
      </c>
      <c r="C101" s="23" t="n">
        <v>300000</v>
      </c>
      <c r="D101" s="5"/>
      <c r="E101" s="5"/>
      <c r="F101" s="5"/>
      <c r="G101" s="5"/>
    </row>
    <row r="102" customFormat="false" ht="15" hidden="false" customHeight="false" outlineLevel="0" collapsed="false">
      <c r="A102" s="5"/>
      <c r="B102" s="8" t="s">
        <v>140</v>
      </c>
      <c r="C102" s="22" t="n">
        <v>0.05</v>
      </c>
      <c r="D102" s="5"/>
      <c r="E102" s="5"/>
      <c r="F102" s="5"/>
      <c r="G102" s="5"/>
    </row>
    <row r="103" customFormat="false" ht="15" hidden="false" customHeight="false" outlineLevel="0" collapsed="false">
      <c r="A103" s="5"/>
      <c r="B103" s="8" t="s">
        <v>141</v>
      </c>
      <c r="C103" s="21" t="n">
        <v>5</v>
      </c>
      <c r="D103" s="5"/>
      <c r="E103" s="5"/>
      <c r="F103" s="5"/>
      <c r="G103" s="5"/>
    </row>
    <row r="104" customFormat="false" ht="15" hidden="false" customHeight="false" outlineLevel="0" collapsed="false">
      <c r="A104" s="5"/>
      <c r="B104" s="8" t="s">
        <v>142</v>
      </c>
      <c r="C104" s="22" t="n">
        <v>0.25</v>
      </c>
      <c r="D104" s="5"/>
      <c r="E104" s="5"/>
      <c r="F104" s="5"/>
      <c r="G104" s="5"/>
    </row>
    <row r="105" customFormat="false" ht="15" hidden="false" customHeight="false" outlineLevel="0" collapsed="false">
      <c r="A105" s="5"/>
      <c r="B105" s="8" t="s">
        <v>143</v>
      </c>
      <c r="C105" s="21" t="n">
        <v>3</v>
      </c>
      <c r="D105" s="5"/>
      <c r="E105" s="5"/>
      <c r="F105" s="5"/>
      <c r="G105" s="5"/>
    </row>
    <row r="106" customFormat="false" ht="15" hidden="false" customHeight="false" outlineLevel="0" collapsed="false">
      <c r="A106" s="5"/>
      <c r="B106" s="8" t="s">
        <v>144</v>
      </c>
      <c r="C106" s="21" t="n">
        <v>2</v>
      </c>
      <c r="D106" s="5"/>
      <c r="E106" s="5"/>
      <c r="F106" s="5"/>
      <c r="G106" s="5"/>
    </row>
    <row r="107" customFormat="false" ht="15" hidden="false" customHeight="false" outlineLevel="0" collapsed="false">
      <c r="A107" s="5"/>
      <c r="B107" s="5"/>
      <c r="C107" s="5"/>
      <c r="D107" s="5"/>
      <c r="E107" s="5"/>
      <c r="F107" s="5"/>
      <c r="G107" s="5"/>
    </row>
    <row r="108" customFormat="false" ht="15" hidden="false" customHeight="false" outlineLevel="0" collapsed="false">
      <c r="A108" s="5"/>
      <c r="B108" s="19" t="s">
        <v>145</v>
      </c>
      <c r="C108" s="20"/>
      <c r="D108" s="20"/>
      <c r="E108" s="20"/>
      <c r="F108" s="20"/>
      <c r="G108" s="20"/>
    </row>
    <row r="109" customFormat="false" ht="15" hidden="false" customHeight="false" outlineLevel="0" collapsed="false">
      <c r="A109" s="5"/>
      <c r="B109" s="8" t="s">
        <v>146</v>
      </c>
      <c r="C109" s="25" t="n">
        <f aca="false">Opening_Debt_Current+Opening_Debt_NonCurr</f>
        <v>5000000</v>
      </c>
      <c r="D109" s="5"/>
      <c r="E109" s="5"/>
      <c r="F109" s="5"/>
      <c r="G109" s="5"/>
    </row>
    <row r="110" customFormat="false" ht="15" hidden="false" customHeight="false" outlineLevel="0" collapsed="false">
      <c r="A110" s="5"/>
      <c r="B110" s="8" t="s">
        <v>147</v>
      </c>
      <c r="C110" s="21" t="n">
        <v>5</v>
      </c>
      <c r="D110" s="5"/>
      <c r="E110" s="5"/>
      <c r="F110" s="5"/>
      <c r="G110" s="5"/>
    </row>
    <row r="111" customFormat="false" ht="15" hidden="false" customHeight="false" outlineLevel="0" collapsed="false">
      <c r="A111" s="5"/>
      <c r="B111" s="8" t="s">
        <v>148</v>
      </c>
      <c r="C111" s="22" t="n">
        <v>0.045</v>
      </c>
      <c r="D111" s="5"/>
      <c r="E111" s="5"/>
      <c r="F111" s="5"/>
      <c r="G111" s="5"/>
    </row>
    <row r="112" customFormat="false" ht="15" hidden="false" customHeight="false" outlineLevel="0" collapsed="false">
      <c r="A112" s="5"/>
      <c r="B112" s="8" t="s">
        <v>149</v>
      </c>
      <c r="C112" s="22" t="n">
        <v>0.055</v>
      </c>
      <c r="D112" s="5"/>
      <c r="E112" s="5"/>
      <c r="F112" s="5"/>
      <c r="G112" s="5"/>
    </row>
    <row r="113" customFormat="false" ht="15" hidden="false" customHeight="false" outlineLevel="0" collapsed="false">
      <c r="A113" s="5"/>
      <c r="B113" s="5"/>
      <c r="C113" s="5"/>
      <c r="D113" s="5"/>
      <c r="E113" s="5"/>
      <c r="F113" s="5"/>
      <c r="G113" s="5"/>
    </row>
    <row r="114" customFormat="false" ht="15" hidden="false" customHeight="false" outlineLevel="0" collapsed="false">
      <c r="A114" s="5"/>
      <c r="B114" s="19" t="s">
        <v>150</v>
      </c>
      <c r="C114" s="20"/>
      <c r="D114" s="20"/>
      <c r="E114" s="20"/>
      <c r="F114" s="20"/>
      <c r="G114" s="20"/>
    </row>
    <row r="115" customFormat="false" ht="15" hidden="false" customHeight="false" outlineLevel="0" collapsed="false">
      <c r="A115" s="5"/>
      <c r="B115" s="8" t="s">
        <v>151</v>
      </c>
      <c r="C115" s="23" t="n">
        <v>5000000</v>
      </c>
      <c r="D115" s="23" t="n">
        <v>0</v>
      </c>
      <c r="E115" s="23" t="n">
        <v>25000000</v>
      </c>
      <c r="F115" s="23" t="n">
        <v>0</v>
      </c>
      <c r="G115" s="23" t="n">
        <v>30000000</v>
      </c>
    </row>
    <row r="116" customFormat="false" ht="15" hidden="false" customHeight="false" outlineLevel="0" collapsed="false">
      <c r="A116" s="5"/>
      <c r="B116" s="5"/>
      <c r="C116" s="5"/>
      <c r="D116" s="5"/>
      <c r="E116" s="5"/>
      <c r="F116" s="5"/>
      <c r="G116" s="5"/>
    </row>
    <row r="117" customFormat="false" ht="15" hidden="false" customHeight="false" outlineLevel="0" collapsed="false">
      <c r="A117" s="5"/>
      <c r="B117" s="19" t="s">
        <v>152</v>
      </c>
      <c r="C117" s="20"/>
      <c r="D117" s="20"/>
      <c r="E117" s="20"/>
      <c r="F117" s="20"/>
      <c r="G117" s="20"/>
    </row>
    <row r="118" customFormat="false" ht="15" hidden="false" customHeight="false" outlineLevel="0" collapsed="false">
      <c r="A118" s="5"/>
      <c r="B118" s="8" t="s">
        <v>153</v>
      </c>
      <c r="C118" s="22" t="n">
        <v>0.21</v>
      </c>
      <c r="D118" s="5"/>
      <c r="E118" s="5"/>
      <c r="F118" s="5"/>
      <c r="G118" s="5"/>
    </row>
    <row r="119" customFormat="false" ht="15" hidden="false" customHeight="false" outlineLevel="0" collapsed="false">
      <c r="A119" s="5"/>
      <c r="B119" s="8" t="s">
        <v>154</v>
      </c>
      <c r="C119" s="22" t="n">
        <v>0.1</v>
      </c>
      <c r="D119" s="5"/>
      <c r="E119" s="5"/>
      <c r="F119" s="5"/>
      <c r="G119" s="5"/>
    </row>
    <row r="120" customFormat="false" ht="15" hidden="false" customHeight="false" outlineLevel="0" collapsed="false">
      <c r="A120" s="5"/>
      <c r="B120" s="8" t="s">
        <v>155</v>
      </c>
      <c r="C120" s="22" t="n">
        <v>0.6</v>
      </c>
      <c r="D120" s="5"/>
      <c r="E120" s="5"/>
      <c r="F120" s="5"/>
      <c r="G120" s="5"/>
    </row>
    <row r="121" customFormat="false" ht="15" hidden="false" customHeight="false" outlineLevel="0" collapsed="false">
      <c r="A121" s="5"/>
      <c r="B121" s="8" t="s">
        <v>156</v>
      </c>
      <c r="C121" s="23" t="n">
        <v>20000000</v>
      </c>
      <c r="D121" s="5"/>
      <c r="E121" s="5"/>
      <c r="F121" s="5"/>
      <c r="G121" s="5"/>
    </row>
    <row r="122" customFormat="false" ht="15" hidden="false" customHeight="false" outlineLevel="0" collapsed="false">
      <c r="A122" s="5"/>
      <c r="B122" s="5"/>
      <c r="C122" s="5"/>
      <c r="D122" s="5"/>
      <c r="E122" s="5"/>
      <c r="F122" s="5"/>
      <c r="G122" s="5"/>
    </row>
    <row r="123" customFormat="false" ht="15" hidden="false" customHeight="false" outlineLevel="0" collapsed="false">
      <c r="A123" s="5"/>
      <c r="B123" s="19" t="s">
        <v>157</v>
      </c>
      <c r="C123" s="20"/>
      <c r="D123" s="20"/>
      <c r="E123" s="20"/>
      <c r="F123" s="20"/>
      <c r="G123" s="20"/>
    </row>
    <row r="124" customFormat="false" ht="15" hidden="false" customHeight="false" outlineLevel="0" collapsed="false">
      <c r="A124" s="5"/>
      <c r="B124" s="8" t="s">
        <v>158</v>
      </c>
      <c r="C124" s="21" t="n">
        <v>45</v>
      </c>
      <c r="D124" s="5"/>
      <c r="E124" s="5"/>
      <c r="F124" s="5"/>
      <c r="G124" s="5"/>
    </row>
    <row r="125" customFormat="false" ht="15" hidden="false" customHeight="false" outlineLevel="0" collapsed="false">
      <c r="A125" s="5"/>
      <c r="B125" s="8" t="s">
        <v>159</v>
      </c>
      <c r="C125" s="21" t="n">
        <v>60</v>
      </c>
      <c r="D125" s="5"/>
      <c r="E125" s="5"/>
      <c r="F125" s="5"/>
      <c r="G125" s="5"/>
    </row>
    <row r="126" customFormat="false" ht="15" hidden="false" customHeight="false" outlineLevel="0" collapsed="false">
      <c r="A126" s="5"/>
      <c r="B126" s="8" t="s">
        <v>160</v>
      </c>
      <c r="C126" s="21" t="n">
        <v>35</v>
      </c>
      <c r="D126" s="5"/>
      <c r="E126" s="5"/>
      <c r="F126" s="5"/>
      <c r="G126" s="5"/>
    </row>
    <row r="127" customFormat="false" ht="15" hidden="false" customHeight="false" outlineLevel="0" collapsed="false">
      <c r="A127" s="5"/>
      <c r="B127" s="8" t="s">
        <v>161</v>
      </c>
      <c r="C127" s="21" t="n">
        <v>40</v>
      </c>
      <c r="D127" s="5"/>
      <c r="E127" s="5"/>
      <c r="F127" s="5"/>
      <c r="G127" s="5"/>
    </row>
    <row r="128" customFormat="false" ht="15" hidden="false" customHeight="false" outlineLevel="0" collapsed="false">
      <c r="A128" s="5"/>
      <c r="B128" s="8" t="s">
        <v>162</v>
      </c>
      <c r="C128" s="21" t="n">
        <v>15</v>
      </c>
      <c r="D128" s="5"/>
      <c r="E128" s="5"/>
      <c r="F128" s="5"/>
      <c r="G128" s="5"/>
    </row>
    <row r="129" customFormat="false" ht="15" hidden="false" customHeight="false" outlineLevel="0" collapsed="false">
      <c r="A129" s="5"/>
      <c r="B129" s="8" t="s">
        <v>163</v>
      </c>
      <c r="C129" s="21" t="n">
        <v>30</v>
      </c>
      <c r="D129" s="5"/>
      <c r="E129" s="5"/>
      <c r="F129" s="5"/>
      <c r="G129" s="5"/>
    </row>
    <row r="130" customFormat="false" ht="15" hidden="false" customHeight="false" outlineLevel="0" collapsed="false">
      <c r="A130" s="5"/>
      <c r="B130" s="5"/>
      <c r="C130" s="5"/>
      <c r="D130" s="5"/>
      <c r="E130" s="5"/>
      <c r="F130" s="5"/>
      <c r="G130" s="5"/>
    </row>
    <row r="131" customFormat="false" ht="15" hidden="false" customHeight="false" outlineLevel="0" collapsed="false">
      <c r="A131" s="5"/>
      <c r="B131" s="19" t="s">
        <v>164</v>
      </c>
      <c r="C131" s="20"/>
      <c r="D131" s="20"/>
      <c r="E131" s="20"/>
      <c r="F131" s="20"/>
      <c r="G131" s="20"/>
    </row>
    <row r="132" customFormat="false" ht="15" hidden="false" customHeight="false" outlineLevel="0" collapsed="false">
      <c r="A132" s="5"/>
      <c r="B132" s="8" t="s">
        <v>165</v>
      </c>
      <c r="C132" s="23" t="n">
        <v>12000000</v>
      </c>
      <c r="D132" s="5"/>
      <c r="E132" s="5"/>
      <c r="F132" s="5"/>
      <c r="G132" s="5"/>
    </row>
    <row r="133" customFormat="false" ht="15" hidden="false" customHeight="false" outlineLevel="0" collapsed="false">
      <c r="A133" s="5"/>
      <c r="B133" s="8" t="s">
        <v>166</v>
      </c>
      <c r="C133" s="23" t="n">
        <v>3500000</v>
      </c>
      <c r="D133" s="5"/>
      <c r="E133" s="5"/>
      <c r="F133" s="5"/>
      <c r="G133" s="5"/>
    </row>
    <row r="134" customFormat="false" ht="15" hidden="false" customHeight="false" outlineLevel="0" collapsed="false">
      <c r="A134" s="5"/>
      <c r="B134" s="8" t="s">
        <v>167</v>
      </c>
      <c r="C134" s="23" t="n">
        <v>500000</v>
      </c>
      <c r="D134" s="5"/>
      <c r="E134" s="5"/>
      <c r="F134" s="5"/>
      <c r="G134" s="5"/>
    </row>
    <row r="135" customFormat="false" ht="15" hidden="false" customHeight="false" outlineLevel="0" collapsed="false">
      <c r="A135" s="5"/>
      <c r="B135" s="8" t="s">
        <v>168</v>
      </c>
      <c r="C135" s="23" t="n">
        <v>4000000</v>
      </c>
      <c r="D135" s="5"/>
      <c r="E135" s="5"/>
      <c r="F135" s="5"/>
      <c r="G135" s="5"/>
    </row>
    <row r="136" customFormat="false" ht="15" hidden="false" customHeight="false" outlineLevel="0" collapsed="false">
      <c r="A136" s="5"/>
      <c r="B136" s="8" t="s">
        <v>169</v>
      </c>
      <c r="C136" s="23" t="n">
        <v>800000</v>
      </c>
      <c r="D136" s="5"/>
      <c r="E136" s="5"/>
      <c r="F136" s="5"/>
      <c r="G136" s="5"/>
    </row>
    <row r="137" customFormat="false" ht="15" hidden="false" customHeight="false" outlineLevel="0" collapsed="false">
      <c r="A137" s="5"/>
      <c r="B137" s="8" t="s">
        <v>170</v>
      </c>
      <c r="C137" s="23" t="n">
        <v>200000</v>
      </c>
      <c r="D137" s="5"/>
      <c r="E137" s="5"/>
      <c r="F137" s="5"/>
      <c r="G137" s="5"/>
    </row>
    <row r="138" customFormat="false" ht="15" hidden="false" customHeight="false" outlineLevel="0" collapsed="false">
      <c r="A138" s="5"/>
      <c r="B138" s="8" t="s">
        <v>171</v>
      </c>
      <c r="C138" s="25" t="n">
        <f aca="false">SUM($C$132:$C$137)</f>
        <v>21000000</v>
      </c>
      <c r="D138" s="5"/>
      <c r="E138" s="5"/>
      <c r="F138" s="5"/>
      <c r="G138" s="5"/>
    </row>
    <row r="139" customFormat="false" ht="15" hidden="false" customHeight="false" outlineLevel="0" collapsed="false">
      <c r="A139" s="5"/>
      <c r="B139" s="8" t="s">
        <v>172</v>
      </c>
      <c r="C139" s="23" t="n">
        <v>2000000</v>
      </c>
      <c r="D139" s="5"/>
      <c r="E139" s="5"/>
      <c r="F139" s="5"/>
      <c r="G139" s="5"/>
    </row>
    <row r="140" customFormat="false" ht="15" hidden="false" customHeight="false" outlineLevel="0" collapsed="false">
      <c r="A140" s="5"/>
      <c r="B140" s="8" t="s">
        <v>173</v>
      </c>
      <c r="C140" s="23" t="n">
        <v>3000000</v>
      </c>
      <c r="D140" s="5"/>
      <c r="E140" s="5"/>
      <c r="F140" s="5"/>
      <c r="G140" s="5"/>
    </row>
    <row r="141" customFormat="false" ht="15" hidden="false" customHeight="false" outlineLevel="0" collapsed="false">
      <c r="A141" s="5"/>
      <c r="B141" s="8" t="s">
        <v>174</v>
      </c>
      <c r="C141" s="23" t="n">
        <v>1500000</v>
      </c>
      <c r="D141" s="5"/>
      <c r="E141" s="5"/>
      <c r="F141" s="5"/>
      <c r="G141" s="5"/>
    </row>
    <row r="142" customFormat="false" ht="15" hidden="false" customHeight="false" outlineLevel="0" collapsed="false">
      <c r="A142" s="5"/>
      <c r="B142" s="8" t="s">
        <v>175</v>
      </c>
      <c r="C142" s="23" t="n">
        <v>1000000</v>
      </c>
      <c r="D142" s="5"/>
      <c r="E142" s="5"/>
      <c r="F142" s="5"/>
      <c r="G142" s="5"/>
    </row>
    <row r="143" customFormat="false" ht="15" hidden="false" customHeight="false" outlineLevel="0" collapsed="false">
      <c r="A143" s="5"/>
      <c r="B143" s="8" t="s">
        <v>176</v>
      </c>
      <c r="C143" s="23" t="n">
        <v>4000000</v>
      </c>
      <c r="D143" s="5"/>
      <c r="E143" s="5"/>
      <c r="F143" s="5"/>
      <c r="G143" s="5"/>
    </row>
    <row r="144" customFormat="false" ht="15" hidden="false" customHeight="false" outlineLevel="0" collapsed="false">
      <c r="A144" s="5"/>
      <c r="B144" s="8" t="s">
        <v>177</v>
      </c>
      <c r="C144" s="25" t="n">
        <f aca="false">SUM($C$139:$C$143)</f>
        <v>11500000</v>
      </c>
      <c r="D144" s="5"/>
      <c r="E144" s="5"/>
      <c r="F144" s="5"/>
      <c r="G144" s="5"/>
    </row>
    <row r="145" customFormat="false" ht="15" hidden="false" customHeight="false" outlineLevel="0" collapsed="false">
      <c r="A145" s="5"/>
      <c r="B145" s="8" t="s">
        <v>178</v>
      </c>
      <c r="C145" s="23" t="n">
        <v>35000000</v>
      </c>
      <c r="D145" s="5"/>
      <c r="E145" s="5"/>
      <c r="F145" s="5"/>
      <c r="G145" s="5"/>
    </row>
    <row r="146" customFormat="false" ht="15" hidden="false" customHeight="false" outlineLevel="0" collapsed="false">
      <c r="A146" s="5"/>
      <c r="B146" s="8" t="s">
        <v>179</v>
      </c>
      <c r="C146" s="25" t="n">
        <f aca="false">Opening_Total_Assets-Opening_Total_Liab-Opening_Share_Capital</f>
        <v>-25500000</v>
      </c>
      <c r="D146" s="5"/>
      <c r="E146" s="5"/>
      <c r="F146" s="5"/>
      <c r="G146" s="5"/>
    </row>
    <row r="147" customFormat="false" ht="15" hidden="false" customHeight="false" outlineLevel="0" collapsed="false">
      <c r="A147" s="5"/>
      <c r="B147" s="8" t="s">
        <v>180</v>
      </c>
      <c r="C147" s="25" t="n">
        <f aca="false">Opening_Share_Capital+Opening_Ret_Earnings</f>
        <v>9500000</v>
      </c>
      <c r="D147" s="5"/>
      <c r="E147" s="5"/>
      <c r="F147" s="5"/>
      <c r="G147" s="5"/>
    </row>
    <row r="148" customFormat="false" ht="15" hidden="false" customHeight="false" outlineLevel="0" collapsed="false">
      <c r="A148" s="5"/>
      <c r="B148" s="8" t="s">
        <v>181</v>
      </c>
      <c r="C148" s="25" t="n">
        <f aca="false">Opening_Total_Assets-Opening_Total_Liab-Opening_Total_Equity</f>
        <v>0</v>
      </c>
      <c r="D148" s="5"/>
      <c r="E148" s="5"/>
      <c r="F148" s="5"/>
      <c r="G148" s="5"/>
    </row>
    <row r="149" customFormat="false" ht="15" hidden="false" customHeight="false" outlineLevel="0" collapsed="false">
      <c r="A149" s="5"/>
      <c r="B149" s="5"/>
      <c r="C149" s="5"/>
      <c r="D149" s="5"/>
      <c r="E149" s="5"/>
      <c r="F149" s="5"/>
      <c r="G149" s="5"/>
    </row>
    <row r="150" customFormat="false" ht="15" hidden="false" customHeight="false" outlineLevel="0" collapsed="false">
      <c r="A150" s="5"/>
      <c r="B150" s="19" t="s">
        <v>182</v>
      </c>
      <c r="C150" s="20"/>
      <c r="D150" s="20"/>
      <c r="E150" s="20"/>
      <c r="F150" s="20"/>
      <c r="G150" s="20"/>
    </row>
    <row r="151" customFormat="false" ht="15" hidden="false" customHeight="false" outlineLevel="0" collapsed="false">
      <c r="A151" s="5"/>
      <c r="B151" s="8" t="s">
        <v>183</v>
      </c>
      <c r="C151" s="22" t="n">
        <v>0.65</v>
      </c>
      <c r="D151" s="5"/>
      <c r="E151" s="5"/>
      <c r="F151" s="5"/>
      <c r="G151" s="5"/>
    </row>
    <row r="152" customFormat="false" ht="15" hidden="false" customHeight="false" outlineLevel="0" collapsed="false">
      <c r="A152" s="5"/>
      <c r="B152" s="8" t="s">
        <v>184</v>
      </c>
      <c r="C152" s="22" t="n">
        <v>0.85</v>
      </c>
      <c r="D152" s="5"/>
      <c r="E152" s="5"/>
      <c r="F152" s="5"/>
      <c r="G152" s="5"/>
    </row>
    <row r="153" customFormat="false" ht="15" hidden="false" customHeight="false" outlineLevel="0" collapsed="false">
      <c r="A153" s="5"/>
      <c r="B153" s="8" t="s">
        <v>185</v>
      </c>
      <c r="C153" s="22" t="n">
        <v>0.8</v>
      </c>
      <c r="D153" s="5"/>
      <c r="E153" s="5"/>
      <c r="F153" s="5"/>
      <c r="G153" s="5"/>
    </row>
    <row r="154" customFormat="false" ht="15" hidden="false" customHeight="false" outlineLevel="0" collapsed="false">
      <c r="A154" s="5"/>
      <c r="B154" s="8" t="s">
        <v>186</v>
      </c>
      <c r="C154" s="22" t="n">
        <v>1.3</v>
      </c>
      <c r="D154" s="5"/>
      <c r="E154" s="5"/>
      <c r="F154" s="5"/>
      <c r="G154" s="5"/>
    </row>
    <row r="155" customFormat="false" ht="15" hidden="false" customHeight="false" outlineLevel="0" collapsed="false">
      <c r="A155" s="5"/>
      <c r="B155" s="8" t="s">
        <v>187</v>
      </c>
      <c r="C155" s="26" t="n">
        <v>3</v>
      </c>
      <c r="D155" s="5"/>
      <c r="E155" s="5"/>
      <c r="F155" s="5"/>
      <c r="G155" s="5"/>
    </row>
    <row r="156" customFormat="false" ht="15" hidden="false" customHeight="false" outlineLevel="0" collapsed="false">
      <c r="A156" s="5"/>
      <c r="B156" s="8" t="s">
        <v>188</v>
      </c>
      <c r="C156" s="22" t="n">
        <v>0.3</v>
      </c>
      <c r="D156" s="5"/>
      <c r="E156" s="5"/>
      <c r="F156" s="5"/>
      <c r="G156" s="5"/>
    </row>
    <row r="157" customFormat="false" ht="15" hidden="false" customHeight="false" outlineLevel="0" collapsed="false">
      <c r="A157" s="5"/>
      <c r="B157" s="8" t="s">
        <v>189</v>
      </c>
      <c r="C157" s="21" t="n">
        <v>12</v>
      </c>
      <c r="D157" s="5"/>
      <c r="E157" s="5"/>
      <c r="F157" s="5"/>
      <c r="G157" s="5"/>
    </row>
    <row r="158" customFormat="false" ht="15" hidden="false" customHeight="false" outlineLevel="0" collapsed="false">
      <c r="A158" s="5"/>
      <c r="B158" s="8" t="s">
        <v>190</v>
      </c>
      <c r="C158" s="21" t="n">
        <v>999</v>
      </c>
      <c r="D158" s="5"/>
      <c r="E158" s="5"/>
      <c r="F158" s="5"/>
      <c r="G158" s="5"/>
    </row>
    <row r="159" customFormat="false" ht="15" hidden="false" customHeight="false" outlineLevel="0" collapsed="false">
      <c r="A159" s="5"/>
      <c r="B159" s="8" t="s">
        <v>191</v>
      </c>
      <c r="C159" s="22" t="n">
        <v>0.25</v>
      </c>
      <c r="D159" s="5"/>
      <c r="E159" s="5"/>
      <c r="F159" s="5"/>
      <c r="G159"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8"/>
    <col collapsed="false" customWidth="true" hidden="false" outlineLevel="0" max="7" min="3" style="0" width="14"/>
  </cols>
  <sheetData>
    <row r="1" customFormat="false" ht="25.5" hidden="false" customHeight="true" outlineLevel="0" collapsed="false">
      <c r="A1" s="1"/>
      <c r="B1" s="3" t="s">
        <v>192</v>
      </c>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193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48</v>
      </c>
      <c r="D4" s="18" t="s">
        <v>49</v>
      </c>
      <c r="E4" s="18" t="s">
        <v>50</v>
      </c>
      <c r="F4" s="18" t="s">
        <v>51</v>
      </c>
      <c r="G4" s="18" t="s">
        <v>52</v>
      </c>
    </row>
    <row r="5" customFormat="false" ht="15" hidden="false" customHeight="false" outlineLevel="0" collapsed="false">
      <c r="A5" s="5"/>
      <c r="B5" s="5"/>
      <c r="C5" s="5"/>
      <c r="D5" s="5"/>
      <c r="E5" s="5"/>
      <c r="F5" s="5"/>
      <c r="G5" s="5"/>
    </row>
    <row r="6" customFormat="false" ht="15" hidden="false" customHeight="false" outlineLevel="0" collapsed="false">
      <c r="A6" s="5"/>
      <c r="B6" s="19" t="s">
        <v>194</v>
      </c>
      <c r="C6" s="20"/>
      <c r="D6" s="20"/>
      <c r="E6" s="20"/>
      <c r="F6" s="20"/>
      <c r="G6" s="20"/>
    </row>
    <row r="7" customFormat="false" ht="15" hidden="false" customHeight="false" outlineLevel="0" collapsed="false">
      <c r="A7" s="5"/>
      <c r="B7" s="8" t="s">
        <v>54</v>
      </c>
      <c r="C7" s="27" t="n">
        <f aca="false">Opening_Customers</f>
        <v>833</v>
      </c>
      <c r="D7" s="27" t="n">
        <f aca="false">C10</f>
        <v>933</v>
      </c>
      <c r="E7" s="27" t="n">
        <f aca="false">D10</f>
        <v>1076</v>
      </c>
      <c r="F7" s="27" t="n">
        <f aca="false">E10</f>
        <v>1268</v>
      </c>
      <c r="G7" s="27" t="n">
        <f aca="false">F10</f>
        <v>1515</v>
      </c>
    </row>
    <row r="8" customFormat="false" ht="15" hidden="false" customHeight="false" outlineLevel="0" collapsed="false">
      <c r="A8" s="5"/>
      <c r="B8" s="8" t="s">
        <v>195</v>
      </c>
      <c r="C8" s="27" t="n">
        <f aca="false">ROUND(New_Cust_Y1,0)</f>
        <v>200</v>
      </c>
      <c r="D8" s="27" t="n">
        <f aca="false">ROUND(New_Cust_Y2,0)</f>
        <v>250</v>
      </c>
      <c r="E8" s="27" t="n">
        <f aca="false">ROUND(New_Cust_Y3,0)</f>
        <v>310</v>
      </c>
      <c r="F8" s="27" t="n">
        <f aca="false">ROUND(New_Cust_Y4,0)</f>
        <v>380</v>
      </c>
      <c r="G8" s="27" t="n">
        <f aca="false">ROUND(New_Cust_Y5,0)</f>
        <v>450</v>
      </c>
    </row>
    <row r="9" customFormat="false" ht="15" hidden="false" customHeight="false" outlineLevel="0" collapsed="false">
      <c r="A9" s="5"/>
      <c r="B9" s="8" t="s">
        <v>196</v>
      </c>
      <c r="C9" s="27" t="n">
        <f aca="false">ROUND(C7*Cust_Churn_Y1,0)</f>
        <v>100</v>
      </c>
      <c r="D9" s="27" t="n">
        <f aca="false">ROUND(D7*Cust_Churn_Y2,0)</f>
        <v>107</v>
      </c>
      <c r="E9" s="27" t="n">
        <f aca="false">ROUND(E7*Cust_Churn_Y3,0)</f>
        <v>118</v>
      </c>
      <c r="F9" s="27" t="n">
        <f aca="false">ROUND(F7*Cust_Churn_Y4,0)</f>
        <v>133</v>
      </c>
      <c r="G9" s="27" t="n">
        <f aca="false">ROUND(G7*Cust_Churn_Y5,0)</f>
        <v>152</v>
      </c>
    </row>
    <row r="10" customFormat="false" ht="15" hidden="false" customHeight="false" outlineLevel="0" collapsed="false">
      <c r="A10" s="5"/>
      <c r="B10" s="28" t="s">
        <v>197</v>
      </c>
      <c r="C10" s="29" t="n">
        <f aca="false">ROUND(C7+C8-C9,0)</f>
        <v>933</v>
      </c>
      <c r="D10" s="29" t="n">
        <f aca="false">ROUND(D7+D8-D9,0)</f>
        <v>1076</v>
      </c>
      <c r="E10" s="29" t="n">
        <f aca="false">ROUND(E7+E8-E9,0)</f>
        <v>1268</v>
      </c>
      <c r="F10" s="29" t="n">
        <f aca="false">ROUND(F7+F8-F9,0)</f>
        <v>1515</v>
      </c>
      <c r="G10" s="29" t="n">
        <f aca="false">ROUND(G7+G8-G9,0)</f>
        <v>1813</v>
      </c>
    </row>
    <row r="11" customFormat="false" ht="15" hidden="false" customHeight="false" outlineLevel="0" collapsed="false">
      <c r="A11" s="5"/>
      <c r="B11" s="19" t="s">
        <v>198</v>
      </c>
      <c r="C11" s="20"/>
      <c r="D11" s="20"/>
      <c r="E11" s="20"/>
      <c r="F11" s="20"/>
      <c r="G11" s="20"/>
    </row>
    <row r="12" customFormat="false" ht="15" hidden="false" customHeight="false" outlineLevel="0" collapsed="false">
      <c r="A12" s="5"/>
      <c r="B12" s="8" t="s">
        <v>199</v>
      </c>
      <c r="C12" s="25" t="n">
        <f aca="false">Opening_Customers*ARPA_Y1*12</f>
        <v>14994000</v>
      </c>
      <c r="D12" s="25" t="n">
        <f aca="false">C18</f>
        <v>18594000</v>
      </c>
      <c r="E12" s="25" t="n">
        <f aca="false">D18</f>
        <v>23411970</v>
      </c>
      <c r="F12" s="25" t="n">
        <f aca="false">E18</f>
        <v>29798969.7</v>
      </c>
      <c r="G12" s="25" t="n">
        <f aca="false">F18</f>
        <v>38162114.2455</v>
      </c>
    </row>
    <row r="13" customFormat="false" ht="15" hidden="false" customHeight="false" outlineLevel="0" collapsed="false">
      <c r="A13" s="5"/>
      <c r="B13" s="8" t="s">
        <v>200</v>
      </c>
      <c r="C13" s="25" t="n">
        <f aca="false">C8*ARPA_Y1*12</f>
        <v>3600000</v>
      </c>
      <c r="D13" s="25" t="n">
        <f aca="false">D8*ARPA_Y2*12</f>
        <v>4725000</v>
      </c>
      <c r="E13" s="25" t="n">
        <f aca="false">E8*ARPA_Y3*12</f>
        <v>6152880</v>
      </c>
      <c r="F13" s="25" t="n">
        <f aca="false">F8*ARPA_Y4*12</f>
        <v>7916160</v>
      </c>
      <c r="G13" s="25" t="n">
        <f aca="false">G8*ARPA_Y5*12</f>
        <v>9844200</v>
      </c>
    </row>
    <row r="14" customFormat="false" ht="15" hidden="false" customHeight="false" outlineLevel="0" collapsed="false">
      <c r="A14" s="5"/>
      <c r="B14" s="8" t="s">
        <v>201</v>
      </c>
      <c r="C14" s="25" t="n">
        <f aca="false">C12*Expansion_Rate</f>
        <v>2249100</v>
      </c>
      <c r="D14" s="25" t="n">
        <f aca="false">D12*Expansion_Rate</f>
        <v>2789100</v>
      </c>
      <c r="E14" s="25" t="n">
        <f aca="false">E12*Expansion_Rate</f>
        <v>3511795.5</v>
      </c>
      <c r="F14" s="25" t="n">
        <f aca="false">F12*Expansion_Rate</f>
        <v>4469845.455</v>
      </c>
      <c r="G14" s="25" t="n">
        <f aca="false">G12*Expansion_Rate</f>
        <v>5724317.136825</v>
      </c>
    </row>
    <row r="15" customFormat="false" ht="15" hidden="false" customHeight="false" outlineLevel="0" collapsed="false">
      <c r="A15" s="5"/>
      <c r="B15" s="8" t="s">
        <v>202</v>
      </c>
      <c r="C15" s="25" t="n">
        <f aca="false">C12*Contraction_Rate</f>
        <v>449820</v>
      </c>
      <c r="D15" s="25" t="n">
        <f aca="false">D12*Contraction_Rate</f>
        <v>557820</v>
      </c>
      <c r="E15" s="25" t="n">
        <f aca="false">E12*Contraction_Rate</f>
        <v>702359.1</v>
      </c>
      <c r="F15" s="25" t="n">
        <f aca="false">F12*Contraction_Rate</f>
        <v>893969.091</v>
      </c>
      <c r="G15" s="25" t="n">
        <f aca="false">G12*Contraction_Rate</f>
        <v>1144863.427365</v>
      </c>
    </row>
    <row r="16" customFormat="false" ht="15" hidden="false" customHeight="false" outlineLevel="0" collapsed="false">
      <c r="A16" s="5"/>
      <c r="B16" s="8" t="s">
        <v>203</v>
      </c>
      <c r="C16" s="25" t="n">
        <f aca="false">C12*Gross_Churn_Y1</f>
        <v>1799280</v>
      </c>
      <c r="D16" s="25" t="n">
        <f aca="false">D12*Gross_Churn_Y2</f>
        <v>2138310</v>
      </c>
      <c r="E16" s="25" t="n">
        <f aca="false">E12*Gross_Churn_Y3</f>
        <v>2575316.7</v>
      </c>
      <c r="F16" s="25" t="n">
        <f aca="false">F12*Gross_Churn_Y4</f>
        <v>3128891.8185</v>
      </c>
      <c r="G16" s="25" t="n">
        <f aca="false">G12*Gross_Churn_Y5</f>
        <v>3816211.42455</v>
      </c>
    </row>
    <row r="17" customFormat="false" ht="15" hidden="false" customHeight="false" outlineLevel="0" collapsed="false">
      <c r="A17" s="5"/>
      <c r="B17" s="28" t="s">
        <v>204</v>
      </c>
      <c r="C17" s="30" t="n">
        <f aca="false">C13+C14-C15-C16</f>
        <v>3600000</v>
      </c>
      <c r="D17" s="30" t="n">
        <f aca="false">D13+D14-D15-D16</f>
        <v>4817970</v>
      </c>
      <c r="E17" s="30" t="n">
        <f aca="false">E13+E14-E15-E16</f>
        <v>6386999.7</v>
      </c>
      <c r="F17" s="30" t="n">
        <f aca="false">F13+F14-F15-F16</f>
        <v>8363144.5455</v>
      </c>
      <c r="G17" s="30" t="n">
        <f aca="false">G13+G14-G15-G16</f>
        <v>10607442.28491</v>
      </c>
    </row>
    <row r="18" customFormat="false" ht="15" hidden="false" customHeight="false" outlineLevel="0" collapsed="false">
      <c r="A18" s="5"/>
      <c r="B18" s="31" t="s">
        <v>205</v>
      </c>
      <c r="C18" s="32" t="n">
        <f aca="false">C12+C17</f>
        <v>18594000</v>
      </c>
      <c r="D18" s="32" t="n">
        <f aca="false">D12+D17</f>
        <v>23411970</v>
      </c>
      <c r="E18" s="32" t="n">
        <f aca="false">E12+E17</f>
        <v>29798969.7</v>
      </c>
      <c r="F18" s="32" t="n">
        <f aca="false">F12+F17</f>
        <v>38162114.2455</v>
      </c>
      <c r="G18" s="32" t="n">
        <f aca="false">G12+G17</f>
        <v>48769556.53041</v>
      </c>
    </row>
    <row r="19" customFormat="false" ht="15" hidden="false" customHeight="false" outlineLevel="0" collapsed="false">
      <c r="A19" s="5"/>
      <c r="B19" s="19" t="s">
        <v>206</v>
      </c>
      <c r="C19" s="20"/>
      <c r="D19" s="20"/>
      <c r="E19" s="20"/>
      <c r="F19" s="20"/>
      <c r="G19" s="20"/>
    </row>
    <row r="20" customFormat="false" ht="15" hidden="false" customHeight="false" outlineLevel="0" collapsed="false">
      <c r="A20" s="5"/>
      <c r="B20" s="28" t="s">
        <v>207</v>
      </c>
      <c r="C20" s="30" t="n">
        <f aca="false">(C12+C18)/2</f>
        <v>16794000</v>
      </c>
      <c r="D20" s="30" t="n">
        <f aca="false">(D12+D18)/2</f>
        <v>21002985</v>
      </c>
      <c r="E20" s="30" t="n">
        <f aca="false">(E12+E18)/2</f>
        <v>26605469.85</v>
      </c>
      <c r="F20" s="30" t="n">
        <f aca="false">(F12+F18)/2</f>
        <v>33980541.97275</v>
      </c>
      <c r="G20" s="30" t="n">
        <f aca="false">(G12+G18)/2</f>
        <v>43465835.387955</v>
      </c>
    </row>
    <row r="21" customFormat="false" ht="15" hidden="false" customHeight="false" outlineLevel="0" collapsed="false">
      <c r="A21" s="5"/>
      <c r="B21" s="5"/>
      <c r="C21" s="5"/>
      <c r="D21" s="5"/>
      <c r="E21" s="5"/>
      <c r="F21" s="5"/>
      <c r="G21" s="5"/>
    </row>
    <row r="22" customFormat="false" ht="15" hidden="false" customHeight="false" outlineLevel="0" collapsed="false">
      <c r="A22" s="5"/>
      <c r="B22" s="19" t="s">
        <v>208</v>
      </c>
      <c r="C22" s="20"/>
      <c r="D22" s="20"/>
      <c r="E22" s="20"/>
      <c r="F22" s="20"/>
      <c r="G22" s="20"/>
    </row>
    <row r="23" customFormat="false" ht="15" hidden="false" customHeight="false" outlineLevel="0" collapsed="false">
      <c r="A23" s="5"/>
      <c r="B23" s="8" t="s">
        <v>209</v>
      </c>
      <c r="C23" s="33" t="n">
        <f aca="false">(C12+C14-C15-C16)/C12</f>
        <v>1</v>
      </c>
      <c r="D23" s="33" t="n">
        <f aca="false">(D12+D14-D15-D16)/D12</f>
        <v>1.005</v>
      </c>
      <c r="E23" s="33" t="n">
        <f aca="false">(E12+E14-E15-E16)/E12</f>
        <v>1.01</v>
      </c>
      <c r="F23" s="33" t="n">
        <f aca="false">(F12+F14-F15-F16)/F12</f>
        <v>1.015</v>
      </c>
      <c r="G23" s="33" t="n">
        <f aca="false">(G12+G14-G15-G16)/G12</f>
        <v>1.02</v>
      </c>
    </row>
    <row r="24" customFormat="false" ht="15" hidden="false" customHeight="false" outlineLevel="0" collapsed="false">
      <c r="A24" s="5"/>
      <c r="B24" s="8" t="s">
        <v>210</v>
      </c>
      <c r="C24" s="33" t="n">
        <f aca="false">(C12-C15-C16)/C12</f>
        <v>0.85</v>
      </c>
      <c r="D24" s="33" t="n">
        <f aca="false">(D12-D15-D16)/D12</f>
        <v>0.855</v>
      </c>
      <c r="E24" s="33" t="n">
        <f aca="false">(E12-E15-E16)/E12</f>
        <v>0.86</v>
      </c>
      <c r="F24" s="33" t="n">
        <f aca="false">(F12-F15-F16)/F12</f>
        <v>0.865</v>
      </c>
      <c r="G24" s="33" t="n">
        <f aca="false">(G12-G15-G16)/G12</f>
        <v>0.87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2"/>
    <col collapsed="false" customWidth="true" hidden="false" outlineLevel="0" max="7" min="3" style="0" width="14"/>
  </cols>
  <sheetData>
    <row r="1" customFormat="false" ht="25.5" hidden="false" customHeight="true" outlineLevel="0" collapsed="false">
      <c r="A1" s="1"/>
      <c r="B1" s="3" t="s">
        <v>67</v>
      </c>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211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48</v>
      </c>
      <c r="D4" s="18" t="s">
        <v>49</v>
      </c>
      <c r="E4" s="18" t="s">
        <v>50</v>
      </c>
      <c r="F4" s="18" t="s">
        <v>51</v>
      </c>
      <c r="G4" s="18" t="s">
        <v>52</v>
      </c>
    </row>
    <row r="5" customFormat="false" ht="15" hidden="false" customHeight="false" outlineLevel="0" collapsed="false">
      <c r="A5" s="5"/>
      <c r="B5" s="5"/>
      <c r="C5" s="5"/>
      <c r="D5" s="5"/>
      <c r="E5" s="5"/>
      <c r="F5" s="5"/>
      <c r="G5" s="5"/>
    </row>
    <row r="6" customFormat="false" ht="15" hidden="false" customHeight="false" outlineLevel="0" collapsed="false">
      <c r="A6" s="5"/>
      <c r="B6" s="19" t="s">
        <v>212</v>
      </c>
      <c r="C6" s="20"/>
      <c r="D6" s="20"/>
      <c r="E6" s="20"/>
      <c r="F6" s="20"/>
      <c r="G6" s="20"/>
    </row>
    <row r="7" customFormat="false" ht="15" hidden="false" customHeight="false" outlineLevel="0" collapsed="false">
      <c r="A7" s="5"/>
      <c r="B7" s="8" t="s">
        <v>213</v>
      </c>
      <c r="C7" s="27" t="n">
        <f aca="false">Impressions_Y1</f>
        <v>110</v>
      </c>
      <c r="D7" s="27" t="n">
        <f aca="false">C7*(1+Impr_Growth_Y2)</f>
        <v>137.5</v>
      </c>
      <c r="E7" s="27" t="n">
        <f aca="false">D7*(1+Impr_Growth_Y3)</f>
        <v>167.75</v>
      </c>
      <c r="F7" s="27" t="n">
        <f aca="false">E7*(1+Impr_Growth_Y4)</f>
        <v>197.945</v>
      </c>
      <c r="G7" s="27" t="n">
        <f aca="false">F7*(1+Impr_Growth_Y5)</f>
        <v>227.63675</v>
      </c>
    </row>
    <row r="8" customFormat="false" ht="15" hidden="false" customHeight="false" outlineLevel="0" collapsed="false">
      <c r="A8" s="5"/>
      <c r="B8" s="8" t="s">
        <v>71</v>
      </c>
      <c r="C8" s="34" t="n">
        <f aca="false">Bid_CPM</f>
        <v>2.2</v>
      </c>
      <c r="D8" s="34" t="n">
        <f aca="false">Bid_CPM</f>
        <v>2.2</v>
      </c>
      <c r="E8" s="34" t="n">
        <f aca="false">Bid_CPM</f>
        <v>2.2</v>
      </c>
      <c r="F8" s="34" t="n">
        <f aca="false">Bid_CPM</f>
        <v>2.2</v>
      </c>
      <c r="G8" s="34" t="n">
        <f aca="false">Bid_CPM</f>
        <v>2.2</v>
      </c>
    </row>
    <row r="9" customFormat="false" ht="15" hidden="false" customHeight="false" outlineLevel="0" collapsed="false">
      <c r="A9" s="5"/>
      <c r="B9" s="8" t="s">
        <v>72</v>
      </c>
      <c r="C9" s="33" t="n">
        <f aca="false">Win_Rate</f>
        <v>0.15</v>
      </c>
      <c r="D9" s="33" t="n">
        <f aca="false">Win_Rate</f>
        <v>0.15</v>
      </c>
      <c r="E9" s="33" t="n">
        <f aca="false">Win_Rate</f>
        <v>0.15</v>
      </c>
      <c r="F9" s="33" t="n">
        <f aca="false">Win_Rate</f>
        <v>0.15</v>
      </c>
      <c r="G9" s="33" t="n">
        <f aca="false">Win_Rate</f>
        <v>0.15</v>
      </c>
    </row>
    <row r="10" customFormat="false" ht="15" hidden="false" customHeight="false" outlineLevel="0" collapsed="false">
      <c r="A10" s="5"/>
      <c r="B10" s="28" t="s">
        <v>214</v>
      </c>
      <c r="C10" s="30" t="n">
        <f aca="false">C7*Impr_Scale*C8*C9</f>
        <v>36300000</v>
      </c>
      <c r="D10" s="30" t="n">
        <f aca="false">D7*Impr_Scale*D8*D9</f>
        <v>45375000</v>
      </c>
      <c r="E10" s="30" t="n">
        <f aca="false">E7*Impr_Scale*E8*E9</f>
        <v>55357500</v>
      </c>
      <c r="F10" s="30" t="n">
        <f aca="false">F7*Impr_Scale*F8*F9</f>
        <v>65321850</v>
      </c>
      <c r="G10" s="30" t="n">
        <f aca="false">G7*Impr_Scale*G8*G9</f>
        <v>75120127.5</v>
      </c>
    </row>
    <row r="11" customFormat="false" ht="15" hidden="false" customHeight="false" outlineLevel="0" collapsed="false">
      <c r="A11" s="5"/>
      <c r="B11" s="19" t="s">
        <v>215</v>
      </c>
      <c r="C11" s="20"/>
      <c r="D11" s="20"/>
      <c r="E11" s="20"/>
      <c r="F11" s="20"/>
      <c r="G11" s="20"/>
    </row>
    <row r="12" customFormat="false" ht="15" hidden="false" customHeight="false" outlineLevel="0" collapsed="false">
      <c r="A12" s="5"/>
      <c r="B12" s="8" t="s">
        <v>216</v>
      </c>
      <c r="C12" s="33" t="n">
        <f aca="false">DSP_Share_Y1</f>
        <v>0.6</v>
      </c>
      <c r="D12" s="33" t="n">
        <f aca="false">DSP_Share_Y2</f>
        <v>0.55</v>
      </c>
      <c r="E12" s="33" t="n">
        <f aca="false">DSP_Share_Y3</f>
        <v>0.5</v>
      </c>
      <c r="F12" s="33" t="n">
        <f aca="false">DSP_Share_Y4</f>
        <v>0.48</v>
      </c>
      <c r="G12" s="33" t="n">
        <f aca="false">DSP_Share_Y5</f>
        <v>0.45</v>
      </c>
    </row>
    <row r="13" customFormat="false" ht="15" hidden="false" customHeight="false" outlineLevel="0" collapsed="false">
      <c r="A13" s="5"/>
      <c r="B13" s="8" t="s">
        <v>217</v>
      </c>
      <c r="C13" s="25" t="n">
        <f aca="false">C10*C12</f>
        <v>21780000</v>
      </c>
      <c r="D13" s="25" t="n">
        <f aca="false">D10*D12</f>
        <v>24956250</v>
      </c>
      <c r="E13" s="25" t="n">
        <f aca="false">E10*E12</f>
        <v>27678750</v>
      </c>
      <c r="F13" s="25" t="n">
        <f aca="false">F10*F12</f>
        <v>31354488</v>
      </c>
      <c r="G13" s="25" t="n">
        <f aca="false">G10*G12</f>
        <v>33804057.375</v>
      </c>
    </row>
    <row r="14" customFormat="false" ht="15" hidden="false" customHeight="false" outlineLevel="0" collapsed="false">
      <c r="A14" s="5"/>
      <c r="B14" s="8" t="s">
        <v>74</v>
      </c>
      <c r="C14" s="33" t="n">
        <f aca="false">DSP_Take_Rate</f>
        <v>0.18</v>
      </c>
      <c r="D14" s="33" t="n">
        <f aca="false">DSP_Take_Rate</f>
        <v>0.18</v>
      </c>
      <c r="E14" s="33" t="n">
        <f aca="false">DSP_Take_Rate</f>
        <v>0.18</v>
      </c>
      <c r="F14" s="33" t="n">
        <f aca="false">DSP_Take_Rate</f>
        <v>0.18</v>
      </c>
      <c r="G14" s="33" t="n">
        <f aca="false">DSP_Take_Rate</f>
        <v>0.18</v>
      </c>
    </row>
    <row r="15" customFormat="false" ht="15" hidden="false" customHeight="false" outlineLevel="0" collapsed="false">
      <c r="A15" s="5"/>
      <c r="B15" s="35" t="s">
        <v>218</v>
      </c>
      <c r="C15" s="36" t="n">
        <f aca="false">C13*C14</f>
        <v>3920400</v>
      </c>
      <c r="D15" s="36" t="n">
        <f aca="false">D13*D14</f>
        <v>4492125</v>
      </c>
      <c r="E15" s="36" t="n">
        <f aca="false">E13*E14</f>
        <v>4982175</v>
      </c>
      <c r="F15" s="36" t="n">
        <f aca="false">F13*F14</f>
        <v>5643807.84</v>
      </c>
      <c r="G15" s="36" t="n">
        <f aca="false">G13*G14</f>
        <v>6084730.3275</v>
      </c>
    </row>
    <row r="16" customFormat="false" ht="15" hidden="false" customHeight="false" outlineLevel="0" collapsed="false">
      <c r="A16" s="5"/>
      <c r="B16" s="8" t="s">
        <v>219</v>
      </c>
      <c r="C16" s="25" t="n">
        <f aca="false">C10*(1-C12)</f>
        <v>14520000</v>
      </c>
      <c r="D16" s="25" t="n">
        <f aca="false">D10*(1-D12)</f>
        <v>20418750</v>
      </c>
      <c r="E16" s="25" t="n">
        <f aca="false">E10*(1-E12)</f>
        <v>27678750</v>
      </c>
      <c r="F16" s="25" t="n">
        <f aca="false">F10*(1-F12)</f>
        <v>33967362</v>
      </c>
      <c r="G16" s="25" t="n">
        <f aca="false">G10*(1-G12)</f>
        <v>41316070.125</v>
      </c>
    </row>
    <row r="17" customFormat="false" ht="15" hidden="false" customHeight="false" outlineLevel="0" collapsed="false">
      <c r="A17" s="5"/>
      <c r="B17" s="8" t="s">
        <v>75</v>
      </c>
      <c r="C17" s="33" t="n">
        <f aca="false">SSP_Take_Rate</f>
        <v>0.12</v>
      </c>
      <c r="D17" s="33" t="n">
        <f aca="false">SSP_Take_Rate</f>
        <v>0.12</v>
      </c>
      <c r="E17" s="33" t="n">
        <f aca="false">SSP_Take_Rate</f>
        <v>0.12</v>
      </c>
      <c r="F17" s="33" t="n">
        <f aca="false">SSP_Take_Rate</f>
        <v>0.12</v>
      </c>
      <c r="G17" s="33" t="n">
        <f aca="false">SSP_Take_Rate</f>
        <v>0.12</v>
      </c>
    </row>
    <row r="18" customFormat="false" ht="15" hidden="false" customHeight="false" outlineLevel="0" collapsed="false">
      <c r="A18" s="5"/>
      <c r="B18" s="35" t="s">
        <v>220</v>
      </c>
      <c r="C18" s="36" t="n">
        <f aca="false">C16*C17</f>
        <v>1742400</v>
      </c>
      <c r="D18" s="36" t="n">
        <f aca="false">D16*D17</f>
        <v>2450250</v>
      </c>
      <c r="E18" s="36" t="n">
        <f aca="false">E16*E17</f>
        <v>3321450</v>
      </c>
      <c r="F18" s="36" t="n">
        <f aca="false">F16*F17</f>
        <v>4076083.44</v>
      </c>
      <c r="G18" s="36" t="n">
        <f aca="false">G16*G17</f>
        <v>4957928.415</v>
      </c>
    </row>
    <row r="19" customFormat="false" ht="15" hidden="false" customHeight="false" outlineLevel="0" collapsed="false">
      <c r="A19" s="5"/>
      <c r="B19" s="8" t="s">
        <v>221</v>
      </c>
      <c r="C19" s="25" t="n">
        <f aca="false">C16*(1-C17)</f>
        <v>12777600</v>
      </c>
      <c r="D19" s="25" t="n">
        <f aca="false">D16*(1-D17)</f>
        <v>17968500</v>
      </c>
      <c r="E19" s="25" t="n">
        <f aca="false">E16*(1-E17)</f>
        <v>24357300</v>
      </c>
      <c r="F19" s="25" t="n">
        <f aca="false">F16*(1-F17)</f>
        <v>29891278.56</v>
      </c>
      <c r="G19" s="25" t="n">
        <f aca="false">G16*(1-G17)</f>
        <v>36358141.71</v>
      </c>
    </row>
    <row r="20" customFormat="false" ht="15" hidden="false" customHeight="false" outlineLevel="0" collapsed="false">
      <c r="A20" s="5"/>
      <c r="B20" s="31" t="s">
        <v>222</v>
      </c>
      <c r="C20" s="32" t="n">
        <f aca="false">C15+C18</f>
        <v>5662800</v>
      </c>
      <c r="D20" s="32" t="n">
        <f aca="false">D15+D18</f>
        <v>6942375</v>
      </c>
      <c r="E20" s="32" t="n">
        <f aca="false">E15+E18</f>
        <v>8303625</v>
      </c>
      <c r="F20" s="32" t="n">
        <f aca="false">F15+F18</f>
        <v>9719891.28</v>
      </c>
      <c r="G20" s="32" t="n">
        <f aca="false">G15+G18</f>
        <v>11042658.7425</v>
      </c>
    </row>
    <row r="21" customFormat="false" ht="15" hidden="false" customHeight="false" outlineLevel="0" collapsed="false">
      <c r="A21" s="5"/>
      <c r="B21" s="19" t="s">
        <v>223</v>
      </c>
      <c r="C21" s="20"/>
      <c r="D21" s="20"/>
      <c r="E21" s="20"/>
      <c r="F21" s="20"/>
      <c r="G21" s="20"/>
    </row>
    <row r="22" customFormat="false" ht="15" hidden="false" customHeight="false" outlineLevel="0" collapsed="false">
      <c r="A22" s="5"/>
      <c r="B22" s="8" t="s">
        <v>224</v>
      </c>
      <c r="C22" s="37" t="n">
        <f aca="false">SaaS_Metrics!C20</f>
        <v>16794000</v>
      </c>
      <c r="D22" s="37" t="n">
        <f aca="false">SaaS_Metrics!D20</f>
        <v>21002985</v>
      </c>
      <c r="E22" s="37" t="n">
        <f aca="false">SaaS_Metrics!E20</f>
        <v>26605469.85</v>
      </c>
      <c r="F22" s="37" t="n">
        <f aca="false">SaaS_Metrics!F20</f>
        <v>33980541.97275</v>
      </c>
      <c r="G22" s="37" t="n">
        <f aca="false">SaaS_Metrics!G20</f>
        <v>43465835.387955</v>
      </c>
    </row>
    <row r="23" customFormat="false" ht="15" hidden="false" customHeight="false" outlineLevel="0" collapsed="false">
      <c r="A23" s="5"/>
      <c r="B23" s="8" t="s">
        <v>225</v>
      </c>
      <c r="C23" s="25" t="n">
        <f aca="false">C20</f>
        <v>5662800</v>
      </c>
      <c r="D23" s="25" t="n">
        <f aca="false">D20</f>
        <v>6942375</v>
      </c>
      <c r="E23" s="25" t="n">
        <f aca="false">E20</f>
        <v>8303625</v>
      </c>
      <c r="F23" s="25" t="n">
        <f aca="false">F20</f>
        <v>9719891.28</v>
      </c>
      <c r="G23" s="25" t="n">
        <f aca="false">G20</f>
        <v>11042658.7425</v>
      </c>
    </row>
    <row r="24" customFormat="false" ht="15" hidden="false" customHeight="false" outlineLevel="0" collapsed="false">
      <c r="A24" s="5"/>
      <c r="B24" s="28" t="s">
        <v>226</v>
      </c>
      <c r="C24" s="30" t="n">
        <f aca="false">C22+C23</f>
        <v>22456800</v>
      </c>
      <c r="D24" s="30" t="n">
        <f aca="false">D22+D23</f>
        <v>27945360</v>
      </c>
      <c r="E24" s="30" t="n">
        <f aca="false">E22+E23</f>
        <v>34909094.85</v>
      </c>
      <c r="F24" s="30" t="n">
        <f aca="false">F22+F23</f>
        <v>43700433.25275</v>
      </c>
      <c r="G24" s="30" t="n">
        <f aca="false">G22+G23</f>
        <v>54508494.130455</v>
      </c>
    </row>
    <row r="25" customFormat="false" ht="15" hidden="false" customHeight="false" outlineLevel="0" collapsed="false">
      <c r="A25" s="5"/>
      <c r="B25" s="8" t="s">
        <v>227</v>
      </c>
      <c r="C25" s="25" t="n">
        <f aca="false">C24/(1-ProServ_Pct)*ProServ_Pct</f>
        <v>694540.206185567</v>
      </c>
      <c r="D25" s="25" t="n">
        <f aca="false">D24/(1-ProServ_Pct)*ProServ_Pct</f>
        <v>864289.484536082</v>
      </c>
      <c r="E25" s="25" t="n">
        <f aca="false">E24/(1-ProServ_Pct)*ProServ_Pct</f>
        <v>1079662.72731959</v>
      </c>
      <c r="F25" s="25" t="n">
        <f aca="false">F24/(1-ProServ_Pct)*ProServ_Pct</f>
        <v>1351559.79132217</v>
      </c>
      <c r="G25" s="25" t="n">
        <f aca="false">G24/(1-ProServ_Pct)*ProServ_Pct</f>
        <v>1685829.7153749</v>
      </c>
    </row>
    <row r="26" customFormat="false" ht="15" hidden="false" customHeight="false" outlineLevel="0" collapsed="false">
      <c r="A26" s="5"/>
      <c r="B26" s="31" t="s">
        <v>228</v>
      </c>
      <c r="C26" s="32" t="n">
        <f aca="false">C22+C23+C25</f>
        <v>23151340.2061856</v>
      </c>
      <c r="D26" s="32" t="n">
        <f aca="false">D22+D23+D25</f>
        <v>28809649.4845361</v>
      </c>
      <c r="E26" s="32" t="n">
        <f aca="false">E22+E23+E25</f>
        <v>35988757.5773196</v>
      </c>
      <c r="F26" s="32" t="n">
        <f aca="false">F22+F23+F25</f>
        <v>45051993.0440722</v>
      </c>
      <c r="G26" s="32" t="n">
        <f aca="false">G22+G23+G25</f>
        <v>56194323.8458299</v>
      </c>
    </row>
    <row r="27" customFormat="false" ht="15" hidden="false" customHeight="false" outlineLevel="0" collapsed="false">
      <c r="A27" s="5"/>
      <c r="B27" s="8" t="s">
        <v>229</v>
      </c>
      <c r="C27" s="33" t="n">
        <v>0</v>
      </c>
      <c r="D27" s="33" t="n">
        <f aca="false">(D26-C26)/C26</f>
        <v>0.244405258095543</v>
      </c>
      <c r="E27" s="33" t="n">
        <f aca="false">(E26-D26)/D26</f>
        <v>0.249191094693359</v>
      </c>
      <c r="F27" s="33" t="n">
        <f aca="false">(F26-E26)/E26</f>
        <v>0.251835186232278</v>
      </c>
      <c r="G27" s="33" t="n">
        <f aca="false">(G26-F26)/F26</f>
        <v>0.247321595536467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FAADC"/>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0"/>
    <col collapsed="false" customWidth="true" hidden="false" outlineLevel="0" max="8" min="3" style="0" width="14"/>
  </cols>
  <sheetData>
    <row r="1" customFormat="false" ht="25.5" hidden="false" customHeight="true" outlineLevel="0" collapsed="false">
      <c r="A1" s="1"/>
      <c r="B1" s="3" t="s">
        <v>230</v>
      </c>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231</v>
      </c>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232</v>
      </c>
      <c r="D4" s="18" t="s">
        <v>233</v>
      </c>
      <c r="E4" s="18" t="s">
        <v>234</v>
      </c>
      <c r="F4" s="18" t="s">
        <v>235</v>
      </c>
      <c r="G4" s="18" t="s">
        <v>236</v>
      </c>
      <c r="H4" s="18" t="s">
        <v>237</v>
      </c>
    </row>
    <row r="5" customFormat="false" ht="15" hidden="false" customHeight="false" outlineLevel="0" collapsed="false">
      <c r="A5" s="5"/>
      <c r="B5" s="5"/>
      <c r="C5" s="5"/>
      <c r="D5" s="5"/>
      <c r="E5" s="5"/>
      <c r="F5" s="5"/>
      <c r="G5" s="5"/>
      <c r="H5" s="5"/>
    </row>
    <row r="6" customFormat="false" ht="15" hidden="false" customHeight="false" outlineLevel="0" collapsed="false">
      <c r="A6" s="5"/>
      <c r="B6" s="8" t="s">
        <v>238</v>
      </c>
      <c r="C6" s="25" t="n">
        <f aca="false">Opening_Customers*ARPA_Y1*12</f>
        <v>14994000</v>
      </c>
      <c r="D6" s="25" t="n">
        <f aca="false">$C$6*Cohort_Retention_M12</f>
        <v>13194720</v>
      </c>
      <c r="E6" s="25" t="n">
        <f aca="false">$C$6*Cohort_Retention_M24</f>
        <v>11995200</v>
      </c>
      <c r="F6" s="25" t="n">
        <f aca="false">$C$6*Cohort_Retention_M36</f>
        <v>11095560</v>
      </c>
      <c r="G6" s="25" t="n">
        <f aca="false">$C$6*Cohort_Retention_M48</f>
        <v>10495800</v>
      </c>
      <c r="H6" s="25" t="n">
        <f aca="false">$C$6*Cohort_Retention_M60</f>
        <v>10045980</v>
      </c>
    </row>
    <row r="7" customFormat="false" ht="15" hidden="false" customHeight="false" outlineLevel="0" collapsed="false">
      <c r="A7" s="5"/>
      <c r="B7" s="8" t="s">
        <v>239</v>
      </c>
      <c r="C7" s="37" t="n">
        <f aca="false">SaaS_Metrics!C13</f>
        <v>3600000</v>
      </c>
      <c r="D7" s="25" t="n">
        <f aca="false">$C$7*Cohort_Retention_M12</f>
        <v>3168000</v>
      </c>
      <c r="E7" s="25" t="n">
        <f aca="false">$C$7*Cohort_Retention_M24</f>
        <v>2880000</v>
      </c>
      <c r="F7" s="25" t="n">
        <f aca="false">$C$7*Cohort_Retention_M36</f>
        <v>2664000</v>
      </c>
      <c r="G7" s="25" t="n">
        <f aca="false">$C$7*Cohort_Retention_M48</f>
        <v>2520000</v>
      </c>
      <c r="H7" s="25" t="n">
        <f aca="false">$C$7*Cohort_Retention_M60</f>
        <v>2412000</v>
      </c>
    </row>
    <row r="8" customFormat="false" ht="15" hidden="false" customHeight="false" outlineLevel="0" collapsed="false">
      <c r="A8" s="5"/>
      <c r="B8" s="8" t="s">
        <v>240</v>
      </c>
      <c r="C8" s="37" t="n">
        <f aca="false">SaaS_Metrics!D13</f>
        <v>4725000</v>
      </c>
      <c r="D8" s="25" t="n">
        <f aca="false">$C$8*Cohort_Retention_M12</f>
        <v>4158000</v>
      </c>
      <c r="E8" s="25" t="n">
        <f aca="false">$C$8*Cohort_Retention_M24</f>
        <v>3780000</v>
      </c>
      <c r="F8" s="25" t="n">
        <f aca="false">$C$8*Cohort_Retention_M36</f>
        <v>3496500</v>
      </c>
      <c r="G8" s="25" t="n">
        <f aca="false">$C$8*Cohort_Retention_M48</f>
        <v>3307500</v>
      </c>
      <c r="H8" s="25" t="n">
        <f aca="false">$C$8*Cohort_Retention_M60</f>
        <v>3165750</v>
      </c>
    </row>
    <row r="9" customFormat="false" ht="15" hidden="false" customHeight="false" outlineLevel="0" collapsed="false">
      <c r="A9" s="5"/>
      <c r="B9" s="8" t="s">
        <v>241</v>
      </c>
      <c r="C9" s="37" t="n">
        <f aca="false">SaaS_Metrics!E13</f>
        <v>6152880</v>
      </c>
      <c r="D9" s="25" t="n">
        <f aca="false">$C$9*Cohort_Retention_M12</f>
        <v>5414534.4</v>
      </c>
      <c r="E9" s="25" t="n">
        <f aca="false">$C$9*Cohort_Retention_M24</f>
        <v>4922304</v>
      </c>
      <c r="F9" s="25" t="n">
        <f aca="false">$C$9*Cohort_Retention_M36</f>
        <v>4553131.2</v>
      </c>
      <c r="G9" s="25" t="n">
        <f aca="false">$C$9*Cohort_Retention_M48</f>
        <v>4307016</v>
      </c>
      <c r="H9" s="25" t="n">
        <f aca="false">$C$9*Cohort_Retention_M60</f>
        <v>4122429.6</v>
      </c>
    </row>
    <row r="10" customFormat="false" ht="15" hidden="false" customHeight="false" outlineLevel="0" collapsed="false">
      <c r="A10" s="5"/>
      <c r="B10" s="8" t="s">
        <v>242</v>
      </c>
      <c r="C10" s="37" t="n">
        <f aca="false">SaaS_Metrics!F13</f>
        <v>7916160</v>
      </c>
      <c r="D10" s="25" t="n">
        <f aca="false">$C$10*Cohort_Retention_M12</f>
        <v>6966220.8</v>
      </c>
      <c r="E10" s="25" t="n">
        <f aca="false">$C$10*Cohort_Retention_M24</f>
        <v>6332928</v>
      </c>
      <c r="F10" s="25" t="n">
        <f aca="false">$C$10*Cohort_Retention_M36</f>
        <v>5857958.4</v>
      </c>
      <c r="G10" s="25" t="n">
        <f aca="false">$C$10*Cohort_Retention_M48</f>
        <v>5541312</v>
      </c>
      <c r="H10" s="25" t="n">
        <f aca="false">$C$10*Cohort_Retention_M60</f>
        <v>5303827.2</v>
      </c>
    </row>
    <row r="11" customFormat="false" ht="15" hidden="false" customHeight="false" outlineLevel="0" collapsed="false">
      <c r="A11" s="5"/>
      <c r="B11" s="8" t="s">
        <v>243</v>
      </c>
      <c r="C11" s="37" t="n">
        <f aca="false">SaaS_Metrics!G13</f>
        <v>9844200</v>
      </c>
      <c r="D11" s="25" t="n">
        <f aca="false">$C$11*Cohort_Retention_M12</f>
        <v>8662896</v>
      </c>
      <c r="E11" s="25" t="n">
        <f aca="false">$C$11*Cohort_Retention_M24</f>
        <v>7875360</v>
      </c>
      <c r="F11" s="25" t="n">
        <f aca="false">$C$11*Cohort_Retention_M36</f>
        <v>7284708</v>
      </c>
      <c r="G11" s="25" t="n">
        <f aca="false">$C$11*Cohort_Retention_M48</f>
        <v>6890940</v>
      </c>
      <c r="H11" s="25" t="n">
        <f aca="false">$C$11*Cohort_Retention_M60</f>
        <v>6595614</v>
      </c>
    </row>
    <row r="12" customFormat="false" ht="15" hidden="false" customHeight="false" outlineLevel="0" collapsed="false">
      <c r="A12" s="5"/>
      <c r="B12" s="5"/>
      <c r="C12" s="5"/>
      <c r="D12" s="5"/>
      <c r="E12" s="5"/>
      <c r="F12" s="5"/>
      <c r="G12" s="5"/>
      <c r="H12" s="5"/>
    </row>
    <row r="13" customFormat="false" ht="15" hidden="false" customHeight="false" outlineLevel="0" collapsed="false">
      <c r="A13" s="5"/>
      <c r="B13" s="35" t="s">
        <v>244</v>
      </c>
      <c r="C13" s="32" t="n">
        <f aca="false">SUM(C6:C11)</f>
        <v>47232240</v>
      </c>
      <c r="D13" s="32" t="n">
        <f aca="false">SUM(D6:D11)</f>
        <v>41564371.2</v>
      </c>
      <c r="E13" s="32" t="n">
        <f aca="false">SUM(E6:E11)</f>
        <v>37785792</v>
      </c>
      <c r="F13" s="32" t="n">
        <f aca="false">SUM(F6:F11)</f>
        <v>34951857.6</v>
      </c>
      <c r="G13" s="32" t="n">
        <f aca="false">SUM(G6:G11)</f>
        <v>33062568</v>
      </c>
      <c r="H13" s="32" t="n">
        <f aca="false">SUM(H6:H11)</f>
        <v>31645600.8</v>
      </c>
    </row>
    <row r="14" customFormat="false" ht="15" hidden="false" customHeight="false" outlineLevel="0" collapsed="false">
      <c r="A14" s="5"/>
      <c r="B14" s="5"/>
      <c r="C14" s="5"/>
      <c r="D14" s="5"/>
      <c r="E14" s="5"/>
      <c r="F14" s="5"/>
      <c r="G14" s="5"/>
      <c r="H14" s="5"/>
    </row>
    <row r="15" customFormat="false" ht="15" hidden="false" customHeight="false" outlineLevel="0" collapsed="false">
      <c r="A15" s="5"/>
      <c r="B15" s="19" t="s">
        <v>245</v>
      </c>
      <c r="C15" s="20"/>
      <c r="D15" s="20"/>
      <c r="E15" s="20"/>
      <c r="F15" s="20"/>
      <c r="G15" s="20"/>
      <c r="H15" s="20"/>
    </row>
    <row r="16" customFormat="false" ht="15" hidden="false" customHeight="false" outlineLevel="0" collapsed="false">
      <c r="A16" s="5"/>
      <c r="B16" s="8" t="s">
        <v>246</v>
      </c>
      <c r="C16" s="25" t="n">
        <f aca="false">D6+C7</f>
        <v>16794720</v>
      </c>
      <c r="D16" s="37" t="n">
        <f aca="false">SaaS_Metrics!C18</f>
        <v>18594000</v>
      </c>
      <c r="E16" s="33" t="n">
        <f aca="false">($C$16-$D$16)/$D$16</f>
        <v>-0.0967666989351404</v>
      </c>
      <c r="F16" s="5"/>
      <c r="G16" s="5"/>
      <c r="H16" s="5"/>
    </row>
    <row r="17" customFormat="false" ht="15" hidden="false" customHeight="false" outlineLevel="0" collapsed="false">
      <c r="A17" s="5"/>
      <c r="B17" s="8" t="s">
        <v>247</v>
      </c>
      <c r="C17" s="25" t="n">
        <f aca="false">E6+D7+C8</f>
        <v>19888200</v>
      </c>
      <c r="D17" s="37" t="n">
        <f aca="false">SaaS_Metrics!D18</f>
        <v>23411970</v>
      </c>
      <c r="E17" s="33" t="n">
        <f aca="false">($C$17-$D$17)/$D$17</f>
        <v>-0.150511469133097</v>
      </c>
      <c r="F17" s="5"/>
      <c r="G17" s="5"/>
      <c r="H17" s="5"/>
    </row>
    <row r="18" customFormat="false" ht="15" hidden="false" customHeight="false" outlineLevel="0" collapsed="false">
      <c r="A18" s="5"/>
      <c r="B18" s="8" t="s">
        <v>248</v>
      </c>
      <c r="C18" s="25" t="n">
        <f aca="false">F6+E7+D8+C9</f>
        <v>24286440</v>
      </c>
      <c r="D18" s="37" t="n">
        <f aca="false">SaaS_Metrics!E18</f>
        <v>29798969.7</v>
      </c>
      <c r="E18" s="33" t="n">
        <f aca="false">($C$18-$D$18)/$D$18</f>
        <v>-0.184990613954012</v>
      </c>
      <c r="F18" s="5"/>
      <c r="G18" s="5"/>
      <c r="H18" s="5"/>
    </row>
    <row r="19" customFormat="false" ht="15" hidden="false" customHeight="false" outlineLevel="0" collapsed="false">
      <c r="A19" s="5"/>
      <c r="B19" s="8" t="s">
        <v>249</v>
      </c>
      <c r="C19" s="25" t="n">
        <f aca="false">G6+F7+E8+D9+C10</f>
        <v>30270494.4</v>
      </c>
      <c r="D19" s="37" t="n">
        <f aca="false">SaaS_Metrics!F18</f>
        <v>38162114.2455</v>
      </c>
      <c r="E19" s="33" t="n">
        <f aca="false">($C$19-$D$19)/$D$19</f>
        <v>-0.206791997810513</v>
      </c>
      <c r="F19" s="5"/>
      <c r="G19" s="5"/>
      <c r="H19" s="5"/>
    </row>
    <row r="20" customFormat="false" ht="15" hidden="false" customHeight="false" outlineLevel="0" collapsed="false">
      <c r="A20" s="5"/>
      <c r="B20" s="8" t="s">
        <v>250</v>
      </c>
      <c r="C20" s="25" t="n">
        <f aca="false">H6+G7+F8+E9+D10+C11</f>
        <v>37795204.8</v>
      </c>
      <c r="D20" s="37" t="n">
        <f aca="false">SaaS_Metrics!G18</f>
        <v>48769556.53041</v>
      </c>
      <c r="E20" s="33" t="n">
        <f aca="false">($C$20-$D$20)/$D$20</f>
        <v>-0.225024636497709</v>
      </c>
      <c r="F20" s="5"/>
      <c r="G20" s="5"/>
      <c r="H20"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4B084"/>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9" min="3" style="0" width="15"/>
  </cols>
  <sheetData>
    <row r="1" customFormat="false" ht="25.5" hidden="false" customHeight="true" outlineLevel="0" collapsed="false">
      <c r="A1" s="1"/>
      <c r="B1" s="3" t="s">
        <v>251</v>
      </c>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252</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253</v>
      </c>
      <c r="D4" s="18" t="s">
        <v>254</v>
      </c>
      <c r="E4" s="18" t="s">
        <v>255</v>
      </c>
      <c r="F4" s="18" t="s">
        <v>256</v>
      </c>
      <c r="G4" s="18" t="s">
        <v>257</v>
      </c>
      <c r="H4" s="18" t="s">
        <v>258</v>
      </c>
      <c r="I4" s="18" t="s">
        <v>259</v>
      </c>
    </row>
    <row r="5" customFormat="false" ht="15" hidden="false" customHeight="false" outlineLevel="0" collapsed="false">
      <c r="A5" s="5"/>
      <c r="B5" s="5"/>
      <c r="C5" s="5"/>
      <c r="D5" s="5"/>
      <c r="E5" s="5"/>
      <c r="F5" s="5"/>
      <c r="G5" s="5"/>
      <c r="H5" s="5"/>
      <c r="I5" s="5"/>
    </row>
    <row r="6" customFormat="false" ht="15" hidden="false" customHeight="false" outlineLevel="0" collapsed="false">
      <c r="A6" s="5"/>
      <c r="B6" s="8" t="s">
        <v>260</v>
      </c>
      <c r="C6" s="25" t="n">
        <f aca="false">Ch_PaidSearch</f>
        <v>1200000</v>
      </c>
      <c r="D6" s="27" t="n">
        <f aca="false">$C6/CPL_PS</f>
        <v>15000</v>
      </c>
      <c r="E6" s="27" t="n">
        <f aca="false">$D6*Conv_LM_PS</f>
        <v>3750</v>
      </c>
      <c r="F6" s="27" t="n">
        <f aca="false">$E6*Conv_MS_PS</f>
        <v>1312.5</v>
      </c>
      <c r="G6" s="27" t="n">
        <f aca="false">ROUND($C6/SUM($C$6:$C$11)*New_Cust_Y1,0)</f>
        <v>60</v>
      </c>
      <c r="H6" s="25" t="n">
        <f aca="false">$C6/MAX(1,$G6)</f>
        <v>20000</v>
      </c>
      <c r="I6" s="27" t="n">
        <f aca="false">$F6*Conv_SW_PS</f>
        <v>328.125</v>
      </c>
    </row>
    <row r="7" customFormat="false" ht="15" hidden="false" customHeight="false" outlineLevel="0" collapsed="false">
      <c r="A7" s="5"/>
      <c r="B7" s="8" t="s">
        <v>261</v>
      </c>
      <c r="C7" s="25" t="n">
        <f aca="false">Ch_PaidSocial</f>
        <v>900000</v>
      </c>
      <c r="D7" s="27" t="n">
        <f aca="false">$C7/CPL_PSO</f>
        <v>10000</v>
      </c>
      <c r="E7" s="27" t="n">
        <f aca="false">$D7*Conv_LM_PSO</f>
        <v>2000</v>
      </c>
      <c r="F7" s="27" t="n">
        <f aca="false">$E7*Conv_MS_PSO</f>
        <v>600</v>
      </c>
      <c r="G7" s="27" t="n">
        <f aca="false">ROUND($C7/SUM($C$6:$C$11)*New_Cust_Y1,0)</f>
        <v>45</v>
      </c>
      <c r="H7" s="25" t="n">
        <f aca="false">$C7/MAX(1,$G7)</f>
        <v>20000</v>
      </c>
      <c r="I7" s="27" t="n">
        <f aca="false">$F7*Conv_SW_PSO</f>
        <v>120</v>
      </c>
    </row>
    <row r="8" customFormat="false" ht="15" hidden="false" customHeight="false" outlineLevel="0" collapsed="false">
      <c r="A8" s="5"/>
      <c r="B8" s="8" t="s">
        <v>262</v>
      </c>
      <c r="C8" s="25" t="n">
        <f aca="false">Ch_Content</f>
        <v>400000</v>
      </c>
      <c r="D8" s="27" t="n">
        <f aca="false">$C8/CPL_CT</f>
        <v>10000</v>
      </c>
      <c r="E8" s="27" t="n">
        <f aca="false">$D8*Conv_LM_CT</f>
        <v>3500</v>
      </c>
      <c r="F8" s="27" t="n">
        <f aca="false">$E8*Conv_MS_CT</f>
        <v>1400</v>
      </c>
      <c r="G8" s="27" t="n">
        <f aca="false">ROUND($C8/SUM($C$6:$C$11)*New_Cust_Y1,0)</f>
        <v>20</v>
      </c>
      <c r="H8" s="25" t="n">
        <f aca="false">$C8/MAX(1,$G8)</f>
        <v>20000</v>
      </c>
      <c r="I8" s="27" t="n">
        <f aca="false">$F8*Conv_SW_CT</f>
        <v>392</v>
      </c>
    </row>
    <row r="9" customFormat="false" ht="15" hidden="false" customHeight="false" outlineLevel="0" collapsed="false">
      <c r="A9" s="5"/>
      <c r="B9" s="8" t="s">
        <v>263</v>
      </c>
      <c r="C9" s="25" t="n">
        <f aca="false">Ch_Outbound</f>
        <v>700000</v>
      </c>
      <c r="D9" s="27" t="n">
        <f aca="false">$C9/CPL_OB</f>
        <v>3500</v>
      </c>
      <c r="E9" s="27" t="n">
        <f aca="false">$D9*Conv_LM_OB</f>
        <v>630</v>
      </c>
      <c r="F9" s="27" t="n">
        <f aca="false">$E9*Conv_MS_OB</f>
        <v>201.6</v>
      </c>
      <c r="G9" s="27" t="n">
        <f aca="false">ROUND($C9/SUM($C$6:$C$11)*New_Cust_Y1,0)</f>
        <v>35</v>
      </c>
      <c r="H9" s="25" t="n">
        <f aca="false">$C9/MAX(1,$G9)</f>
        <v>20000</v>
      </c>
      <c r="I9" s="27" t="n">
        <f aca="false">$F9*Conv_SW_OB</f>
        <v>60.48</v>
      </c>
    </row>
    <row r="10" customFormat="false" ht="15" hidden="false" customHeight="false" outlineLevel="0" collapsed="false">
      <c r="A10" s="5"/>
      <c r="B10" s="8" t="s">
        <v>264</v>
      </c>
      <c r="C10" s="25" t="n">
        <f aca="false">Ch_Partnerships</f>
        <v>500000</v>
      </c>
      <c r="D10" s="27" t="n">
        <f aca="false">$C10/CPL_PT</f>
        <v>3333.33333333333</v>
      </c>
      <c r="E10" s="27" t="n">
        <f aca="false">$D10*Conv_LM_PT</f>
        <v>1333.33333333333</v>
      </c>
      <c r="F10" s="27" t="n">
        <f aca="false">$E10*Conv_MS_PT</f>
        <v>600</v>
      </c>
      <c r="G10" s="27" t="n">
        <f aca="false">ROUND($C10/SUM($C$6:$C$11)*New_Cust_Y1,0)</f>
        <v>25</v>
      </c>
      <c r="H10" s="25" t="n">
        <f aca="false">$C10/MAX(1,$G10)</f>
        <v>20000</v>
      </c>
      <c r="I10" s="27" t="n">
        <f aca="false">$F10*Conv_SW_PT</f>
        <v>210</v>
      </c>
    </row>
    <row r="11" customFormat="false" ht="15" hidden="false" customHeight="false" outlineLevel="0" collapsed="false">
      <c r="A11" s="5"/>
      <c r="B11" s="8" t="s">
        <v>265</v>
      </c>
      <c r="C11" s="25" t="n">
        <f aca="false">Ch_Events</f>
        <v>300000</v>
      </c>
      <c r="D11" s="27" t="n">
        <f aca="false">$C11/CPL_EV</f>
        <v>1666.66666666667</v>
      </c>
      <c r="E11" s="27" t="n">
        <f aca="false">$D11*Conv_LM_EV</f>
        <v>500</v>
      </c>
      <c r="F11" s="27" t="n">
        <f aca="false">$E11*Conv_MS_EV</f>
        <v>190</v>
      </c>
      <c r="G11" s="27" t="n">
        <f aca="false">ROUND($C11/SUM($C$6:$C$11)*New_Cust_Y1,0)</f>
        <v>15</v>
      </c>
      <c r="H11" s="25" t="n">
        <f aca="false">$C11/MAX(1,$G11)</f>
        <v>20000</v>
      </c>
      <c r="I11" s="27" t="n">
        <f aca="false">$F11*Conv_SW_EV</f>
        <v>60.8</v>
      </c>
    </row>
    <row r="12" customFormat="false" ht="15" hidden="false" customHeight="false" outlineLevel="0" collapsed="false">
      <c r="A12" s="5"/>
      <c r="B12" s="35" t="s">
        <v>266</v>
      </c>
      <c r="C12" s="32" t="n">
        <f aca="false">SUM(C6:C11)</f>
        <v>4000000</v>
      </c>
      <c r="D12" s="38" t="n">
        <f aca="false">SUM(D6:D11)</f>
        <v>43500</v>
      </c>
      <c r="E12" s="38" t="n">
        <f aca="false">SUM(E6:E11)</f>
        <v>11713.3333333333</v>
      </c>
      <c r="F12" s="38" t="n">
        <f aca="false">SUM(F6:F11)</f>
        <v>4304.1</v>
      </c>
      <c r="G12" s="38" t="n">
        <f aca="false">SUM(G6:G11)</f>
        <v>200</v>
      </c>
      <c r="H12" s="32" t="n">
        <f aca="false">$C12/MAX(1,$G12)</f>
        <v>20000</v>
      </c>
      <c r="I12" s="5"/>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19" t="s">
        <v>267</v>
      </c>
      <c r="C14" s="20"/>
      <c r="D14" s="20"/>
      <c r="E14" s="20"/>
      <c r="F14" s="20"/>
      <c r="G14" s="20"/>
      <c r="H14" s="20"/>
      <c r="I14" s="5"/>
    </row>
    <row r="15" customFormat="false" ht="15" hidden="false" customHeight="false" outlineLevel="0" collapsed="false">
      <c r="A15" s="5"/>
      <c r="B15" s="8" t="s">
        <v>268</v>
      </c>
      <c r="C15" s="25" t="n">
        <f aca="false">$C$12</f>
        <v>4000000</v>
      </c>
      <c r="D15" s="25" t="n">
        <f aca="false">C15*(1+Channel_Spend_Growth)</f>
        <v>4600000</v>
      </c>
      <c r="E15" s="25" t="n">
        <f aca="false">D15*(1+Channel_Spend_Growth)</f>
        <v>5290000</v>
      </c>
      <c r="F15" s="25" t="n">
        <f aca="false">E15*(1+Channel_Spend_Growth)</f>
        <v>6083500</v>
      </c>
      <c r="G15" s="25" t="n">
        <f aca="false">F15*(1+Channel_Spend_Growth)</f>
        <v>6996025</v>
      </c>
      <c r="H15" s="5"/>
      <c r="I15" s="5"/>
    </row>
    <row r="16" customFormat="false" ht="15" hidden="false" customHeight="false" outlineLevel="0" collapsed="false">
      <c r="A16" s="5"/>
      <c r="B16" s="8" t="s">
        <v>269</v>
      </c>
      <c r="C16" s="39" t="n">
        <f aca="false">SaaS_Metrics!C8</f>
        <v>200</v>
      </c>
      <c r="D16" s="39" t="n">
        <f aca="false">SaaS_Metrics!D8</f>
        <v>250</v>
      </c>
      <c r="E16" s="39" t="n">
        <f aca="false">SaaS_Metrics!E8</f>
        <v>310</v>
      </c>
      <c r="F16" s="39" t="n">
        <f aca="false">SaaS_Metrics!F8</f>
        <v>380</v>
      </c>
      <c r="G16" s="39" t="n">
        <f aca="false">SaaS_Metrics!G8</f>
        <v>450</v>
      </c>
      <c r="H16" s="5"/>
      <c r="I16" s="5"/>
    </row>
    <row r="17" customFormat="false" ht="15" hidden="false" customHeight="false" outlineLevel="0" collapsed="false">
      <c r="A17" s="5"/>
      <c r="B17" s="8" t="s">
        <v>270</v>
      </c>
      <c r="C17" s="27" t="n">
        <f aca="false">C16-SaaS_Metrics!C8</f>
        <v>0</v>
      </c>
      <c r="D17" s="27" t="n">
        <f aca="false">D16-SaaS_Metrics!D8</f>
        <v>0</v>
      </c>
      <c r="E17" s="27" t="n">
        <f aca="false">E16-SaaS_Metrics!E8</f>
        <v>0</v>
      </c>
      <c r="F17" s="27" t="n">
        <f aca="false">F16-SaaS_Metrics!F8</f>
        <v>0</v>
      </c>
      <c r="G17" s="27" t="n">
        <f aca="false">G16-SaaS_Metrics!G8</f>
        <v>0</v>
      </c>
      <c r="H17" s="5"/>
      <c r="I17" s="5"/>
    </row>
    <row r="18" customFormat="false" ht="15" hidden="false" customHeight="false" outlineLevel="0" collapsed="false">
      <c r="A18" s="5"/>
      <c r="B18" s="8" t="s">
        <v>271</v>
      </c>
      <c r="C18" s="25" t="n">
        <f aca="false">C15/MAX(1,C16)</f>
        <v>20000</v>
      </c>
      <c r="D18" s="25" t="n">
        <f aca="false">D15/MAX(1,D16)</f>
        <v>18400</v>
      </c>
      <c r="E18" s="25" t="n">
        <f aca="false">E15/MAX(1,E16)</f>
        <v>17064.5161290323</v>
      </c>
      <c r="F18" s="25" t="n">
        <f aca="false">F15/MAX(1,F16)</f>
        <v>16009.2105263158</v>
      </c>
      <c r="G18" s="25" t="n">
        <f aca="false">G15/MAX(1,G16)</f>
        <v>15546.7222222222</v>
      </c>
      <c r="H18" s="5"/>
      <c r="I1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s>
  <sheetData>
    <row r="1" customFormat="false" ht="25.5" hidden="false" customHeight="true" outlineLevel="0" collapsed="false">
      <c r="A1" s="1"/>
      <c r="B1" s="3" t="s">
        <v>272</v>
      </c>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273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48</v>
      </c>
      <c r="D4" s="18" t="s">
        <v>49</v>
      </c>
      <c r="E4" s="18" t="s">
        <v>50</v>
      </c>
      <c r="F4" s="18" t="s">
        <v>51</v>
      </c>
      <c r="G4" s="18" t="s">
        <v>52</v>
      </c>
    </row>
    <row r="5" customFormat="false" ht="15" hidden="false" customHeight="false" outlineLevel="0" collapsed="false">
      <c r="A5" s="5"/>
      <c r="B5" s="5"/>
      <c r="C5" s="5"/>
      <c r="D5" s="5"/>
      <c r="E5" s="5"/>
      <c r="F5" s="5"/>
      <c r="G5" s="5"/>
    </row>
    <row r="6" customFormat="false" ht="15" hidden="false" customHeight="false" outlineLevel="0" collapsed="false">
      <c r="A6" s="5"/>
      <c r="B6" s="19" t="s">
        <v>274</v>
      </c>
      <c r="C6" s="20"/>
      <c r="D6" s="20"/>
      <c r="E6" s="20"/>
      <c r="F6" s="20"/>
      <c r="G6" s="20"/>
    </row>
    <row r="7" customFormat="false" ht="15" hidden="false" customHeight="false" outlineLevel="0" collapsed="false">
      <c r="A7" s="5"/>
      <c r="B7" s="8" t="s">
        <v>275</v>
      </c>
      <c r="C7" s="27" t="n">
        <f aca="false">HC_Eng_Y1</f>
        <v>45</v>
      </c>
      <c r="D7" s="27" t="n">
        <f aca="false">HC_Eng_Y2</f>
        <v>52</v>
      </c>
      <c r="E7" s="27" t="n">
        <f aca="false">HC_Eng_Y3</f>
        <v>58</v>
      </c>
      <c r="F7" s="27" t="n">
        <f aca="false">HC_Eng_Y4</f>
        <v>62</v>
      </c>
      <c r="G7" s="27" t="n">
        <f aca="false">HC_Eng_Y5</f>
        <v>65</v>
      </c>
    </row>
    <row r="8" customFormat="false" ht="15" hidden="false" customHeight="false" outlineLevel="0" collapsed="false">
      <c r="A8" s="5"/>
      <c r="B8" s="8" t="s">
        <v>276</v>
      </c>
      <c r="C8" s="27" t="n">
        <f aca="false">HC_SM_Y1</f>
        <v>35</v>
      </c>
      <c r="D8" s="27" t="n">
        <f aca="false">HC_SM_Y2</f>
        <v>42</v>
      </c>
      <c r="E8" s="27" t="n">
        <f aca="false">HC_SM_Y3</f>
        <v>48</v>
      </c>
      <c r="F8" s="27" t="n">
        <f aca="false">HC_SM_Y4</f>
        <v>52</v>
      </c>
      <c r="G8" s="27" t="n">
        <f aca="false">HC_SM_Y5</f>
        <v>55</v>
      </c>
    </row>
    <row r="9" customFormat="false" ht="15" hidden="false" customHeight="false" outlineLevel="0" collapsed="false">
      <c r="A9" s="5"/>
      <c r="B9" s="8" t="s">
        <v>277</v>
      </c>
      <c r="C9" s="27" t="n">
        <f aca="false">HC_CS_Y1</f>
        <v>20</v>
      </c>
      <c r="D9" s="27" t="n">
        <f aca="false">HC_CS_Y2</f>
        <v>24</v>
      </c>
      <c r="E9" s="27" t="n">
        <f aca="false">HC_CS_Y3</f>
        <v>27</v>
      </c>
      <c r="F9" s="27" t="n">
        <f aca="false">HC_CS_Y4</f>
        <v>29</v>
      </c>
      <c r="G9" s="27" t="n">
        <f aca="false">HC_CS_Y5</f>
        <v>30</v>
      </c>
    </row>
    <row r="10" customFormat="false" ht="15" hidden="false" customHeight="false" outlineLevel="0" collapsed="false">
      <c r="A10" s="5"/>
      <c r="B10" s="8" t="s">
        <v>278</v>
      </c>
      <c r="C10" s="27" t="n">
        <f aca="false">HC_GA_Y1</f>
        <v>20</v>
      </c>
      <c r="D10" s="27" t="n">
        <f aca="false">HC_GA_Y2</f>
        <v>22</v>
      </c>
      <c r="E10" s="27" t="n">
        <f aca="false">HC_GA_Y3</f>
        <v>24</v>
      </c>
      <c r="F10" s="27" t="n">
        <f aca="false">HC_GA_Y4</f>
        <v>25</v>
      </c>
      <c r="G10" s="27" t="n">
        <f aca="false">HC_GA_Y5</f>
        <v>26</v>
      </c>
    </row>
    <row r="11" customFormat="false" ht="15" hidden="false" customHeight="false" outlineLevel="0" collapsed="false">
      <c r="A11" s="5"/>
      <c r="B11" s="28" t="s">
        <v>279</v>
      </c>
      <c r="C11" s="29" t="n">
        <f aca="false">SUM(C7:C10)</f>
        <v>120</v>
      </c>
      <c r="D11" s="29" t="n">
        <f aca="false">SUM(D7:D10)</f>
        <v>140</v>
      </c>
      <c r="E11" s="29" t="n">
        <f aca="false">SUM(E7:E10)</f>
        <v>157</v>
      </c>
      <c r="F11" s="29" t="n">
        <f aca="false">SUM(F7:F10)</f>
        <v>168</v>
      </c>
      <c r="G11" s="29" t="n">
        <f aca="false">SUM(G7:G10)</f>
        <v>176</v>
      </c>
    </row>
    <row r="12" customFormat="false" ht="15" hidden="false" customHeight="false" outlineLevel="0" collapsed="false">
      <c r="A12" s="5"/>
      <c r="B12" s="19" t="s">
        <v>280</v>
      </c>
      <c r="C12" s="20"/>
      <c r="D12" s="20"/>
      <c r="E12" s="20"/>
      <c r="F12" s="20"/>
      <c r="G12" s="20"/>
    </row>
    <row r="13" customFormat="false" ht="15" hidden="false" customHeight="false" outlineLevel="0" collapsed="false">
      <c r="A13" s="5"/>
      <c r="B13" s="8" t="s">
        <v>281</v>
      </c>
      <c r="C13" s="25" t="n">
        <f aca="false">Sal_Eng</f>
        <v>140000</v>
      </c>
      <c r="D13" s="25" t="n">
        <f aca="false">C13*(1+Wage_Inflation)</f>
        <v>144200</v>
      </c>
      <c r="E13" s="25" t="n">
        <f aca="false">D13*(1+Wage_Inflation)</f>
        <v>148526</v>
      </c>
      <c r="F13" s="25" t="n">
        <f aca="false">E13*(1+Wage_Inflation)</f>
        <v>152981.78</v>
      </c>
      <c r="G13" s="25" t="n">
        <f aca="false">F13*(1+Wage_Inflation)</f>
        <v>157571.2334</v>
      </c>
    </row>
    <row r="14" customFormat="false" ht="15" hidden="false" customHeight="false" outlineLevel="0" collapsed="false">
      <c r="A14" s="5"/>
      <c r="B14" s="8" t="s">
        <v>282</v>
      </c>
      <c r="C14" s="25" t="n">
        <f aca="false">Sal_SM</f>
        <v>120000</v>
      </c>
      <c r="D14" s="25" t="n">
        <f aca="false">C14*(1+Wage_Inflation)</f>
        <v>123600</v>
      </c>
      <c r="E14" s="25" t="n">
        <f aca="false">D14*(1+Wage_Inflation)</f>
        <v>127308</v>
      </c>
      <c r="F14" s="25" t="n">
        <f aca="false">E14*(1+Wage_Inflation)</f>
        <v>131127.24</v>
      </c>
      <c r="G14" s="25" t="n">
        <f aca="false">F14*(1+Wage_Inflation)</f>
        <v>135061.0572</v>
      </c>
    </row>
    <row r="15" customFormat="false" ht="15" hidden="false" customHeight="false" outlineLevel="0" collapsed="false">
      <c r="A15" s="5"/>
      <c r="B15" s="8" t="s">
        <v>283</v>
      </c>
      <c r="C15" s="25" t="n">
        <f aca="false">Sal_CS</f>
        <v>90000</v>
      </c>
      <c r="D15" s="25" t="n">
        <f aca="false">C15*(1+Wage_Inflation)</f>
        <v>92700</v>
      </c>
      <c r="E15" s="25" t="n">
        <f aca="false">D15*(1+Wage_Inflation)</f>
        <v>95481</v>
      </c>
      <c r="F15" s="25" t="n">
        <f aca="false">E15*(1+Wage_Inflation)</f>
        <v>98345.43</v>
      </c>
      <c r="G15" s="25" t="n">
        <f aca="false">F15*(1+Wage_Inflation)</f>
        <v>101295.7929</v>
      </c>
    </row>
    <row r="16" customFormat="false" ht="15" hidden="false" customHeight="false" outlineLevel="0" collapsed="false">
      <c r="A16" s="5"/>
      <c r="B16" s="8" t="s">
        <v>284</v>
      </c>
      <c r="C16" s="25" t="n">
        <f aca="false">Sal_GA</f>
        <v>100000</v>
      </c>
      <c r="D16" s="25" t="n">
        <f aca="false">C16*(1+Wage_Inflation)</f>
        <v>103000</v>
      </c>
      <c r="E16" s="25" t="n">
        <f aca="false">D16*(1+Wage_Inflation)</f>
        <v>106090</v>
      </c>
      <c r="F16" s="25" t="n">
        <f aca="false">E16*(1+Wage_Inflation)</f>
        <v>109272.7</v>
      </c>
      <c r="G16" s="25" t="n">
        <f aca="false">F16*(1+Wage_Inflation)</f>
        <v>112550.881</v>
      </c>
    </row>
    <row r="17" customFormat="false" ht="15" hidden="false" customHeight="false" outlineLevel="0" collapsed="false">
      <c r="A17" s="5"/>
      <c r="B17" s="19" t="s">
        <v>285</v>
      </c>
      <c r="C17" s="20"/>
      <c r="D17" s="20"/>
      <c r="E17" s="20"/>
      <c r="F17" s="20"/>
      <c r="G17" s="20"/>
    </row>
    <row r="18" customFormat="false" ht="15" hidden="false" customHeight="false" outlineLevel="0" collapsed="false">
      <c r="A18" s="5"/>
      <c r="B18" s="8" t="s">
        <v>286</v>
      </c>
      <c r="C18" s="25" t="n">
        <f aca="false">C7*C13*(1+Benefits_Loading)</f>
        <v>7875000</v>
      </c>
      <c r="D18" s="25" t="n">
        <f aca="false">D7*D13*(1+Benefits_Loading)</f>
        <v>9373000</v>
      </c>
      <c r="E18" s="25" t="n">
        <f aca="false">E7*E13*(1+Benefits_Loading)</f>
        <v>10768135</v>
      </c>
      <c r="F18" s="25" t="n">
        <f aca="false">F7*F13*(1+Benefits_Loading)</f>
        <v>11856087.95</v>
      </c>
      <c r="G18" s="25" t="n">
        <f aca="false">G7*G13*(1+Benefits_Loading)</f>
        <v>12802662.71375</v>
      </c>
    </row>
    <row r="19" customFormat="false" ht="15" hidden="false" customHeight="false" outlineLevel="0" collapsed="false">
      <c r="A19" s="5"/>
      <c r="B19" s="8" t="s">
        <v>287</v>
      </c>
      <c r="C19" s="25" t="n">
        <f aca="false">C8*C14*(1+Benefits_Loading)</f>
        <v>5250000</v>
      </c>
      <c r="D19" s="25" t="n">
        <f aca="false">D8*D14*(1+Benefits_Loading)</f>
        <v>6489000</v>
      </c>
      <c r="E19" s="25" t="n">
        <f aca="false">E8*E14*(1+Benefits_Loading)</f>
        <v>7638480</v>
      </c>
      <c r="F19" s="25" t="n">
        <f aca="false">F8*F14*(1+Benefits_Loading)</f>
        <v>8523270.6</v>
      </c>
      <c r="G19" s="25" t="n">
        <f aca="false">G8*G14*(1+Benefits_Loading)</f>
        <v>9285447.6825</v>
      </c>
    </row>
    <row r="20" customFormat="false" ht="15" hidden="false" customHeight="false" outlineLevel="0" collapsed="false">
      <c r="A20" s="5"/>
      <c r="B20" s="8" t="s">
        <v>288</v>
      </c>
      <c r="C20" s="25" t="n">
        <f aca="false">C9*C15*(1+Benefits_Loading)</f>
        <v>2250000</v>
      </c>
      <c r="D20" s="25" t="n">
        <f aca="false">D9*D15*(1+Benefits_Loading)</f>
        <v>2781000</v>
      </c>
      <c r="E20" s="25" t="n">
        <f aca="false">E9*E15*(1+Benefits_Loading)</f>
        <v>3222483.75</v>
      </c>
      <c r="F20" s="25" t="n">
        <f aca="false">F9*F15*(1+Benefits_Loading)</f>
        <v>3565021.8375</v>
      </c>
      <c r="G20" s="25" t="n">
        <f aca="false">G9*G15*(1+Benefits_Loading)</f>
        <v>3798592.23375</v>
      </c>
    </row>
    <row r="21" customFormat="false" ht="15" hidden="false" customHeight="false" outlineLevel="0" collapsed="false">
      <c r="A21" s="5"/>
      <c r="B21" s="8" t="s">
        <v>289</v>
      </c>
      <c r="C21" s="25" t="n">
        <f aca="false">C10*C16*(1+Benefits_Loading)</f>
        <v>2500000</v>
      </c>
      <c r="D21" s="25" t="n">
        <f aca="false">D10*D16*(1+Benefits_Loading)</f>
        <v>2832500</v>
      </c>
      <c r="E21" s="25" t="n">
        <f aca="false">E10*E16*(1+Benefits_Loading)</f>
        <v>3182700</v>
      </c>
      <c r="F21" s="25" t="n">
        <f aca="false">F10*F16*(1+Benefits_Loading)</f>
        <v>3414771.875</v>
      </c>
      <c r="G21" s="25" t="n">
        <f aca="false">G10*G16*(1+Benefits_Loading)</f>
        <v>3657903.6325</v>
      </c>
    </row>
    <row r="22" customFormat="false" ht="15" hidden="false" customHeight="false" outlineLevel="0" collapsed="false">
      <c r="A22" s="5"/>
      <c r="B22" s="31" t="s">
        <v>290</v>
      </c>
      <c r="C22" s="32" t="n">
        <f aca="false">SUM(C18:C21)</f>
        <v>17875000</v>
      </c>
      <c r="D22" s="32" t="n">
        <f aca="false">SUM(D18:D21)</f>
        <v>21475500</v>
      </c>
      <c r="E22" s="32" t="n">
        <f aca="false">SUM(E18:E21)</f>
        <v>24811798.75</v>
      </c>
      <c r="F22" s="32" t="n">
        <f aca="false">SUM(F18:F21)</f>
        <v>27359152.2625</v>
      </c>
      <c r="G22" s="32" t="n">
        <f aca="false">SUM(G18:G21)</f>
        <v>29544606.2625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7F50"/>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6"/>
    <col collapsed="false" customWidth="true" hidden="false" outlineLevel="0" max="7" min="3" style="0" width="14"/>
  </cols>
  <sheetData>
    <row r="1" customFormat="false" ht="25.5" hidden="false" customHeight="true" outlineLevel="0" collapsed="false">
      <c r="A1" s="1"/>
      <c r="B1" s="3" t="s">
        <v>138</v>
      </c>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291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48</v>
      </c>
      <c r="D4" s="18" t="s">
        <v>49</v>
      </c>
      <c r="E4" s="18" t="s">
        <v>50</v>
      </c>
      <c r="F4" s="18" t="s">
        <v>51</v>
      </c>
      <c r="G4" s="18" t="s">
        <v>52</v>
      </c>
    </row>
    <row r="5" customFormat="false" ht="15" hidden="false" customHeight="false" outlineLevel="0" collapsed="false">
      <c r="A5" s="5"/>
      <c r="B5" s="5"/>
      <c r="C5" s="5"/>
      <c r="D5" s="5"/>
      <c r="E5" s="5"/>
      <c r="F5" s="5"/>
      <c r="G5" s="5"/>
    </row>
    <row r="6" customFormat="false" ht="15" hidden="false" customHeight="false" outlineLevel="0" collapsed="false">
      <c r="A6" s="5"/>
      <c r="B6" s="19" t="s">
        <v>292</v>
      </c>
      <c r="C6" s="20"/>
      <c r="D6" s="20"/>
      <c r="E6" s="20"/>
      <c r="F6" s="20"/>
      <c r="G6" s="20"/>
    </row>
    <row r="7" customFormat="false" ht="15" hidden="false" customHeight="false" outlineLevel="0" collapsed="false">
      <c r="A7" s="5"/>
      <c r="B7" s="8" t="s">
        <v>292</v>
      </c>
      <c r="C7" s="25" t="n">
        <f aca="false">Phys_Capex_Y1</f>
        <v>300000</v>
      </c>
      <c r="D7" s="25" t="n">
        <f aca="false">C7*(1+Capex_Growth)</f>
        <v>315000</v>
      </c>
      <c r="E7" s="25" t="n">
        <f aca="false">D7*(1+Capex_Growth)</f>
        <v>330750</v>
      </c>
      <c r="F7" s="25" t="n">
        <f aca="false">E7*(1+Capex_Growth)</f>
        <v>347287.5</v>
      </c>
      <c r="G7" s="25" t="n">
        <f aca="false">F7*(1+Capex_Growth)</f>
        <v>364651.875</v>
      </c>
    </row>
    <row r="8" customFormat="false" ht="15" hidden="false" customHeight="false" outlineLevel="0" collapsed="false">
      <c r="A8" s="5"/>
      <c r="B8" s="8" t="s">
        <v>293</v>
      </c>
      <c r="C8" s="25" t="n">
        <f aca="false">Opening_PPE/Phys_Life</f>
        <v>160000</v>
      </c>
      <c r="D8" s="25" t="n">
        <f aca="false">Opening_PPE/Phys_Life</f>
        <v>160000</v>
      </c>
      <c r="E8" s="25" t="n">
        <f aca="false">Opening_PPE/Phys_Life</f>
        <v>160000</v>
      </c>
      <c r="F8" s="25" t="n">
        <f aca="false">Opening_PPE/Phys_Life</f>
        <v>160000</v>
      </c>
      <c r="G8" s="25" t="n">
        <f aca="false">Opening_PPE/Phys_Life</f>
        <v>160000</v>
      </c>
    </row>
    <row r="9" customFormat="false" ht="15" hidden="false" customHeight="false" outlineLevel="0" collapsed="false">
      <c r="A9" s="5"/>
      <c r="B9" s="8" t="s">
        <v>294</v>
      </c>
      <c r="C9" s="25" t="n">
        <f aca="false">SUM($C$7:C7)/Phys_Life</f>
        <v>60000</v>
      </c>
      <c r="D9" s="25" t="n">
        <f aca="false">SUM($C$7:D7)/Phys_Life</f>
        <v>123000</v>
      </c>
      <c r="E9" s="25" t="n">
        <f aca="false">SUM($C$7:E7)/Phys_Life</f>
        <v>189150</v>
      </c>
      <c r="F9" s="25" t="n">
        <f aca="false">SUM($C$7:F7)/Phys_Life</f>
        <v>258607.5</v>
      </c>
      <c r="G9" s="25" t="n">
        <f aca="false">SUM($C$7:G7)/Phys_Life</f>
        <v>331537.875</v>
      </c>
    </row>
    <row r="10" customFormat="false" ht="15" hidden="false" customHeight="false" outlineLevel="0" collapsed="false">
      <c r="A10" s="5"/>
      <c r="B10" s="28" t="s">
        <v>295</v>
      </c>
      <c r="C10" s="30" t="n">
        <f aca="false">C8+C9</f>
        <v>220000</v>
      </c>
      <c r="D10" s="30" t="n">
        <f aca="false">D8+D9</f>
        <v>283000</v>
      </c>
      <c r="E10" s="30" t="n">
        <f aca="false">E8+E9</f>
        <v>349150</v>
      </c>
      <c r="F10" s="30" t="n">
        <f aca="false">F8+F9</f>
        <v>418607.5</v>
      </c>
      <c r="G10" s="30" t="n">
        <f aca="false">G8+G9</f>
        <v>491537.875</v>
      </c>
    </row>
    <row r="11" customFormat="false" ht="15" hidden="false" customHeight="false" outlineLevel="0" collapsed="false">
      <c r="A11" s="5"/>
      <c r="B11" s="35" t="s">
        <v>296</v>
      </c>
      <c r="C11" s="36" t="n">
        <f aca="false">Opening_PPE+C7-C10</f>
        <v>880000</v>
      </c>
      <c r="D11" s="36" t="n">
        <f aca="false">C11+D7-D10</f>
        <v>912000</v>
      </c>
      <c r="E11" s="36" t="n">
        <f aca="false">D11+E7-E10</f>
        <v>893600</v>
      </c>
      <c r="F11" s="36" t="n">
        <f aca="false">E11+F7-F10</f>
        <v>822280</v>
      </c>
      <c r="G11" s="36" t="n">
        <f aca="false">F11+G7-G10</f>
        <v>695394</v>
      </c>
    </row>
    <row r="12" customFormat="false" ht="15" hidden="false" customHeight="false" outlineLevel="0" collapsed="false">
      <c r="A12" s="5"/>
      <c r="B12" s="19" t="s">
        <v>297</v>
      </c>
      <c r="C12" s="20"/>
      <c r="D12" s="20"/>
      <c r="E12" s="20"/>
      <c r="F12" s="20"/>
      <c r="G12" s="20"/>
    </row>
    <row r="13" customFormat="false" ht="15" hidden="false" customHeight="false" outlineLevel="0" collapsed="false">
      <c r="A13" s="5"/>
      <c r="B13" s="8" t="s">
        <v>298</v>
      </c>
      <c r="C13" s="37" t="n">
        <f aca="false">Staffing!C18</f>
        <v>7875000</v>
      </c>
      <c r="D13" s="37" t="n">
        <f aca="false">Staffing!D18</f>
        <v>9373000</v>
      </c>
      <c r="E13" s="37" t="n">
        <f aca="false">Staffing!E18</f>
        <v>10768135</v>
      </c>
      <c r="F13" s="37" t="n">
        <f aca="false">Staffing!F18</f>
        <v>11856087.95</v>
      </c>
      <c r="G13" s="37" t="n">
        <f aca="false">Staffing!G18</f>
        <v>12802662.71375</v>
      </c>
    </row>
    <row r="14" customFormat="false" ht="15" hidden="false" customHeight="false" outlineLevel="0" collapsed="false">
      <c r="A14" s="5"/>
      <c r="B14" s="8" t="s">
        <v>299</v>
      </c>
      <c r="C14" s="25" t="n">
        <f aca="false">C13*RD_Cap_Rate</f>
        <v>1968750</v>
      </c>
      <c r="D14" s="25" t="n">
        <f aca="false">D13*RD_Cap_Rate</f>
        <v>2343250</v>
      </c>
      <c r="E14" s="25" t="n">
        <f aca="false">E13*RD_Cap_Rate</f>
        <v>2692033.75</v>
      </c>
      <c r="F14" s="25" t="n">
        <f aca="false">F13*RD_Cap_Rate</f>
        <v>2964021.9875</v>
      </c>
      <c r="G14" s="25" t="n">
        <f aca="false">G13*RD_Cap_Rate</f>
        <v>3200665.6784375</v>
      </c>
    </row>
    <row r="15" customFormat="false" ht="15" hidden="false" customHeight="false" outlineLevel="0" collapsed="false">
      <c r="A15" s="5"/>
      <c r="B15" s="8" t="s">
        <v>300</v>
      </c>
      <c r="C15" s="25" t="n">
        <f aca="false">IF(1&lt;=SW_Opening_Life,Opening_Cap_SW/SW_Opening_Life,0)</f>
        <v>2000000</v>
      </c>
      <c r="D15" s="25" t="n">
        <f aca="false">IF(2&lt;=SW_Opening_Life,Opening_Cap_SW/SW_Opening_Life,0)</f>
        <v>2000000</v>
      </c>
      <c r="E15" s="25" t="n">
        <f aca="false">IF(3&lt;=SW_Opening_Life,Opening_Cap_SW/SW_Opening_Life,0)</f>
        <v>0</v>
      </c>
      <c r="F15" s="25" t="n">
        <f aca="false">IF(4&lt;=SW_Opening_Life,Opening_Cap_SW/SW_Opening_Life,0)</f>
        <v>0</v>
      </c>
      <c r="G15" s="25" t="n">
        <f aca="false">IF(5&lt;=SW_Opening_Life,Opening_Cap_SW/SW_Opening_Life,0)</f>
        <v>0</v>
      </c>
    </row>
    <row r="16" customFormat="false" ht="15" hidden="false" customHeight="false" outlineLevel="0" collapsed="false">
      <c r="A16" s="5"/>
      <c r="B16" s="8" t="s">
        <v>301</v>
      </c>
      <c r="C16" s="25" t="n">
        <f aca="false">IF(AND(1&gt;=1,1&lt;1+SW_Life),$C$14/SW_Life,0)</f>
        <v>656250</v>
      </c>
      <c r="D16" s="25" t="n">
        <f aca="false">IF(AND(2&gt;=1,2&lt;1+SW_Life),$C$14/SW_Life,0)</f>
        <v>656250</v>
      </c>
      <c r="E16" s="25" t="n">
        <f aca="false">IF(AND(3&gt;=1,3&lt;1+SW_Life),$C$14/SW_Life,0)</f>
        <v>656250</v>
      </c>
      <c r="F16" s="25" t="n">
        <f aca="false">IF(AND(4&gt;=1,4&lt;1+SW_Life),$C$14/SW_Life,0)</f>
        <v>0</v>
      </c>
      <c r="G16" s="25" t="n">
        <f aca="false">IF(AND(5&gt;=1,5&lt;1+SW_Life),$C$14/SW_Life,0)</f>
        <v>0</v>
      </c>
    </row>
    <row r="17" customFormat="false" ht="15" hidden="false" customHeight="false" outlineLevel="0" collapsed="false">
      <c r="A17" s="5"/>
      <c r="B17" s="8" t="s">
        <v>302</v>
      </c>
      <c r="C17" s="25" t="n">
        <f aca="false">IF(AND(1&gt;=2,1&lt;2+SW_Life),$D$14/SW_Life,0)</f>
        <v>0</v>
      </c>
      <c r="D17" s="25" t="n">
        <f aca="false">IF(AND(2&gt;=2,2&lt;2+SW_Life),$D$14/SW_Life,0)</f>
        <v>781083.333333333</v>
      </c>
      <c r="E17" s="25" t="n">
        <f aca="false">IF(AND(3&gt;=2,3&lt;2+SW_Life),$D$14/SW_Life,0)</f>
        <v>781083.333333333</v>
      </c>
      <c r="F17" s="25" t="n">
        <f aca="false">IF(AND(4&gt;=2,4&lt;2+SW_Life),$D$14/SW_Life,0)</f>
        <v>781083.333333333</v>
      </c>
      <c r="G17" s="25" t="n">
        <f aca="false">IF(AND(5&gt;=2,5&lt;2+SW_Life),$D$14/SW_Life,0)</f>
        <v>0</v>
      </c>
    </row>
    <row r="18" customFormat="false" ht="15" hidden="false" customHeight="false" outlineLevel="0" collapsed="false">
      <c r="A18" s="5"/>
      <c r="B18" s="8" t="s">
        <v>303</v>
      </c>
      <c r="C18" s="25" t="n">
        <f aca="false">IF(AND(1&gt;=3,1&lt;3+SW_Life),$E$14/SW_Life,0)</f>
        <v>0</v>
      </c>
      <c r="D18" s="25" t="n">
        <f aca="false">IF(AND(2&gt;=3,2&lt;3+SW_Life),$E$14/SW_Life,0)</f>
        <v>0</v>
      </c>
      <c r="E18" s="25" t="n">
        <f aca="false">IF(AND(3&gt;=3,3&lt;3+SW_Life),$E$14/SW_Life,0)</f>
        <v>897344.583333333</v>
      </c>
      <c r="F18" s="25" t="n">
        <f aca="false">IF(AND(4&gt;=3,4&lt;3+SW_Life),$E$14/SW_Life,0)</f>
        <v>897344.583333333</v>
      </c>
      <c r="G18" s="25" t="n">
        <f aca="false">IF(AND(5&gt;=3,5&lt;3+SW_Life),$E$14/SW_Life,0)</f>
        <v>897344.583333333</v>
      </c>
    </row>
    <row r="19" customFormat="false" ht="15" hidden="false" customHeight="false" outlineLevel="0" collapsed="false">
      <c r="A19" s="5"/>
      <c r="B19" s="8" t="s">
        <v>304</v>
      </c>
      <c r="C19" s="25" t="n">
        <f aca="false">IF(AND(1&gt;=4,1&lt;4+SW_Life),$F$14/SW_Life,0)</f>
        <v>0</v>
      </c>
      <c r="D19" s="25" t="n">
        <f aca="false">IF(AND(2&gt;=4,2&lt;4+SW_Life),$F$14/SW_Life,0)</f>
        <v>0</v>
      </c>
      <c r="E19" s="25" t="n">
        <f aca="false">IF(AND(3&gt;=4,3&lt;4+SW_Life),$F$14/SW_Life,0)</f>
        <v>0</v>
      </c>
      <c r="F19" s="25" t="n">
        <f aca="false">IF(AND(4&gt;=4,4&lt;4+SW_Life),$F$14/SW_Life,0)</f>
        <v>988007.329166667</v>
      </c>
      <c r="G19" s="25" t="n">
        <f aca="false">IF(AND(5&gt;=4,5&lt;4+SW_Life),$F$14/SW_Life,0)</f>
        <v>988007.329166667</v>
      </c>
    </row>
    <row r="20" customFormat="false" ht="15" hidden="false" customHeight="false" outlineLevel="0" collapsed="false">
      <c r="A20" s="5"/>
      <c r="B20" s="8" t="s">
        <v>305</v>
      </c>
      <c r="C20" s="25" t="n">
        <f aca="false">IF(AND(1&gt;=5,1&lt;5+SW_Life),$G$14/SW_Life,0)</f>
        <v>0</v>
      </c>
      <c r="D20" s="25" t="n">
        <f aca="false">IF(AND(2&gt;=5,2&lt;5+SW_Life),$G$14/SW_Life,0)</f>
        <v>0</v>
      </c>
      <c r="E20" s="25" t="n">
        <f aca="false">IF(AND(3&gt;=5,3&lt;5+SW_Life),$G$14/SW_Life,0)</f>
        <v>0</v>
      </c>
      <c r="F20" s="25" t="n">
        <f aca="false">IF(AND(4&gt;=5,4&lt;5+SW_Life),$G$14/SW_Life,0)</f>
        <v>0</v>
      </c>
      <c r="G20" s="25" t="n">
        <f aca="false">IF(AND(5&gt;=5,5&lt;5+SW_Life),$G$14/SW_Life,0)</f>
        <v>1066888.55947917</v>
      </c>
    </row>
    <row r="21" customFormat="false" ht="15" hidden="false" customHeight="false" outlineLevel="0" collapsed="false">
      <c r="A21" s="5"/>
      <c r="B21" s="28" t="s">
        <v>306</v>
      </c>
      <c r="C21" s="30" t="n">
        <f aca="false">SUM(C15:C20)</f>
        <v>2656250</v>
      </c>
      <c r="D21" s="30" t="n">
        <f aca="false">SUM(D15:D20)</f>
        <v>3437333.33333333</v>
      </c>
      <c r="E21" s="30" t="n">
        <f aca="false">SUM(E15:E20)</f>
        <v>2334677.91666667</v>
      </c>
      <c r="F21" s="30" t="n">
        <f aca="false">SUM(F15:F20)</f>
        <v>2666435.24583333</v>
      </c>
      <c r="G21" s="30" t="n">
        <f aca="false">SUM(G15:G20)</f>
        <v>2952240.47197917</v>
      </c>
    </row>
    <row r="22" customFormat="false" ht="15" hidden="false" customHeight="false" outlineLevel="0" collapsed="false">
      <c r="A22" s="5"/>
      <c r="B22" s="28" t="s">
        <v>307</v>
      </c>
      <c r="C22" s="30" t="n">
        <f aca="false">Opening_Cap_SW+C14-C21</f>
        <v>3312500</v>
      </c>
      <c r="D22" s="30" t="n">
        <f aca="false">C22+D14-D21</f>
        <v>2218416.66666667</v>
      </c>
      <c r="E22" s="30" t="n">
        <f aca="false">D22+E14-E21</f>
        <v>2575772.5</v>
      </c>
      <c r="F22" s="30" t="n">
        <f aca="false">E22+F14-F21</f>
        <v>2873359.24166667</v>
      </c>
      <c r="G22" s="30" t="n">
        <f aca="false">F22+G14-G21</f>
        <v>3121784.448125</v>
      </c>
    </row>
    <row r="23" customFormat="false" ht="15" hidden="false" customHeight="false" outlineLevel="0" collapsed="false">
      <c r="A23" s="5"/>
      <c r="B23" s="19" t="s">
        <v>308</v>
      </c>
      <c r="C23" s="20"/>
      <c r="D23" s="20"/>
      <c r="E23" s="20"/>
      <c r="F23" s="20"/>
      <c r="G23" s="20"/>
    </row>
    <row r="24" customFormat="false" ht="15" hidden="false" customHeight="false" outlineLevel="0" collapsed="false">
      <c r="A24" s="5"/>
      <c r="B24" s="28" t="s">
        <v>309</v>
      </c>
      <c r="C24" s="30" t="n">
        <f aca="false">C7+C14</f>
        <v>2268750</v>
      </c>
      <c r="D24" s="30" t="n">
        <f aca="false">D7+D14</f>
        <v>2658250</v>
      </c>
      <c r="E24" s="30" t="n">
        <f aca="false">E7+E14</f>
        <v>3022783.75</v>
      </c>
      <c r="F24" s="30" t="n">
        <f aca="false">F7+F14</f>
        <v>3311309.4875</v>
      </c>
      <c r="G24" s="30" t="n">
        <f aca="false">G7+G14</f>
        <v>3565317.5534375</v>
      </c>
    </row>
    <row r="25" customFormat="false" ht="15" hidden="false" customHeight="false" outlineLevel="0" collapsed="false">
      <c r="A25" s="5"/>
      <c r="B25" s="35" t="s">
        <v>310</v>
      </c>
      <c r="C25" s="36" t="n">
        <f aca="false">C10+C21</f>
        <v>2876250</v>
      </c>
      <c r="D25" s="36" t="n">
        <f aca="false">D10+D21</f>
        <v>3720333.33333333</v>
      </c>
      <c r="E25" s="36" t="n">
        <f aca="false">E10+E21</f>
        <v>2683827.91666667</v>
      </c>
      <c r="F25" s="36" t="n">
        <f aca="false">F10+F21</f>
        <v>3085042.74583333</v>
      </c>
      <c r="G25" s="36" t="n">
        <f aca="false">G10+G21</f>
        <v>3443778.34697917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08080"/>
    <pageSetUpPr fitToPage="false"/>
  </sheetPr>
  <dimension ref="A1:AD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8"/>
    <col collapsed="false" customWidth="true" hidden="false" outlineLevel="0" max="7" min="3" style="0" width="14"/>
  </cols>
  <sheetData>
    <row r="1" customFormat="false" ht="25.5" hidden="false" customHeight="true" outlineLevel="0" collapsed="false">
      <c r="A1" s="1"/>
      <c r="B1" s="3" t="s">
        <v>311</v>
      </c>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7" t="s">
        <v>312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c r="C4" s="18" t="s">
        <v>48</v>
      </c>
      <c r="D4" s="18" t="s">
        <v>49</v>
      </c>
      <c r="E4" s="18" t="s">
        <v>50</v>
      </c>
      <c r="F4" s="18" t="s">
        <v>51</v>
      </c>
      <c r="G4" s="18" t="s">
        <v>52</v>
      </c>
    </row>
    <row r="5" customFormat="false" ht="15" hidden="false" customHeight="false" outlineLevel="0" collapsed="false">
      <c r="A5" s="5"/>
      <c r="B5" s="5"/>
      <c r="C5" s="5"/>
      <c r="D5" s="5"/>
      <c r="E5" s="5"/>
      <c r="F5" s="5"/>
      <c r="G5" s="5"/>
    </row>
    <row r="6" customFormat="false" ht="15" hidden="false" customHeight="false" outlineLevel="0" collapsed="false">
      <c r="A6" s="5"/>
      <c r="B6" s="19" t="s">
        <v>313</v>
      </c>
      <c r="C6" s="20"/>
      <c r="D6" s="20"/>
      <c r="E6" s="20"/>
      <c r="F6" s="20"/>
      <c r="G6" s="20"/>
    </row>
    <row r="7" customFormat="false" ht="15" hidden="false" customHeight="false" outlineLevel="0" collapsed="false">
      <c r="A7" s="5"/>
      <c r="B7" s="8" t="s">
        <v>224</v>
      </c>
      <c r="C7" s="37" t="n">
        <f aca="false">Ad_Revenue!C22</f>
        <v>16794000</v>
      </c>
      <c r="D7" s="37" t="n">
        <f aca="false">Ad_Revenue!D22</f>
        <v>21002985</v>
      </c>
      <c r="E7" s="37" t="n">
        <f aca="false">Ad_Revenue!E22</f>
        <v>26605469.85</v>
      </c>
      <c r="F7" s="37" t="n">
        <f aca="false">Ad_Revenue!F22</f>
        <v>33980541.97275</v>
      </c>
      <c r="G7" s="37" t="n">
        <f aca="false">Ad_Revenue!G22</f>
        <v>43465835.387955</v>
      </c>
    </row>
    <row r="8" customFormat="false" ht="15" hidden="false" customHeight="false" outlineLevel="0" collapsed="false">
      <c r="A8" s="5"/>
      <c r="B8" s="8" t="s">
        <v>225</v>
      </c>
      <c r="C8" s="37" t="n">
        <f aca="false">Ad_Revenue!C23</f>
        <v>5662800</v>
      </c>
      <c r="D8" s="37" t="n">
        <f aca="false">Ad_Revenue!D23</f>
        <v>6942375</v>
      </c>
      <c r="E8" s="37" t="n">
        <f aca="false">Ad_Revenue!E23</f>
        <v>8303625</v>
      </c>
      <c r="F8" s="37" t="n">
        <f aca="false">Ad_Revenue!F23</f>
        <v>9719891.28</v>
      </c>
      <c r="G8" s="37" t="n">
        <f aca="false">Ad_Revenue!G23</f>
        <v>11042658.7425</v>
      </c>
    </row>
    <row r="9" customFormat="false" ht="15" hidden="false" customHeight="false" outlineLevel="0" collapsed="false">
      <c r="A9" s="5"/>
      <c r="B9" s="8" t="s">
        <v>227</v>
      </c>
      <c r="C9" s="37" t="n">
        <f aca="false">Ad_Revenue!C25</f>
        <v>694540.206185567</v>
      </c>
      <c r="D9" s="37" t="n">
        <f aca="false">Ad_Revenue!D25</f>
        <v>864289.484536082</v>
      </c>
      <c r="E9" s="37" t="n">
        <f aca="false">Ad_Revenue!E25</f>
        <v>1079662.72731959</v>
      </c>
      <c r="F9" s="37" t="n">
        <f aca="false">Ad_Revenue!F25</f>
        <v>1351559.79132217</v>
      </c>
      <c r="G9" s="37" t="n">
        <f aca="false">Ad_Revenue!G25</f>
        <v>1685829.7153749</v>
      </c>
    </row>
    <row r="10" customFormat="false" ht="15" hidden="false" customHeight="false" outlineLevel="0" collapsed="false">
      <c r="A10" s="5"/>
      <c r="B10" s="31" t="s">
        <v>228</v>
      </c>
      <c r="C10" s="32" t="n">
        <f aca="false">SUM(C7:C9)</f>
        <v>23151340.2061856</v>
      </c>
      <c r="D10" s="32" t="n">
        <f aca="false">SUM(D7:D9)</f>
        <v>28809649.4845361</v>
      </c>
      <c r="E10" s="32" t="n">
        <f aca="false">SUM(E7:E9)</f>
        <v>35988757.5773196</v>
      </c>
      <c r="F10" s="32" t="n">
        <f aca="false">SUM(F7:F9)</f>
        <v>45051993.0440722</v>
      </c>
      <c r="G10" s="32" t="n">
        <f aca="false">SUM(G7:G9)</f>
        <v>56194323.8458299</v>
      </c>
    </row>
    <row r="11" customFormat="false" ht="15" hidden="false" customHeight="false" outlineLevel="0" collapsed="false">
      <c r="A11" s="5"/>
      <c r="B11" s="19" t="s">
        <v>314</v>
      </c>
      <c r="C11" s="20"/>
      <c r="D11" s="20"/>
      <c r="E11" s="20"/>
      <c r="F11" s="20"/>
      <c r="G11" s="20"/>
    </row>
    <row r="12" customFormat="false" ht="15" hidden="false" customHeight="false" outlineLevel="0" collapsed="false">
      <c r="A12" s="5"/>
      <c r="B12" s="8" t="s">
        <v>315</v>
      </c>
      <c r="C12" s="25" t="n">
        <f aca="false">C8*Cloud_AdTech_Y1</f>
        <v>1585584</v>
      </c>
      <c r="D12" s="25" t="n">
        <f aca="false">D8*Cloud_AdTech_Y2</f>
        <v>1735593.75</v>
      </c>
      <c r="E12" s="25" t="n">
        <f aca="false">E8*Cloud_AdTech_Y3</f>
        <v>1826797.5</v>
      </c>
      <c r="F12" s="25" t="n">
        <f aca="false">F8*Cloud_AdTech_Y4</f>
        <v>1943978.256</v>
      </c>
      <c r="G12" s="25" t="n">
        <f aca="false">G8*Cloud_AdTech_Y5</f>
        <v>1987678.57365</v>
      </c>
    </row>
    <row r="13" customFormat="false" ht="15" hidden="false" customHeight="false" outlineLevel="0" collapsed="false">
      <c r="A13" s="5"/>
      <c r="B13" s="8" t="s">
        <v>316</v>
      </c>
      <c r="C13" s="25" t="n">
        <f aca="false">C7*Cloud_SaaS_Y1</f>
        <v>1343520</v>
      </c>
      <c r="D13" s="25" t="n">
        <f aca="false">D7*Cloud_SaaS_Y2</f>
        <v>1575223.875</v>
      </c>
      <c r="E13" s="25" t="n">
        <f aca="false">E7*Cloud_SaaS_Y3</f>
        <v>1862382.8895</v>
      </c>
      <c r="F13" s="25" t="n">
        <f aca="false">F7*Cloud_SaaS_Y4</f>
        <v>2208735.22822875</v>
      </c>
      <c r="G13" s="25" t="n">
        <f aca="false">G7*Cloud_SaaS_Y5</f>
        <v>2607950.1232773</v>
      </c>
    </row>
    <row r="14" customFormat="false" ht="15" hidden="false" customHeight="false" outlineLevel="0" collapsed="false">
      <c r="A14" s="5"/>
      <c r="B14" s="8" t="s">
        <v>317</v>
      </c>
      <c r="C14" s="25" t="n">
        <f aca="false">C8*Data_Acq_Pct</f>
        <v>226512</v>
      </c>
      <c r="D14" s="25" t="n">
        <f aca="false">D8*Data_Acq_Pct</f>
        <v>277695</v>
      </c>
      <c r="E14" s="25" t="n">
        <f aca="false">E8*Data_Acq_Pct</f>
        <v>332145</v>
      </c>
      <c r="F14" s="25" t="n">
        <f aca="false">F8*Data_Acq_Pct</f>
        <v>388795.6512</v>
      </c>
      <c r="G14" s="25" t="n">
        <f aca="false">G8*Data_Acq_Pct</f>
        <v>441706.3497</v>
      </c>
    </row>
    <row r="15" customFormat="false" ht="15" hidden="false" customHeight="false" outlineLevel="0" collapsed="false">
      <c r="A15" s="5"/>
      <c r="B15" s="8" t="s">
        <v>318</v>
      </c>
      <c r="C15" s="37" t="n">
        <f aca="false">Staffing!C20</f>
        <v>2250000</v>
      </c>
      <c r="D15" s="37" t="n">
        <f aca="false">Staffing!D20</f>
        <v>2781000</v>
      </c>
      <c r="E15" s="37" t="n">
        <f aca="false">Staffing!E20</f>
        <v>3222483.75</v>
      </c>
      <c r="F15" s="37" t="n">
        <f aca="false">Staffing!F20</f>
        <v>3565021.8375</v>
      </c>
      <c r="G15" s="37" t="n">
        <f aca="false">Staffing!G20</f>
        <v>3798592.23375</v>
      </c>
    </row>
    <row r="16" customFormat="false" ht="15" hidden="false" customHeight="false" outlineLevel="0" collapsed="false">
      <c r="A16" s="5"/>
      <c r="B16" s="8" t="s">
        <v>319</v>
      </c>
      <c r="C16" s="25" t="n">
        <f aca="false">C10*Payment_Pct</f>
        <v>231513.402061856</v>
      </c>
      <c r="D16" s="25" t="n">
        <f aca="false">D10*Payment_Pct</f>
        <v>288096.494845361</v>
      </c>
      <c r="E16" s="25" t="n">
        <f aca="false">E10*Payment_Pct</f>
        <v>359887.575773196</v>
      </c>
      <c r="F16" s="25" t="n">
        <f aca="false">F10*Payment_Pct</f>
        <v>450519.930440722</v>
      </c>
      <c r="G16" s="25" t="n">
        <f aca="false">G10*Payment_Pct</f>
        <v>561943.238458299</v>
      </c>
    </row>
    <row r="17" customFormat="false" ht="15" hidden="false" customHeight="false" outlineLevel="0" collapsed="false">
      <c r="A17" s="5"/>
      <c r="B17" s="28" t="s">
        <v>320</v>
      </c>
      <c r="C17" s="30" t="n">
        <f aca="false">SUM(C12:C16)</f>
        <v>5637129.40206186</v>
      </c>
      <c r="D17" s="30" t="n">
        <f aca="false">SUM(D12:D16)</f>
        <v>6657609.11984536</v>
      </c>
      <c r="E17" s="30" t="n">
        <f aca="false">SUM(E12:E16)</f>
        <v>7603696.7152732</v>
      </c>
      <c r="F17" s="30" t="n">
        <f aca="false">SUM(F12:F16)</f>
        <v>8557050.90336947</v>
      </c>
      <c r="G17" s="30" t="n">
        <f aca="false">SUM(G12:G16)</f>
        <v>9397870.5188356</v>
      </c>
    </row>
    <row r="18" customFormat="false" ht="15" hidden="false" customHeight="false" outlineLevel="0" collapsed="false">
      <c r="A18" s="5"/>
      <c r="B18" s="31" t="s">
        <v>321</v>
      </c>
      <c r="C18" s="32" t="n">
        <f aca="false">C10-C17</f>
        <v>17514210.8041237</v>
      </c>
      <c r="D18" s="32" t="n">
        <f aca="false">D10-D17</f>
        <v>22152040.3646907</v>
      </c>
      <c r="E18" s="32" t="n">
        <f aca="false">E10-E17</f>
        <v>28385060.8620464</v>
      </c>
      <c r="F18" s="32" t="n">
        <f aca="false">F10-F17</f>
        <v>36494942.1407027</v>
      </c>
      <c r="G18" s="32" t="n">
        <f aca="false">G10-G17</f>
        <v>46796453.3269943</v>
      </c>
    </row>
    <row r="19" customFormat="false" ht="15" hidden="false" customHeight="false" outlineLevel="0" collapsed="false">
      <c r="A19" s="5"/>
      <c r="B19" s="8" t="s">
        <v>322</v>
      </c>
      <c r="C19" s="33" t="n">
        <f aca="false">C18/C10</f>
        <v>0.756509586405899</v>
      </c>
      <c r="D19" s="33" t="n">
        <f aca="false">D18/D10</f>
        <v>0.768910443585268</v>
      </c>
      <c r="E19" s="33" t="n">
        <f aca="false">E18/E10</f>
        <v>0.788720221893264</v>
      </c>
      <c r="F19" s="33" t="n">
        <f aca="false">F18/F10</f>
        <v>0.810062766923574</v>
      </c>
      <c r="G19" s="33" t="n">
        <f aca="false">G18/G10</f>
        <v>0.832761213666013</v>
      </c>
    </row>
    <row r="20" customFormat="false" ht="15" hidden="false" customHeight="false" outlineLevel="0" collapsed="false">
      <c r="A20" s="5"/>
      <c r="B20" s="8" t="s">
        <v>323</v>
      </c>
      <c r="C20" s="33" t="n">
        <f aca="false">(C7-C13-C15)/C7</f>
        <v>0.786023579849946</v>
      </c>
      <c r="D20" s="33" t="n">
        <f aca="false">(D7-D13-D15)/D7</f>
        <v>0.792590249671654</v>
      </c>
      <c r="E20" s="33" t="n">
        <f aca="false">(E7-E13-E15)/E7</f>
        <v>0.808878900911423</v>
      </c>
      <c r="F20" s="33" t="n">
        <f aca="false">(F7-F13-F15)/F7</f>
        <v>0.830086375009589</v>
      </c>
      <c r="G20" s="33" t="n">
        <f aca="false">(G7-G13-G15)/G7</f>
        <v>0.852607403036302</v>
      </c>
    </row>
    <row r="21" customFormat="false" ht="15" hidden="false" customHeight="false" outlineLevel="0" collapsed="false">
      <c r="A21" s="5"/>
      <c r="B21" s="8" t="s">
        <v>324</v>
      </c>
      <c r="C21" s="33" t="n">
        <f aca="false">(C8-C12-C14)/C8</f>
        <v>0.68</v>
      </c>
      <c r="D21" s="33" t="n">
        <f aca="false">(D8-D12-D14)/D8</f>
        <v>0.71</v>
      </c>
      <c r="E21" s="33" t="n">
        <f aca="false">(E8-E12-E14)/E8</f>
        <v>0.74</v>
      </c>
      <c r="F21" s="33" t="n">
        <f aca="false">(F8-F12-F14)/F8</f>
        <v>0.76</v>
      </c>
      <c r="G21" s="33" t="n">
        <f aca="false">(G8-G12-G14)/G8</f>
        <v>0.78</v>
      </c>
    </row>
    <row r="22" customFormat="false" ht="15" hidden="false" customHeight="false" outlineLevel="0" collapsed="false">
      <c r="A22" s="5"/>
      <c r="B22" s="19" t="s">
        <v>325</v>
      </c>
      <c r="C22" s="20"/>
      <c r="D22" s="20"/>
      <c r="E22" s="20"/>
      <c r="F22" s="20"/>
      <c r="G22" s="20"/>
    </row>
    <row r="23" customFormat="false" ht="15" hidden="false" customHeight="false" outlineLevel="0" collapsed="false">
      <c r="A23" s="5"/>
      <c r="B23" s="8" t="s">
        <v>326</v>
      </c>
      <c r="C23" s="37" t="n">
        <f aca="false">Staffing!C19</f>
        <v>5250000</v>
      </c>
      <c r="D23" s="37" t="n">
        <f aca="false">Staffing!D19</f>
        <v>6489000</v>
      </c>
      <c r="E23" s="37" t="n">
        <f aca="false">Staffing!E19</f>
        <v>7638480</v>
      </c>
      <c r="F23" s="37" t="n">
        <f aca="false">Staffing!F19</f>
        <v>8523270.6</v>
      </c>
      <c r="G23" s="37" t="n">
        <f aca="false">Staffing!G19</f>
        <v>9285447.6825</v>
      </c>
    </row>
    <row r="24" customFormat="false" ht="15" hidden="false" customHeight="false" outlineLevel="0" collapsed="false">
      <c r="A24" s="5"/>
      <c r="B24" s="8" t="s">
        <v>327</v>
      </c>
      <c r="C24" s="37" t="n">
        <f aca="false">'Channel_S&amp;M'!C15</f>
        <v>4000000</v>
      </c>
      <c r="D24" s="37" t="n">
        <f aca="false">'Channel_S&amp;M'!D15</f>
        <v>4600000</v>
      </c>
      <c r="E24" s="37" t="n">
        <f aca="false">'Channel_S&amp;M'!E15</f>
        <v>5290000</v>
      </c>
      <c r="F24" s="37" t="n">
        <f aca="false">'Channel_S&amp;M'!F15</f>
        <v>6083500</v>
      </c>
      <c r="G24" s="37" t="n">
        <f aca="false">'Channel_S&amp;M'!G15</f>
        <v>6996025</v>
      </c>
    </row>
    <row r="25" customFormat="false" ht="15" hidden="false" customHeight="false" outlineLevel="0" collapsed="false">
      <c r="A25" s="5"/>
      <c r="B25" s="8" t="s">
        <v>328</v>
      </c>
      <c r="C25" s="37" t="n">
        <f aca="false">Staffing!C18</f>
        <v>7875000</v>
      </c>
      <c r="D25" s="37" t="n">
        <f aca="false">Staffing!D18</f>
        <v>9373000</v>
      </c>
      <c r="E25" s="37" t="n">
        <f aca="false">Staffing!E18</f>
        <v>10768135</v>
      </c>
      <c r="F25" s="37" t="n">
        <f aca="false">Staffing!F18</f>
        <v>11856087.95</v>
      </c>
      <c r="G25" s="37" t="n">
        <f aca="false">Staffing!G18</f>
        <v>12802662.71375</v>
      </c>
    </row>
    <row r="26" customFormat="false" ht="15" hidden="false" customHeight="false" outlineLevel="0" collapsed="false">
      <c r="A26" s="5"/>
      <c r="B26" s="8" t="s">
        <v>329</v>
      </c>
      <c r="C26" s="37" t="n">
        <f aca="false">-Capex_Amort!C14</f>
        <v>-1968750</v>
      </c>
      <c r="D26" s="37" t="n">
        <f aca="false">-Capex_Amort!D14</f>
        <v>-2343250</v>
      </c>
      <c r="E26" s="37" t="n">
        <f aca="false">-Capex_Amort!E14</f>
        <v>-2692033.75</v>
      </c>
      <c r="F26" s="37" t="n">
        <f aca="false">-Capex_Amort!F14</f>
        <v>-2964021.9875</v>
      </c>
      <c r="G26" s="37" t="n">
        <f aca="false">-Capex_Amort!G14</f>
        <v>-3200665.6784375</v>
      </c>
    </row>
    <row r="27" customFormat="false" ht="15" hidden="false" customHeight="false" outlineLevel="0" collapsed="false">
      <c r="A27" s="5"/>
      <c r="B27" s="8" t="s">
        <v>330</v>
      </c>
      <c r="C27" s="37" t="n">
        <f aca="false">Staffing!C21</f>
        <v>2500000</v>
      </c>
      <c r="D27" s="37" t="n">
        <f aca="false">Staffing!D21</f>
        <v>2832500</v>
      </c>
      <c r="E27" s="37" t="n">
        <f aca="false">Staffing!E21</f>
        <v>3182700</v>
      </c>
      <c r="F27" s="37" t="n">
        <f aca="false">Staffing!F21</f>
        <v>3414771.875</v>
      </c>
      <c r="G27" s="37" t="n">
        <f aca="false">Staffing!G21</f>
        <v>3657903.6325</v>
      </c>
    </row>
    <row r="28" customFormat="false" ht="15" hidden="false" customHeight="false" outlineLevel="0" collapsed="false">
      <c r="A28" s="5"/>
      <c r="B28" s="8" t="s">
        <v>331</v>
      </c>
      <c r="C28" s="25" t="n">
        <f aca="false">Staffing!C11*SW_Tools_Per_Head</f>
        <v>600000</v>
      </c>
      <c r="D28" s="25" t="n">
        <f aca="false">Staffing!D11*SW_Tools_Per_Head</f>
        <v>700000</v>
      </c>
      <c r="E28" s="25" t="n">
        <f aca="false">Staffing!E11*SW_Tools_Per_Head</f>
        <v>785000</v>
      </c>
      <c r="F28" s="25" t="n">
        <f aca="false">Staffing!F11*SW_Tools_Per_Head</f>
        <v>840000</v>
      </c>
      <c r="G28" s="25" t="n">
        <f aca="false">Staffing!G11*SW_Tools_Per_Head</f>
        <v>880000</v>
      </c>
    </row>
    <row r="29" customFormat="false" ht="15" hidden="false" customHeight="false" outlineLevel="0" collapsed="false">
      <c r="A29" s="5"/>
      <c r="B29" s="8" t="s">
        <v>332</v>
      </c>
      <c r="C29" s="25" t="n">
        <f aca="false">Rent_Y1</f>
        <v>600000</v>
      </c>
      <c r="D29" s="25" t="n">
        <f aca="false">C29*(1+Rent_Growth)</f>
        <v>630000</v>
      </c>
      <c r="E29" s="25" t="n">
        <f aca="false">D29*(1+Rent_Growth)</f>
        <v>661500</v>
      </c>
      <c r="F29" s="25" t="n">
        <f aca="false">E29*(1+Rent_Growth)</f>
        <v>694575</v>
      </c>
      <c r="G29" s="25" t="n">
        <f aca="false">F29*(1+Rent_Growth)</f>
        <v>729303.75</v>
      </c>
    </row>
    <row r="30" customFormat="false" ht="15" hidden="false" customHeight="false" outlineLevel="0" collapsed="false">
      <c r="A30" s="5"/>
      <c r="B30" s="8" t="s">
        <v>333</v>
      </c>
      <c r="C30" s="25" t="n">
        <f aca="false">C10*Insurance_Pct</f>
        <v>347270.103092784</v>
      </c>
      <c r="D30" s="25" t="n">
        <f aca="false">D10*Insurance_Pct</f>
        <v>432144.742268041</v>
      </c>
      <c r="E30" s="25" t="n">
        <f aca="false">E10*Insurance_Pct</f>
        <v>539831.363659794</v>
      </c>
      <c r="F30" s="25" t="n">
        <f aca="false">F10*Insurance_Pct</f>
        <v>675779.895661083</v>
      </c>
      <c r="G30" s="25" t="n">
        <f aca="false">G10*Insurance_Pct</f>
        <v>842914.857687448</v>
      </c>
    </row>
    <row r="31" customFormat="false" ht="15" hidden="false" customHeight="false" outlineLevel="0" collapsed="false">
      <c r="A31" s="5"/>
      <c r="B31" s="8" t="s">
        <v>334</v>
      </c>
      <c r="C31" s="25" t="n">
        <f aca="false">C10*SBC_Pct</f>
        <v>1389080.41237113</v>
      </c>
      <c r="D31" s="25" t="n">
        <f aca="false">D10*SBC_Pct</f>
        <v>1728578.96907216</v>
      </c>
      <c r="E31" s="25" t="n">
        <f aca="false">E10*SBC_Pct</f>
        <v>2159325.45463918</v>
      </c>
      <c r="F31" s="25" t="n">
        <f aca="false">F10*SBC_Pct</f>
        <v>2703119.58264433</v>
      </c>
      <c r="G31" s="25" t="n">
        <f aca="false">G10*SBC_Pct</f>
        <v>3371659.43074979</v>
      </c>
    </row>
    <row r="32" customFormat="false" ht="15" hidden="false" customHeight="false" outlineLevel="0" collapsed="false">
      <c r="A32" s="5"/>
      <c r="B32" s="28" t="s">
        <v>335</v>
      </c>
      <c r="C32" s="30" t="n">
        <f aca="false">SUM(C23:C31)</f>
        <v>20592600.5154639</v>
      </c>
      <c r="D32" s="30" t="n">
        <f aca="false">SUM(D23:D31)</f>
        <v>24441973.7113402</v>
      </c>
      <c r="E32" s="30" t="n">
        <f aca="false">SUM(E23:E31)</f>
        <v>28332938.068299</v>
      </c>
      <c r="F32" s="30" t="n">
        <f aca="false">SUM(F23:F31)</f>
        <v>31827082.9158054</v>
      </c>
      <c r="G32" s="30" t="n">
        <f aca="false">SUM(G23:G31)</f>
        <v>35365251.3887497</v>
      </c>
    </row>
    <row r="33" customFormat="false" ht="15" hidden="false" customHeight="false" outlineLevel="0" collapsed="false">
      <c r="A33" s="5"/>
      <c r="B33" s="31" t="s">
        <v>336</v>
      </c>
      <c r="C33" s="32" t="n">
        <f aca="false">C18-C32</f>
        <v>-3078389.71134021</v>
      </c>
      <c r="D33" s="32" t="n">
        <f aca="false">D18-D32</f>
        <v>-2289933.34664949</v>
      </c>
      <c r="E33" s="32" t="n">
        <f aca="false">E18-E32</f>
        <v>52122.7937474288</v>
      </c>
      <c r="F33" s="32" t="n">
        <f aca="false">F18-F32</f>
        <v>4667859.22489728</v>
      </c>
      <c r="G33" s="32" t="n">
        <f aca="false">G18-G32</f>
        <v>11431201.9382446</v>
      </c>
    </row>
    <row r="34" customFormat="false" ht="15" hidden="false" customHeight="false" outlineLevel="0" collapsed="false">
      <c r="A34" s="5"/>
      <c r="B34" s="8" t="s">
        <v>337</v>
      </c>
      <c r="C34" s="33" t="n">
        <f aca="false">C33/C10</f>
        <v>-0.132968099640198</v>
      </c>
      <c r="D34" s="33" t="n">
        <f aca="false">D33/D10</f>
        <v>-0.0794849429833791</v>
      </c>
      <c r="E34" s="33" t="n">
        <f aca="false">E33/E10</f>
        <v>0.0014483076731795</v>
      </c>
      <c r="F34" s="33" t="n">
        <f aca="false">F33/F10</f>
        <v>0.103610493332247</v>
      </c>
      <c r="G34" s="33" t="n">
        <f aca="false">G33/G10</f>
        <v>0.203422715248007</v>
      </c>
    </row>
    <row r="35" customFormat="false" ht="15" hidden="false" customHeight="false" outlineLevel="0" collapsed="false">
      <c r="A35" s="5"/>
      <c r="B35" s="8" t="s">
        <v>338</v>
      </c>
      <c r="C35" s="37" t="n">
        <f aca="false">Capex_Amort!C25</f>
        <v>2876250</v>
      </c>
      <c r="D35" s="37" t="n">
        <f aca="false">Capex_Amort!D25</f>
        <v>3720333.33333333</v>
      </c>
      <c r="E35" s="37" t="n">
        <f aca="false">Capex_Amort!E25</f>
        <v>2683827.91666667</v>
      </c>
      <c r="F35" s="37" t="n">
        <f aca="false">Capex_Amort!F25</f>
        <v>3085042.74583333</v>
      </c>
      <c r="G35" s="37" t="n">
        <f aca="false">Capex_Amort!G25</f>
        <v>3443778.34697917</v>
      </c>
    </row>
    <row r="36" customFormat="false" ht="15" hidden="false" customHeight="false" outlineLevel="0" collapsed="false">
      <c r="A36" s="5"/>
      <c r="B36" s="28" t="s">
        <v>339</v>
      </c>
      <c r="C36" s="30" t="n">
        <f aca="false">C33-C35</f>
        <v>-5954639.71134021</v>
      </c>
      <c r="D36" s="30" t="n">
        <f aca="false">D33-D35</f>
        <v>-6010266.67998282</v>
      </c>
      <c r="E36" s="30" t="n">
        <f aca="false">E33-E35</f>
        <v>-2631705.12291924</v>
      </c>
      <c r="F36" s="30" t="n">
        <f aca="false">F33-F35</f>
        <v>1582816.47906395</v>
      </c>
      <c r="G36" s="30" t="n">
        <f aca="false">G33-G35</f>
        <v>7987423.59126538</v>
      </c>
    </row>
    <row r="37" customFormat="false" ht="15" hidden="false" customHeight="false" outlineLevel="0" collapsed="false">
      <c r="A37" s="5"/>
      <c r="B37" s="19" t="s">
        <v>340</v>
      </c>
      <c r="C37" s="20"/>
      <c r="D37" s="20"/>
      <c r="E37" s="20"/>
      <c r="F37" s="20"/>
      <c r="G37" s="20"/>
    </row>
    <row r="38" customFormat="false" ht="15" hidden="false" customHeight="false" outlineLevel="0" collapsed="false">
      <c r="A38" s="5"/>
      <c r="B38" s="8" t="s">
        <v>341</v>
      </c>
      <c r="C38" s="25" t="n">
        <f aca="false">Opening_Debt</f>
        <v>5000000</v>
      </c>
      <c r="D38" s="25" t="n">
        <f aca="false">C40</f>
        <v>4000000</v>
      </c>
      <c r="E38" s="25" t="n">
        <f aca="false">D40</f>
        <v>3000000</v>
      </c>
      <c r="F38" s="25" t="n">
        <f aca="false">E40</f>
        <v>2000000</v>
      </c>
      <c r="G38" s="25" t="n">
        <f aca="false">F40</f>
        <v>1000000</v>
      </c>
    </row>
    <row r="39" customFormat="false" ht="15" hidden="false" customHeight="false" outlineLevel="0" collapsed="false">
      <c r="A39" s="5"/>
      <c r="B39" s="8" t="s">
        <v>342</v>
      </c>
      <c r="C39" s="25" t="n">
        <f aca="false">MIN(Opening_Debt/Debt_Term,Opening_Debt)</f>
        <v>1000000</v>
      </c>
      <c r="D39" s="25" t="n">
        <f aca="false">MIN(Opening_Debt/Debt_Term,C40)</f>
        <v>1000000</v>
      </c>
      <c r="E39" s="25" t="n">
        <f aca="false">MIN(Opening_Debt/Debt_Term,D40)</f>
        <v>1000000</v>
      </c>
      <c r="F39" s="25" t="n">
        <f aca="false">MIN(Opening_Debt/Debt_Term,E40)</f>
        <v>1000000</v>
      </c>
      <c r="G39" s="25" t="n">
        <f aca="false">MIN(Opening_Debt/Debt_Term,F40)</f>
        <v>1000000</v>
      </c>
    </row>
    <row r="40" customFormat="false" ht="15" hidden="false" customHeight="false" outlineLevel="0" collapsed="false">
      <c r="A40" s="5"/>
      <c r="B40" s="8" t="s">
        <v>343</v>
      </c>
      <c r="C40" s="25" t="n">
        <f aca="false">C38-C39</f>
        <v>4000000</v>
      </c>
      <c r="D40" s="25" t="n">
        <f aca="false">D38-D39</f>
        <v>3000000</v>
      </c>
      <c r="E40" s="25" t="n">
        <f aca="false">E38-E39</f>
        <v>2000000</v>
      </c>
      <c r="F40" s="25" t="n">
        <f aca="false">F38-F39</f>
        <v>1000000</v>
      </c>
      <c r="G40" s="25" t="n">
        <f aca="false">G38-G39</f>
        <v>0</v>
      </c>
    </row>
    <row r="41" customFormat="false" ht="15" hidden="false" customHeight="false" outlineLevel="0" collapsed="false">
      <c r="A41" s="5"/>
      <c r="B41" s="8" t="s">
        <v>344</v>
      </c>
      <c r="C41" s="25" t="n">
        <f aca="false">C38*(SOFR_Rate+Borrow_Spread)</f>
        <v>500000</v>
      </c>
      <c r="D41" s="25" t="n">
        <f aca="false">D38*(SOFR_Rate+Borrow_Spread)</f>
        <v>400000</v>
      </c>
      <c r="E41" s="25" t="n">
        <f aca="false">E38*(SOFR_Rate+Borrow_Spread)</f>
        <v>300000</v>
      </c>
      <c r="F41" s="25" t="n">
        <f aca="false">F38*(SOFR_Rate+Borrow_Spread)</f>
        <v>200000</v>
      </c>
      <c r="G41" s="25" t="n">
        <f aca="false">G38*(SOFR_Rate+Borrow_Spread)</f>
        <v>100000</v>
      </c>
    </row>
    <row r="42" customFormat="false" ht="15" hidden="false" customHeight="false" outlineLevel="0" collapsed="false">
      <c r="A42" s="5"/>
      <c r="B42" s="8" t="s">
        <v>345</v>
      </c>
      <c r="C42" s="25" t="n">
        <f aca="false">Opening_Cash*SOFR_Rate</f>
        <v>540000</v>
      </c>
      <c r="D42" s="25" t="n">
        <f aca="false">Cash_Flow!C24*SOFR_Rate</f>
        <v>484045.038010168</v>
      </c>
      <c r="E42" s="25" t="n">
        <f aca="false">Cash_Flow!D24*SOFR_Rate</f>
        <v>318554.842983141</v>
      </c>
      <c r="F42" s="25" t="n">
        <f aca="false">Cash_Flow!E24*SOFR_Rate</f>
        <v>1386942.17297567</v>
      </c>
      <c r="G42" s="25" t="n">
        <f aca="false">Cash_Flow!F24*SOFR_Rate</f>
        <v>1595769.24825962</v>
      </c>
    </row>
    <row r="43" customFormat="false" ht="15" hidden="false" customHeight="false" outlineLevel="0" collapsed="false">
      <c r="A43" s="5"/>
      <c r="B43" s="28" t="s">
        <v>346</v>
      </c>
      <c r="C43" s="30" t="n">
        <f aca="false">C36-C41+C42</f>
        <v>-5914639.71134021</v>
      </c>
      <c r="D43" s="30" t="n">
        <f aca="false">D36-D41+D42</f>
        <v>-5926221.64197265</v>
      </c>
      <c r="E43" s="30" t="n">
        <f aca="false">E36-E41+E42</f>
        <v>-2613150.2799361</v>
      </c>
      <c r="F43" s="30" t="n">
        <f aca="false">F36-F41+F42</f>
        <v>2769758.65203962</v>
      </c>
      <c r="G43" s="30" t="n">
        <f aca="false">G36-G41+G42</f>
        <v>9483192.839525</v>
      </c>
    </row>
    <row r="44" customFormat="false" ht="15" hidden="false" customHeight="false" outlineLevel="0" collapsed="false">
      <c r="A44" s="5"/>
      <c r="B44" s="19" t="s">
        <v>152</v>
      </c>
      <c r="C44" s="20"/>
      <c r="D44" s="20"/>
      <c r="E44" s="20"/>
      <c r="F44" s="20"/>
      <c r="G44" s="20"/>
    </row>
    <row r="45" customFormat="false" ht="15" hidden="false" customHeight="false" outlineLevel="0" collapsed="false">
      <c r="A45" s="5"/>
      <c r="B45" s="8" t="s">
        <v>347</v>
      </c>
      <c r="C45" s="25" t="n">
        <f aca="false">Opening_NOL</f>
        <v>20000000</v>
      </c>
      <c r="D45" s="25" t="n">
        <f aca="false">C52</f>
        <v>25914639.7113402</v>
      </c>
      <c r="E45" s="25" t="n">
        <f aca="false">D52</f>
        <v>31840861.3533129</v>
      </c>
      <c r="F45" s="25" t="n">
        <f aca="false">E52</f>
        <v>34454011.633249</v>
      </c>
      <c r="G45" s="25" t="n">
        <f aca="false">F52</f>
        <v>31684252.9812093</v>
      </c>
    </row>
    <row r="46" customFormat="false" ht="15" hidden="false" customHeight="false" outlineLevel="0" collapsed="false">
      <c r="A46" s="5"/>
      <c r="B46" s="8" t="s">
        <v>348</v>
      </c>
      <c r="C46" s="25" t="n">
        <f aca="false">MIN(C45,MAX(0,C43))</f>
        <v>0</v>
      </c>
      <c r="D46" s="25" t="n">
        <f aca="false">MIN(D45,MAX(0,D43))</f>
        <v>0</v>
      </c>
      <c r="E46" s="25" t="n">
        <f aca="false">MIN(E45,MAX(0,E43))</f>
        <v>0</v>
      </c>
      <c r="F46" s="25" t="n">
        <f aca="false">MIN(F45,MAX(0,F43))</f>
        <v>2769758.65203962</v>
      </c>
      <c r="G46" s="25" t="n">
        <f aca="false">MIN(G45,MAX(0,G43))</f>
        <v>9483192.839525</v>
      </c>
    </row>
    <row r="47" customFormat="false" ht="15" hidden="false" customHeight="false" outlineLevel="0" collapsed="false">
      <c r="A47" s="5"/>
      <c r="B47" s="8" t="s">
        <v>349</v>
      </c>
      <c r="C47" s="25" t="n">
        <f aca="false">MAX(0,C43)-C46</f>
        <v>0</v>
      </c>
      <c r="D47" s="25" t="n">
        <f aca="false">MAX(0,D43)-D46</f>
        <v>0</v>
      </c>
      <c r="E47" s="25" t="n">
        <f aca="false">MAX(0,E43)-E46</f>
        <v>0</v>
      </c>
      <c r="F47" s="25" t="n">
        <f aca="false">MAX(0,F43)-F46</f>
        <v>0</v>
      </c>
      <c r="G47" s="25" t="n">
        <f aca="false">MAX(0,G43)-G46</f>
        <v>0</v>
      </c>
    </row>
    <row r="48" customFormat="false" ht="15" hidden="false" customHeight="false" outlineLevel="0" collapsed="false">
      <c r="A48" s="5"/>
      <c r="B48" s="8" t="s">
        <v>350</v>
      </c>
      <c r="C48" s="25" t="n">
        <f aca="false">C47*Tax_Rate</f>
        <v>0</v>
      </c>
      <c r="D48" s="25" t="n">
        <f aca="false">D47*Tax_Rate</f>
        <v>0</v>
      </c>
      <c r="E48" s="25" t="n">
        <f aca="false">E47*Tax_Rate</f>
        <v>0</v>
      </c>
      <c r="F48" s="25" t="n">
        <f aca="false">F47*Tax_Rate</f>
        <v>0</v>
      </c>
      <c r="G48" s="25" t="n">
        <f aca="false">G47*Tax_Rate</f>
        <v>0</v>
      </c>
    </row>
    <row r="49" customFormat="false" ht="15" hidden="false" customHeight="false" outlineLevel="0" collapsed="false">
      <c r="A49" s="5"/>
      <c r="B49" s="8" t="s">
        <v>351</v>
      </c>
      <c r="C49" s="25" t="n">
        <f aca="false">Staffing!C18*RD_Qualifying_Pct*RD_Credit_Rate</f>
        <v>472500</v>
      </c>
      <c r="D49" s="25" t="n">
        <f aca="false">Staffing!D18*RD_Qualifying_Pct*RD_Credit_Rate</f>
        <v>562380</v>
      </c>
      <c r="E49" s="25" t="n">
        <f aca="false">Staffing!E18*RD_Qualifying_Pct*RD_Credit_Rate</f>
        <v>646088.1</v>
      </c>
      <c r="F49" s="25" t="n">
        <f aca="false">Staffing!F18*RD_Qualifying_Pct*RD_Credit_Rate</f>
        <v>711365.277</v>
      </c>
      <c r="G49" s="25" t="n">
        <f aca="false">Staffing!G18*RD_Qualifying_Pct*RD_Credit_Rate</f>
        <v>768159.762825</v>
      </c>
    </row>
    <row r="50" customFormat="false" ht="15" hidden="false" customHeight="false" outlineLevel="0" collapsed="false">
      <c r="A50" s="5"/>
      <c r="B50" s="8" t="s">
        <v>352</v>
      </c>
      <c r="C50" s="25" t="n">
        <f aca="false">MAX(0,C48-C49)</f>
        <v>0</v>
      </c>
      <c r="D50" s="25" t="n">
        <f aca="false">MAX(0,D48-D49)</f>
        <v>0</v>
      </c>
      <c r="E50" s="25" t="n">
        <f aca="false">MAX(0,E48-E49)</f>
        <v>0</v>
      </c>
      <c r="F50" s="25" t="n">
        <f aca="false">MAX(0,F48-F49)</f>
        <v>0</v>
      </c>
      <c r="G50" s="25" t="n">
        <f aca="false">MAX(0,G48-G49)</f>
        <v>0</v>
      </c>
    </row>
    <row r="51" customFormat="false" ht="15" hidden="false" customHeight="false" outlineLevel="0" collapsed="false">
      <c r="A51" s="5"/>
      <c r="B51" s="8" t="s">
        <v>353</v>
      </c>
      <c r="C51" s="25" t="n">
        <f aca="false">MAX(0,-C43)</f>
        <v>5914639.71134021</v>
      </c>
      <c r="D51" s="25" t="n">
        <f aca="false">MAX(0,-D43)</f>
        <v>5926221.64197265</v>
      </c>
      <c r="E51" s="25" t="n">
        <f aca="false">MAX(0,-E43)</f>
        <v>2613150.2799361</v>
      </c>
      <c r="F51" s="25" t="n">
        <f aca="false">MAX(0,-F43)</f>
        <v>0</v>
      </c>
      <c r="G51" s="25" t="n">
        <f aca="false">MAX(0,-G43)</f>
        <v>0</v>
      </c>
    </row>
    <row r="52" customFormat="false" ht="15" hidden="false" customHeight="false" outlineLevel="0" collapsed="false">
      <c r="A52" s="5"/>
      <c r="B52" s="8" t="s">
        <v>354</v>
      </c>
      <c r="C52" s="25" t="n">
        <f aca="false">C45-C46+C51</f>
        <v>25914639.7113402</v>
      </c>
      <c r="D52" s="25" t="n">
        <f aca="false">D45-D46+D51</f>
        <v>31840861.3533129</v>
      </c>
      <c r="E52" s="25" t="n">
        <f aca="false">E45-E46+E51</f>
        <v>34454011.633249</v>
      </c>
      <c r="F52" s="25" t="n">
        <f aca="false">F45-F46+F51</f>
        <v>31684252.9812093</v>
      </c>
      <c r="G52" s="25" t="n">
        <f aca="false">G45-G46+G51</f>
        <v>22201060.1416843</v>
      </c>
    </row>
    <row r="53" customFormat="false" ht="15" hidden="false" customHeight="false" outlineLevel="0" collapsed="false">
      <c r="A53" s="5"/>
      <c r="B53" s="5"/>
      <c r="C53" s="5"/>
      <c r="D53" s="5"/>
      <c r="E53" s="5"/>
      <c r="F53" s="5"/>
      <c r="G53" s="5"/>
    </row>
    <row r="54" customFormat="false" ht="15" hidden="false" customHeight="false" outlineLevel="0" collapsed="false">
      <c r="A54" s="5"/>
      <c r="B54" s="31" t="s">
        <v>355</v>
      </c>
      <c r="C54" s="32" t="n">
        <f aca="false">C43-C50</f>
        <v>-5914639.71134021</v>
      </c>
      <c r="D54" s="32" t="n">
        <f aca="false">D43-D50</f>
        <v>-5926221.64197265</v>
      </c>
      <c r="E54" s="32" t="n">
        <f aca="false">E43-E50</f>
        <v>-2613150.2799361</v>
      </c>
      <c r="F54" s="32" t="n">
        <f aca="false">F43-F50</f>
        <v>2769758.65203962</v>
      </c>
      <c r="G54" s="32" t="n">
        <f aca="false">G43-G50</f>
        <v>9483192.839525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2026-05-15T18:52:44Z</dcterms:created>
  <dc:creator>openpyxl</dc:creator>
  <dc:description/>
  <dc:language>en-GB</dc:language>
  <cp:lastModifiedBy/>
  <dcterms:modified xsi:type="dcterms:W3CDTF">2026-05-15T18:52:44Z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