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Revenue_Build" sheetId="3" state="visible" r:id="rId5"/>
    <sheet name="COGS_Compute" sheetId="4" state="visible" r:id="rId6"/>
    <sheet name="Opex_Staffing" sheetId="5" state="visible" r:id="rId7"/>
    <sheet name="Capex_Intangibles" sheetId="6" state="visible" r:id="rId8"/>
    <sheet name="Working_Capital" sheetId="7" state="visible" r:id="rId9"/>
    <sheet name="Income_Statement" sheetId="8" state="visible" r:id="rId10"/>
    <sheet name="Balance_Sheet" sheetId="9" state="visible" r:id="rId11"/>
    <sheet name="Cash_Flow" sheetId="10" state="visible" r:id="rId12"/>
    <sheet name="SaaS_Metrics" sheetId="11" state="visible" r:id="rId13"/>
    <sheet name="Disclaimer" sheetId="12" state="visible" r:id="rId14"/>
  </sheets>
  <definedNames>
    <definedName function="false" hidden="false" name="Accrued_Liab_Pct" vbProcedure="false">Assumptions!$C$72</definedName>
    <definedName function="false" hidden="false" name="ARPU_Growth" vbProcedure="false">Assumptions!$C$19</definedName>
    <definedName function="false" hidden="false" name="ARPU_Monthly" vbProcedure="false">Assumptions!$C$18</definedName>
    <definedName function="false" hidden="false" name="Billing_Upfront" vbProcedure="false">Assumptions!$C$71</definedName>
    <definedName function="false" hidden="false" name="BS_Cash" vbProcedure="false">Balance_Sheet!$C$10:$G$10</definedName>
    <definedName function="false" hidden="false" name="BS_Ret_Earnings" vbProcedure="false">Balance_Sheet!$C$38:$G$38</definedName>
    <definedName function="false" hidden="false" name="BS_Total_CA" vbProcedure="false">Balance_Sheet!$C$12:$G$12</definedName>
    <definedName function="false" hidden="false" name="BS_Total_CL" vbProcedure="false">Balance_Sheet!$C$27:$G$27</definedName>
    <definedName function="false" hidden="false" name="CAC_Per_Customer" vbProcedure="false">Assumptions!$C$86</definedName>
    <definedName function="false" hidden="false" name="Cash_Minimum" vbProcedure="false">Assumptions!$C$83</definedName>
    <definedName function="false" hidden="false" name="CF_Closing_Cash" vbProcedure="false">Cash_Flow!$C$28:$G$28</definedName>
    <definedName function="false" hidden="false" name="CG_Total_COGS" vbProcedure="false">COGS_Compute!$C$15:$G$15</definedName>
    <definedName function="false" hidden="false" name="Compute_Cost_Decline" vbProcedure="false">Assumptions!$C$38</definedName>
    <definedName function="false" hidden="false" name="Compute_Cost_Token" vbProcedure="false">Assumptions!$C$37</definedName>
    <definedName function="false" hidden="false" name="Cust_Growth_Y1" vbProcedure="false">Assumptions!$C$13</definedName>
    <definedName function="false" hidden="false" name="Cust_Growth_Y2" vbProcedure="false">Assumptions!$C$14</definedName>
    <definedName function="false" hidden="false" name="Cust_Growth_Y3" vbProcedure="false">Assumptions!$C$15</definedName>
    <definedName function="false" hidden="false" name="Cust_Growth_Y4" vbProcedure="false">Assumptions!$C$16</definedName>
    <definedName function="false" hidden="false" name="Cust_Growth_Y5" vbProcedure="false">Assumptions!$C$17</definedName>
    <definedName function="false" hidden="false" name="CX_Cum_Cap_RD" vbProcedure="false">Capex_Intangibles!$C$11:$G$11</definedName>
    <definedName function="false" hidden="false" name="CX_Cum_HW" vbProcedure="false">Capex_Intangibles!$C$17:$G$17</definedName>
    <definedName function="false" hidden="false" name="CX_Cum_HW_Depr" vbProcedure="false">Capex_Intangibles!$C$19:$G$19</definedName>
    <definedName function="false" hidden="false" name="CX_Cum_SW_Amort" vbProcedure="false">Capex_Intangibles!$C$13:$G$13</definedName>
    <definedName function="false" hidden="false" name="CX_Total_CapEx" vbProcedure="false">Capex_Intangibles!$C$22:$G$22</definedName>
    <definedName function="false" hidden="false" name="CX_Total_DA" vbProcedure="false">Capex_Intangibles!$C$21:$G$21</definedName>
    <definedName function="false" hidden="false" name="DPO_Days" vbProcedure="false">Assumptions!$C$70</definedName>
    <definedName function="false" hidden="false" name="DSO_Days" vbProcedure="false">Assumptions!$C$69</definedName>
    <definedName function="false" hidden="false" name="Foundation_API_Cost" vbProcedure="false">Assumptions!$C$46</definedName>
    <definedName function="false" hidden="false" name="Foundation_API_Mix" vbProcedure="false">Assumptions!$C$45</definedName>
    <definedName function="false" hidden="false" name="GA_Base" vbProcedure="false">Assumptions!$C$54</definedName>
    <definedName function="false" hidden="false" name="GA_Growth" vbProcedure="false">Assumptions!$C$55</definedName>
    <definedName function="false" hidden="false" name="Hosting_Base" vbProcedure="false">Assumptions!$C$41</definedName>
    <definedName function="false" hidden="false" name="Hosting_Growth" vbProcedure="false">Assumptions!$C$42</definedName>
    <definedName function="false" hidden="false" name="HW_CapEx_Growth" vbProcedure="false">Assumptions!$C$64</definedName>
    <definedName function="false" hidden="false" name="HW_CapEx_Y1" vbProcedure="false">Assumptions!$C$63</definedName>
    <definedName function="false" hidden="false" name="HW_Useful_Life" vbProcedure="false">Assumptions!$C$66</definedName>
    <definedName function="false" hidden="false" name="Implied_Share_Price" vbProcedure="false">Assumptions!$C$89</definedName>
    <definedName function="false" hidden="false" name="Insurance_Amount" vbProcedure="false">Assumptions!$C$59</definedName>
    <definedName function="false" hidden="false" name="Insurance_Esc" vbProcedure="false">Assumptions!$C$60</definedName>
    <definedName function="false" hidden="false" name="IS_EBITDA" vbProcedure="false">Income_Statement!$C$29:$G$29</definedName>
    <definedName function="false" hidden="false" name="IS_Gross_Profit" vbProcedure="false">Income_Statement!$C$17:$G$17</definedName>
    <definedName function="false" hidden="false" name="IS_Net_Income" vbProcedure="false">Income_Statement!$C$45:$G$45</definedName>
    <definedName function="false" hidden="false" name="IS_SBC" vbProcedure="false">Income_Statement!$C$26:$G$26</definedName>
    <definedName function="false" hidden="false" name="IS_Total_Revenue" vbProcedure="false">Income_Statement!$C$13:$G$13</definedName>
    <definedName function="false" hidden="false" name="IS_VD_Closing" vbProcedure="false">Income_Statement!$C$40:$G$40</definedName>
    <definedName function="false" hidden="false" name="IS_VD_Repayment" vbProcedure="false">Income_Statement!$C$39:$G$39</definedName>
    <definedName function="false" hidden="false" name="Model_Start_Year" vbProcedure="false">Assumptions!$C$9</definedName>
    <definedName function="false" hidden="false" name="Monthly_Churn" vbProcedure="false">Assumptions!$C$87</definedName>
    <definedName function="false" hidden="false" name="NDR" vbProcedure="false">Assumptions!$C$88</definedName>
    <definedName function="false" hidden="false" name="Open_Cash" vbProcedure="false">Assumptions!$C$93</definedName>
    <definedName function="false" hidden="false" name="Open_Ret_Earnings" vbProcedure="false">Assumptions!$C$95</definedName>
    <definedName function="false" hidden="false" name="OX_RD_Capitalised" vbProcedure="false">Opex_Staffing!$C$11:$G$11</definedName>
    <definedName function="false" hidden="false" name="OX_RD_Net" vbProcedure="false">Opex_Staffing!$C$12:$G$12</definedName>
    <definedName function="false" hidden="false" name="OX_SM" vbProcedure="false">Opex_Staffing!$C$14:$G$14</definedName>
    <definedName function="false" hidden="false" name="OX_Total_OpEx" vbProcedure="false">Opex_Staffing!$C$19:$G$19</definedName>
    <definedName function="false" hidden="false" name="Price_Per_Token" vbProcedure="false">Assumptions!$C$28</definedName>
    <definedName function="false" hidden="false" name="PS_COGS_Pct" vbProcedure="false">Assumptions!$C$47</definedName>
    <definedName function="false" hidden="false" name="PS_Hours_Growth" vbProcedure="false">Assumptions!$C$33</definedName>
    <definedName function="false" hidden="false" name="PS_Hours_Y1" vbProcedure="false">Assumptions!$C$32</definedName>
    <definedName function="false" hidden="false" name="PS_Rate" vbProcedure="false">Assumptions!$C$34</definedName>
    <definedName function="false" hidden="false" name="RB_PS_Revenue" vbProcedure="false">Revenue_Build!$C$22:$G$22</definedName>
    <definedName function="false" hidden="false" name="RB_Sub_Revenue" vbProcedure="false">Revenue_Build!$C$12:$G$12</definedName>
    <definedName function="false" hidden="false" name="RB_Tokens" vbProcedure="false">Revenue_Build!$C$15:$G$15</definedName>
    <definedName function="false" hidden="false" name="RB_Total_Revenue" vbProcedure="false">Revenue_Build!$C$24:$G$24</definedName>
    <definedName function="false" hidden="false" name="RB_Usage_Revenue" vbProcedure="false">Revenue_Build!$C$17:$G$17</definedName>
    <definedName function="false" hidden="false" name="RD_Base" vbProcedure="false">Assumptions!$C$50</definedName>
    <definedName function="false" hidden="false" name="RD_Cap_Rate" vbProcedure="false">Assumptions!$C$52</definedName>
    <definedName function="false" hidden="false" name="RD_Growth" vbProcedure="false">Assumptions!$C$51</definedName>
    <definedName function="false" hidden="false" name="Rent_Amount" vbProcedure="false">Assumptions!$C$57</definedName>
    <definedName function="false" hidden="false" name="Rent_Esc" vbProcedure="false">Assumptions!$C$58</definedName>
    <definedName function="false" hidden="false" name="Reserved_Compute_Pct" vbProcedure="false">Assumptions!$C$39</definedName>
    <definedName function="false" hidden="false" name="Reserved_Discount" vbProcedure="false">Assumptions!$C$40</definedName>
    <definedName function="false" hidden="false" name="SBC_Pct" vbProcedure="false">Assumptions!$C$56</definedName>
    <definedName function="false" hidden="false" name="Share_Capital" vbProcedure="false">Assumptions!$C$94</definedName>
    <definedName function="false" hidden="false" name="SM_Pct" vbProcedure="false">Assumptions!$C$53</definedName>
    <definedName function="false" hidden="false" name="Starting_Shares" vbProcedure="false">Assumptions!$C$90</definedName>
    <definedName function="false" hidden="false" name="Start_Customers" vbProcedure="false">Assumptions!$C$12</definedName>
    <definedName function="false" hidden="false" name="Start_Tokens" vbProcedure="false">Assumptions!$C$22</definedName>
    <definedName function="false" hidden="false" name="Support_Growth" vbProcedure="false">Assumptions!$C$44</definedName>
    <definedName function="false" hidden="false" name="Support_Staff_Cost" vbProcedure="false">Assumptions!$C$43</definedName>
    <definedName function="false" hidden="false" name="SW_Amort_Life" vbProcedure="false">Assumptions!$C$65</definedName>
    <definedName function="false" hidden="false" name="Tax_Rate" vbProcedure="false">Assumptions!$C$80</definedName>
    <definedName function="false" hidden="false" name="Token_Growth_Y1" vbProcedure="false">Assumptions!$C$23</definedName>
    <definedName function="false" hidden="false" name="Token_Growth_Y2" vbProcedure="false">Assumptions!$C$24</definedName>
    <definedName function="false" hidden="false" name="Token_Growth_Y3" vbProcedure="false">Assumptions!$C$25</definedName>
    <definedName function="false" hidden="false" name="Token_Growth_Y4" vbProcedure="false">Assumptions!$C$26</definedName>
    <definedName function="false" hidden="false" name="Token_Growth_Y5" vbProcedure="false">Assumptions!$C$27</definedName>
    <definedName function="false" hidden="false" name="Token_Price_Decline" vbProcedure="false">Assumptions!$C$29</definedName>
    <definedName function="false" hidden="false" name="VD_Rate" vbProcedure="false">Assumptions!$C$76</definedName>
    <definedName function="false" hidden="false" name="VD_Tenor" vbProcedure="false">Assumptions!$C$77</definedName>
    <definedName function="false" hidden="false" name="Venture_Debt" vbProcedure="false">Assumptions!$C$75</definedName>
    <definedName function="false" hidden="false" name="WC_Accrued" vbProcedure="false">Working_Capital!$C$13:$G$13</definedName>
    <definedName function="false" hidden="false" name="WC_AP" vbProcedure="false">Working_Capital!$C$12:$G$12</definedName>
    <definedName function="false" hidden="false" name="WC_AR" vbProcedure="false">Working_Capital!$C$10:$G$10</definedName>
    <definedName function="false" hidden="false" name="WC_Change" vbProcedure="false">Working_Capital!$C$16:$G$16</definedName>
    <definedName function="false" hidden="false" name="WC_Def_Revenue" vbProcedure="false">Working_Capital!$C$11:$G$11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<sst xmlns="http://schemas.openxmlformats.org/spreadsheetml/2006/main" count="435" uniqueCount="340">
  <si>
    <t xml:space="preserve">AI / ML Platform Financial Model</t>
  </si>
  <si>
    <t xml:space="preserve">FINAMODEL.com</t>
  </si>
  <si>
    <t xml:space="preserve">Integrated Projections</t>
  </si>
  <si>
    <t xml:space="preserve">Company Name</t>
  </si>
  <si>
    <t xml:space="preserve">[Company Name]</t>
  </si>
  <si>
    <t xml:space="preserve">Currency</t>
  </si>
  <si>
    <t xml:space="preserve">USD ($)</t>
  </si>
  <si>
    <t xml:space="preserve">Projection Period</t>
  </si>
  <si>
    <t xml:space="preserve">5 Years</t>
  </si>
  <si>
    <t xml:space="preserve">Date Prepared</t>
  </si>
  <si>
    <t xml:space="preserve">April 2026</t>
  </si>
  <si>
    <t xml:space="preserve">Sheet Navigation</t>
  </si>
  <si>
    <t xml:space="preserve">All model inputs and drivers</t>
  </si>
  <si>
    <t xml:space="preserve">Subscription, usage, and services revenue</t>
  </si>
  <si>
    <t xml:space="preserve">Compute costs and gross profit</t>
  </si>
  <si>
    <t xml:space="preserve">R&amp;D, S&amp;M, G&amp;A, SBC</t>
  </si>
  <si>
    <t xml:space="preserve">Capitalised R&amp;D and hardware</t>
  </si>
  <si>
    <t xml:space="preserve">AR, deferred revenue, AP</t>
  </si>
  <si>
    <t xml:space="preserve">Revenue to Net Income</t>
  </si>
  <si>
    <t xml:space="preserve">Assets = Liabilities + Equity</t>
  </si>
  <si>
    <t xml:space="preserve">Operating, Investing, Financing</t>
  </si>
  <si>
    <t xml:space="preserve">ARR, margins, Rule of 40, LTV/CAC</t>
  </si>
  <si>
    <t xml:space="preserve">Tab Colour Legend</t>
  </si>
  <si>
    <t xml:space="preserve">Dark Blue</t>
  </si>
  <si>
    <t xml:space="preserve">Cover</t>
  </si>
  <si>
    <t xml:space="preserve">Light Blue</t>
  </si>
  <si>
    <t xml:space="preserve">Assumptions / Inputs</t>
  </si>
  <si>
    <t xml:space="preserve">Green</t>
  </si>
  <si>
    <t xml:space="preserve">Revenue Drivers</t>
  </si>
  <si>
    <t xml:space="preserve">Orange</t>
  </si>
  <si>
    <t xml:space="preserve">Cost Schedules</t>
  </si>
  <si>
    <t xml:space="preserve">Grey</t>
  </si>
  <si>
    <t xml:space="preserve">Financial Statements</t>
  </si>
  <si>
    <t xml:space="preserve">Teal</t>
  </si>
  <si>
    <t xml:space="preserve">Metrics</t>
  </si>
  <si>
    <t xml:space="preserve">About this model</t>
  </si>
  <si>
    <t xml:space="preserve">An AI/ML platform financial model projects revenue and profitability for a company selling infrastructure, foundation models, or MLOps tooling, explicitly accounting for compute cost consumption, customer concentration risk, and the margin expansion as model improvements reduce inference cost and scale improves utilisation. The model answers whether an AI company can reach 50â75% gross margins (vs. traditional SaaS 80%+) given its token-based or compute-based pricing, and what path-to-profitability timeline looks realistic under different growth and cost scenarios. Revenue is modelled in two streams: SaaS subscriptions for platform access and usage-based compute revenue for API calls or token consumption, each with distinct pricing and growth rates.
The cost structure explicitly models compute COGS as a percentage of usage revenue (e.g. $X per token or per API call), plus cloud hosting, third-party foundation model fees, and data licensing, all scaled to the volume drivers. Operating expenses separate R&amp;D headcount (which grows step-function as hiring budgets support new research initiatives), S&amp;M costs, and G&amp;A, with explicit headcount assumptions rather than percentage-of-revenue ratios. Working capital is tracked including deferred revenue from upfront annual subscriptions, which creates a cash conversion advantage vs. pure consumption billing. The model includes capex for any GPU hardware the company owns and a depreciation schedule, plus R&amp;D capitalisation mechanics if the company capitalises development spend.
Venture capital, growth equity, and strategic investors in AI use this model to assess whether the company can escape the margin compression trap endemic to compute-intensive businesses, benchmark against Anthropic, Hugging Face, and Scale AI unit economics, and stress-test profitability under different scenarios (e.g., commodity compute price drops, increased competition).</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</si>
  <si>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</si>
  <si>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</si>
  <si>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</si>
  <si>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</si>
  <si>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</si>
  <si>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Model Inputs</t>
  </si>
  <si>
    <t xml:space="preserve">Parameter</t>
  </si>
  <si>
    <t xml:space="preserve">Value</t>
  </si>
  <si>
    <t xml:space="preserve">Unit</t>
  </si>
  <si>
    <t xml:space="preserve">Notes</t>
  </si>
  <si>
    <t xml:space="preserve">General</t>
  </si>
  <si>
    <t xml:space="preserve">Model Start Year</t>
  </si>
  <si>
    <t xml:space="preserve">First projection year</t>
  </si>
  <si>
    <t xml:space="preserve">Revenue - Subscription</t>
  </si>
  <si>
    <t xml:space="preserve">Starting Customers</t>
  </si>
  <si>
    <t xml:space="preserve">count</t>
  </si>
  <si>
    <t xml:space="preserve">Beginning of Y1</t>
  </si>
  <si>
    <t xml:space="preserve">Customer Growth Y1</t>
  </si>
  <si>
    <t xml:space="preserve">%</t>
  </si>
  <si>
    <t xml:space="preserve">High early growth</t>
  </si>
  <si>
    <t xml:space="preserve">Customer Growth Y2</t>
  </si>
  <si>
    <t xml:space="preserve">Customer Growth Y3</t>
  </si>
  <si>
    <t xml:space="preserve">Customer Growth Y4</t>
  </si>
  <si>
    <t xml:space="preserve">Customer Growth Y5</t>
  </si>
  <si>
    <t xml:space="preserve">Maturing market</t>
  </si>
  <si>
    <t xml:space="preserve">Monthly ARPU</t>
  </si>
  <si>
    <t xml:space="preserve">$</t>
  </si>
  <si>
    <t xml:space="preserve">Mid-market enterprise</t>
  </si>
  <si>
    <t xml:space="preserve">Annual ARPU Growth</t>
  </si>
  <si>
    <t xml:space="preserve">Upsell and expansion</t>
  </si>
  <si>
    <t xml:space="preserve">Revenue - Usage (API/Compute)</t>
  </si>
  <si>
    <t xml:space="preserve">Starting Monthly Tokens</t>
  </si>
  <si>
    <t xml:space="preserve">tokens</t>
  </si>
  <si>
    <t xml:space="preserve">500M tokens/month</t>
  </si>
  <si>
    <t xml:space="preserve">Token Growth Y1</t>
  </si>
  <si>
    <t xml:space="preserve">Rapid adoption</t>
  </si>
  <si>
    <t xml:space="preserve">Token Growth Y2</t>
  </si>
  <si>
    <t xml:space="preserve">Token Growth Y3</t>
  </si>
  <si>
    <t xml:space="preserve">Token Growth Y4</t>
  </si>
  <si>
    <t xml:space="preserve">Token Growth Y5</t>
  </si>
  <si>
    <t xml:space="preserve">Stabilising</t>
  </si>
  <si>
    <t xml:space="preserve">Price per 1k Tokens</t>
  </si>
  <si>
    <t xml:space="preserve">Blended LLM rate</t>
  </si>
  <si>
    <t xml:space="preserve">Annual Price Decline</t>
  </si>
  <si>
    <t xml:space="preserve">Competitive pressure</t>
  </si>
  <si>
    <t xml:space="preserve">Revenue - Professional Services</t>
  </si>
  <si>
    <t xml:space="preserve">Billable Hours Y1</t>
  </si>
  <si>
    <t xml:space="preserve">hours</t>
  </si>
  <si>
    <t xml:space="preserve">Implementation + fine-tuning</t>
  </si>
  <si>
    <t xml:space="preserve">Hours Growth Rate</t>
  </si>
  <si>
    <t xml:space="preserve">Grows slower than software</t>
  </si>
  <si>
    <t xml:space="preserve">Blended Hourly Rate</t>
  </si>
  <si>
    <t xml:space="preserve">Senior consultants</t>
  </si>
  <si>
    <t xml:space="preserve">Cost of Goods Sold</t>
  </si>
  <si>
    <t xml:space="preserve">Compute Cost per 1k Tokens</t>
  </si>
  <si>
    <t xml:space="preserve">On-demand cloud GPU</t>
  </si>
  <si>
    <t xml:space="preserve">Annual Cost Decline</t>
  </si>
  <si>
    <t xml:space="preserve">Hardware efficiency</t>
  </si>
  <si>
    <t xml:space="preserve">Reserved Compute %</t>
  </si>
  <si>
    <t xml:space="preserve">% of compute on RI</t>
  </si>
  <si>
    <t xml:space="preserve">Reserved Discount</t>
  </si>
  <si>
    <t xml:space="preserve">RI savings vs on-demand</t>
  </si>
  <si>
    <t xml:space="preserve">Platform Hosting Y1</t>
  </si>
  <si>
    <t xml:space="preserve">AWS/GCP baseline</t>
  </si>
  <si>
    <t xml:space="preserve">Hosting Growth</t>
  </si>
  <si>
    <t xml:space="preserve">Scales with users</t>
  </si>
  <si>
    <t xml:space="preserve">Support Staff Cost Y1</t>
  </si>
  <si>
    <t xml:space="preserve">CS team</t>
  </si>
  <si>
    <t xml:space="preserve">Support Cost Growth</t>
  </si>
  <si>
    <t xml:space="preserve">Headcount additions</t>
  </si>
  <si>
    <t xml:space="preserve">Foundation API Mix</t>
  </si>
  <si>
    <t xml:space="preserve">% of tokens routed to ext. models</t>
  </si>
  <si>
    <t xml:space="preserve">Foundation API Cost per 1k</t>
  </si>
  <si>
    <t xml:space="preserve">GPT/Claude pass-through</t>
  </si>
  <si>
    <t xml:space="preserve">PS COGS %</t>
  </si>
  <si>
    <t xml:space="preserve">High delivery cost</t>
  </si>
  <si>
    <t xml:space="preserve">Operating Expenses</t>
  </si>
  <si>
    <t xml:space="preserve">R&amp;D Expense Y1</t>
  </si>
  <si>
    <t xml:space="preserve">Engineering salaries</t>
  </si>
  <si>
    <t xml:space="preserve">R&amp;D Growth</t>
  </si>
  <si>
    <t xml:space="preserve">Hiring AI talent</t>
  </si>
  <si>
    <t xml:space="preserve">R&amp;D Capitalisation %</t>
  </si>
  <si>
    <t xml:space="preserve">New feature development</t>
  </si>
  <si>
    <t xml:space="preserve">S&amp;M % of Revenue</t>
  </si>
  <si>
    <t xml:space="preserve">Enterprise go-to-market</t>
  </si>
  <si>
    <t xml:space="preserve">G&amp;A Expense Y1</t>
  </si>
  <si>
    <t xml:space="preserve">Corporate overhead</t>
  </si>
  <si>
    <t xml:space="preserve">G&amp;A Growth</t>
  </si>
  <si>
    <t xml:space="preserve">Scales with headcount</t>
  </si>
  <si>
    <t xml:space="preserve">SBC % of Revenue</t>
  </si>
  <si>
    <t xml:space="preserve">Stock-based compensation</t>
  </si>
  <si>
    <t xml:space="preserve">Rent</t>
  </si>
  <si>
    <t xml:space="preserve">Annual office lease</t>
  </si>
  <si>
    <t xml:space="preserve">Rent Escalation</t>
  </si>
  <si>
    <t xml:space="preserve">Annual increase</t>
  </si>
  <si>
    <t xml:space="preserve">Insurance</t>
  </si>
  <si>
    <t xml:space="preserve">Cyber + E&amp;O</t>
  </si>
  <si>
    <t xml:space="preserve">Insurance Escalation</t>
  </si>
  <si>
    <t xml:space="preserve">CapEx &amp; Depreciation</t>
  </si>
  <si>
    <t xml:space="preserve">Hardware CapEx Y1</t>
  </si>
  <si>
    <t xml:space="preserve">GPU cluster spend</t>
  </si>
  <si>
    <t xml:space="preserve">HW CapEx Growth</t>
  </si>
  <si>
    <t xml:space="preserve">Infrastructure expansion</t>
  </si>
  <si>
    <t xml:space="preserve">Software Amort. Life</t>
  </si>
  <si>
    <t xml:space="preserve">years</t>
  </si>
  <si>
    <t xml:space="preserve">Rapid obsolescence</t>
  </si>
  <si>
    <t xml:space="preserve">Hardware Useful Life</t>
  </si>
  <si>
    <t xml:space="preserve">GPU lifecycle</t>
  </si>
  <si>
    <t xml:space="preserve">Working Capital</t>
  </si>
  <si>
    <t xml:space="preserve">Days Sales Outstanding</t>
  </si>
  <si>
    <t xml:space="preserve">days</t>
  </si>
  <si>
    <t xml:space="preserve">Enterprise payment terms</t>
  </si>
  <si>
    <t xml:space="preserve">Days Payable Outstanding</t>
  </si>
  <si>
    <t xml:space="preserve">Vendor payment terms</t>
  </si>
  <si>
    <t xml:space="preserve">Upfront Billing Mix</t>
  </si>
  <si>
    <t xml:space="preserve">% of sub revenue billed upfront</t>
  </si>
  <si>
    <t xml:space="preserve">Accrued Liabilities %</t>
  </si>
  <si>
    <t xml:space="preserve">% of OpEx</t>
  </si>
  <si>
    <t xml:space="preserve">Debt</t>
  </si>
  <si>
    <t xml:space="preserve">Venture Debt</t>
  </si>
  <si>
    <t xml:space="preserve">ARR-backed facility</t>
  </si>
  <si>
    <t xml:space="preserve">Interest Rate</t>
  </si>
  <si>
    <t xml:space="preserve">Prime + 4%</t>
  </si>
  <si>
    <t xml:space="preserve">Tenor</t>
  </si>
  <si>
    <t xml:space="preserve">Amortisation period</t>
  </si>
  <si>
    <t xml:space="preserve">Tax</t>
  </si>
  <si>
    <t xml:space="preserve">Corporate Tax Rate</t>
  </si>
  <si>
    <t xml:space="preserve">US federal</t>
  </si>
  <si>
    <t xml:space="preserve">Liquidity Policy</t>
  </si>
  <si>
    <t xml:space="preserve">Cash Minimum (Floor)</t>
  </si>
  <si>
    <t xml:space="preserve">Plug funds via APIC if breached</t>
  </si>
  <si>
    <t xml:space="preserve">Customer Economics</t>
  </si>
  <si>
    <t xml:space="preserve">CAC per Customer</t>
  </si>
  <si>
    <t xml:space="preserve">Blended sales + marketing</t>
  </si>
  <si>
    <t xml:space="preserve">Monthly Churn</t>
  </si>
  <si>
    <t xml:space="preserve">1.5% gross monthly churn</t>
  </si>
  <si>
    <t xml:space="preserve">Net Dollar Retention</t>
  </si>
  <si>
    <t xml:space="preserve">x</t>
  </si>
  <si>
    <t xml:space="preserve">Annual NDR (115%)</t>
  </si>
  <si>
    <t xml:space="preserve">Implied Share Price</t>
  </si>
  <si>
    <t xml:space="preserve">For SBC dilution math</t>
  </si>
  <si>
    <t xml:space="preserve">Starting Shares Outstanding</t>
  </si>
  <si>
    <t xml:space="preserve">shares</t>
  </si>
  <si>
    <t xml:space="preserve">Pre-projection cap table</t>
  </si>
  <si>
    <t xml:space="preserve">Opening Balance Sheet</t>
  </si>
  <si>
    <t xml:space="preserve">Opening Cash</t>
  </si>
  <si>
    <t xml:space="preserve">Series B proceeds</t>
  </si>
  <si>
    <t xml:space="preserve">Share Capital</t>
  </si>
  <si>
    <t xml:space="preserve">Total equity raised</t>
  </si>
  <si>
    <t xml:space="preserve">Opening Ret. Earnings</t>
  </si>
  <si>
    <t xml:space="preserve">Derived: balances opening BS</t>
  </si>
  <si>
    <t xml:space="preserve">Revenue Build</t>
  </si>
  <si>
    <t xml:space="preserve">Annual Projections</t>
  </si>
  <si>
    <t xml:space="preserve">Year #</t>
  </si>
  <si>
    <t xml:space="preserve">Subscription Revenue</t>
  </si>
  <si>
    <t xml:space="preserve">Active Customers</t>
  </si>
  <si>
    <t xml:space="preserve">Annual ARPU</t>
  </si>
  <si>
    <t xml:space="preserve">Usage Revenue (API/Compute)</t>
  </si>
  <si>
    <t xml:space="preserve">Annual Tokens (000s)</t>
  </si>
  <si>
    <t xml:space="preserve">Usage Revenue</t>
  </si>
  <si>
    <t xml:space="preserve">Professional Services</t>
  </si>
  <si>
    <t xml:space="preserve">Billable Hours</t>
  </si>
  <si>
    <t xml:space="preserve">Blended Rate</t>
  </si>
  <si>
    <t xml:space="preserve">PS Revenue</t>
  </si>
  <si>
    <t xml:space="preserve">TOTAL REVENUE</t>
  </si>
  <si>
    <t xml:space="preserve">Subscription Billings (approx.)</t>
  </si>
  <si>
    <t xml:space="preserve">COGS &amp; Compute</t>
  </si>
  <si>
    <t xml:space="preserve">Cost Breakdown</t>
  </si>
  <si>
    <t xml:space="preserve">Compute Costs (blended RI/OD)</t>
  </si>
  <si>
    <t xml:space="preserve">Platform Hosting</t>
  </si>
  <si>
    <t xml:space="preserve">Customer Support</t>
  </si>
  <si>
    <t xml:space="preserve">Third-Party APIs (token-driven)</t>
  </si>
  <si>
    <t xml:space="preserve">PS Delivery Costs</t>
  </si>
  <si>
    <t xml:space="preserve">TOTAL COGS</t>
  </si>
  <si>
    <t xml:space="preserve">GROSS PROFIT</t>
  </si>
  <si>
    <t xml:space="preserve">Gross Margin</t>
  </si>
  <si>
    <t xml:space="preserve">OpEx &amp; Staffing</t>
  </si>
  <si>
    <t xml:space="preserve">R&amp;D (Gross)</t>
  </si>
  <si>
    <t xml:space="preserve">Less: Capitalised R&amp;D</t>
  </si>
  <si>
    <t xml:space="preserve">R&amp;D (Net of Cap.)</t>
  </si>
  <si>
    <t xml:space="preserve">Sales &amp; Marketing</t>
  </si>
  <si>
    <t xml:space="preserve">General &amp; Admin</t>
  </si>
  <si>
    <t xml:space="preserve">Stock-Based Comp.</t>
  </si>
  <si>
    <t xml:space="preserve">TOTAL OPEX</t>
  </si>
  <si>
    <t xml:space="preserve">CapEx &amp; Intangibles</t>
  </si>
  <si>
    <t xml:space="preserve">Depreciation Schedule</t>
  </si>
  <si>
    <t xml:space="preserve">Capitalised Software (R&amp;D)</t>
  </si>
  <si>
    <t xml:space="preserve">Capitalised R&amp;D</t>
  </si>
  <si>
    <t xml:space="preserve">Cumulative Cap. R&amp;D</t>
  </si>
  <si>
    <t xml:space="preserve">Software Amortisation</t>
  </si>
  <si>
    <t xml:space="preserve">Cumulative SW Amort.</t>
  </si>
  <si>
    <t xml:space="preserve">Hardware CapEx</t>
  </si>
  <si>
    <t xml:space="preserve">Hardware Purchases</t>
  </si>
  <si>
    <t xml:space="preserve">Cumulative HW Cost</t>
  </si>
  <si>
    <t xml:space="preserve">HW Depreciation</t>
  </si>
  <si>
    <t xml:space="preserve">Cumulative HW Depr.</t>
  </si>
  <si>
    <t xml:space="preserve">TOTAL D&amp;A</t>
  </si>
  <si>
    <t xml:space="preserve">Total CapEx</t>
  </si>
  <si>
    <t xml:space="preserve">Balance Sheet Drivers</t>
  </si>
  <si>
    <t xml:space="preserve">Working Capital Items</t>
  </si>
  <si>
    <t xml:space="preserve">Accounts Receivable</t>
  </si>
  <si>
    <t xml:space="preserve">Deferred Revenue</t>
  </si>
  <si>
    <t xml:space="preserve">Accounts Payable</t>
  </si>
  <si>
    <t xml:space="preserve">Accrued Liabilities</t>
  </si>
  <si>
    <t xml:space="preserve">Net Working Capital</t>
  </si>
  <si>
    <t xml:space="preserve">WC Change (Cash Impact)</t>
  </si>
  <si>
    <t xml:space="preserve">Income Statement</t>
  </si>
  <si>
    <t xml:space="preserve">Revenue</t>
  </si>
  <si>
    <t xml:space="preserve">Total Revenue</t>
  </si>
  <si>
    <t xml:space="preserve">Total COGS</t>
  </si>
  <si>
    <t xml:space="preserve">Total OpEx</t>
  </si>
  <si>
    <t xml:space="preserve">EBITDA</t>
  </si>
  <si>
    <t xml:space="preserve">EBITDA Margin</t>
  </si>
  <si>
    <t xml:space="preserve">Depreciation &amp; Amort.</t>
  </si>
  <si>
    <t xml:space="preserve">Total D&amp;A</t>
  </si>
  <si>
    <t xml:space="preserve">EBIT</t>
  </si>
  <si>
    <t xml:space="preserve">Interest</t>
  </si>
  <si>
    <t xml:space="preserve">VD Opening Balance</t>
  </si>
  <si>
    <t xml:space="preserve">Interest Expense</t>
  </si>
  <si>
    <t xml:space="preserve">Debt Repayment</t>
  </si>
  <si>
    <t xml:space="preserve">VD Closing Balance</t>
  </si>
  <si>
    <t xml:space="preserve">EBT</t>
  </si>
  <si>
    <t xml:space="preserve">NET INCOME</t>
  </si>
  <si>
    <t xml:space="preserve">Net Margin</t>
  </si>
  <si>
    <t xml:space="preserve">Balance Sheet</t>
  </si>
  <si>
    <t xml:space="preserve">Year-End Positions</t>
  </si>
  <si>
    <t xml:space="preserve">Current Assets</t>
  </si>
  <si>
    <t xml:space="preserve">Cash</t>
  </si>
  <si>
    <t xml:space="preserve">Total Current Assets</t>
  </si>
  <si>
    <t xml:space="preserve">Non-Current Assets</t>
  </si>
  <si>
    <t xml:space="preserve">Net Intangibles</t>
  </si>
  <si>
    <t xml:space="preserve">Net Hardware</t>
  </si>
  <si>
    <t xml:space="preserve">Total Non-Current Assets</t>
  </si>
  <si>
    <t xml:space="preserve">TOTAL ASSETS</t>
  </si>
  <si>
    <t xml:space="preserve">Current Liabilities</t>
  </si>
  <si>
    <t xml:space="preserve">Current Portion of Debt</t>
  </si>
  <si>
    <t xml:space="preserve">Total Current Liabilities</t>
  </si>
  <si>
    <t xml:space="preserve">Non-Current Liabilities</t>
  </si>
  <si>
    <t xml:space="preserve">Long-Term Debt</t>
  </si>
  <si>
    <t xml:space="preserve">Total Non-Current Liab.</t>
  </si>
  <si>
    <t xml:space="preserve">TOTAL LIABILITIES</t>
  </si>
  <si>
    <t xml:space="preserve">Equity</t>
  </si>
  <si>
    <t xml:space="preserve">Additional Paid-In Capital</t>
  </si>
  <si>
    <t xml:space="preserve">Retained Earnings</t>
  </si>
  <si>
    <t xml:space="preserve">Total Equity</t>
  </si>
  <si>
    <t xml:space="preserve">TOTAL L&amp;E</t>
  </si>
  <si>
    <t xml:space="preserve">Balance Check</t>
  </si>
  <si>
    <t xml:space="preserve">Cash Flow Statement</t>
  </si>
  <si>
    <t xml:space="preserve">Indirect Method</t>
  </si>
  <si>
    <t xml:space="preserve">Operating Activities</t>
  </si>
  <si>
    <t xml:space="preserve">Net Income</t>
  </si>
  <si>
    <t xml:space="preserve">Add: D&amp;A</t>
  </si>
  <si>
    <t xml:space="preserve">Add: SBC</t>
  </si>
  <si>
    <t xml:space="preserve">Working Capital Change</t>
  </si>
  <si>
    <t xml:space="preserve">Cash from Operations</t>
  </si>
  <si>
    <t xml:space="preserve">Investing Activities</t>
  </si>
  <si>
    <t xml:space="preserve">Capital Expenditure</t>
  </si>
  <si>
    <t xml:space="preserve">Cash from Investing</t>
  </si>
  <si>
    <t xml:space="preserve">Financing Activities</t>
  </si>
  <si>
    <t xml:space="preserve">Debt Proceeds</t>
  </si>
  <si>
    <t xml:space="preserve">Equity Raise / Revolver Draw</t>
  </si>
  <si>
    <t xml:space="preserve">Cash from Financing</t>
  </si>
  <si>
    <t xml:space="preserve">Net Cash Change</t>
  </si>
  <si>
    <t xml:space="preserve">Closing Cash</t>
  </si>
  <si>
    <t xml:space="preserve">Cash vs Floor (chk)</t>
  </si>
  <si>
    <t xml:space="preserve">SaaS &amp; Key Metrics</t>
  </si>
  <si>
    <t xml:space="preserve">Performance Dashboard</t>
  </si>
  <si>
    <t xml:space="preserve">Key Metrics</t>
  </si>
  <si>
    <t xml:space="preserve">Annual Recurring Revenue</t>
  </si>
  <si>
    <t xml:space="preserve">Monthly Recurring Rev.</t>
  </si>
  <si>
    <t xml:space="preserve">Revenue Growth</t>
  </si>
  <si>
    <t xml:space="preserve">FCF Margin</t>
  </si>
  <si>
    <t xml:space="preserve">Rule of 40</t>
  </si>
  <si>
    <t xml:space="preserve">Customer Lifetime (months)</t>
  </si>
  <si>
    <t xml:space="preserve">LTV</t>
  </si>
  <si>
    <t xml:space="preserve">LTV / CAC</t>
  </si>
  <si>
    <t xml:space="preserve">CAC Payback (months)</t>
  </si>
  <si>
    <t xml:space="preserve">Magic Number</t>
  </si>
  <si>
    <t xml:space="preserve">LTV/CAC Flag</t>
  </si>
  <si>
    <t xml:space="preserve">Dilution &amp; EPS</t>
  </si>
  <si>
    <t xml:space="preserve">SBC Dilution (shares)</t>
  </si>
  <si>
    <t xml:space="preserve">Diluted Shares Outstanding</t>
  </si>
  <si>
    <t xml:space="preserve">Diluted EPS</t>
  </si>
  <si>
    <t xml:space="preserve">Liquidity</t>
  </si>
  <si>
    <t xml:space="preserve">Cash Runway (Months)</t>
  </si>
  <si>
    <t xml:space="preserve">Current Ratio</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</si>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</sst>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12">
    <numFmt numFmtId="164" formatCode="General"/>
    <numFmt numFmtId="165" formatCode="#,##0"/>
    <numFmt numFmtId="166" formatCode="0.00%"/>
    <numFmt numFmtId="167" formatCode="\$#,##0.00"/>
    <numFmt numFmtId="168" formatCode="\$#,##0.000"/>
    <numFmt numFmtId="169" formatCode="#,##0.00"/>
    <numFmt numFmtId="170" formatCode="0.00\x"/>
    <numFmt numFmtId="171" formatCode="0"/>
    <numFmt numFmtId="172" formatCode="#,##0.0"/>
    <numFmt numFmtId="173" formatCode="0.0%"/>
    <numFmt numFmtId="174" formatCode="@"/>
    <numFmt numFmtId="175" formatCode="0.00"/>
  </numFmts>
  <fonts count="28">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4"/>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b val="true"/>
      <u val="single"/>
      <sz val="11"/>
      <color rgb="FF0000CC"/>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rgb="FFD9D9D9"/>
        <bgColor rgb="FFD6E4F0"/>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00B0F0"/>
        <bgColor rgb="FF33CCCC"/>
      </patternFill>
    </fill>
    <fill>
      <patternFill patternType="solid">
        <fgColor rgb="FFD6E4F0"/>
        <bgColor rgb="FFD9D9D9"/>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13" fillId="9"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8" fillId="2" borderId="0" xfId="0" applyFont="true" applyBorder="false" applyAlignment="true" applyProtection="false">
      <alignment horizontal="center" vertical="bottom" textRotation="0" wrapText="false" indent="0" shrinkToFit="false"/>
      <protection locked="true" hidden="false"/>
    </xf>
    <xf numFmtId="165" fontId="19" fillId="1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6" fontId="19" fillId="10" borderId="0" xfId="0" applyFont="true" applyBorder="false" applyAlignment="true" applyProtection="false">
      <alignment horizontal="right" vertical="bottom" textRotation="0" wrapText="false" indent="0" shrinkToFit="false"/>
      <protection locked="true" hidden="false"/>
    </xf>
    <xf numFmtId="167" fontId="19" fillId="10" borderId="0" xfId="0" applyFont="true" applyBorder="false" applyAlignment="true" applyProtection="false">
      <alignment horizontal="right" vertical="bottom" textRotation="0" wrapText="false" indent="0" shrinkToFit="false"/>
      <protection locked="true" hidden="false"/>
    </xf>
    <xf numFmtId="168" fontId="19" fillId="10" borderId="0" xfId="0" applyFont="true" applyBorder="false" applyAlignment="true" applyProtection="false">
      <alignment horizontal="right" vertical="bottom" textRotation="0" wrapText="false" indent="0" shrinkToFit="false"/>
      <protection locked="true" hidden="false"/>
    </xf>
    <xf numFmtId="169" fontId="19" fillId="10" borderId="0" xfId="0" applyFont="true" applyBorder="false" applyAlignment="true" applyProtection="false">
      <alignment horizontal="right" vertical="bottom" textRotation="0" wrapText="false" indent="0" shrinkToFit="false"/>
      <protection locked="true" hidden="false"/>
    </xf>
    <xf numFmtId="170" fontId="19" fillId="10" borderId="0" xfId="0" applyFont="true" applyBorder="fals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right" vertical="bottom" textRotation="0" wrapText="false" indent="0" shrinkToFit="false"/>
      <protection locked="true" hidden="false"/>
    </xf>
    <xf numFmtId="171" fontId="18" fillId="2" borderId="0" xfId="0" applyFont="true" applyBorder="false" applyAlignment="true" applyProtection="false">
      <alignment horizontal="center" vertical="bottom" textRotation="0" wrapText="false" indent="0" shrinkToFit="false"/>
      <protection locked="true" hidden="false"/>
    </xf>
    <xf numFmtId="171" fontId="2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9" fontId="10" fillId="0" borderId="1" xfId="0" applyFont="true" applyBorder="tru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9" fontId="10" fillId="0" borderId="2" xfId="0" applyFont="true" applyBorder="tru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1" shrinkToFit="false"/>
      <protection locked="true" hidden="false"/>
    </xf>
    <xf numFmtId="169" fontId="20" fillId="0" borderId="0" xfId="0" applyFont="true" applyBorder="false" applyAlignment="true" applyProtection="false">
      <alignment horizontal="right" vertical="bottom" textRotation="0" wrapText="false" indent="0" shrinkToFit="false"/>
      <protection locked="true" hidden="false"/>
    </xf>
    <xf numFmtId="166" fontId="20" fillId="0" borderId="0" xfId="0" applyFont="true" applyBorder="false" applyAlignment="true" applyProtection="false">
      <alignment horizontal="right" vertical="bottom" textRotation="0" wrapText="false" indent="0" shrinkToFit="false"/>
      <protection locked="true" hidden="false"/>
    </xf>
    <xf numFmtId="164" fontId="21" fillId="0" borderId="0" xfId="0" applyFont="true" applyBorder="false" applyAlignment="true" applyProtection="false">
      <alignment horizontal="left" vertical="bottom" textRotation="0" wrapText="false" indent="0" shrinkToFit="false"/>
      <protection locked="true" hidden="false"/>
    </xf>
    <xf numFmtId="169" fontId="21" fillId="0" borderId="0" xfId="0" applyFont="true" applyBorder="fals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72" fontId="0" fillId="0" borderId="0" xfId="0" applyFont="true" applyBorder="false" applyAlignment="true" applyProtection="false">
      <alignment horizontal="right" vertical="bottom" textRotation="0" wrapText="false" indent="0" shrinkToFit="false"/>
      <protection locked="true" hidden="false"/>
    </xf>
    <xf numFmtId="170" fontId="0" fillId="0" borderId="0" xfId="0" applyFont="true" applyBorder="false" applyAlignment="true" applyProtection="false">
      <alignment horizontal="right" vertical="bottom" textRotation="0" wrapText="false" indent="0" shrinkToFit="false"/>
      <protection locked="true" hidden="false"/>
    </xf>
    <xf numFmtId="173" fontId="0" fillId="0" borderId="0" xfId="0" applyFont="true" applyBorder="false" applyAlignment="true" applyProtection="false">
      <alignment horizontal="right" vertical="bottom" textRotation="0" wrapText="false" indent="0" shrinkToFit="false"/>
      <protection locked="true" hidden="false"/>
    </xf>
    <xf numFmtId="174" fontId="20" fillId="0" borderId="0" xfId="0" applyFont="true" applyBorder="false" applyAlignment="true" applyProtection="false">
      <alignment horizontal="right"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75" fontId="0" fillId="0"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23" fillId="11"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6" fillId="12"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D9D9D9"/>
      <rgbColor rgb="FF000080"/>
      <rgbColor rgb="FFFF00FF"/>
      <rgbColor rgb="FFFFFF00"/>
      <rgbColor rgb="FF00FFFF"/>
      <rgbColor rgb="FF800080"/>
      <rgbColor rgb="FF800000"/>
      <rgbColor rgb="FF008080"/>
      <rgbColor rgb="FF0000FF"/>
      <rgbColor rgb="FF00B0F0"/>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6"/>
    <col collapsed="false" customWidth="true" hidden="false" outlineLevel="0" max="7" min="4" style="0" width="20"/>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3"/>
      <c r="D2" s="4" t="s">
        <v>1</v>
      </c>
      <c r="E2" s="3"/>
      <c r="F2" s="3"/>
      <c r="G2" s="3"/>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5"/>
      <c r="D3" s="5"/>
      <c r="E3" s="5"/>
      <c r="F3" s="5"/>
      <c r="G3" s="5"/>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7" t="s">
        <v>3</v>
      </c>
      <c r="C6" s="8" t="s">
        <v>4</v>
      </c>
      <c r="D6" s="6"/>
      <c r="E6" s="6"/>
      <c r="F6" s="6"/>
      <c r="G6" s="6"/>
    </row>
    <row r="7" customFormat="false" ht="15" hidden="false" customHeight="false" outlineLevel="0" collapsed="false">
      <c r="A7" s="6"/>
      <c r="B7" s="7" t="s">
        <v>5</v>
      </c>
      <c r="C7" s="8" t="s">
        <v>6</v>
      </c>
      <c r="D7" s="6"/>
      <c r="E7" s="6"/>
      <c r="F7" s="6"/>
      <c r="G7" s="6"/>
    </row>
    <row r="8" customFormat="false" ht="15" hidden="false" customHeight="false" outlineLevel="0" collapsed="false">
      <c r="A8" s="6"/>
      <c r="B8" s="7" t="s">
        <v>7</v>
      </c>
      <c r="C8" s="8" t="s">
        <v>8</v>
      </c>
      <c r="D8" s="6"/>
      <c r="E8" s="6"/>
      <c r="F8" s="6"/>
      <c r="G8" s="6"/>
    </row>
    <row r="9" customFormat="false" ht="15" hidden="false" customHeight="false" outlineLevel="0" collapsed="false">
      <c r="A9" s="6"/>
      <c r="B9" s="7" t="s">
        <v>9</v>
      </c>
      <c r="C9" s="8" t="s">
        <v>10</v>
      </c>
      <c r="D9" s="6"/>
      <c r="E9" s="6"/>
      <c r="F9" s="6"/>
      <c r="G9" s="6"/>
    </row>
    <row r="10" customFormat="false" ht="15" hidden="false" customHeight="false" outlineLevel="0" collapsed="false">
      <c r="A10" s="6"/>
      <c r="B10" s="6"/>
      <c r="C10" s="6"/>
      <c r="D10" s="6"/>
      <c r="E10" s="6"/>
      <c r="F10" s="6"/>
      <c r="G10" s="6"/>
    </row>
    <row r="11" customFormat="false" ht="15" hidden="false" customHeight="false" outlineLevel="0" collapsed="false">
      <c r="A11" s="6"/>
      <c r="B11" s="9" t="s">
        <v>11</v>
      </c>
      <c r="C11" s="10"/>
      <c r="D11" s="10"/>
      <c r="E11" s="6"/>
      <c r="F11" s="6"/>
      <c r="G11" s="6"/>
    </row>
    <row r="12" customFormat="false" ht="15" hidden="false" customHeight="false" outlineLevel="0" collapsed="false">
      <c r="A12" s="6"/>
      <c r="B12" s="11" t="str">
        <f aca="false">HYPERLINK("#'Assumptions'!A1","Assumptions")</f>
        <v>Assumptions</v>
      </c>
      <c r="C12" s="8" t="s">
        <v>12</v>
      </c>
      <c r="D12" s="6"/>
      <c r="E12" s="6"/>
      <c r="F12" s="6"/>
      <c r="G12" s="6"/>
    </row>
    <row r="13" customFormat="false" ht="15" hidden="false" customHeight="false" outlineLevel="0" collapsed="false">
      <c r="A13" s="6"/>
      <c r="B13" s="11" t="str">
        <f aca="false">HYPERLINK("#'Revenue_Build'!A1","Revenue_Build")</f>
        <v>Revenue_Build</v>
      </c>
      <c r="C13" s="8" t="s">
        <v>13</v>
      </c>
      <c r="D13" s="6"/>
      <c r="E13" s="6"/>
      <c r="F13" s="6"/>
      <c r="G13" s="6"/>
    </row>
    <row r="14" customFormat="false" ht="15" hidden="false" customHeight="false" outlineLevel="0" collapsed="false">
      <c r="A14" s="6"/>
      <c r="B14" s="11" t="str">
        <f aca="false">HYPERLINK("#'COGS_Compute'!A1","COGS_Compute")</f>
        <v>COGS_Compute</v>
      </c>
      <c r="C14" s="8" t="s">
        <v>14</v>
      </c>
      <c r="D14" s="6"/>
      <c r="E14" s="6"/>
      <c r="F14" s="6"/>
      <c r="G14" s="6"/>
    </row>
    <row r="15" customFormat="false" ht="15" hidden="false" customHeight="false" outlineLevel="0" collapsed="false">
      <c r="A15" s="6"/>
      <c r="B15" s="11" t="str">
        <f aca="false">HYPERLINK("#'Opex_Staffing'!A1","Opex_Staffing")</f>
        <v>Opex_Staffing</v>
      </c>
      <c r="C15" s="8" t="s">
        <v>15</v>
      </c>
      <c r="D15" s="6"/>
      <c r="E15" s="6"/>
      <c r="F15" s="6"/>
      <c r="G15" s="6"/>
    </row>
    <row r="16" customFormat="false" ht="15" hidden="false" customHeight="false" outlineLevel="0" collapsed="false">
      <c r="A16" s="6"/>
      <c r="B16" s="11" t="str">
        <f aca="false">HYPERLINK("#'Capex_Intangibles'!A1","Capex_Intangibles")</f>
        <v>Capex_Intangibles</v>
      </c>
      <c r="C16" s="8" t="s">
        <v>16</v>
      </c>
      <c r="D16" s="6"/>
      <c r="E16" s="6"/>
      <c r="F16" s="6"/>
      <c r="G16" s="6"/>
    </row>
    <row r="17" customFormat="false" ht="15" hidden="false" customHeight="false" outlineLevel="0" collapsed="false">
      <c r="A17" s="6"/>
      <c r="B17" s="11" t="str">
        <f aca="false">HYPERLINK("#'Working_Capital'!A1","Working_Capital")</f>
        <v>Working_Capital</v>
      </c>
      <c r="C17" s="8" t="s">
        <v>17</v>
      </c>
      <c r="D17" s="6"/>
      <c r="E17" s="6"/>
      <c r="F17" s="6"/>
      <c r="G17" s="6"/>
    </row>
    <row r="18" customFormat="false" ht="15" hidden="false" customHeight="false" outlineLevel="0" collapsed="false">
      <c r="A18" s="6"/>
      <c r="B18" s="11" t="str">
        <f aca="false">HYPERLINK("#'Income_Statement'!A1","Income_Statement")</f>
        <v>Income_Statement</v>
      </c>
      <c r="C18" s="8" t="s">
        <v>18</v>
      </c>
      <c r="D18" s="6"/>
      <c r="E18" s="6"/>
      <c r="F18" s="6"/>
      <c r="G18" s="6"/>
    </row>
    <row r="19" customFormat="false" ht="15" hidden="false" customHeight="false" outlineLevel="0" collapsed="false">
      <c r="A19" s="6"/>
      <c r="B19" s="11" t="str">
        <f aca="false">HYPERLINK("#'Balance_Sheet'!A1","Balance_Sheet")</f>
        <v>Balance_Sheet</v>
      </c>
      <c r="C19" s="8" t="s">
        <v>19</v>
      </c>
      <c r="D19" s="6"/>
      <c r="E19" s="6"/>
      <c r="F19" s="6"/>
      <c r="G19" s="6"/>
    </row>
    <row r="20" customFormat="false" ht="15" hidden="false" customHeight="false" outlineLevel="0" collapsed="false">
      <c r="A20" s="6"/>
      <c r="B20" s="11" t="str">
        <f aca="false">HYPERLINK("#'Cash_Flow'!A1","Cash_Flow")</f>
        <v>Cash_Flow</v>
      </c>
      <c r="C20" s="8" t="s">
        <v>20</v>
      </c>
      <c r="D20" s="6"/>
      <c r="E20" s="6"/>
      <c r="F20" s="6"/>
      <c r="G20" s="6"/>
    </row>
    <row r="21" customFormat="false" ht="15" hidden="false" customHeight="false" outlineLevel="0" collapsed="false">
      <c r="A21" s="6"/>
      <c r="B21" s="11" t="str">
        <f aca="false">HYPERLINK("#'SaaS_Metrics'!A1","SaaS_Metrics")</f>
        <v>SaaS_Metrics</v>
      </c>
      <c r="C21" s="8" t="s">
        <v>21</v>
      </c>
      <c r="D21" s="6"/>
      <c r="E21" s="6"/>
      <c r="F21" s="6"/>
      <c r="G21" s="6"/>
    </row>
    <row r="22" customFormat="false" ht="15" hidden="false" customHeight="false" outlineLevel="0" collapsed="false">
      <c r="A22" s="6"/>
      <c r="B22" s="6"/>
      <c r="C22" s="6"/>
      <c r="D22" s="6"/>
      <c r="E22" s="6"/>
      <c r="F22" s="6"/>
      <c r="G22" s="6"/>
    </row>
    <row r="23" customFormat="false" ht="15" hidden="false" customHeight="false" outlineLevel="0" collapsed="false">
      <c r="A23" s="6"/>
      <c r="B23" s="9" t="s">
        <v>22</v>
      </c>
      <c r="C23" s="10"/>
      <c r="D23" s="10"/>
      <c r="E23" s="6"/>
      <c r="F23" s="6"/>
      <c r="G23" s="6"/>
    </row>
    <row r="24" customFormat="false" ht="15" hidden="false" customHeight="false" outlineLevel="0" collapsed="false">
      <c r="A24" s="6"/>
      <c r="B24" s="7" t="s">
        <v>23</v>
      </c>
      <c r="C24" s="8" t="s">
        <v>24</v>
      </c>
      <c r="D24" s="12"/>
      <c r="E24" s="6"/>
      <c r="F24" s="6"/>
      <c r="G24" s="6"/>
    </row>
    <row r="25" customFormat="false" ht="15" hidden="false" customHeight="false" outlineLevel="0" collapsed="false">
      <c r="A25" s="6"/>
      <c r="B25" s="7" t="s">
        <v>25</v>
      </c>
      <c r="C25" s="8" t="s">
        <v>26</v>
      </c>
      <c r="D25" s="13"/>
      <c r="E25" s="6"/>
      <c r="F25" s="6"/>
      <c r="G25" s="6"/>
    </row>
    <row r="26" customFormat="false" ht="15" hidden="false" customHeight="false" outlineLevel="0" collapsed="false">
      <c r="A26" s="6"/>
      <c r="B26" s="7" t="s">
        <v>27</v>
      </c>
      <c r="C26" s="8" t="s">
        <v>28</v>
      </c>
      <c r="D26" s="14"/>
      <c r="E26" s="6"/>
      <c r="F26" s="6"/>
      <c r="G26" s="6"/>
    </row>
    <row r="27" customFormat="false" ht="15" hidden="false" customHeight="false" outlineLevel="0" collapsed="false">
      <c r="A27" s="6"/>
      <c r="B27" s="7" t="s">
        <v>29</v>
      </c>
      <c r="C27" s="8" t="s">
        <v>30</v>
      </c>
      <c r="D27" s="15"/>
      <c r="E27" s="6"/>
      <c r="F27" s="6"/>
      <c r="G27" s="6"/>
    </row>
    <row r="28" customFormat="false" ht="15" hidden="false" customHeight="false" outlineLevel="0" collapsed="false">
      <c r="A28" s="6"/>
      <c r="B28" s="7" t="s">
        <v>31</v>
      </c>
      <c r="C28" s="8" t="s">
        <v>32</v>
      </c>
      <c r="D28" s="16"/>
      <c r="E28" s="6"/>
      <c r="F28" s="6"/>
      <c r="G28" s="6"/>
    </row>
    <row r="29" customFormat="false" ht="15" hidden="false" customHeight="false" outlineLevel="0" collapsed="false">
      <c r="A29" s="6"/>
      <c r="B29" s="7" t="s">
        <v>33</v>
      </c>
      <c r="C29" s="8" t="s">
        <v>34</v>
      </c>
      <c r="D29" s="17"/>
      <c r="E29" s="6"/>
      <c r="F29" s="6"/>
      <c r="G29" s="6"/>
    </row>
    <row r="32" customFormat="false" ht="19.5" hidden="false" customHeight="true" outlineLevel="0" collapsed="false">
      <c r="B32" s="18" t="s">
        <v>35</v>
      </c>
      <c r="C32" s="19"/>
      <c r="D32" s="19"/>
      <c r="E32" s="19"/>
      <c r="F32" s="19"/>
      <c r="G32" s="19"/>
    </row>
    <row r="33" customFormat="false" ht="271.5" hidden="false" customHeight="true" outlineLevel="0" collapsed="false">
      <c r="B33" s="20" t="s">
        <v>36</v>
      </c>
      <c r="C33" s="20"/>
      <c r="D33" s="20"/>
      <c r="E33" s="20"/>
      <c r="F33" s="20"/>
      <c r="G33" s="20"/>
    </row>
    <row r="35" customFormat="false" ht="19.5" hidden="false" customHeight="true" outlineLevel="0" collapsed="false">
      <c r="B35" s="18" t="s">
        <v>37</v>
      </c>
      <c r="C35" s="19"/>
      <c r="D35" s="19"/>
      <c r="E35" s="19"/>
      <c r="F35" s="19"/>
      <c r="G35" s="19"/>
    </row>
    <row r="36" customFormat="false" ht="57" hidden="false" customHeight="true" outlineLevel="0" collapsed="false">
      <c r="B36" s="20" t="s">
        <v>38</v>
      </c>
      <c r="C36" s="20"/>
      <c r="D36" s="20"/>
      <c r="E36" s="20"/>
      <c r="F36" s="20"/>
      <c r="G36" s="20"/>
    </row>
    <row r="37" customFormat="false" ht="15" hidden="false" customHeight="false" outlineLevel="0" collapsed="false">
      <c r="B37" s="21" t="s">
        <v>39</v>
      </c>
      <c r="C37" s="21"/>
      <c r="D37" s="21"/>
      <c r="E37" s="21"/>
      <c r="F37" s="21"/>
      <c r="G37" s="21"/>
    </row>
    <row r="38" customFormat="false" ht="15" hidden="false" customHeight="false" outlineLevel="0" collapsed="false">
      <c r="B38" s="22" t="s">
        <v>40</v>
      </c>
    </row>
  </sheetData>
  <mergeCells count="3">
    <mergeCell ref="B33:G33"/>
    <mergeCell ref="B36:G36"/>
    <mergeCell ref="B37:G37"/>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284</v>
      </c>
      <c r="C2" s="3"/>
      <c r="D2" s="3"/>
      <c r="E2" s="3"/>
      <c r="F2" s="3"/>
      <c r="G2" s="3"/>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285</v>
      </c>
      <c r="C3" s="5"/>
      <c r="D3" s="5"/>
      <c r="E3" s="5"/>
      <c r="F3" s="5"/>
      <c r="G3" s="5"/>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3"/>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6"/>
      <c r="C7" s="6"/>
      <c r="D7" s="6"/>
      <c r="E7" s="6"/>
      <c r="F7" s="6"/>
      <c r="G7" s="6"/>
    </row>
    <row r="8" customFormat="false" ht="15" hidden="false" customHeight="false" outlineLevel="0" collapsed="false">
      <c r="A8" s="6"/>
      <c r="B8" s="9" t="s">
        <v>286</v>
      </c>
      <c r="C8" s="10"/>
      <c r="D8" s="10"/>
      <c r="E8" s="10"/>
      <c r="F8" s="10"/>
      <c r="G8" s="10"/>
    </row>
    <row r="9" customFormat="false" ht="15" hidden="false" customHeight="false" outlineLevel="0" collapsed="false">
      <c r="A9" s="6"/>
      <c r="B9" s="34" t="s">
        <v>287</v>
      </c>
      <c r="C9" s="31" t="n">
        <f aca="false">IS_Net_Income</f>
        <v>-9927933.33333333</v>
      </c>
      <c r="D9" s="31" t="n">
        <f aca="false">IS_Net_Income</f>
        <v>-10757396</v>
      </c>
      <c r="E9" s="31" t="n">
        <f aca="false">IS_Net_Income</f>
        <v>-11656618.3093333</v>
      </c>
      <c r="F9" s="31" t="n">
        <f aca="false">IS_Net_Income</f>
        <v>-12815858.60232</v>
      </c>
      <c r="G9" s="31" t="n">
        <f aca="false">IS_Net_Income</f>
        <v>-14829605.4008685</v>
      </c>
    </row>
    <row r="10" customFormat="false" ht="15" hidden="false" customHeight="false" outlineLevel="0" collapsed="false">
      <c r="A10" s="6"/>
      <c r="B10" s="34" t="s">
        <v>288</v>
      </c>
      <c r="C10" s="31" t="n">
        <f aca="false">CX_Total_DA</f>
        <v>658333.333333333</v>
      </c>
      <c r="D10" s="31" t="n">
        <f aca="false">CX_Total_DA</f>
        <v>1468750</v>
      </c>
      <c r="E10" s="31" t="n">
        <f aca="false">CX_Total_DA</f>
        <v>2467395.83333333</v>
      </c>
      <c r="F10" s="31" t="n">
        <f aca="false">CX_Total_DA</f>
        <v>3699171.875</v>
      </c>
      <c r="G10" s="31" t="n">
        <f aca="false">CX_Total_DA</f>
        <v>5219880.98958333</v>
      </c>
    </row>
    <row r="11" customFormat="false" ht="15" hidden="false" customHeight="false" outlineLevel="0" collapsed="false">
      <c r="A11" s="6"/>
      <c r="B11" s="34" t="s">
        <v>289</v>
      </c>
      <c r="C11" s="31" t="n">
        <f aca="false">IS_SBC</f>
        <v>834000</v>
      </c>
      <c r="D11" s="31" t="n">
        <f aca="false">IS_SBC</f>
        <v>1325940</v>
      </c>
      <c r="E11" s="31" t="n">
        <f aca="false">IS_SBC</f>
        <v>1954973.4</v>
      </c>
      <c r="F11" s="31" t="n">
        <f aca="false">IS_SBC</f>
        <v>2711417.262</v>
      </c>
      <c r="G11" s="31" t="n">
        <f aca="false">IS_SBC</f>
        <v>3508613.99925</v>
      </c>
    </row>
    <row r="12" customFormat="false" ht="15" hidden="false" customHeight="false" outlineLevel="0" collapsed="false">
      <c r="A12" s="6"/>
      <c r="B12" s="34" t="s">
        <v>290</v>
      </c>
      <c r="C12" s="31" t="n">
        <f aca="false">WC_Change</f>
        <v>6200424.10958904</v>
      </c>
      <c r="D12" s="31" t="n">
        <f aca="false">WC_Change</f>
        <v>3199306.21369863</v>
      </c>
      <c r="E12" s="31" t="n">
        <f aca="false">WC_Change</f>
        <v>3978458.47769863</v>
      </c>
      <c r="F12" s="31" t="n">
        <f aca="false">WC_Change</f>
        <v>4486186.53933836</v>
      </c>
      <c r="G12" s="31" t="n">
        <f aca="false">WC_Change</f>
        <v>-8068465.99304109</v>
      </c>
    </row>
    <row r="13" customFormat="false" ht="15" hidden="false" customHeight="false" outlineLevel="0" collapsed="false">
      <c r="A13" s="6"/>
      <c r="B13" s="7" t="s">
        <v>291</v>
      </c>
      <c r="C13" s="36" t="n">
        <f aca="false">SUM(C9:C12)</f>
        <v>-2235175.89041096</v>
      </c>
      <c r="D13" s="36" t="n">
        <f aca="false">SUM(D9:D12)</f>
        <v>-4763399.78630137</v>
      </c>
      <c r="E13" s="36" t="n">
        <f aca="false">SUM(E9:E12)</f>
        <v>-3255790.59830137</v>
      </c>
      <c r="F13" s="36" t="n">
        <f aca="false">SUM(F9:F12)</f>
        <v>-1919082.92598164</v>
      </c>
      <c r="G13" s="36" t="n">
        <f aca="false">SUM(G9:G12)</f>
        <v>-14169576.4050762</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292</v>
      </c>
      <c r="C15" s="10"/>
      <c r="D15" s="10"/>
      <c r="E15" s="10"/>
      <c r="F15" s="10"/>
      <c r="G15" s="10"/>
    </row>
    <row r="16" customFormat="false" ht="15" hidden="false" customHeight="false" outlineLevel="0" collapsed="false">
      <c r="A16" s="6"/>
      <c r="B16" s="34" t="s">
        <v>293</v>
      </c>
      <c r="C16" s="31" t="n">
        <f aca="false">-CX_Total_CapEx</f>
        <v>-2100000</v>
      </c>
      <c r="D16" s="31" t="n">
        <f aca="false">-CX_Total_CapEx</f>
        <v>-2575000</v>
      </c>
      <c r="E16" s="31" t="n">
        <f aca="false">-CX_Total_CapEx</f>
        <v>-3161250</v>
      </c>
      <c r="F16" s="31" t="n">
        <f aca="false">-CX_Total_CapEx</f>
        <v>-3885437.5</v>
      </c>
      <c r="G16" s="31" t="n">
        <f aca="false">-CX_Total_CapEx</f>
        <v>-4780753.125</v>
      </c>
    </row>
    <row r="17" customFormat="false" ht="15" hidden="false" customHeight="false" outlineLevel="0" collapsed="false">
      <c r="A17" s="6"/>
      <c r="B17" s="7" t="s">
        <v>294</v>
      </c>
      <c r="C17" s="36" t="n">
        <f aca="false">C16</f>
        <v>-2100000</v>
      </c>
      <c r="D17" s="36" t="n">
        <f aca="false">D16</f>
        <v>-2575000</v>
      </c>
      <c r="E17" s="36" t="n">
        <f aca="false">E16</f>
        <v>-3161250</v>
      </c>
      <c r="F17" s="36" t="n">
        <f aca="false">F16</f>
        <v>-3885437.5</v>
      </c>
      <c r="G17" s="36" t="n">
        <f aca="false">G16</f>
        <v>-4780753.125</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9" t="s">
        <v>295</v>
      </c>
      <c r="C19" s="10"/>
      <c r="D19" s="10"/>
      <c r="E19" s="10"/>
      <c r="F19" s="10"/>
      <c r="G19" s="10"/>
    </row>
    <row r="20" customFormat="false" ht="15" hidden="false" customHeight="false" outlineLevel="0" collapsed="false">
      <c r="A20" s="6"/>
      <c r="B20" s="34" t="s">
        <v>296</v>
      </c>
      <c r="C20" s="31" t="n">
        <f aca="false">0</f>
        <v>0</v>
      </c>
      <c r="D20" s="31" t="n">
        <f aca="false">0</f>
        <v>0</v>
      </c>
      <c r="E20" s="31" t="n">
        <f aca="false">0</f>
        <v>0</v>
      </c>
      <c r="F20" s="31" t="n">
        <f aca="false">0</f>
        <v>0</v>
      </c>
      <c r="G20" s="31" t="n">
        <f aca="false">0</f>
        <v>0</v>
      </c>
    </row>
    <row r="21" customFormat="false" ht="15" hidden="false" customHeight="false" outlineLevel="0" collapsed="false">
      <c r="A21" s="6"/>
      <c r="B21" s="34" t="s">
        <v>256</v>
      </c>
      <c r="C21" s="31" t="n">
        <f aca="false">-IS_VD_Repayment</f>
        <v>-1250000</v>
      </c>
      <c r="D21" s="31" t="n">
        <f aca="false">-IS_VD_Repayment</f>
        <v>-1250000</v>
      </c>
      <c r="E21" s="31" t="n">
        <f aca="false">-IS_VD_Repayment</f>
        <v>-1250000</v>
      </c>
      <c r="F21" s="31" t="n">
        <f aca="false">-IS_VD_Repayment</f>
        <v>-1250000</v>
      </c>
      <c r="G21" s="31" t="n">
        <f aca="false">-IS_VD_Repayment</f>
        <v>-0</v>
      </c>
    </row>
    <row r="22" customFormat="false" ht="15" hidden="false" customHeight="false" outlineLevel="0" collapsed="false">
      <c r="A22" s="6"/>
      <c r="B22" s="34" t="s">
        <v>297</v>
      </c>
      <c r="C22" s="31" t="n">
        <f aca="false">MAX(0,Cash_Minimum-(Open_Cash+C13+C17+C20+C21))</f>
        <v>0</v>
      </c>
      <c r="D22" s="31" t="n">
        <f aca="false">MAX(0,Cash_Minimum-(C28+D13+D17+D20+D21))</f>
        <v>0</v>
      </c>
      <c r="E22" s="31" t="n">
        <f aca="false">MAX(0,Cash_Minimum-(D28+E13+E17+E20+E21))</f>
        <v>6840616.2750137</v>
      </c>
      <c r="F22" s="31" t="n">
        <f aca="false">MAX(0,Cash_Minimum-(E28+F13+F17+F20+F21))</f>
        <v>7054520.42598164</v>
      </c>
      <c r="G22" s="31" t="n">
        <f aca="false">MAX(0,Cash_Minimum-(F28+G13+G17+G20+G21))</f>
        <v>18950329.5300762</v>
      </c>
    </row>
    <row r="23" customFormat="false" ht="15" hidden="false" customHeight="false" outlineLevel="0" collapsed="false">
      <c r="A23" s="6"/>
      <c r="B23" s="7" t="s">
        <v>298</v>
      </c>
      <c r="C23" s="36" t="n">
        <f aca="false">C20+C21+C22</f>
        <v>-1250000</v>
      </c>
      <c r="D23" s="36" t="n">
        <f aca="false">D20+D21+D22</f>
        <v>-1250000</v>
      </c>
      <c r="E23" s="36" t="n">
        <f aca="false">E20+E21+E22</f>
        <v>5590616.2750137</v>
      </c>
      <c r="F23" s="36" t="n">
        <f aca="false">F20+F21+F22</f>
        <v>5804520.42598164</v>
      </c>
      <c r="G23" s="36" t="n">
        <f aca="false">G20+G21+G22</f>
        <v>18950329.5300762</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7" t="s">
        <v>299</v>
      </c>
      <c r="C25" s="38" t="n">
        <f aca="false">C13+C17+C23</f>
        <v>-5585175.89041096</v>
      </c>
      <c r="D25" s="38" t="n">
        <f aca="false">D13+D17+D23</f>
        <v>-8588399.78630137</v>
      </c>
      <c r="E25" s="38" t="n">
        <f aca="false">E13+E17+E23</f>
        <v>-826424.32328767</v>
      </c>
      <c r="F25" s="38" t="n">
        <f aca="false">F13+F17+F23</f>
        <v>0</v>
      </c>
      <c r="G25" s="38" t="n">
        <f aca="false">G13+G17+G23</f>
        <v>0</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8" t="s">
        <v>182</v>
      </c>
      <c r="C27" s="31" t="n">
        <f aca="false">Open_Cash</f>
        <v>20000000</v>
      </c>
      <c r="D27" s="31" t="n">
        <f aca="false">C28</f>
        <v>14414824.109589</v>
      </c>
      <c r="E27" s="31" t="n">
        <f aca="false">D28</f>
        <v>5826424.32328767</v>
      </c>
      <c r="F27" s="31" t="n">
        <f aca="false">E28</f>
        <v>5000000</v>
      </c>
      <c r="G27" s="31" t="n">
        <f aca="false">F28</f>
        <v>5000000</v>
      </c>
    </row>
    <row r="28" customFormat="false" ht="15" hidden="false" customHeight="false" outlineLevel="0" collapsed="false">
      <c r="A28" s="6"/>
      <c r="B28" s="7" t="s">
        <v>300</v>
      </c>
      <c r="C28" s="38" t="n">
        <f aca="false">C27+C25</f>
        <v>14414824.109589</v>
      </c>
      <c r="D28" s="38" t="n">
        <f aca="false">D27+D25</f>
        <v>5826424.32328767</v>
      </c>
      <c r="E28" s="38" t="n">
        <f aca="false">E27+E25</f>
        <v>5000000</v>
      </c>
      <c r="F28" s="38" t="n">
        <f aca="false">F27+F25</f>
        <v>5000000</v>
      </c>
      <c r="G28" s="38" t="n">
        <f aca="false">G27+G25</f>
        <v>5000000</v>
      </c>
    </row>
    <row r="29" customFormat="false" ht="15" hidden="false" customHeight="false" outlineLevel="0" collapsed="false">
      <c r="A29" s="6"/>
      <c r="B29" s="6"/>
      <c r="C29" s="6"/>
      <c r="D29" s="6"/>
      <c r="E29" s="6"/>
      <c r="F29" s="6"/>
      <c r="G29" s="6"/>
    </row>
    <row r="30" customFormat="false" ht="15" hidden="false" customHeight="false" outlineLevel="0" collapsed="false">
      <c r="A30" s="6"/>
      <c r="B30" s="25" t="s">
        <v>301</v>
      </c>
      <c r="C30" s="40" t="n">
        <f aca="false">C28-Cash_Minimum</f>
        <v>9414824.10958904</v>
      </c>
      <c r="D30" s="40" t="n">
        <f aca="false">D28-Cash_Minimum</f>
        <v>826424.32328767</v>
      </c>
      <c r="E30" s="40" t="n">
        <f aca="false">E28-Cash_Minimum</f>
        <v>0</v>
      </c>
      <c r="F30" s="40" t="n">
        <f aca="false">F28-Cash_Minimum</f>
        <v>0</v>
      </c>
      <c r="G30" s="40" t="n">
        <f aca="false">G28-Cash_Minimum</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302</v>
      </c>
      <c r="C2" s="3"/>
      <c r="D2" s="3"/>
      <c r="E2" s="3"/>
      <c r="F2" s="3"/>
      <c r="G2" s="3"/>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303</v>
      </c>
      <c r="C3" s="5"/>
      <c r="D3" s="5"/>
      <c r="E3" s="5"/>
      <c r="F3" s="5"/>
      <c r="G3" s="5"/>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3"/>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6"/>
      <c r="C7" s="6"/>
      <c r="D7" s="6"/>
      <c r="E7" s="6"/>
      <c r="F7" s="6"/>
      <c r="G7" s="6"/>
    </row>
    <row r="8" customFormat="false" ht="15" hidden="false" customHeight="false" outlineLevel="0" collapsed="false">
      <c r="A8" s="6"/>
      <c r="B8" s="9" t="s">
        <v>304</v>
      </c>
      <c r="C8" s="10"/>
      <c r="D8" s="10"/>
      <c r="E8" s="10"/>
      <c r="F8" s="10"/>
      <c r="G8" s="10"/>
    </row>
    <row r="9" customFormat="false" ht="15" hidden="false" customHeight="false" outlineLevel="0" collapsed="false">
      <c r="A9" s="6"/>
      <c r="B9" s="34" t="s">
        <v>245</v>
      </c>
      <c r="C9" s="31" t="n">
        <f aca="false">RB_Total_Revenue</f>
        <v>6950000</v>
      </c>
      <c r="D9" s="31" t="n">
        <f aca="false">RB_Total_Revenue</f>
        <v>11049500</v>
      </c>
      <c r="E9" s="31" t="n">
        <f aca="false">RB_Total_Revenue</f>
        <v>16291445</v>
      </c>
      <c r="F9" s="31" t="n">
        <f aca="false">RB_Total_Revenue</f>
        <v>22595143.85</v>
      </c>
      <c r="G9" s="31" t="n">
        <f aca="false">RB_Total_Revenue</f>
        <v>29238449.99375</v>
      </c>
    </row>
    <row r="10" customFormat="false" ht="15" hidden="false" customHeight="false" outlineLevel="0" collapsed="false">
      <c r="A10" s="6"/>
      <c r="B10" s="34" t="s">
        <v>305</v>
      </c>
      <c r="C10" s="31" t="n">
        <f aca="false">RB_Sub_Revenue+RB_Usage_Revenue</f>
        <v>5700000</v>
      </c>
      <c r="D10" s="31" t="n">
        <f aca="false">RB_Sub_Revenue+RB_Usage_Revenue</f>
        <v>9612000</v>
      </c>
      <c r="E10" s="31" t="n">
        <f aca="false">RB_Sub_Revenue+RB_Usage_Revenue</f>
        <v>14638320</v>
      </c>
      <c r="F10" s="31" t="n">
        <f aca="false">RB_Sub_Revenue+RB_Usage_Revenue</f>
        <v>20694050.1</v>
      </c>
      <c r="G10" s="31" t="n">
        <f aca="false">RB_Sub_Revenue+RB_Usage_Revenue</f>
        <v>27052192.18125</v>
      </c>
    </row>
    <row r="11" customFormat="false" ht="15" hidden="false" customHeight="false" outlineLevel="0" collapsed="false">
      <c r="A11" s="6"/>
      <c r="B11" s="34" t="s">
        <v>306</v>
      </c>
      <c r="C11" s="31" t="n">
        <f aca="false">C10/12</f>
        <v>475000</v>
      </c>
      <c r="D11" s="31" t="n">
        <f aca="false">D10/12</f>
        <v>801000</v>
      </c>
      <c r="E11" s="31" t="n">
        <f aca="false">E10/12</f>
        <v>1219860</v>
      </c>
      <c r="F11" s="31" t="n">
        <f aca="false">F10/12</f>
        <v>1724504.175</v>
      </c>
      <c r="G11" s="31" t="n">
        <f aca="false">G10/12</f>
        <v>2254349.3484375</v>
      </c>
    </row>
    <row r="12" customFormat="false" ht="15" hidden="false" customHeight="false" outlineLevel="0" collapsed="false">
      <c r="A12" s="6"/>
      <c r="B12" s="34" t="s">
        <v>307</v>
      </c>
      <c r="C12" s="44" t="n">
        <f aca="false">0</f>
        <v>0</v>
      </c>
      <c r="D12" s="44" t="n">
        <f aca="false">IFERROR(D9/C9-1,0)</f>
        <v>0.589856115107914</v>
      </c>
      <c r="E12" s="44" t="n">
        <f aca="false">IFERROR(E9/D9-1,0)</f>
        <v>0.474405629213991</v>
      </c>
      <c r="F12" s="44" t="n">
        <f aca="false">IFERROR(F9/E9-1,0)</f>
        <v>0.386933071314423</v>
      </c>
      <c r="G12" s="44" t="n">
        <f aca="false">IFERROR(G9/F9-1,0)</f>
        <v>0.294014775380596</v>
      </c>
    </row>
    <row r="13" customFormat="false" ht="15" hidden="false" customHeight="false" outlineLevel="0" collapsed="false">
      <c r="A13" s="6"/>
      <c r="B13" s="34" t="s">
        <v>212</v>
      </c>
      <c r="C13" s="44" t="n">
        <f aca="false">IFERROR(IS_Gross_Profit/IS_Total_Revenue,0)</f>
        <v>0.546676258992806</v>
      </c>
      <c r="D13" s="44" t="n">
        <f aca="false">IFERROR(IS_Gross_Profit/IS_Total_Revenue,0)</f>
        <v>0.65737309380515</v>
      </c>
      <c r="E13" s="44" t="n">
        <f aca="false">IFERROR(IS_Gross_Profit/IS_Total_Revenue,0)</f>
        <v>0.721354331920833</v>
      </c>
      <c r="F13" s="44" t="n">
        <f aca="false">IFERROR(IS_Gross_Profit/IS_Total_Revenue,0)</f>
        <v>0.760670319418214</v>
      </c>
      <c r="G13" s="44" t="n">
        <f aca="false">IFERROR(IS_Gross_Profit/IS_Total_Revenue,0)</f>
        <v>0.781713176963059</v>
      </c>
    </row>
    <row r="14" customFormat="false" ht="15" hidden="false" customHeight="false" outlineLevel="0" collapsed="false">
      <c r="A14" s="6"/>
      <c r="B14" s="34" t="s">
        <v>249</v>
      </c>
      <c r="C14" s="44" t="n">
        <f aca="false">IFERROR(IS_EBITDA/IS_Total_Revenue,0)</f>
        <v>-1.2690071942446</v>
      </c>
      <c r="D14" s="44" t="n">
        <f aca="false">IFERROR(IS_EBITDA/IS_Total_Revenue,0)</f>
        <v>-0.810095117426128</v>
      </c>
      <c r="E14" s="44" t="n">
        <f aca="false">IFERROR(IS_EBITDA/IS_Total_Revenue,0)</f>
        <v>-0.550241091321243</v>
      </c>
      <c r="F14" s="44" t="n">
        <f aca="false">IFERROR(IS_EBITDA/IS_Total_Revenue,0)</f>
        <v>-0.398500969371788</v>
      </c>
      <c r="G14" s="44" t="n">
        <f aca="false">IFERROR(IS_EBITDA/IS_Total_Revenue,0)</f>
        <v>-0.32866736825445</v>
      </c>
    </row>
    <row r="15" customFormat="false" ht="15" hidden="false" customHeight="false" outlineLevel="0" collapsed="false">
      <c r="A15" s="6"/>
      <c r="B15" s="34" t="s">
        <v>260</v>
      </c>
      <c r="C15" s="44" t="n">
        <f aca="false">IFERROR(IS_Net_Income/IS_Total_Revenue,0)</f>
        <v>-1.42847961630695</v>
      </c>
      <c r="D15" s="44" t="n">
        <f aca="false">IFERROR(IS_Net_Income/IS_Total_Revenue,0)</f>
        <v>-0.973564052672067</v>
      </c>
      <c r="E15" s="44" t="n">
        <f aca="false">IFERROR(IS_Net_Income/IS_Total_Revenue,0)</f>
        <v>-0.715505488269048</v>
      </c>
      <c r="F15" s="44" t="n">
        <f aca="false">IFERROR(IS_Net_Income/IS_Total_Revenue,0)</f>
        <v>-0.567195264938311</v>
      </c>
      <c r="G15" s="44" t="n">
        <f aca="false">IFERROR(IS_Net_Income/IS_Total_Revenue,0)</f>
        <v>-0.507195333680084</v>
      </c>
    </row>
    <row r="16" customFormat="false" ht="15" hidden="false" customHeight="false" outlineLevel="0" collapsed="false">
      <c r="A16" s="6"/>
      <c r="B16" s="34" t="s">
        <v>308</v>
      </c>
      <c r="C16" s="44" t="n">
        <f aca="false">IFERROR((Cash_Flow!C13+Cash_Flow!C17)/IS_Total_Revenue,0)</f>
        <v>-0.623766315167045</v>
      </c>
      <c r="D16" s="44" t="n">
        <f aca="false">IFERROR((Cash_Flow!D13+Cash_Flow!D17)/IS_Total_Revenue,0)</f>
        <v>-0.664138629467521</v>
      </c>
      <c r="E16" s="44" t="n">
        <f aca="false">IFERROR((Cash_Flow!E13+Cash_Flow!E17)/IS_Total_Revenue,0)</f>
        <v>-0.393890204233042</v>
      </c>
      <c r="F16" s="44" t="n">
        <f aca="false">IFERROR((Cash_Flow!F13+Cash_Flow!F17)/IS_Total_Revenue,0)</f>
        <v>-0.256892386457705</v>
      </c>
      <c r="G16" s="44" t="n">
        <f aca="false">IFERROR((Cash_Flow!G13+Cash_Flow!G17)/IS_Total_Revenue,0)</f>
        <v>-0.648130442418359</v>
      </c>
    </row>
    <row r="17" customFormat="false" ht="15" hidden="false" customHeight="false" outlineLevel="0" collapsed="false">
      <c r="A17" s="6"/>
      <c r="B17" s="34" t="s">
        <v>309</v>
      </c>
      <c r="C17" s="44" t="n">
        <f aca="false">C12+C16</f>
        <v>-0.623766315167045</v>
      </c>
      <c r="D17" s="44" t="n">
        <f aca="false">D12+D16</f>
        <v>-0.0742825143596071</v>
      </c>
      <c r="E17" s="44" t="n">
        <f aca="false">E12+E16</f>
        <v>0.0805154249809495</v>
      </c>
      <c r="F17" s="44" t="n">
        <f aca="false">F12+F16</f>
        <v>0.130040684856719</v>
      </c>
      <c r="G17" s="44" t="n">
        <f aca="false">G12+G16</f>
        <v>-0.354115667037763</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9" t="s">
        <v>168</v>
      </c>
      <c r="C19" s="10"/>
      <c r="D19" s="10"/>
      <c r="E19" s="10"/>
      <c r="F19" s="10"/>
      <c r="G19" s="10"/>
    </row>
    <row r="20" customFormat="false" ht="15" hidden="false" customHeight="false" outlineLevel="0" collapsed="false">
      <c r="A20" s="6"/>
      <c r="B20" s="34" t="s">
        <v>310</v>
      </c>
      <c r="C20" s="45" t="n">
        <f aca="false">IFERROR(1/Monthly_Churn,0)</f>
        <v>66.6666666666667</v>
      </c>
      <c r="D20" s="45" t="n">
        <f aca="false">IFERROR(1/Monthly_Churn,0)</f>
        <v>66.6666666666667</v>
      </c>
      <c r="E20" s="45" t="n">
        <f aca="false">IFERROR(1/Monthly_Churn,0)</f>
        <v>66.6666666666667</v>
      </c>
      <c r="F20" s="45" t="n">
        <f aca="false">IFERROR(1/Monthly_Churn,0)</f>
        <v>66.6666666666667</v>
      </c>
      <c r="G20" s="45" t="n">
        <f aca="false">IFERROR(1/Monthly_Churn,0)</f>
        <v>66.6666666666667</v>
      </c>
    </row>
    <row r="21" customFormat="false" ht="15" hidden="false" customHeight="false" outlineLevel="0" collapsed="false">
      <c r="A21" s="6"/>
      <c r="B21" s="34" t="s">
        <v>311</v>
      </c>
      <c r="C21" s="35" t="n">
        <f aca="false">ARPU_Monthly*C13*C20</f>
        <v>91112.7098321343</v>
      </c>
      <c r="D21" s="35" t="n">
        <f aca="false">ARPU_Monthly*D13*D20</f>
        <v>109562.182300858</v>
      </c>
      <c r="E21" s="35" t="n">
        <f aca="false">ARPU_Monthly*E13*E20</f>
        <v>120225.721986806</v>
      </c>
      <c r="F21" s="35" t="n">
        <f aca="false">ARPU_Monthly*F13*F20</f>
        <v>126778.386569702</v>
      </c>
      <c r="G21" s="35" t="n">
        <f aca="false">ARPU_Monthly*G13*G20</f>
        <v>130285.529493843</v>
      </c>
    </row>
    <row r="22" customFormat="false" ht="15" hidden="false" customHeight="false" outlineLevel="0" collapsed="false">
      <c r="A22" s="6"/>
      <c r="B22" s="34" t="s">
        <v>312</v>
      </c>
      <c r="C22" s="46" t="n">
        <f aca="false">IFERROR(C21/CAC_Per_Customer,0)</f>
        <v>3.64450839328537</v>
      </c>
      <c r="D22" s="46" t="n">
        <f aca="false">IFERROR(D21/CAC_Per_Customer,0)</f>
        <v>4.38248729203433</v>
      </c>
      <c r="E22" s="46" t="n">
        <f aca="false">IFERROR(E21/CAC_Per_Customer,0)</f>
        <v>4.80902887947222</v>
      </c>
      <c r="F22" s="46" t="n">
        <f aca="false">IFERROR(F21/CAC_Per_Customer,0)</f>
        <v>5.0711354627881</v>
      </c>
      <c r="G22" s="46" t="n">
        <f aca="false">IFERROR(G21/CAC_Per_Customer,0)</f>
        <v>5.21142117975373</v>
      </c>
    </row>
    <row r="23" customFormat="false" ht="15" hidden="false" customHeight="false" outlineLevel="0" collapsed="false">
      <c r="A23" s="6"/>
      <c r="B23" s="34" t="s">
        <v>313</v>
      </c>
      <c r="C23" s="45" t="n">
        <f aca="false">IFERROR(CAC_Per_Customer/(ARPU_Monthly*C13),0)</f>
        <v>18.2923619518871</v>
      </c>
      <c r="D23" s="45" t="n">
        <f aca="false">IFERROR(CAC_Per_Customer/(ARPU_Monthly*D13),0)</f>
        <v>15.2120616043407</v>
      </c>
      <c r="E23" s="45" t="n">
        <f aca="false">IFERROR(CAC_Per_Customer/(ARPU_Monthly*E13),0)</f>
        <v>13.8628127086613</v>
      </c>
      <c r="F23" s="45" t="n">
        <f aca="false">IFERROR(CAC_Per_Customer/(ARPU_Monthly*F13),0)</f>
        <v>13.146299710561</v>
      </c>
      <c r="G23" s="45" t="n">
        <f aca="false">IFERROR(CAC_Per_Customer/(ARPU_Monthly*G13),0)</f>
        <v>12.7924158050525</v>
      </c>
    </row>
    <row r="24" customFormat="false" ht="15" hidden="false" customHeight="false" outlineLevel="0" collapsed="false">
      <c r="A24" s="6"/>
      <c r="B24" s="34" t="s">
        <v>173</v>
      </c>
      <c r="C24" s="47" t="n">
        <f aca="false">NDR</f>
        <v>1.15</v>
      </c>
      <c r="D24" s="47" t="n">
        <f aca="false">NDR</f>
        <v>1.15</v>
      </c>
      <c r="E24" s="47" t="n">
        <f aca="false">NDR</f>
        <v>1.15</v>
      </c>
      <c r="F24" s="47" t="n">
        <f aca="false">NDR</f>
        <v>1.15</v>
      </c>
      <c r="G24" s="47" t="n">
        <f aca="false">NDR</f>
        <v>1.15</v>
      </c>
    </row>
    <row r="25" customFormat="false" ht="15" hidden="false" customHeight="false" outlineLevel="0" collapsed="false">
      <c r="A25" s="6"/>
      <c r="B25" s="34" t="s">
        <v>314</v>
      </c>
      <c r="C25" s="46" t="n">
        <f aca="false">0</f>
        <v>0</v>
      </c>
      <c r="D25" s="46" t="n">
        <f aca="false">IFERROR((D10-C10)*4/Income_Statement!C22,0)</f>
        <v>7.50503597122302</v>
      </c>
      <c r="E25" s="46" t="n">
        <f aca="false">IFERROR((E10-D10)*4/Income_Statement!D22,0)</f>
        <v>6.06521562061632</v>
      </c>
      <c r="F25" s="46" t="n">
        <f aca="false">IFERROR((F10-E10)*4/Income_Statement!E22,0)</f>
        <v>4.95616367977181</v>
      </c>
      <c r="G25" s="46" t="n">
        <f aca="false">IFERROR((G10-F10)*4/Income_Statement!F22,0)</f>
        <v>3.75192246231263</v>
      </c>
    </row>
    <row r="26" customFormat="false" ht="15" hidden="false" customHeight="false" outlineLevel="0" collapsed="false">
      <c r="A26" s="6"/>
      <c r="B26" s="39" t="s">
        <v>315</v>
      </c>
      <c r="C26" s="48" t="str">
        <f aca="false">IF(C22&lt;3,"REVIEW","OK")</f>
        <v>OK</v>
      </c>
      <c r="D26" s="48" t="str">
        <f aca="false">IF(D22&lt;3,"REVIEW","OK")</f>
        <v>OK</v>
      </c>
      <c r="E26" s="48" t="str">
        <f aca="false">IF(E22&lt;3,"REVIEW","OK")</f>
        <v>OK</v>
      </c>
      <c r="F26" s="48" t="str">
        <f aca="false">IF(F22&lt;3,"REVIEW","OK")</f>
        <v>OK</v>
      </c>
      <c r="G26" s="48" t="str">
        <f aca="false">IF(G22&lt;3,"REVIEW","OK")</f>
        <v>OK</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9" t="s">
        <v>316</v>
      </c>
      <c r="C28" s="10"/>
      <c r="D28" s="10"/>
      <c r="E28" s="10"/>
      <c r="F28" s="10"/>
      <c r="G28" s="10"/>
    </row>
    <row r="29" customFormat="false" ht="15" hidden="false" customHeight="false" outlineLevel="0" collapsed="false">
      <c r="A29" s="6"/>
      <c r="B29" s="34" t="s">
        <v>317</v>
      </c>
      <c r="C29" s="49" t="n">
        <f aca="false">IS_SBC/Implied_Share_Price</f>
        <v>16680</v>
      </c>
      <c r="D29" s="49" t="n">
        <f aca="false">IS_SBC/Implied_Share_Price</f>
        <v>26518.8</v>
      </c>
      <c r="E29" s="49" t="n">
        <f aca="false">IS_SBC/Implied_Share_Price</f>
        <v>39099.468</v>
      </c>
      <c r="F29" s="49" t="n">
        <f aca="false">IS_SBC/Implied_Share_Price</f>
        <v>54228.34524</v>
      </c>
      <c r="G29" s="49" t="n">
        <f aca="false">IS_SBC/Implied_Share_Price</f>
        <v>70172.279985</v>
      </c>
    </row>
    <row r="30" customFormat="false" ht="15" hidden="false" customHeight="false" outlineLevel="0" collapsed="false">
      <c r="A30" s="6"/>
      <c r="B30" s="34" t="s">
        <v>318</v>
      </c>
      <c r="C30" s="49" t="n">
        <f aca="false">Starting_Shares+SUM($C$29:C29)</f>
        <v>10016680</v>
      </c>
      <c r="D30" s="49" t="n">
        <f aca="false">Starting_Shares+SUM($C$29:D29)</f>
        <v>10043198.8</v>
      </c>
      <c r="E30" s="49" t="n">
        <f aca="false">Starting_Shares+SUM($C$29:E29)</f>
        <v>10082298.268</v>
      </c>
      <c r="F30" s="49" t="n">
        <f aca="false">Starting_Shares+SUM($C$29:F29)</f>
        <v>10136526.61324</v>
      </c>
      <c r="G30" s="49" t="n">
        <f aca="false">Starting_Shares+SUM($C$29:G29)</f>
        <v>10206698.893225</v>
      </c>
    </row>
    <row r="31" customFormat="false" ht="15" hidden="false" customHeight="false" outlineLevel="0" collapsed="false">
      <c r="A31" s="6"/>
      <c r="B31" s="34" t="s">
        <v>319</v>
      </c>
      <c r="C31" s="35" t="n">
        <f aca="false">IFERROR(IS_Net_Income/C30,0)</f>
        <v>-0.991140111627139</v>
      </c>
      <c r="D31" s="35" t="n">
        <f aca="false">IFERROR(IS_Net_Income/D30,0)</f>
        <v>-1.07111252243658</v>
      </c>
      <c r="E31" s="35" t="n">
        <f aca="false">IFERROR(IS_Net_Income/E30,0)</f>
        <v>-1.15614694184659</v>
      </c>
      <c r="F31" s="35" t="n">
        <f aca="false">IFERROR(IS_Net_Income/F30,0)</f>
        <v>-1.2643244664874</v>
      </c>
      <c r="G31" s="35" t="n">
        <f aca="false">IFERROR(IS_Net_Income/G30,0)</f>
        <v>-1.45292866537996</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9" t="s">
        <v>320</v>
      </c>
      <c r="C33" s="10"/>
      <c r="D33" s="10"/>
      <c r="E33" s="10"/>
      <c r="F33" s="10"/>
      <c r="G33" s="10"/>
    </row>
    <row r="34" customFormat="false" ht="15" hidden="false" customHeight="false" outlineLevel="0" collapsed="false">
      <c r="A34" s="6"/>
      <c r="B34" s="34" t="s">
        <v>321</v>
      </c>
      <c r="C34" s="45" t="n">
        <f aca="false">IFERROR(IF(AND(IS_Net_Income&lt;0,BS_Cash&gt;0),BS_Cash/(-IS_Net_Income/12),"N/A"),"N/A")</f>
        <v>17.4233532304543</v>
      </c>
      <c r="D34" s="45" t="n">
        <f aca="false">IFERROR(IF(AND(IS_Net_Income&lt;0,BS_Cash&gt;0),BS_Cash/(-IS_Net_Income/12),"N/A"),"N/A")</f>
        <v>6.49944390626245</v>
      </c>
      <c r="E34" s="45" t="n">
        <f aca="false">IFERROR(IF(AND(IS_Net_Income&lt;0,BS_Cash&gt;0),BS_Cash/(-IS_Net_Income/12),"N/A"),"N/A")</f>
        <v>5.14729044117012</v>
      </c>
      <c r="F34" s="45" t="n">
        <f aca="false">IFERROR(IF(AND(IS_Net_Income&lt;0,BS_Cash&gt;0),BS_Cash/(-IS_Net_Income/12),"N/A"),"N/A")</f>
        <v>4.68169959281062</v>
      </c>
      <c r="G34" s="45" t="n">
        <f aca="false">IFERROR(IF(AND(IS_Net_Income&lt;0,BS_Cash&gt;0),BS_Cash/(-IS_Net_Income/12),"N/A"),"N/A")</f>
        <v>4.04596065627519</v>
      </c>
    </row>
    <row r="35" customFormat="false" ht="15" hidden="false" customHeight="false" outlineLevel="0" collapsed="false">
      <c r="A35" s="6"/>
      <c r="B35" s="34" t="s">
        <v>322</v>
      </c>
      <c r="C35" s="50" t="n">
        <f aca="false">IFERROR(BS_Total_CA/BS_Total_CL,0)</f>
        <v>1.83834967792541</v>
      </c>
      <c r="D35" s="50" t="n">
        <f aca="false">IFERROR(BS_Total_CA/BS_Total_CL,0)</f>
        <v>0.598459288602734</v>
      </c>
      <c r="E35" s="50" t="n">
        <f aca="false">IFERROR(BS_Total_CA/BS_Total_CL,0)</f>
        <v>0.421268916130792</v>
      </c>
      <c r="F35" s="50" t="n">
        <f aca="false">IFERROR(BS_Total_CA/BS_Total_CL,0)</f>
        <v>0.377030181866068</v>
      </c>
      <c r="G35" s="50" t="n">
        <f aca="false">IFERROR(BS_Total_CA/BS_Total_CL,0)</f>
        <v>0.642113671047221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51" t="s">
        <v>323</v>
      </c>
    </row>
    <row r="3" customFormat="false" ht="3.75" hidden="false" customHeight="true" outlineLevel="0" collapsed="false">
      <c r="B3" s="52"/>
    </row>
    <row r="5" customFormat="false" ht="19.5" hidden="false" customHeight="true" outlineLevel="0" collapsed="false">
      <c r="B5" s="53" t="s">
        <v>324</v>
      </c>
    </row>
    <row r="6" customFormat="false" ht="48" hidden="false" customHeight="true" outlineLevel="0" collapsed="false">
      <c r="B6" s="54" t="s">
        <v>325</v>
      </c>
    </row>
    <row r="8" customFormat="false" ht="19.5" hidden="false" customHeight="true" outlineLevel="0" collapsed="false">
      <c r="B8" s="53" t="s">
        <v>326</v>
      </c>
    </row>
    <row r="9" customFormat="false" ht="61.5" hidden="false" customHeight="true" outlineLevel="0" collapsed="false">
      <c r="B9" s="54" t="s">
        <v>327</v>
      </c>
    </row>
    <row r="11" customFormat="false" ht="19.5" hidden="false" customHeight="true" outlineLevel="0" collapsed="false">
      <c r="B11" s="53" t="s">
        <v>328</v>
      </c>
    </row>
    <row r="12" customFormat="false" ht="75.75" hidden="false" customHeight="true" outlineLevel="0" collapsed="false">
      <c r="B12" s="54" t="s">
        <v>329</v>
      </c>
    </row>
    <row r="14" customFormat="false" ht="19.5" hidden="false" customHeight="true" outlineLevel="0" collapsed="false">
      <c r="B14" s="53" t="s">
        <v>330</v>
      </c>
    </row>
    <row r="15" customFormat="false" ht="61.5" hidden="false" customHeight="true" outlineLevel="0" collapsed="false">
      <c r="B15" s="54" t="s">
        <v>331</v>
      </c>
    </row>
    <row r="17" customFormat="false" ht="19.5" hidden="false" customHeight="true" outlineLevel="0" collapsed="false">
      <c r="B17" s="53" t="s">
        <v>332</v>
      </c>
    </row>
    <row r="18" customFormat="false" ht="33.75" hidden="false" customHeight="true" outlineLevel="0" collapsed="false">
      <c r="B18" s="54" t="s">
        <v>333</v>
      </c>
    </row>
    <row r="20" customFormat="false" ht="19.5" hidden="false" customHeight="true" outlineLevel="0" collapsed="false">
      <c r="B20" s="53" t="s">
        <v>334</v>
      </c>
    </row>
    <row r="21" customFormat="false" ht="33.75" hidden="false" customHeight="true" outlineLevel="0" collapsed="false">
      <c r="B21" s="54" t="s">
        <v>335</v>
      </c>
    </row>
    <row r="23" customFormat="false" ht="21.75" hidden="false" customHeight="true" outlineLevel="0" collapsed="false">
      <c r="B23" s="55" t="s">
        <v>336</v>
      </c>
    </row>
    <row r="25" customFormat="false" ht="18" hidden="false" customHeight="true" outlineLevel="0" collapsed="false">
      <c r="B25" s="56" t="s">
        <v>337</v>
      </c>
    </row>
    <row r="26" customFormat="false" ht="201.75" hidden="false" customHeight="true" outlineLevel="0" collapsed="false">
      <c r="B26" s="57" t="s">
        <v>338</v>
      </c>
    </row>
    <row r="28" customFormat="false" ht="18" hidden="false" customHeight="true" outlineLevel="0" collapsed="false">
      <c r="B28" s="58" t="s">
        <v>339</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9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41</v>
      </c>
      <c r="C2" s="3"/>
      <c r="D2" s="3"/>
      <c r="E2" s="3"/>
      <c r="F2" s="3"/>
      <c r="G2" s="3"/>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42</v>
      </c>
      <c r="C3" s="5"/>
      <c r="D3" s="5"/>
      <c r="E3" s="5"/>
      <c r="F3" s="5"/>
      <c r="G3" s="5"/>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3" t="s">
        <v>43</v>
      </c>
      <c r="C6" s="23" t="s">
        <v>44</v>
      </c>
      <c r="D6" s="23" t="s">
        <v>45</v>
      </c>
      <c r="E6" s="23" t="s">
        <v>46</v>
      </c>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47</v>
      </c>
      <c r="C8" s="10"/>
      <c r="D8" s="10"/>
      <c r="E8" s="10"/>
      <c r="F8" s="6"/>
      <c r="G8" s="6"/>
    </row>
    <row r="9" customFormat="false" ht="15" hidden="false" customHeight="false" outlineLevel="0" collapsed="false">
      <c r="A9" s="6"/>
      <c r="B9" s="8" t="s">
        <v>48</v>
      </c>
      <c r="C9" s="24" t="n">
        <v>2026</v>
      </c>
      <c r="D9" s="25"/>
      <c r="E9" s="25" t="s">
        <v>49</v>
      </c>
      <c r="F9" s="6"/>
      <c r="G9" s="6"/>
    </row>
    <row r="10" customFormat="false" ht="15" hidden="false" customHeight="false" outlineLevel="0" collapsed="false">
      <c r="A10" s="6"/>
      <c r="B10" s="6"/>
      <c r="C10" s="6"/>
      <c r="D10" s="6"/>
      <c r="E10" s="6"/>
      <c r="F10" s="6"/>
      <c r="G10" s="6"/>
    </row>
    <row r="11" customFormat="false" ht="15" hidden="false" customHeight="false" outlineLevel="0" collapsed="false">
      <c r="A11" s="6"/>
      <c r="B11" s="9" t="s">
        <v>50</v>
      </c>
      <c r="C11" s="10"/>
      <c r="D11" s="10"/>
      <c r="E11" s="10"/>
      <c r="F11" s="6"/>
      <c r="G11" s="6"/>
    </row>
    <row r="12" customFormat="false" ht="15" hidden="false" customHeight="false" outlineLevel="0" collapsed="false">
      <c r="A12" s="6"/>
      <c r="B12" s="8" t="s">
        <v>51</v>
      </c>
      <c r="C12" s="24" t="n">
        <v>100</v>
      </c>
      <c r="D12" s="25" t="s">
        <v>52</v>
      </c>
      <c r="E12" s="25" t="s">
        <v>53</v>
      </c>
      <c r="F12" s="6"/>
      <c r="G12" s="6"/>
    </row>
    <row r="13" customFormat="false" ht="15" hidden="false" customHeight="false" outlineLevel="0" collapsed="false">
      <c r="A13" s="6"/>
      <c r="B13" s="8" t="s">
        <v>54</v>
      </c>
      <c r="C13" s="26" t="n">
        <v>0.8</v>
      </c>
      <c r="D13" s="25" t="s">
        <v>55</v>
      </c>
      <c r="E13" s="25" t="s">
        <v>56</v>
      </c>
      <c r="F13" s="6"/>
      <c r="G13" s="6"/>
    </row>
    <row r="14" customFormat="false" ht="15" hidden="false" customHeight="false" outlineLevel="0" collapsed="false">
      <c r="A14" s="6"/>
      <c r="B14" s="8" t="s">
        <v>57</v>
      </c>
      <c r="C14" s="26" t="n">
        <v>0.6</v>
      </c>
      <c r="D14" s="25" t="s">
        <v>55</v>
      </c>
      <c r="E14" s="25"/>
      <c r="F14" s="6"/>
      <c r="G14" s="6"/>
    </row>
    <row r="15" customFormat="false" ht="15" hidden="false" customHeight="false" outlineLevel="0" collapsed="false">
      <c r="A15" s="6"/>
      <c r="B15" s="8" t="s">
        <v>58</v>
      </c>
      <c r="C15" s="26" t="n">
        <v>0.45</v>
      </c>
      <c r="D15" s="25" t="s">
        <v>55</v>
      </c>
      <c r="E15" s="25"/>
      <c r="F15" s="6"/>
      <c r="G15" s="6"/>
    </row>
    <row r="16" customFormat="false" ht="15" hidden="false" customHeight="false" outlineLevel="0" collapsed="false">
      <c r="A16" s="6"/>
      <c r="B16" s="8" t="s">
        <v>59</v>
      </c>
      <c r="C16" s="26" t="n">
        <v>0.35</v>
      </c>
      <c r="D16" s="25" t="s">
        <v>55</v>
      </c>
      <c r="E16" s="25"/>
      <c r="F16" s="6"/>
      <c r="G16" s="6"/>
    </row>
    <row r="17" customFormat="false" ht="15" hidden="false" customHeight="false" outlineLevel="0" collapsed="false">
      <c r="A17" s="6"/>
      <c r="B17" s="8" t="s">
        <v>60</v>
      </c>
      <c r="C17" s="26" t="n">
        <v>0.25</v>
      </c>
      <c r="D17" s="25" t="s">
        <v>55</v>
      </c>
      <c r="E17" s="25" t="s">
        <v>61</v>
      </c>
      <c r="F17" s="6"/>
      <c r="G17" s="6"/>
    </row>
    <row r="18" customFormat="false" ht="15" hidden="false" customHeight="false" outlineLevel="0" collapsed="false">
      <c r="A18" s="6"/>
      <c r="B18" s="8" t="s">
        <v>62</v>
      </c>
      <c r="C18" s="27" t="n">
        <v>2500</v>
      </c>
      <c r="D18" s="25" t="s">
        <v>63</v>
      </c>
      <c r="E18" s="25" t="s">
        <v>64</v>
      </c>
      <c r="F18" s="6"/>
      <c r="G18" s="6"/>
    </row>
    <row r="19" customFormat="false" ht="15" hidden="false" customHeight="false" outlineLevel="0" collapsed="false">
      <c r="A19" s="6"/>
      <c r="B19" s="8" t="s">
        <v>65</v>
      </c>
      <c r="C19" s="26" t="n">
        <v>0.05</v>
      </c>
      <c r="D19" s="25" t="s">
        <v>55</v>
      </c>
      <c r="E19" s="25" t="s">
        <v>66</v>
      </c>
      <c r="F19" s="6"/>
      <c r="G19" s="6"/>
    </row>
    <row r="20" customFormat="false" ht="15" hidden="false" customHeight="false" outlineLevel="0" collapsed="false">
      <c r="A20" s="6"/>
      <c r="B20" s="6"/>
      <c r="C20" s="6"/>
      <c r="D20" s="6"/>
      <c r="E20" s="6"/>
      <c r="F20" s="6"/>
      <c r="G20" s="6"/>
    </row>
    <row r="21" customFormat="false" ht="15" hidden="false" customHeight="false" outlineLevel="0" collapsed="false">
      <c r="A21" s="6"/>
      <c r="B21" s="9" t="s">
        <v>67</v>
      </c>
      <c r="C21" s="10"/>
      <c r="D21" s="10"/>
      <c r="E21" s="10"/>
      <c r="F21" s="6"/>
      <c r="G21" s="6"/>
    </row>
    <row r="22" customFormat="false" ht="15" hidden="false" customHeight="false" outlineLevel="0" collapsed="false">
      <c r="A22" s="6"/>
      <c r="B22" s="8" t="s">
        <v>68</v>
      </c>
      <c r="C22" s="24" t="n">
        <v>500000000</v>
      </c>
      <c r="D22" s="25" t="s">
        <v>69</v>
      </c>
      <c r="E22" s="25" t="s">
        <v>70</v>
      </c>
      <c r="F22" s="6"/>
      <c r="G22" s="6"/>
    </row>
    <row r="23" customFormat="false" ht="15" hidden="false" customHeight="false" outlineLevel="0" collapsed="false">
      <c r="A23" s="6"/>
      <c r="B23" s="8" t="s">
        <v>71</v>
      </c>
      <c r="C23" s="26" t="n">
        <v>1.5</v>
      </c>
      <c r="D23" s="25" t="s">
        <v>55</v>
      </c>
      <c r="E23" s="25" t="s">
        <v>72</v>
      </c>
      <c r="F23" s="6"/>
      <c r="G23" s="6"/>
    </row>
    <row r="24" customFormat="false" ht="15" hidden="false" customHeight="false" outlineLevel="0" collapsed="false">
      <c r="A24" s="6"/>
      <c r="B24" s="8" t="s">
        <v>73</v>
      </c>
      <c r="C24" s="26" t="n">
        <v>1</v>
      </c>
      <c r="D24" s="25" t="s">
        <v>55</v>
      </c>
      <c r="E24" s="25"/>
      <c r="F24" s="6"/>
      <c r="G24" s="6"/>
    </row>
    <row r="25" customFormat="false" ht="15" hidden="false" customHeight="false" outlineLevel="0" collapsed="false">
      <c r="A25" s="6"/>
      <c r="B25" s="8" t="s">
        <v>74</v>
      </c>
      <c r="C25" s="26" t="n">
        <v>0.7</v>
      </c>
      <c r="D25" s="25" t="s">
        <v>55</v>
      </c>
      <c r="E25" s="25"/>
      <c r="F25" s="6"/>
      <c r="G25" s="6"/>
    </row>
    <row r="26" customFormat="false" ht="15" hidden="false" customHeight="false" outlineLevel="0" collapsed="false">
      <c r="A26" s="6"/>
      <c r="B26" s="8" t="s">
        <v>75</v>
      </c>
      <c r="C26" s="26" t="n">
        <v>0.5</v>
      </c>
      <c r="D26" s="25" t="s">
        <v>55</v>
      </c>
      <c r="E26" s="25"/>
      <c r="F26" s="6"/>
      <c r="G26" s="6"/>
    </row>
    <row r="27" customFormat="false" ht="15" hidden="false" customHeight="false" outlineLevel="0" collapsed="false">
      <c r="A27" s="6"/>
      <c r="B27" s="8" t="s">
        <v>76</v>
      </c>
      <c r="C27" s="26" t="n">
        <v>0.35</v>
      </c>
      <c r="D27" s="25" t="s">
        <v>55</v>
      </c>
      <c r="E27" s="25" t="s">
        <v>77</v>
      </c>
      <c r="F27" s="6"/>
      <c r="G27" s="6"/>
    </row>
    <row r="28" customFormat="false" ht="15" hidden="false" customHeight="false" outlineLevel="0" collapsed="false">
      <c r="A28" s="6"/>
      <c r="B28" s="8" t="s">
        <v>78</v>
      </c>
      <c r="C28" s="28" t="n">
        <v>0.02</v>
      </c>
      <c r="D28" s="25" t="s">
        <v>63</v>
      </c>
      <c r="E28" s="25" t="s">
        <v>79</v>
      </c>
      <c r="F28" s="6"/>
      <c r="G28" s="6"/>
    </row>
    <row r="29" customFormat="false" ht="15" hidden="false" customHeight="false" outlineLevel="0" collapsed="false">
      <c r="A29" s="6"/>
      <c r="B29" s="8" t="s">
        <v>80</v>
      </c>
      <c r="C29" s="26" t="n">
        <v>0.1</v>
      </c>
      <c r="D29" s="25" t="s">
        <v>55</v>
      </c>
      <c r="E29" s="25" t="s">
        <v>81</v>
      </c>
      <c r="F29" s="6"/>
      <c r="G29" s="6"/>
    </row>
    <row r="30" customFormat="false" ht="15" hidden="false" customHeight="false" outlineLevel="0" collapsed="false">
      <c r="A30" s="6"/>
      <c r="B30" s="6"/>
      <c r="C30" s="6"/>
      <c r="D30" s="6"/>
      <c r="E30" s="6"/>
      <c r="F30" s="6"/>
      <c r="G30" s="6"/>
    </row>
    <row r="31" customFormat="false" ht="15" hidden="false" customHeight="false" outlineLevel="0" collapsed="false">
      <c r="A31" s="6"/>
      <c r="B31" s="9" t="s">
        <v>82</v>
      </c>
      <c r="C31" s="10"/>
      <c r="D31" s="10"/>
      <c r="E31" s="10"/>
      <c r="F31" s="6"/>
      <c r="G31" s="6"/>
    </row>
    <row r="32" customFormat="false" ht="15" hidden="false" customHeight="false" outlineLevel="0" collapsed="false">
      <c r="A32" s="6"/>
      <c r="B32" s="8" t="s">
        <v>83</v>
      </c>
      <c r="C32" s="24" t="n">
        <v>5000</v>
      </c>
      <c r="D32" s="25" t="s">
        <v>84</v>
      </c>
      <c r="E32" s="25" t="s">
        <v>85</v>
      </c>
      <c r="F32" s="6"/>
      <c r="G32" s="6"/>
    </row>
    <row r="33" customFormat="false" ht="15" hidden="false" customHeight="false" outlineLevel="0" collapsed="false">
      <c r="A33" s="6"/>
      <c r="B33" s="8" t="s">
        <v>86</v>
      </c>
      <c r="C33" s="26" t="n">
        <v>0.15</v>
      </c>
      <c r="D33" s="25" t="s">
        <v>55</v>
      </c>
      <c r="E33" s="25" t="s">
        <v>87</v>
      </c>
      <c r="F33" s="6"/>
      <c r="G33" s="6"/>
    </row>
    <row r="34" customFormat="false" ht="15" hidden="false" customHeight="false" outlineLevel="0" collapsed="false">
      <c r="A34" s="6"/>
      <c r="B34" s="8" t="s">
        <v>88</v>
      </c>
      <c r="C34" s="27" t="n">
        <v>250</v>
      </c>
      <c r="D34" s="25" t="s">
        <v>63</v>
      </c>
      <c r="E34" s="25" t="s">
        <v>89</v>
      </c>
      <c r="F34" s="6"/>
      <c r="G34" s="6"/>
    </row>
    <row r="35" customFormat="false" ht="15" hidden="false" customHeight="false" outlineLevel="0" collapsed="false">
      <c r="A35" s="6"/>
      <c r="B35" s="6"/>
      <c r="C35" s="6"/>
      <c r="D35" s="6"/>
      <c r="E35" s="6"/>
      <c r="F35" s="6"/>
      <c r="G35" s="6"/>
    </row>
    <row r="36" customFormat="false" ht="15" hidden="false" customHeight="false" outlineLevel="0" collapsed="false">
      <c r="A36" s="6"/>
      <c r="B36" s="9" t="s">
        <v>90</v>
      </c>
      <c r="C36" s="10"/>
      <c r="D36" s="10"/>
      <c r="E36" s="10"/>
      <c r="F36" s="6"/>
      <c r="G36" s="6"/>
    </row>
    <row r="37" customFormat="false" ht="15" hidden="false" customHeight="false" outlineLevel="0" collapsed="false">
      <c r="A37" s="6"/>
      <c r="B37" s="8" t="s">
        <v>91</v>
      </c>
      <c r="C37" s="28" t="n">
        <v>0.008</v>
      </c>
      <c r="D37" s="25" t="s">
        <v>63</v>
      </c>
      <c r="E37" s="25" t="s">
        <v>92</v>
      </c>
      <c r="F37" s="6"/>
      <c r="G37" s="6"/>
    </row>
    <row r="38" customFormat="false" ht="15" hidden="false" customHeight="false" outlineLevel="0" collapsed="false">
      <c r="A38" s="6"/>
      <c r="B38" s="8" t="s">
        <v>93</v>
      </c>
      <c r="C38" s="26" t="n">
        <v>0.12</v>
      </c>
      <c r="D38" s="25" t="s">
        <v>55</v>
      </c>
      <c r="E38" s="25" t="s">
        <v>94</v>
      </c>
      <c r="F38" s="6"/>
      <c r="G38" s="6"/>
    </row>
    <row r="39" customFormat="false" ht="15" hidden="false" customHeight="false" outlineLevel="0" collapsed="false">
      <c r="A39" s="6"/>
      <c r="B39" s="8" t="s">
        <v>95</v>
      </c>
      <c r="C39" s="26" t="n">
        <v>0.4</v>
      </c>
      <c r="D39" s="25" t="s">
        <v>55</v>
      </c>
      <c r="E39" s="25" t="s">
        <v>96</v>
      </c>
      <c r="F39" s="6"/>
      <c r="G39" s="6"/>
    </row>
    <row r="40" customFormat="false" ht="15" hidden="false" customHeight="false" outlineLevel="0" collapsed="false">
      <c r="A40" s="6"/>
      <c r="B40" s="8" t="s">
        <v>97</v>
      </c>
      <c r="C40" s="26" t="n">
        <v>0.3</v>
      </c>
      <c r="D40" s="25" t="s">
        <v>55</v>
      </c>
      <c r="E40" s="25" t="s">
        <v>98</v>
      </c>
      <c r="F40" s="6"/>
      <c r="G40" s="6"/>
    </row>
    <row r="41" customFormat="false" ht="15" hidden="false" customHeight="false" outlineLevel="0" collapsed="false">
      <c r="A41" s="6"/>
      <c r="B41" s="8" t="s">
        <v>99</v>
      </c>
      <c r="C41" s="29" t="n">
        <v>1200000</v>
      </c>
      <c r="D41" s="25" t="s">
        <v>63</v>
      </c>
      <c r="E41" s="25" t="s">
        <v>100</v>
      </c>
      <c r="F41" s="6"/>
      <c r="G41" s="6"/>
    </row>
    <row r="42" customFormat="false" ht="15" hidden="false" customHeight="false" outlineLevel="0" collapsed="false">
      <c r="A42" s="6"/>
      <c r="B42" s="8" t="s">
        <v>101</v>
      </c>
      <c r="C42" s="26" t="n">
        <v>0.2</v>
      </c>
      <c r="D42" s="25" t="s">
        <v>55</v>
      </c>
      <c r="E42" s="25" t="s">
        <v>102</v>
      </c>
      <c r="F42" s="6"/>
      <c r="G42" s="6"/>
    </row>
    <row r="43" customFormat="false" ht="15" hidden="false" customHeight="false" outlineLevel="0" collapsed="false">
      <c r="A43" s="6"/>
      <c r="B43" s="8" t="s">
        <v>103</v>
      </c>
      <c r="C43" s="29" t="n">
        <v>800000</v>
      </c>
      <c r="D43" s="25" t="s">
        <v>63</v>
      </c>
      <c r="E43" s="25" t="s">
        <v>104</v>
      </c>
      <c r="F43" s="6"/>
      <c r="G43" s="6"/>
    </row>
    <row r="44" customFormat="false" ht="15" hidden="false" customHeight="false" outlineLevel="0" collapsed="false">
      <c r="A44" s="6"/>
      <c r="B44" s="8" t="s">
        <v>105</v>
      </c>
      <c r="C44" s="26" t="n">
        <v>0.15</v>
      </c>
      <c r="D44" s="25" t="s">
        <v>55</v>
      </c>
      <c r="E44" s="25" t="s">
        <v>106</v>
      </c>
      <c r="F44" s="6"/>
      <c r="G44" s="6"/>
    </row>
    <row r="45" customFormat="false" ht="15" hidden="false" customHeight="false" outlineLevel="0" collapsed="false">
      <c r="A45" s="6"/>
      <c r="B45" s="8" t="s">
        <v>107</v>
      </c>
      <c r="C45" s="26" t="n">
        <v>0.2</v>
      </c>
      <c r="D45" s="25" t="s">
        <v>55</v>
      </c>
      <c r="E45" s="25" t="s">
        <v>108</v>
      </c>
      <c r="F45" s="6"/>
      <c r="G45" s="6"/>
    </row>
    <row r="46" customFormat="false" ht="15" hidden="false" customHeight="false" outlineLevel="0" collapsed="false">
      <c r="A46" s="6"/>
      <c r="B46" s="8" t="s">
        <v>109</v>
      </c>
      <c r="C46" s="28" t="n">
        <v>0.015</v>
      </c>
      <c r="D46" s="25" t="s">
        <v>63</v>
      </c>
      <c r="E46" s="25" t="s">
        <v>110</v>
      </c>
      <c r="F46" s="6"/>
      <c r="G46" s="6"/>
    </row>
    <row r="47" customFormat="false" ht="15" hidden="false" customHeight="false" outlineLevel="0" collapsed="false">
      <c r="A47" s="6"/>
      <c r="B47" s="8" t="s">
        <v>111</v>
      </c>
      <c r="C47" s="26" t="n">
        <v>0.8</v>
      </c>
      <c r="D47" s="25" t="s">
        <v>55</v>
      </c>
      <c r="E47" s="25" t="s">
        <v>112</v>
      </c>
      <c r="F47" s="6"/>
      <c r="G47" s="6"/>
    </row>
    <row r="48" customFormat="false" ht="15" hidden="false" customHeight="false" outlineLevel="0" collapsed="false">
      <c r="A48" s="6"/>
      <c r="B48" s="6"/>
      <c r="C48" s="6"/>
      <c r="D48" s="6"/>
      <c r="E48" s="6"/>
      <c r="F48" s="6"/>
      <c r="G48" s="6"/>
    </row>
    <row r="49" customFormat="false" ht="15" hidden="false" customHeight="false" outlineLevel="0" collapsed="false">
      <c r="A49" s="6"/>
      <c r="B49" s="9" t="s">
        <v>113</v>
      </c>
      <c r="C49" s="10"/>
      <c r="D49" s="10"/>
      <c r="E49" s="10"/>
      <c r="F49" s="6"/>
      <c r="G49" s="6"/>
    </row>
    <row r="50" customFormat="false" ht="15" hidden="false" customHeight="false" outlineLevel="0" collapsed="false">
      <c r="A50" s="6"/>
      <c r="B50" s="8" t="s">
        <v>114</v>
      </c>
      <c r="C50" s="29" t="n">
        <v>8000000</v>
      </c>
      <c r="D50" s="25" t="s">
        <v>63</v>
      </c>
      <c r="E50" s="25" t="s">
        <v>115</v>
      </c>
      <c r="F50" s="6"/>
      <c r="G50" s="6"/>
    </row>
    <row r="51" customFormat="false" ht="15" hidden="false" customHeight="false" outlineLevel="0" collapsed="false">
      <c r="A51" s="6"/>
      <c r="B51" s="8" t="s">
        <v>116</v>
      </c>
      <c r="C51" s="26" t="n">
        <v>0.25</v>
      </c>
      <c r="D51" s="25" t="s">
        <v>55</v>
      </c>
      <c r="E51" s="25" t="s">
        <v>117</v>
      </c>
      <c r="F51" s="6"/>
      <c r="G51" s="6"/>
    </row>
    <row r="52" customFormat="false" ht="15" hidden="false" customHeight="false" outlineLevel="0" collapsed="false">
      <c r="A52" s="6"/>
      <c r="B52" s="8" t="s">
        <v>118</v>
      </c>
      <c r="C52" s="26" t="n">
        <v>0.2</v>
      </c>
      <c r="D52" s="25" t="s">
        <v>55</v>
      </c>
      <c r="E52" s="25" t="s">
        <v>119</v>
      </c>
      <c r="F52" s="6"/>
      <c r="G52" s="6"/>
    </row>
    <row r="53" customFormat="false" ht="15" hidden="false" customHeight="false" outlineLevel="0" collapsed="false">
      <c r="A53" s="6"/>
      <c r="B53" s="8" t="s">
        <v>120</v>
      </c>
      <c r="C53" s="26" t="n">
        <v>0.3</v>
      </c>
      <c r="D53" s="25" t="s">
        <v>55</v>
      </c>
      <c r="E53" s="25" t="s">
        <v>121</v>
      </c>
      <c r="F53" s="6"/>
      <c r="G53" s="6"/>
    </row>
    <row r="54" customFormat="false" ht="15" hidden="false" customHeight="false" outlineLevel="0" collapsed="false">
      <c r="A54" s="6"/>
      <c r="B54" s="8" t="s">
        <v>122</v>
      </c>
      <c r="C54" s="29" t="n">
        <v>2500000</v>
      </c>
      <c r="D54" s="25" t="s">
        <v>63</v>
      </c>
      <c r="E54" s="25" t="s">
        <v>123</v>
      </c>
      <c r="F54" s="6"/>
      <c r="G54" s="6"/>
    </row>
    <row r="55" customFormat="false" ht="15" hidden="false" customHeight="false" outlineLevel="0" collapsed="false">
      <c r="A55" s="6"/>
      <c r="B55" s="8" t="s">
        <v>124</v>
      </c>
      <c r="C55" s="26" t="n">
        <v>0.1</v>
      </c>
      <c r="D55" s="25" t="s">
        <v>55</v>
      </c>
      <c r="E55" s="25" t="s">
        <v>125</v>
      </c>
      <c r="F55" s="6"/>
      <c r="G55" s="6"/>
    </row>
    <row r="56" customFormat="false" ht="15" hidden="false" customHeight="false" outlineLevel="0" collapsed="false">
      <c r="A56" s="6"/>
      <c r="B56" s="8" t="s">
        <v>126</v>
      </c>
      <c r="C56" s="26" t="n">
        <v>0.12</v>
      </c>
      <c r="D56" s="25" t="s">
        <v>55</v>
      </c>
      <c r="E56" s="25" t="s">
        <v>127</v>
      </c>
      <c r="F56" s="6"/>
      <c r="G56" s="6"/>
    </row>
    <row r="57" customFormat="false" ht="15" hidden="false" customHeight="false" outlineLevel="0" collapsed="false">
      <c r="A57" s="6"/>
      <c r="B57" s="8" t="s">
        <v>128</v>
      </c>
      <c r="C57" s="29" t="n">
        <v>600000</v>
      </c>
      <c r="D57" s="25" t="s">
        <v>63</v>
      </c>
      <c r="E57" s="25" t="s">
        <v>129</v>
      </c>
      <c r="F57" s="6"/>
      <c r="G57" s="6"/>
    </row>
    <row r="58" customFormat="false" ht="15" hidden="false" customHeight="false" outlineLevel="0" collapsed="false">
      <c r="A58" s="6"/>
      <c r="B58" s="8" t="s">
        <v>130</v>
      </c>
      <c r="C58" s="26" t="n">
        <v>0.03</v>
      </c>
      <c r="D58" s="25" t="s">
        <v>55</v>
      </c>
      <c r="E58" s="25" t="s">
        <v>131</v>
      </c>
      <c r="F58" s="6"/>
      <c r="G58" s="6"/>
    </row>
    <row r="59" customFormat="false" ht="15" hidden="false" customHeight="false" outlineLevel="0" collapsed="false">
      <c r="A59" s="6"/>
      <c r="B59" s="8" t="s">
        <v>132</v>
      </c>
      <c r="C59" s="29" t="n">
        <v>200000</v>
      </c>
      <c r="D59" s="25" t="s">
        <v>63</v>
      </c>
      <c r="E59" s="25" t="s">
        <v>133</v>
      </c>
      <c r="F59" s="6"/>
      <c r="G59" s="6"/>
    </row>
    <row r="60" customFormat="false" ht="15" hidden="false" customHeight="false" outlineLevel="0" collapsed="false">
      <c r="A60" s="6"/>
      <c r="B60" s="8" t="s">
        <v>134</v>
      </c>
      <c r="C60" s="26" t="n">
        <v>0.03</v>
      </c>
      <c r="D60" s="25" t="s">
        <v>55</v>
      </c>
      <c r="E60" s="25" t="s">
        <v>131</v>
      </c>
      <c r="F60" s="6"/>
      <c r="G60" s="6"/>
    </row>
    <row r="61" customFormat="false" ht="15" hidden="false" customHeight="false" outlineLevel="0" collapsed="false">
      <c r="A61" s="6"/>
      <c r="B61" s="6"/>
      <c r="C61" s="6"/>
      <c r="D61" s="6"/>
      <c r="E61" s="6"/>
      <c r="F61" s="6"/>
      <c r="G61" s="6"/>
    </row>
    <row r="62" customFormat="false" ht="15" hidden="false" customHeight="false" outlineLevel="0" collapsed="false">
      <c r="A62" s="6"/>
      <c r="B62" s="9" t="s">
        <v>135</v>
      </c>
      <c r="C62" s="10"/>
      <c r="D62" s="10"/>
      <c r="E62" s="10"/>
      <c r="F62" s="6"/>
      <c r="G62" s="6"/>
    </row>
    <row r="63" customFormat="false" ht="15" hidden="false" customHeight="false" outlineLevel="0" collapsed="false">
      <c r="A63" s="6"/>
      <c r="B63" s="8" t="s">
        <v>136</v>
      </c>
      <c r="C63" s="29" t="n">
        <v>500000</v>
      </c>
      <c r="D63" s="25" t="s">
        <v>63</v>
      </c>
      <c r="E63" s="25" t="s">
        <v>137</v>
      </c>
      <c r="F63" s="6"/>
      <c r="G63" s="6"/>
    </row>
    <row r="64" customFormat="false" ht="15" hidden="false" customHeight="false" outlineLevel="0" collapsed="false">
      <c r="A64" s="6"/>
      <c r="B64" s="8" t="s">
        <v>138</v>
      </c>
      <c r="C64" s="26" t="n">
        <v>0.15</v>
      </c>
      <c r="D64" s="25" t="s">
        <v>55</v>
      </c>
      <c r="E64" s="25" t="s">
        <v>139</v>
      </c>
      <c r="F64" s="6"/>
      <c r="G64" s="6"/>
    </row>
    <row r="65" customFormat="false" ht="15" hidden="false" customHeight="false" outlineLevel="0" collapsed="false">
      <c r="A65" s="6"/>
      <c r="B65" s="8" t="s">
        <v>140</v>
      </c>
      <c r="C65" s="24" t="n">
        <v>3</v>
      </c>
      <c r="D65" s="25" t="s">
        <v>141</v>
      </c>
      <c r="E65" s="25" t="s">
        <v>142</v>
      </c>
      <c r="F65" s="6"/>
      <c r="G65" s="6"/>
    </row>
    <row r="66" customFormat="false" ht="15" hidden="false" customHeight="false" outlineLevel="0" collapsed="false">
      <c r="A66" s="6"/>
      <c r="B66" s="8" t="s">
        <v>143</v>
      </c>
      <c r="C66" s="24" t="n">
        <v>4</v>
      </c>
      <c r="D66" s="25" t="s">
        <v>141</v>
      </c>
      <c r="E66" s="25" t="s">
        <v>144</v>
      </c>
      <c r="F66" s="6"/>
      <c r="G66" s="6"/>
    </row>
    <row r="67" customFormat="false" ht="15" hidden="false" customHeight="false" outlineLevel="0" collapsed="false">
      <c r="A67" s="6"/>
      <c r="B67" s="6"/>
      <c r="C67" s="6"/>
      <c r="D67" s="6"/>
      <c r="E67" s="6"/>
      <c r="F67" s="6"/>
      <c r="G67" s="6"/>
    </row>
    <row r="68" customFormat="false" ht="15" hidden="false" customHeight="false" outlineLevel="0" collapsed="false">
      <c r="A68" s="6"/>
      <c r="B68" s="9" t="s">
        <v>145</v>
      </c>
      <c r="C68" s="10"/>
      <c r="D68" s="10"/>
      <c r="E68" s="10"/>
      <c r="F68" s="6"/>
      <c r="G68" s="6"/>
    </row>
    <row r="69" customFormat="false" ht="15" hidden="false" customHeight="false" outlineLevel="0" collapsed="false">
      <c r="A69" s="6"/>
      <c r="B69" s="8" t="s">
        <v>146</v>
      </c>
      <c r="C69" s="24" t="n">
        <v>45</v>
      </c>
      <c r="D69" s="25" t="s">
        <v>147</v>
      </c>
      <c r="E69" s="25" t="s">
        <v>148</v>
      </c>
      <c r="F69" s="6"/>
      <c r="G69" s="6"/>
    </row>
    <row r="70" customFormat="false" ht="15" hidden="false" customHeight="false" outlineLevel="0" collapsed="false">
      <c r="A70" s="6"/>
      <c r="B70" s="8" t="s">
        <v>149</v>
      </c>
      <c r="C70" s="24" t="n">
        <v>30</v>
      </c>
      <c r="D70" s="25" t="s">
        <v>147</v>
      </c>
      <c r="E70" s="25" t="s">
        <v>150</v>
      </c>
      <c r="F70" s="6"/>
      <c r="G70" s="6"/>
    </row>
    <row r="71" customFormat="false" ht="15" hidden="false" customHeight="false" outlineLevel="0" collapsed="false">
      <c r="A71" s="6"/>
      <c r="B71" s="8" t="s">
        <v>151</v>
      </c>
      <c r="C71" s="26" t="n">
        <v>0.8</v>
      </c>
      <c r="D71" s="25" t="s">
        <v>55</v>
      </c>
      <c r="E71" s="25" t="s">
        <v>152</v>
      </c>
      <c r="F71" s="6"/>
      <c r="G71" s="6"/>
    </row>
    <row r="72" customFormat="false" ht="15" hidden="false" customHeight="false" outlineLevel="0" collapsed="false">
      <c r="A72" s="6"/>
      <c r="B72" s="8" t="s">
        <v>153</v>
      </c>
      <c r="C72" s="26" t="n">
        <v>0.08</v>
      </c>
      <c r="D72" s="25" t="s">
        <v>55</v>
      </c>
      <c r="E72" s="25" t="s">
        <v>154</v>
      </c>
      <c r="F72" s="6"/>
      <c r="G72" s="6"/>
    </row>
    <row r="73" customFormat="false" ht="15" hidden="false" customHeight="false" outlineLevel="0" collapsed="false">
      <c r="A73" s="6"/>
      <c r="B73" s="6"/>
      <c r="C73" s="6"/>
      <c r="D73" s="6"/>
      <c r="E73" s="6"/>
      <c r="F73" s="6"/>
      <c r="G73" s="6"/>
    </row>
    <row r="74" customFormat="false" ht="15" hidden="false" customHeight="false" outlineLevel="0" collapsed="false">
      <c r="A74" s="6"/>
      <c r="B74" s="9" t="s">
        <v>155</v>
      </c>
      <c r="C74" s="10"/>
      <c r="D74" s="10"/>
      <c r="E74" s="10"/>
      <c r="F74" s="6"/>
      <c r="G74" s="6"/>
    </row>
    <row r="75" customFormat="false" ht="15" hidden="false" customHeight="false" outlineLevel="0" collapsed="false">
      <c r="A75" s="6"/>
      <c r="B75" s="8" t="s">
        <v>156</v>
      </c>
      <c r="C75" s="29" t="n">
        <v>5000000</v>
      </c>
      <c r="D75" s="25" t="s">
        <v>63</v>
      </c>
      <c r="E75" s="25" t="s">
        <v>157</v>
      </c>
      <c r="F75" s="6"/>
      <c r="G75" s="6"/>
    </row>
    <row r="76" customFormat="false" ht="15" hidden="false" customHeight="false" outlineLevel="0" collapsed="false">
      <c r="A76" s="6"/>
      <c r="B76" s="8" t="s">
        <v>158</v>
      </c>
      <c r="C76" s="26" t="n">
        <v>0.09</v>
      </c>
      <c r="D76" s="25" t="s">
        <v>55</v>
      </c>
      <c r="E76" s="25" t="s">
        <v>159</v>
      </c>
      <c r="F76" s="6"/>
      <c r="G76" s="6"/>
    </row>
    <row r="77" customFormat="false" ht="15" hidden="false" customHeight="false" outlineLevel="0" collapsed="false">
      <c r="A77" s="6"/>
      <c r="B77" s="8" t="s">
        <v>160</v>
      </c>
      <c r="C77" s="24" t="n">
        <v>4</v>
      </c>
      <c r="D77" s="25" t="s">
        <v>141</v>
      </c>
      <c r="E77" s="25" t="s">
        <v>161</v>
      </c>
      <c r="F77" s="6"/>
      <c r="G77" s="6"/>
    </row>
    <row r="78" customFormat="false" ht="15" hidden="false" customHeight="false" outlineLevel="0" collapsed="false">
      <c r="A78" s="6"/>
      <c r="B78" s="6"/>
      <c r="C78" s="6"/>
      <c r="D78" s="6"/>
      <c r="E78" s="6"/>
      <c r="F78" s="6"/>
      <c r="G78" s="6"/>
    </row>
    <row r="79" customFormat="false" ht="15" hidden="false" customHeight="false" outlineLevel="0" collapsed="false">
      <c r="A79" s="6"/>
      <c r="B79" s="9" t="s">
        <v>162</v>
      </c>
      <c r="C79" s="10"/>
      <c r="D79" s="10"/>
      <c r="E79" s="10"/>
      <c r="F79" s="6"/>
      <c r="G79" s="6"/>
    </row>
    <row r="80" customFormat="false" ht="15" hidden="false" customHeight="false" outlineLevel="0" collapsed="false">
      <c r="A80" s="6"/>
      <c r="B80" s="8" t="s">
        <v>163</v>
      </c>
      <c r="C80" s="26" t="n">
        <v>0.21</v>
      </c>
      <c r="D80" s="25" t="s">
        <v>55</v>
      </c>
      <c r="E80" s="25" t="s">
        <v>164</v>
      </c>
      <c r="F80" s="6"/>
      <c r="G80" s="6"/>
    </row>
    <row r="81" customFormat="false" ht="15" hidden="false" customHeight="false" outlineLevel="0" collapsed="false">
      <c r="A81" s="6"/>
      <c r="B81" s="6"/>
      <c r="C81" s="6"/>
      <c r="D81" s="6"/>
      <c r="E81" s="6"/>
      <c r="F81" s="6"/>
      <c r="G81" s="6"/>
    </row>
    <row r="82" customFormat="false" ht="15" hidden="false" customHeight="false" outlineLevel="0" collapsed="false">
      <c r="A82" s="6"/>
      <c r="B82" s="9" t="s">
        <v>165</v>
      </c>
      <c r="C82" s="10"/>
      <c r="D82" s="10"/>
      <c r="E82" s="10"/>
      <c r="F82" s="6"/>
      <c r="G82" s="6"/>
    </row>
    <row r="83" customFormat="false" ht="15" hidden="false" customHeight="false" outlineLevel="0" collapsed="false">
      <c r="A83" s="6"/>
      <c r="B83" s="8" t="s">
        <v>166</v>
      </c>
      <c r="C83" s="29" t="n">
        <v>5000000</v>
      </c>
      <c r="D83" s="25" t="s">
        <v>63</v>
      </c>
      <c r="E83" s="25" t="s">
        <v>167</v>
      </c>
      <c r="F83" s="6"/>
      <c r="G83" s="6"/>
    </row>
    <row r="84" customFormat="false" ht="15" hidden="false" customHeight="false" outlineLevel="0" collapsed="false">
      <c r="A84" s="6"/>
      <c r="B84" s="6"/>
      <c r="C84" s="6"/>
      <c r="D84" s="6"/>
      <c r="E84" s="6"/>
      <c r="F84" s="6"/>
      <c r="G84" s="6"/>
    </row>
    <row r="85" customFormat="false" ht="15" hidden="false" customHeight="false" outlineLevel="0" collapsed="false">
      <c r="A85" s="6"/>
      <c r="B85" s="9" t="s">
        <v>168</v>
      </c>
      <c r="C85" s="10"/>
      <c r="D85" s="10"/>
      <c r="E85" s="10"/>
      <c r="F85" s="6"/>
      <c r="G85" s="6"/>
    </row>
    <row r="86" customFormat="false" ht="15" hidden="false" customHeight="false" outlineLevel="0" collapsed="false">
      <c r="A86" s="6"/>
      <c r="B86" s="8" t="s">
        <v>169</v>
      </c>
      <c r="C86" s="29" t="n">
        <v>25000</v>
      </c>
      <c r="D86" s="25" t="s">
        <v>63</v>
      </c>
      <c r="E86" s="25" t="s">
        <v>170</v>
      </c>
      <c r="F86" s="6"/>
      <c r="G86" s="6"/>
    </row>
    <row r="87" customFormat="false" ht="15" hidden="false" customHeight="false" outlineLevel="0" collapsed="false">
      <c r="A87" s="6"/>
      <c r="B87" s="8" t="s">
        <v>171</v>
      </c>
      <c r="C87" s="26" t="n">
        <v>0.015</v>
      </c>
      <c r="D87" s="25" t="s">
        <v>55</v>
      </c>
      <c r="E87" s="25" t="s">
        <v>172</v>
      </c>
      <c r="F87" s="6"/>
      <c r="G87" s="6"/>
    </row>
    <row r="88" customFormat="false" ht="15" hidden="false" customHeight="false" outlineLevel="0" collapsed="false">
      <c r="A88" s="6"/>
      <c r="B88" s="8" t="s">
        <v>173</v>
      </c>
      <c r="C88" s="30" t="n">
        <v>1.15</v>
      </c>
      <c r="D88" s="25" t="s">
        <v>174</v>
      </c>
      <c r="E88" s="25" t="s">
        <v>175</v>
      </c>
      <c r="F88" s="6"/>
      <c r="G88" s="6"/>
    </row>
    <row r="89" customFormat="false" ht="15" hidden="false" customHeight="false" outlineLevel="0" collapsed="false">
      <c r="A89" s="6"/>
      <c r="B89" s="8" t="s">
        <v>176</v>
      </c>
      <c r="C89" s="27" t="n">
        <v>50</v>
      </c>
      <c r="D89" s="25" t="s">
        <v>63</v>
      </c>
      <c r="E89" s="25" t="s">
        <v>177</v>
      </c>
      <c r="F89" s="6"/>
      <c r="G89" s="6"/>
    </row>
    <row r="90" customFormat="false" ht="15" hidden="false" customHeight="false" outlineLevel="0" collapsed="false">
      <c r="A90" s="6"/>
      <c r="B90" s="8" t="s">
        <v>178</v>
      </c>
      <c r="C90" s="24" t="n">
        <v>10000000</v>
      </c>
      <c r="D90" s="25" t="s">
        <v>179</v>
      </c>
      <c r="E90" s="25" t="s">
        <v>180</v>
      </c>
      <c r="F90" s="6"/>
      <c r="G90" s="6"/>
    </row>
    <row r="91" customFormat="false" ht="15" hidden="false" customHeight="false" outlineLevel="0" collapsed="false">
      <c r="A91" s="6"/>
      <c r="B91" s="6"/>
      <c r="C91" s="6"/>
      <c r="D91" s="6"/>
      <c r="E91" s="6"/>
      <c r="F91" s="6"/>
      <c r="G91" s="6"/>
    </row>
    <row r="92" customFormat="false" ht="15" hidden="false" customHeight="false" outlineLevel="0" collapsed="false">
      <c r="A92" s="6"/>
      <c r="B92" s="9" t="s">
        <v>181</v>
      </c>
      <c r="C92" s="10"/>
      <c r="D92" s="10"/>
      <c r="E92" s="10"/>
      <c r="F92" s="6"/>
      <c r="G92" s="6"/>
    </row>
    <row r="93" customFormat="false" ht="15" hidden="false" customHeight="false" outlineLevel="0" collapsed="false">
      <c r="A93" s="6"/>
      <c r="B93" s="8" t="s">
        <v>182</v>
      </c>
      <c r="C93" s="29" t="n">
        <v>20000000</v>
      </c>
      <c r="D93" s="25" t="s">
        <v>63</v>
      </c>
      <c r="E93" s="25" t="s">
        <v>183</v>
      </c>
      <c r="F93" s="6"/>
      <c r="G93" s="6"/>
    </row>
    <row r="94" customFormat="false" ht="15" hidden="false" customHeight="false" outlineLevel="0" collapsed="false">
      <c r="A94" s="6"/>
      <c r="B94" s="8" t="s">
        <v>184</v>
      </c>
      <c r="C94" s="29" t="n">
        <v>35000000</v>
      </c>
      <c r="D94" s="25" t="s">
        <v>63</v>
      </c>
      <c r="E94" s="25" t="s">
        <v>185</v>
      </c>
      <c r="F94" s="6"/>
      <c r="G94" s="6"/>
    </row>
    <row r="95" customFormat="false" ht="15" hidden="false" customHeight="false" outlineLevel="0" collapsed="false">
      <c r="A95" s="6"/>
      <c r="B95" s="8" t="s">
        <v>186</v>
      </c>
      <c r="C95" s="31" t="n">
        <f aca="false">Open_Cash-Share_Capital-Venture_Debt</f>
        <v>-20000000</v>
      </c>
      <c r="D95" s="25" t="s">
        <v>63</v>
      </c>
      <c r="E95" s="25" t="s">
        <v>187</v>
      </c>
      <c r="F95" s="6"/>
      <c r="G95"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188</v>
      </c>
      <c r="C2" s="3"/>
      <c r="D2" s="3"/>
      <c r="E2" s="3"/>
      <c r="F2" s="3"/>
      <c r="G2" s="3"/>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189</v>
      </c>
      <c r="C3" s="5"/>
      <c r="D3" s="5"/>
      <c r="E3" s="5"/>
      <c r="F3" s="5"/>
      <c r="G3" s="5"/>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3"/>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25" t="s">
        <v>190</v>
      </c>
      <c r="C7" s="33" t="n">
        <f aca="false">COLUMN()-2</f>
        <v>1</v>
      </c>
      <c r="D7" s="33" t="n">
        <f aca="false">COLUMN()-2</f>
        <v>2</v>
      </c>
      <c r="E7" s="33" t="n">
        <f aca="false">COLUMN()-2</f>
        <v>3</v>
      </c>
      <c r="F7" s="33" t="n">
        <f aca="false">COLUMN()-2</f>
        <v>4</v>
      </c>
      <c r="G7" s="33" t="n">
        <f aca="false">COLUMN()-2</f>
        <v>5</v>
      </c>
    </row>
    <row r="8" customFormat="false" ht="15" hidden="false" customHeight="false" outlineLevel="0" collapsed="false">
      <c r="A8" s="6"/>
      <c r="B8" s="6"/>
      <c r="C8" s="6"/>
      <c r="D8" s="6"/>
      <c r="E8" s="6"/>
      <c r="F8" s="6"/>
      <c r="G8" s="6"/>
    </row>
    <row r="9" customFormat="false" ht="15" hidden="false" customHeight="false" outlineLevel="0" collapsed="false">
      <c r="A9" s="6"/>
      <c r="B9" s="9" t="s">
        <v>191</v>
      </c>
      <c r="C9" s="10"/>
      <c r="D9" s="10"/>
      <c r="E9" s="10"/>
      <c r="F9" s="10"/>
      <c r="G9" s="10"/>
    </row>
    <row r="10" customFormat="false" ht="15" hidden="false" customHeight="false" outlineLevel="0" collapsed="false">
      <c r="A10" s="6"/>
      <c r="B10" s="34" t="s">
        <v>192</v>
      </c>
      <c r="C10" s="31" t="n">
        <f aca="false">Start_Customers*(1+CHOOSE(C7,Cust_Growth_Y1,Cust_Growth_Y2,Cust_Growth_Y3,Cust_Growth_Y4,Cust_Growth_Y5))</f>
        <v>180</v>
      </c>
      <c r="D10" s="31" t="n">
        <f aca="false">C10*(1+CHOOSE(D7,Cust_Growth_Y1,Cust_Growth_Y2,Cust_Growth_Y3,Cust_Growth_Y4,Cust_Growth_Y5))</f>
        <v>288</v>
      </c>
      <c r="E10" s="31" t="n">
        <f aca="false">D10*(1+CHOOSE(E7,Cust_Growth_Y1,Cust_Growth_Y2,Cust_Growth_Y3,Cust_Growth_Y4,Cust_Growth_Y5))</f>
        <v>417.6</v>
      </c>
      <c r="F10" s="31" t="n">
        <f aca="false">E10*(1+CHOOSE(F7,Cust_Growth_Y1,Cust_Growth_Y2,Cust_Growth_Y3,Cust_Growth_Y4,Cust_Growth_Y5))</f>
        <v>563.76</v>
      </c>
      <c r="G10" s="31" t="n">
        <f aca="false">F10*(1+CHOOSE(G7,Cust_Growth_Y1,Cust_Growth_Y2,Cust_Growth_Y3,Cust_Growth_Y4,Cust_Growth_Y5))</f>
        <v>704.7</v>
      </c>
    </row>
    <row r="11" customFormat="false" ht="15" hidden="false" customHeight="false" outlineLevel="0" collapsed="false">
      <c r="A11" s="6"/>
      <c r="B11" s="34" t="s">
        <v>193</v>
      </c>
      <c r="C11" s="35" t="n">
        <f aca="false">ARPU_Monthly*12*(1+ARPU_Growth)^(C7-1)</f>
        <v>30000</v>
      </c>
      <c r="D11" s="35" t="n">
        <f aca="false">ARPU_Monthly*12*(1+ARPU_Growth)^(D7-1)</f>
        <v>31500</v>
      </c>
      <c r="E11" s="35" t="n">
        <f aca="false">ARPU_Monthly*12*(1+ARPU_Growth)^(E7-1)</f>
        <v>33075</v>
      </c>
      <c r="F11" s="35" t="n">
        <f aca="false">ARPU_Monthly*12*(1+ARPU_Growth)^(F7-1)</f>
        <v>34728.75</v>
      </c>
      <c r="G11" s="35" t="n">
        <f aca="false">ARPU_Monthly*12*(1+ARPU_Growth)^(G7-1)</f>
        <v>36465.1875</v>
      </c>
    </row>
    <row r="12" customFormat="false" ht="15" hidden="false" customHeight="false" outlineLevel="0" collapsed="false">
      <c r="A12" s="6"/>
      <c r="B12" s="7" t="s">
        <v>191</v>
      </c>
      <c r="C12" s="36" t="n">
        <f aca="false">C10*C11</f>
        <v>5400000</v>
      </c>
      <c r="D12" s="36" t="n">
        <f aca="false">D10*D11</f>
        <v>9072000</v>
      </c>
      <c r="E12" s="36" t="n">
        <f aca="false">E10*E11</f>
        <v>13812120</v>
      </c>
      <c r="F12" s="36" t="n">
        <f aca="false">F10*F11</f>
        <v>19578680.1</v>
      </c>
      <c r="G12" s="36" t="n">
        <f aca="false">G10*G11</f>
        <v>25697017.63125</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194</v>
      </c>
      <c r="C14" s="10"/>
      <c r="D14" s="10"/>
      <c r="E14" s="10"/>
      <c r="F14" s="10"/>
      <c r="G14" s="10"/>
    </row>
    <row r="15" customFormat="false" ht="15" hidden="false" customHeight="false" outlineLevel="0" collapsed="false">
      <c r="A15" s="6"/>
      <c r="B15" s="34" t="s">
        <v>195</v>
      </c>
      <c r="C15" s="31" t="n">
        <f aca="false">Start_Tokens*12*(1+CHOOSE(C7,Token_Growth_Y1,Token_Growth_Y2,Token_Growth_Y3,Token_Growth_Y4,Token_Growth_Y5))/1000</f>
        <v>15000000</v>
      </c>
      <c r="D15" s="31" t="n">
        <f aca="false">C15*(1+CHOOSE(D7,Token_Growth_Y1,Token_Growth_Y2,Token_Growth_Y3,Token_Growth_Y4,Token_Growth_Y5))</f>
        <v>30000000</v>
      </c>
      <c r="E15" s="31" t="n">
        <f aca="false">D15*(1+CHOOSE(E7,Token_Growth_Y1,Token_Growth_Y2,Token_Growth_Y3,Token_Growth_Y4,Token_Growth_Y5))</f>
        <v>51000000</v>
      </c>
      <c r="F15" s="31" t="n">
        <f aca="false">E15*(1+CHOOSE(F7,Token_Growth_Y1,Token_Growth_Y2,Token_Growth_Y3,Token_Growth_Y4,Token_Growth_Y5))</f>
        <v>76500000</v>
      </c>
      <c r="G15" s="31" t="n">
        <f aca="false">F15*(1+CHOOSE(G7,Token_Growth_Y1,Token_Growth_Y2,Token_Growth_Y3,Token_Growth_Y4,Token_Growth_Y5))</f>
        <v>103275000</v>
      </c>
    </row>
    <row r="16" customFormat="false" ht="15" hidden="false" customHeight="false" outlineLevel="0" collapsed="false">
      <c r="A16" s="6"/>
      <c r="B16" s="34" t="s">
        <v>78</v>
      </c>
      <c r="C16" s="37" t="n">
        <f aca="false">Price_Per_Token*(1-Token_Price_Decline)^(C7-1)</f>
        <v>0.02</v>
      </c>
      <c r="D16" s="37" t="n">
        <f aca="false">Price_Per_Token*(1-Token_Price_Decline)^(D7-1)</f>
        <v>0.018</v>
      </c>
      <c r="E16" s="37" t="n">
        <f aca="false">Price_Per_Token*(1-Token_Price_Decline)^(E7-1)</f>
        <v>0.0162</v>
      </c>
      <c r="F16" s="37" t="n">
        <f aca="false">Price_Per_Token*(1-Token_Price_Decline)^(F7-1)</f>
        <v>0.01458</v>
      </c>
      <c r="G16" s="37" t="n">
        <f aca="false">Price_Per_Token*(1-Token_Price_Decline)^(G7-1)</f>
        <v>0.013122</v>
      </c>
    </row>
    <row r="17" customFormat="false" ht="15" hidden="false" customHeight="false" outlineLevel="0" collapsed="false">
      <c r="A17" s="6"/>
      <c r="B17" s="7" t="s">
        <v>196</v>
      </c>
      <c r="C17" s="36" t="n">
        <f aca="false">C15*C16</f>
        <v>300000</v>
      </c>
      <c r="D17" s="36" t="n">
        <f aca="false">D15*D16</f>
        <v>540000</v>
      </c>
      <c r="E17" s="36" t="n">
        <f aca="false">E15*E16</f>
        <v>826200</v>
      </c>
      <c r="F17" s="36" t="n">
        <f aca="false">F15*F16</f>
        <v>1115370</v>
      </c>
      <c r="G17" s="36" t="n">
        <f aca="false">G15*G16</f>
        <v>1355174.55</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9" t="s">
        <v>197</v>
      </c>
      <c r="C19" s="10"/>
      <c r="D19" s="10"/>
      <c r="E19" s="10"/>
      <c r="F19" s="10"/>
      <c r="G19" s="10"/>
    </row>
    <row r="20" customFormat="false" ht="15" hidden="false" customHeight="false" outlineLevel="0" collapsed="false">
      <c r="A20" s="6"/>
      <c r="B20" s="34" t="s">
        <v>198</v>
      </c>
      <c r="C20" s="31" t="n">
        <f aca="false">PS_Hours_Y1*(1+PS_Hours_Growth)^(C7-1)</f>
        <v>5000</v>
      </c>
      <c r="D20" s="31" t="n">
        <f aca="false">PS_Hours_Y1*(1+PS_Hours_Growth)^(D7-1)</f>
        <v>5750</v>
      </c>
      <c r="E20" s="31" t="n">
        <f aca="false">PS_Hours_Y1*(1+PS_Hours_Growth)^(E7-1)</f>
        <v>6612.5</v>
      </c>
      <c r="F20" s="31" t="n">
        <f aca="false">PS_Hours_Y1*(1+PS_Hours_Growth)^(F7-1)</f>
        <v>7604.375</v>
      </c>
      <c r="G20" s="31" t="n">
        <f aca="false">PS_Hours_Y1*(1+PS_Hours_Growth)^(G7-1)</f>
        <v>8745.03125</v>
      </c>
    </row>
    <row r="21" customFormat="false" ht="15" hidden="false" customHeight="false" outlineLevel="0" collapsed="false">
      <c r="A21" s="6"/>
      <c r="B21" s="34" t="s">
        <v>199</v>
      </c>
      <c r="C21" s="35" t="n">
        <f aca="false">PS_Rate</f>
        <v>250</v>
      </c>
      <c r="D21" s="35" t="n">
        <f aca="false">PS_Rate</f>
        <v>250</v>
      </c>
      <c r="E21" s="35" t="n">
        <f aca="false">PS_Rate</f>
        <v>250</v>
      </c>
      <c r="F21" s="35" t="n">
        <f aca="false">PS_Rate</f>
        <v>250</v>
      </c>
      <c r="G21" s="35" t="n">
        <f aca="false">PS_Rate</f>
        <v>250</v>
      </c>
    </row>
    <row r="22" customFormat="false" ht="15" hidden="false" customHeight="false" outlineLevel="0" collapsed="false">
      <c r="A22" s="6"/>
      <c r="B22" s="7" t="s">
        <v>200</v>
      </c>
      <c r="C22" s="36" t="n">
        <f aca="false">C20*C21</f>
        <v>1250000</v>
      </c>
      <c r="D22" s="36" t="n">
        <f aca="false">D20*D21</f>
        <v>1437500</v>
      </c>
      <c r="E22" s="36" t="n">
        <f aca="false">E20*E21</f>
        <v>1653125</v>
      </c>
      <c r="F22" s="36" t="n">
        <f aca="false">F20*F21</f>
        <v>1901093.75</v>
      </c>
      <c r="G22" s="36" t="n">
        <f aca="false">G20*G21</f>
        <v>2186257.8125</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7" t="s">
        <v>201</v>
      </c>
      <c r="C24" s="38" t="n">
        <f aca="false">C12+C17+C22</f>
        <v>6950000</v>
      </c>
      <c r="D24" s="38" t="n">
        <f aca="false">D12+D17+D22</f>
        <v>11049500</v>
      </c>
      <c r="E24" s="38" t="n">
        <f aca="false">E12+E17+E22</f>
        <v>16291445</v>
      </c>
      <c r="F24" s="38" t="n">
        <f aca="false">F12+F17+F22</f>
        <v>22595143.85</v>
      </c>
      <c r="G24" s="38" t="n">
        <f aca="false">G12+G17+G22</f>
        <v>29238449.99375</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39" t="s">
        <v>202</v>
      </c>
      <c r="C26" s="40" t="n">
        <f aca="false">C12+(C12+D12)*Billing_Upfront*0.5</f>
        <v>11188800</v>
      </c>
      <c r="D26" s="40" t="n">
        <f aca="false">D12+(D12+E12)*Billing_Upfront*0.5-(C12+D12)*Billing_Upfront*0.5</f>
        <v>12436848</v>
      </c>
      <c r="E26" s="40" t="n">
        <f aca="false">E12+(E12+F12)*Billing_Upfront*0.5-(D12+E12)*Billing_Upfront*0.5</f>
        <v>18014792.04</v>
      </c>
      <c r="F26" s="40" t="n">
        <f aca="false">F12+(F12+G12)*Billing_Upfront*0.5-(E12+F12)*Billing_Upfront*0.5</f>
        <v>24332639.1525</v>
      </c>
      <c r="G26" s="40" t="n">
        <f aca="false">G12*(1+Billing_Upfront*0.5)</f>
        <v>35975824.68375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203</v>
      </c>
      <c r="C2" s="3"/>
      <c r="D2" s="3"/>
      <c r="E2" s="3"/>
      <c r="F2" s="3"/>
      <c r="G2" s="3"/>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204</v>
      </c>
      <c r="C3" s="5"/>
      <c r="D3" s="5"/>
      <c r="E3" s="5"/>
      <c r="F3" s="5"/>
      <c r="G3" s="5"/>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3"/>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25" t="s">
        <v>190</v>
      </c>
      <c r="C7" s="33" t="n">
        <f aca="false">COLUMN()-2</f>
        <v>1</v>
      </c>
      <c r="D7" s="33" t="n">
        <f aca="false">COLUMN()-2</f>
        <v>2</v>
      </c>
      <c r="E7" s="33" t="n">
        <f aca="false">COLUMN()-2</f>
        <v>3</v>
      </c>
      <c r="F7" s="33" t="n">
        <f aca="false">COLUMN()-2</f>
        <v>4</v>
      </c>
      <c r="G7" s="33" t="n">
        <f aca="false">COLUMN()-2</f>
        <v>5</v>
      </c>
    </row>
    <row r="8" customFormat="false" ht="15" hidden="false" customHeight="false" outlineLevel="0" collapsed="false">
      <c r="A8" s="6"/>
      <c r="B8" s="6"/>
      <c r="C8" s="6"/>
      <c r="D8" s="6"/>
      <c r="E8" s="6"/>
      <c r="F8" s="6"/>
      <c r="G8" s="6"/>
    </row>
    <row r="9" customFormat="false" ht="15" hidden="false" customHeight="false" outlineLevel="0" collapsed="false">
      <c r="A9" s="6"/>
      <c r="B9" s="9" t="s">
        <v>90</v>
      </c>
      <c r="C9" s="10"/>
      <c r="D9" s="10"/>
      <c r="E9" s="10"/>
      <c r="F9" s="10"/>
      <c r="G9" s="10"/>
    </row>
    <row r="10" customFormat="false" ht="15" hidden="false" customHeight="false" outlineLevel="0" collapsed="false">
      <c r="A10" s="6"/>
      <c r="B10" s="34" t="s">
        <v>205</v>
      </c>
      <c r="C10" s="31" t="n">
        <f aca="false">RB_Tokens*Compute_Cost_Token*(1-Compute_Cost_Decline)^(C7-1)*((1-Reserved_Compute_Pct)+Reserved_Compute_Pct*(1-Reserved_Discount))</f>
        <v>105600</v>
      </c>
      <c r="D10" s="31" t="n">
        <f aca="false">RB_Tokens*Compute_Cost_Token*(1-Compute_Cost_Decline)^(D7-1)*((1-Reserved_Compute_Pct)+Reserved_Compute_Pct*(1-Reserved_Discount))</f>
        <v>185856</v>
      </c>
      <c r="E10" s="31" t="n">
        <f aca="false">RB_Tokens*Compute_Cost_Token*(1-Compute_Cost_Decline)^(E7-1)*((1-Reserved_Compute_Pct)+Reserved_Compute_Pct*(1-Reserved_Discount))</f>
        <v>278040.576</v>
      </c>
      <c r="F10" s="31" t="n">
        <f aca="false">RB_Tokens*Compute_Cost_Token*(1-Compute_Cost_Decline)^(F7-1)*((1-Reserved_Compute_Pct)+Reserved_Compute_Pct*(1-Reserved_Discount))</f>
        <v>367013.56032</v>
      </c>
      <c r="G10" s="31" t="n">
        <f aca="false">RB_Tokens*Compute_Cost_Token*(1-Compute_Cost_Decline)^(G7-1)*((1-Reserved_Compute_Pct)+Reserved_Compute_Pct*(1-Reserved_Discount))</f>
        <v>436012.10966016</v>
      </c>
    </row>
    <row r="11" customFormat="false" ht="15" hidden="false" customHeight="false" outlineLevel="0" collapsed="false">
      <c r="A11" s="6"/>
      <c r="B11" s="34" t="s">
        <v>206</v>
      </c>
      <c r="C11" s="31" t="n">
        <f aca="false">Hosting_Base*(1+Hosting_Growth)^(C7-1)</f>
        <v>1200000</v>
      </c>
      <c r="D11" s="31" t="n">
        <f aca="false">Hosting_Base*(1+Hosting_Growth)^(D7-1)</f>
        <v>1440000</v>
      </c>
      <c r="E11" s="31" t="n">
        <f aca="false">Hosting_Base*(1+Hosting_Growth)^(E7-1)</f>
        <v>1728000</v>
      </c>
      <c r="F11" s="31" t="n">
        <f aca="false">Hosting_Base*(1+Hosting_Growth)^(F7-1)</f>
        <v>2073600</v>
      </c>
      <c r="G11" s="31" t="n">
        <f aca="false">Hosting_Base*(1+Hosting_Growth)^(G7-1)</f>
        <v>2488320</v>
      </c>
    </row>
    <row r="12" customFormat="false" ht="15" hidden="false" customHeight="false" outlineLevel="0" collapsed="false">
      <c r="A12" s="6"/>
      <c r="B12" s="34" t="s">
        <v>207</v>
      </c>
      <c r="C12" s="31" t="n">
        <f aca="false">Support_Staff_Cost*(1+Support_Growth)^(C7-1)</f>
        <v>800000</v>
      </c>
      <c r="D12" s="31" t="n">
        <f aca="false">Support_Staff_Cost*(1+Support_Growth)^(D7-1)</f>
        <v>920000</v>
      </c>
      <c r="E12" s="31" t="n">
        <f aca="false">Support_Staff_Cost*(1+Support_Growth)^(E7-1)</f>
        <v>1058000</v>
      </c>
      <c r="F12" s="31" t="n">
        <f aca="false">Support_Staff_Cost*(1+Support_Growth)^(F7-1)</f>
        <v>1216700</v>
      </c>
      <c r="G12" s="31" t="n">
        <f aca="false">Support_Staff_Cost*(1+Support_Growth)^(G7-1)</f>
        <v>1399205</v>
      </c>
    </row>
    <row r="13" customFormat="false" ht="15" hidden="false" customHeight="false" outlineLevel="0" collapsed="false">
      <c r="A13" s="6"/>
      <c r="B13" s="34" t="s">
        <v>208</v>
      </c>
      <c r="C13" s="31" t="n">
        <f aca="false">RB_Tokens*Foundation_API_Mix*Foundation_API_Cost</f>
        <v>45000</v>
      </c>
      <c r="D13" s="31" t="n">
        <f aca="false">RB_Tokens*Foundation_API_Mix*Foundation_API_Cost</f>
        <v>90000</v>
      </c>
      <c r="E13" s="31" t="n">
        <f aca="false">RB_Tokens*Foundation_API_Mix*Foundation_API_Cost</f>
        <v>153000</v>
      </c>
      <c r="F13" s="31" t="n">
        <f aca="false">RB_Tokens*Foundation_API_Mix*Foundation_API_Cost</f>
        <v>229500</v>
      </c>
      <c r="G13" s="31" t="n">
        <f aca="false">RB_Tokens*Foundation_API_Mix*Foundation_API_Cost</f>
        <v>309825</v>
      </c>
    </row>
    <row r="14" customFormat="false" ht="15" hidden="false" customHeight="false" outlineLevel="0" collapsed="false">
      <c r="A14" s="6"/>
      <c r="B14" s="34" t="s">
        <v>209</v>
      </c>
      <c r="C14" s="31" t="n">
        <f aca="false">RB_PS_Revenue*PS_COGS_Pct</f>
        <v>1000000</v>
      </c>
      <c r="D14" s="31" t="n">
        <f aca="false">RB_PS_Revenue*PS_COGS_Pct</f>
        <v>1150000</v>
      </c>
      <c r="E14" s="31" t="n">
        <f aca="false">RB_PS_Revenue*PS_COGS_Pct</f>
        <v>1322500</v>
      </c>
      <c r="F14" s="31" t="n">
        <f aca="false">RB_PS_Revenue*PS_COGS_Pct</f>
        <v>1520875</v>
      </c>
      <c r="G14" s="31" t="n">
        <f aca="false">RB_PS_Revenue*PS_COGS_Pct</f>
        <v>1749006.25</v>
      </c>
    </row>
    <row r="15" customFormat="false" ht="15" hidden="false" customHeight="false" outlineLevel="0" collapsed="false">
      <c r="A15" s="6"/>
      <c r="B15" s="7" t="s">
        <v>210</v>
      </c>
      <c r="C15" s="38" t="n">
        <f aca="false">SUM(C10:C14)</f>
        <v>3150600</v>
      </c>
      <c r="D15" s="38" t="n">
        <f aca="false">SUM(D10:D14)</f>
        <v>3785856</v>
      </c>
      <c r="E15" s="38" t="n">
        <f aca="false">SUM(E10:E14)</f>
        <v>4539540.576</v>
      </c>
      <c r="F15" s="38" t="n">
        <f aca="false">SUM(F10:F14)</f>
        <v>5407688.56032</v>
      </c>
      <c r="G15" s="38" t="n">
        <f aca="false">SUM(G10:G14)</f>
        <v>6382368.35966016</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7" t="s">
        <v>211</v>
      </c>
      <c r="C17" s="38" t="n">
        <f aca="false">RB_Total_Revenue-C15</f>
        <v>3799400</v>
      </c>
      <c r="D17" s="38" t="n">
        <f aca="false">RB_Total_Revenue-D15</f>
        <v>7263644</v>
      </c>
      <c r="E17" s="38" t="n">
        <f aca="false">RB_Total_Revenue-E15</f>
        <v>11751904.424</v>
      </c>
      <c r="F17" s="38" t="n">
        <f aca="false">RB_Total_Revenue-F15</f>
        <v>17187455.28968</v>
      </c>
      <c r="G17" s="38" t="n">
        <f aca="false">RB_Total_Revenue-G15</f>
        <v>22856081.6340898</v>
      </c>
    </row>
    <row r="18" customFormat="false" ht="15" hidden="false" customHeight="false" outlineLevel="0" collapsed="false">
      <c r="A18" s="6"/>
      <c r="B18" s="25" t="s">
        <v>212</v>
      </c>
      <c r="C18" s="41" t="n">
        <f aca="false">IFERROR(C17/RB_Total_Revenue,0)</f>
        <v>0.546676258992806</v>
      </c>
      <c r="D18" s="41" t="n">
        <f aca="false">IFERROR(D17/RB_Total_Revenue,0)</f>
        <v>0.65737309380515</v>
      </c>
      <c r="E18" s="41" t="n">
        <f aca="false">IFERROR(E17/RB_Total_Revenue,0)</f>
        <v>0.721354331920833</v>
      </c>
      <c r="F18" s="41" t="n">
        <f aca="false">IFERROR(F17/RB_Total_Revenue,0)</f>
        <v>0.760670319418214</v>
      </c>
      <c r="G18" s="41" t="n">
        <f aca="false">IFERROR(G17/RB_Total_Revenue,0)</f>
        <v>0.781713176963059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213</v>
      </c>
      <c r="C2" s="3"/>
      <c r="D2" s="3"/>
      <c r="E2" s="3"/>
      <c r="F2" s="3"/>
      <c r="G2" s="3"/>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113</v>
      </c>
      <c r="C3" s="5"/>
      <c r="D3" s="5"/>
      <c r="E3" s="5"/>
      <c r="F3" s="5"/>
      <c r="G3" s="5"/>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3"/>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25" t="s">
        <v>190</v>
      </c>
      <c r="C7" s="33" t="n">
        <f aca="false">COLUMN()-2</f>
        <v>1</v>
      </c>
      <c r="D7" s="33" t="n">
        <f aca="false">COLUMN()-2</f>
        <v>2</v>
      </c>
      <c r="E7" s="33" t="n">
        <f aca="false">COLUMN()-2</f>
        <v>3</v>
      </c>
      <c r="F7" s="33" t="n">
        <f aca="false">COLUMN()-2</f>
        <v>4</v>
      </c>
      <c r="G7" s="33" t="n">
        <f aca="false">COLUMN()-2</f>
        <v>5</v>
      </c>
    </row>
    <row r="8" customFormat="false" ht="15" hidden="false" customHeight="false" outlineLevel="0" collapsed="false">
      <c r="A8" s="6"/>
      <c r="B8" s="6"/>
      <c r="C8" s="6"/>
      <c r="D8" s="6"/>
      <c r="E8" s="6"/>
      <c r="F8" s="6"/>
      <c r="G8" s="6"/>
    </row>
    <row r="9" customFormat="false" ht="15" hidden="false" customHeight="false" outlineLevel="0" collapsed="false">
      <c r="A9" s="6"/>
      <c r="B9" s="9" t="s">
        <v>113</v>
      </c>
      <c r="C9" s="10"/>
      <c r="D9" s="10"/>
      <c r="E9" s="10"/>
      <c r="F9" s="10"/>
      <c r="G9" s="10"/>
    </row>
    <row r="10" customFormat="false" ht="15" hidden="false" customHeight="false" outlineLevel="0" collapsed="false">
      <c r="A10" s="6"/>
      <c r="B10" s="34" t="s">
        <v>214</v>
      </c>
      <c r="C10" s="31" t="n">
        <f aca="false">RD_Base*(1+RD_Growth)^(C7-1)</f>
        <v>8000000</v>
      </c>
      <c r="D10" s="31" t="n">
        <f aca="false">RD_Base*(1+RD_Growth)^(D7-1)</f>
        <v>10000000</v>
      </c>
      <c r="E10" s="31" t="n">
        <f aca="false">RD_Base*(1+RD_Growth)^(E7-1)</f>
        <v>12500000</v>
      </c>
      <c r="F10" s="31" t="n">
        <f aca="false">RD_Base*(1+RD_Growth)^(F7-1)</f>
        <v>15625000</v>
      </c>
      <c r="G10" s="31" t="n">
        <f aca="false">RD_Base*(1+RD_Growth)^(G7-1)</f>
        <v>19531250</v>
      </c>
    </row>
    <row r="11" customFormat="false" ht="15" hidden="false" customHeight="false" outlineLevel="0" collapsed="false">
      <c r="A11" s="6"/>
      <c r="B11" s="39" t="s">
        <v>215</v>
      </c>
      <c r="C11" s="40" t="n">
        <f aca="false">C10*RD_Cap_Rate</f>
        <v>1600000</v>
      </c>
      <c r="D11" s="40" t="n">
        <f aca="false">D10*RD_Cap_Rate</f>
        <v>2000000</v>
      </c>
      <c r="E11" s="40" t="n">
        <f aca="false">E10*RD_Cap_Rate</f>
        <v>2500000</v>
      </c>
      <c r="F11" s="40" t="n">
        <f aca="false">F10*RD_Cap_Rate</f>
        <v>3125000</v>
      </c>
      <c r="G11" s="40" t="n">
        <f aca="false">G10*RD_Cap_Rate</f>
        <v>3906250</v>
      </c>
    </row>
    <row r="12" customFormat="false" ht="15" hidden="false" customHeight="false" outlineLevel="0" collapsed="false">
      <c r="A12" s="6"/>
      <c r="B12" s="34" t="s">
        <v>216</v>
      </c>
      <c r="C12" s="31" t="n">
        <f aca="false">C10-C11</f>
        <v>6400000</v>
      </c>
      <c r="D12" s="31" t="n">
        <f aca="false">D10-D11</f>
        <v>8000000</v>
      </c>
      <c r="E12" s="31" t="n">
        <f aca="false">E10-E11</f>
        <v>10000000</v>
      </c>
      <c r="F12" s="31" t="n">
        <f aca="false">F10-F11</f>
        <v>12500000</v>
      </c>
      <c r="G12" s="31" t="n">
        <f aca="false">G10-G11</f>
        <v>15625000</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34" t="s">
        <v>217</v>
      </c>
      <c r="C14" s="31" t="n">
        <f aca="false">RB_Total_Revenue*SM_Pct</f>
        <v>2085000</v>
      </c>
      <c r="D14" s="31" t="n">
        <f aca="false">RB_Total_Revenue*SM_Pct</f>
        <v>3314850</v>
      </c>
      <c r="E14" s="31" t="n">
        <f aca="false">RB_Total_Revenue*SM_Pct</f>
        <v>4887433.5</v>
      </c>
      <c r="F14" s="31" t="n">
        <f aca="false">RB_Total_Revenue*SM_Pct</f>
        <v>6778543.155</v>
      </c>
      <c r="G14" s="31" t="n">
        <f aca="false">RB_Total_Revenue*SM_Pct</f>
        <v>8771534.998125</v>
      </c>
    </row>
    <row r="15" customFormat="false" ht="15" hidden="false" customHeight="false" outlineLevel="0" collapsed="false">
      <c r="A15" s="6"/>
      <c r="B15" s="34" t="s">
        <v>218</v>
      </c>
      <c r="C15" s="31" t="n">
        <f aca="false">GA_Base*(1+GA_Growth)^(C7-1)</f>
        <v>2500000</v>
      </c>
      <c r="D15" s="31" t="n">
        <f aca="false">GA_Base*(1+GA_Growth)^(D7-1)</f>
        <v>2750000</v>
      </c>
      <c r="E15" s="31" t="n">
        <f aca="false">GA_Base*(1+GA_Growth)^(E7-1)</f>
        <v>3025000</v>
      </c>
      <c r="F15" s="31" t="n">
        <f aca="false">GA_Base*(1+GA_Growth)^(F7-1)</f>
        <v>3327500</v>
      </c>
      <c r="G15" s="31" t="n">
        <f aca="false">GA_Base*(1+GA_Growth)^(G7-1)</f>
        <v>3660250</v>
      </c>
    </row>
    <row r="16" customFormat="false" ht="15" hidden="false" customHeight="false" outlineLevel="0" collapsed="false">
      <c r="A16" s="6"/>
      <c r="B16" s="34" t="s">
        <v>128</v>
      </c>
      <c r="C16" s="31" t="n">
        <f aca="false">Rent_Amount*(1+Rent_Esc)^(C7-1)</f>
        <v>600000</v>
      </c>
      <c r="D16" s="31" t="n">
        <f aca="false">Rent_Amount*(1+Rent_Esc)^(D7-1)</f>
        <v>618000</v>
      </c>
      <c r="E16" s="31" t="n">
        <f aca="false">Rent_Amount*(1+Rent_Esc)^(E7-1)</f>
        <v>636540</v>
      </c>
      <c r="F16" s="31" t="n">
        <f aca="false">Rent_Amount*(1+Rent_Esc)^(F7-1)</f>
        <v>655636.2</v>
      </c>
      <c r="G16" s="31" t="n">
        <f aca="false">Rent_Amount*(1+Rent_Esc)^(G7-1)</f>
        <v>675305.286</v>
      </c>
    </row>
    <row r="17" customFormat="false" ht="15" hidden="false" customHeight="false" outlineLevel="0" collapsed="false">
      <c r="A17" s="6"/>
      <c r="B17" s="34" t="s">
        <v>132</v>
      </c>
      <c r="C17" s="31" t="n">
        <f aca="false">Insurance_Amount*(1+Insurance_Esc)^(C7-1)</f>
        <v>200000</v>
      </c>
      <c r="D17" s="31" t="n">
        <f aca="false">Insurance_Amount*(1+Insurance_Esc)^(D7-1)</f>
        <v>206000</v>
      </c>
      <c r="E17" s="31" t="n">
        <f aca="false">Insurance_Amount*(1+Insurance_Esc)^(E7-1)</f>
        <v>212180</v>
      </c>
      <c r="F17" s="31" t="n">
        <f aca="false">Insurance_Amount*(1+Insurance_Esc)^(F7-1)</f>
        <v>218545.4</v>
      </c>
      <c r="G17" s="31" t="n">
        <f aca="false">Insurance_Amount*(1+Insurance_Esc)^(G7-1)</f>
        <v>225101.762</v>
      </c>
    </row>
    <row r="18" customFormat="false" ht="15" hidden="false" customHeight="false" outlineLevel="0" collapsed="false">
      <c r="A18" s="6"/>
      <c r="B18" s="34" t="s">
        <v>219</v>
      </c>
      <c r="C18" s="31" t="n">
        <f aca="false">RB_Total_Revenue*SBC_Pct</f>
        <v>834000</v>
      </c>
      <c r="D18" s="31" t="n">
        <f aca="false">RB_Total_Revenue*SBC_Pct</f>
        <v>1325940</v>
      </c>
      <c r="E18" s="31" t="n">
        <f aca="false">RB_Total_Revenue*SBC_Pct</f>
        <v>1954973.4</v>
      </c>
      <c r="F18" s="31" t="n">
        <f aca="false">RB_Total_Revenue*SBC_Pct</f>
        <v>2711417.262</v>
      </c>
      <c r="G18" s="31" t="n">
        <f aca="false">RB_Total_Revenue*SBC_Pct</f>
        <v>3508613.99925</v>
      </c>
    </row>
    <row r="19" customFormat="false" ht="15" hidden="false" customHeight="false" outlineLevel="0" collapsed="false">
      <c r="A19" s="6"/>
      <c r="B19" s="7" t="s">
        <v>220</v>
      </c>
      <c r="C19" s="38" t="n">
        <f aca="false">C12+C14+C15+C16+C17+C18</f>
        <v>12619000</v>
      </c>
      <c r="D19" s="38" t="n">
        <f aca="false">D12+D14+D15+D16+D17+D18</f>
        <v>16214790</v>
      </c>
      <c r="E19" s="38" t="n">
        <f aca="false">E12+E14+E15+E16+E17+E18</f>
        <v>20716126.9</v>
      </c>
      <c r="F19" s="38" t="n">
        <f aca="false">F12+F14+F15+F16+F17+F18</f>
        <v>26191642.017</v>
      </c>
      <c r="G19" s="38" t="n">
        <f aca="false">G12+G14+G15+G16+G17+G18</f>
        <v>32465806.045375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221</v>
      </c>
      <c r="C2" s="3"/>
      <c r="D2" s="3"/>
      <c r="E2" s="3"/>
      <c r="F2" s="3"/>
      <c r="G2" s="3"/>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222</v>
      </c>
      <c r="C3" s="5"/>
      <c r="D3" s="5"/>
      <c r="E3" s="5"/>
      <c r="F3" s="5"/>
      <c r="G3" s="5"/>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3"/>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25" t="s">
        <v>190</v>
      </c>
      <c r="C7" s="33" t="n">
        <f aca="false">COLUMN()-2</f>
        <v>1</v>
      </c>
      <c r="D7" s="33" t="n">
        <f aca="false">COLUMN()-2</f>
        <v>2</v>
      </c>
      <c r="E7" s="33" t="n">
        <f aca="false">COLUMN()-2</f>
        <v>3</v>
      </c>
      <c r="F7" s="33" t="n">
        <f aca="false">COLUMN()-2</f>
        <v>4</v>
      </c>
      <c r="G7" s="33" t="n">
        <f aca="false">COLUMN()-2</f>
        <v>5</v>
      </c>
    </row>
    <row r="8" customFormat="false" ht="15" hidden="false" customHeight="false" outlineLevel="0" collapsed="false">
      <c r="A8" s="6"/>
      <c r="B8" s="6"/>
      <c r="C8" s="6"/>
      <c r="D8" s="6"/>
      <c r="E8" s="6"/>
      <c r="F8" s="6"/>
      <c r="G8" s="6"/>
    </row>
    <row r="9" customFormat="false" ht="15" hidden="false" customHeight="false" outlineLevel="0" collapsed="false">
      <c r="A9" s="6"/>
      <c r="B9" s="9" t="s">
        <v>223</v>
      </c>
      <c r="C9" s="10"/>
      <c r="D9" s="10"/>
      <c r="E9" s="10"/>
      <c r="F9" s="10"/>
      <c r="G9" s="10"/>
    </row>
    <row r="10" customFormat="false" ht="15" hidden="false" customHeight="false" outlineLevel="0" collapsed="false">
      <c r="A10" s="6"/>
      <c r="B10" s="34" t="s">
        <v>224</v>
      </c>
      <c r="C10" s="31" t="n">
        <f aca="false">OX_RD_Capitalised</f>
        <v>1600000</v>
      </c>
      <c r="D10" s="31" t="n">
        <f aca="false">OX_RD_Capitalised</f>
        <v>2000000</v>
      </c>
      <c r="E10" s="31" t="n">
        <f aca="false">OX_RD_Capitalised</f>
        <v>2500000</v>
      </c>
      <c r="F10" s="31" t="n">
        <f aca="false">OX_RD_Capitalised</f>
        <v>3125000</v>
      </c>
      <c r="G10" s="31" t="n">
        <f aca="false">OX_RD_Capitalised</f>
        <v>3906250</v>
      </c>
    </row>
    <row r="11" customFormat="false" ht="15" hidden="false" customHeight="false" outlineLevel="0" collapsed="false">
      <c r="A11" s="6"/>
      <c r="B11" s="34" t="s">
        <v>225</v>
      </c>
      <c r="C11" s="31" t="n">
        <f aca="false">SUM($C$10:C10)</f>
        <v>1600000</v>
      </c>
      <c r="D11" s="31" t="n">
        <f aca="false">SUM($C$10:D10)</f>
        <v>3600000</v>
      </c>
      <c r="E11" s="31" t="n">
        <f aca="false">SUM($C$10:E10)</f>
        <v>6100000</v>
      </c>
      <c r="F11" s="31" t="n">
        <f aca="false">SUM($C$10:F10)</f>
        <v>9225000</v>
      </c>
      <c r="G11" s="31" t="n">
        <f aca="false">SUM($C$10:G10)</f>
        <v>13131250</v>
      </c>
    </row>
    <row r="12" customFormat="false" ht="15" hidden="false" customHeight="false" outlineLevel="0" collapsed="false">
      <c r="A12" s="6"/>
      <c r="B12" s="34" t="s">
        <v>226</v>
      </c>
      <c r="C12" s="31" t="n">
        <f aca="false">C11/SW_Amort_Life</f>
        <v>533333.333333333</v>
      </c>
      <c r="D12" s="31" t="n">
        <f aca="false">D11/SW_Amort_Life</f>
        <v>1200000</v>
      </c>
      <c r="E12" s="31" t="n">
        <f aca="false">E11/SW_Amort_Life</f>
        <v>2033333.33333333</v>
      </c>
      <c r="F12" s="31" t="n">
        <f aca="false">F11/SW_Amort_Life</f>
        <v>3075000</v>
      </c>
      <c r="G12" s="31" t="n">
        <f aca="false">G11/SW_Amort_Life</f>
        <v>4377083.33333333</v>
      </c>
    </row>
    <row r="13" customFormat="false" ht="15" hidden="false" customHeight="false" outlineLevel="0" collapsed="false">
      <c r="A13" s="6"/>
      <c r="B13" s="39" t="s">
        <v>227</v>
      </c>
      <c r="C13" s="40" t="n">
        <f aca="false">SUM($C$12:C12)</f>
        <v>533333.333333333</v>
      </c>
      <c r="D13" s="40" t="n">
        <f aca="false">SUM($C$12:D12)</f>
        <v>1733333.33333333</v>
      </c>
      <c r="E13" s="40" t="n">
        <f aca="false">SUM($C$12:E12)</f>
        <v>3766666.66666667</v>
      </c>
      <c r="F13" s="40" t="n">
        <f aca="false">SUM($C$12:F12)</f>
        <v>6841666.66666667</v>
      </c>
      <c r="G13" s="40" t="n">
        <f aca="false">SUM($C$12:G12)</f>
        <v>11218750</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228</v>
      </c>
      <c r="C15" s="10"/>
      <c r="D15" s="10"/>
      <c r="E15" s="10"/>
      <c r="F15" s="10"/>
      <c r="G15" s="10"/>
    </row>
    <row r="16" customFormat="false" ht="15" hidden="false" customHeight="false" outlineLevel="0" collapsed="false">
      <c r="A16" s="6"/>
      <c r="B16" s="34" t="s">
        <v>229</v>
      </c>
      <c r="C16" s="31" t="n">
        <f aca="false">HW_CapEx_Y1*(1+HW_CapEx_Growth)^(C7-1)</f>
        <v>500000</v>
      </c>
      <c r="D16" s="31" t="n">
        <f aca="false">HW_CapEx_Y1*(1+HW_CapEx_Growth)^(D7-1)</f>
        <v>575000</v>
      </c>
      <c r="E16" s="31" t="n">
        <f aca="false">HW_CapEx_Y1*(1+HW_CapEx_Growth)^(E7-1)</f>
        <v>661250</v>
      </c>
      <c r="F16" s="31" t="n">
        <f aca="false">HW_CapEx_Y1*(1+HW_CapEx_Growth)^(F7-1)</f>
        <v>760437.5</v>
      </c>
      <c r="G16" s="31" t="n">
        <f aca="false">HW_CapEx_Y1*(1+HW_CapEx_Growth)^(G7-1)</f>
        <v>874503.125</v>
      </c>
    </row>
    <row r="17" customFormat="false" ht="15" hidden="false" customHeight="false" outlineLevel="0" collapsed="false">
      <c r="A17" s="6"/>
      <c r="B17" s="34" t="s">
        <v>230</v>
      </c>
      <c r="C17" s="31" t="n">
        <f aca="false">SUM($C$16:C16)</f>
        <v>500000</v>
      </c>
      <c r="D17" s="31" t="n">
        <f aca="false">SUM($C$16:D16)</f>
        <v>1075000</v>
      </c>
      <c r="E17" s="31" t="n">
        <f aca="false">SUM($C$16:E16)</f>
        <v>1736250</v>
      </c>
      <c r="F17" s="31" t="n">
        <f aca="false">SUM($C$16:F16)</f>
        <v>2496687.5</v>
      </c>
      <c r="G17" s="31" t="n">
        <f aca="false">SUM($C$16:G16)</f>
        <v>3371190.625</v>
      </c>
    </row>
    <row r="18" customFormat="false" ht="15" hidden="false" customHeight="false" outlineLevel="0" collapsed="false">
      <c r="A18" s="6"/>
      <c r="B18" s="34" t="s">
        <v>231</v>
      </c>
      <c r="C18" s="31" t="n">
        <f aca="false">C17/HW_Useful_Life</f>
        <v>125000</v>
      </c>
      <c r="D18" s="31" t="n">
        <f aca="false">D17/HW_Useful_Life</f>
        <v>268750</v>
      </c>
      <c r="E18" s="31" t="n">
        <f aca="false">E17/HW_Useful_Life</f>
        <v>434062.5</v>
      </c>
      <c r="F18" s="31" t="n">
        <f aca="false">F17/HW_Useful_Life</f>
        <v>624171.875</v>
      </c>
      <c r="G18" s="31" t="n">
        <f aca="false">G17/HW_Useful_Life</f>
        <v>842797.65625</v>
      </c>
    </row>
    <row r="19" customFormat="false" ht="15" hidden="false" customHeight="false" outlineLevel="0" collapsed="false">
      <c r="A19" s="6"/>
      <c r="B19" s="39" t="s">
        <v>232</v>
      </c>
      <c r="C19" s="40" t="n">
        <f aca="false">SUM($C$18:C18)</f>
        <v>125000</v>
      </c>
      <c r="D19" s="40" t="n">
        <f aca="false">SUM($C$18:D18)</f>
        <v>393750</v>
      </c>
      <c r="E19" s="40" t="n">
        <f aca="false">SUM($C$18:E18)</f>
        <v>827812.5</v>
      </c>
      <c r="F19" s="40" t="n">
        <f aca="false">SUM($C$18:F18)</f>
        <v>1451984.375</v>
      </c>
      <c r="G19" s="40" t="n">
        <f aca="false">SUM($C$18:G18)</f>
        <v>2294782.03125</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7" t="s">
        <v>233</v>
      </c>
      <c r="C21" s="38" t="n">
        <f aca="false">C12+C18</f>
        <v>658333.333333333</v>
      </c>
      <c r="D21" s="38" t="n">
        <f aca="false">D12+D18</f>
        <v>1468750</v>
      </c>
      <c r="E21" s="38" t="n">
        <f aca="false">E12+E18</f>
        <v>2467395.83333333</v>
      </c>
      <c r="F21" s="38" t="n">
        <f aca="false">F12+F18</f>
        <v>3699171.875</v>
      </c>
      <c r="G21" s="38" t="n">
        <f aca="false">G12+G18</f>
        <v>5219880.98958333</v>
      </c>
    </row>
    <row r="22" customFormat="false" ht="15" hidden="false" customHeight="false" outlineLevel="0" collapsed="false">
      <c r="A22" s="6"/>
      <c r="B22" s="7" t="s">
        <v>234</v>
      </c>
      <c r="C22" s="36" t="n">
        <f aca="false">C10+C16</f>
        <v>2100000</v>
      </c>
      <c r="D22" s="36" t="n">
        <f aca="false">D10+D16</f>
        <v>2575000</v>
      </c>
      <c r="E22" s="36" t="n">
        <f aca="false">E10+E16</f>
        <v>3161250</v>
      </c>
      <c r="F22" s="36" t="n">
        <f aca="false">F10+F16</f>
        <v>3885437.5</v>
      </c>
      <c r="G22" s="36" t="n">
        <f aca="false">G10+G16</f>
        <v>4780753.125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145</v>
      </c>
      <c r="C2" s="3"/>
      <c r="D2" s="3"/>
      <c r="E2" s="3"/>
      <c r="F2" s="3"/>
      <c r="G2" s="3"/>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235</v>
      </c>
      <c r="C3" s="5"/>
      <c r="D3" s="5"/>
      <c r="E3" s="5"/>
      <c r="F3" s="5"/>
      <c r="G3" s="5"/>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3"/>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25" t="s">
        <v>190</v>
      </c>
      <c r="C7" s="33" t="n">
        <f aca="false">COLUMN()-2</f>
        <v>1</v>
      </c>
      <c r="D7" s="33" t="n">
        <f aca="false">COLUMN()-2</f>
        <v>2</v>
      </c>
      <c r="E7" s="33" t="n">
        <f aca="false">COLUMN()-2</f>
        <v>3</v>
      </c>
      <c r="F7" s="33" t="n">
        <f aca="false">COLUMN()-2</f>
        <v>4</v>
      </c>
      <c r="G7" s="33" t="n">
        <f aca="false">COLUMN()-2</f>
        <v>5</v>
      </c>
    </row>
    <row r="8" customFormat="false" ht="15" hidden="false" customHeight="false" outlineLevel="0" collapsed="false">
      <c r="A8" s="6"/>
      <c r="B8" s="6"/>
      <c r="C8" s="6"/>
      <c r="D8" s="6"/>
      <c r="E8" s="6"/>
      <c r="F8" s="6"/>
      <c r="G8" s="6"/>
    </row>
    <row r="9" customFormat="false" ht="15" hidden="false" customHeight="false" outlineLevel="0" collapsed="false">
      <c r="A9" s="6"/>
      <c r="B9" s="9" t="s">
        <v>236</v>
      </c>
      <c r="C9" s="10"/>
      <c r="D9" s="10"/>
      <c r="E9" s="10"/>
      <c r="F9" s="10"/>
      <c r="G9" s="10"/>
    </row>
    <row r="10" customFormat="false" ht="15" hidden="false" customHeight="false" outlineLevel="0" collapsed="false">
      <c r="A10" s="6"/>
      <c r="B10" s="34" t="s">
        <v>237</v>
      </c>
      <c r="C10" s="31" t="n">
        <f aca="false">RB_Total_Revenue*DSO_Days/365</f>
        <v>856849.315068493</v>
      </c>
      <c r="D10" s="31" t="n">
        <f aca="false">RB_Total_Revenue*DSO_Days/365</f>
        <v>1362267.12328767</v>
      </c>
      <c r="E10" s="31" t="n">
        <f aca="false">RB_Total_Revenue*DSO_Days/365</f>
        <v>2008534.31506849</v>
      </c>
      <c r="F10" s="31" t="n">
        <f aca="false">RB_Total_Revenue*DSO_Days/365</f>
        <v>2785702.66643836</v>
      </c>
      <c r="G10" s="31" t="n">
        <f aca="false">RB_Total_Revenue*DSO_Days/365</f>
        <v>3604740.41018836</v>
      </c>
    </row>
    <row r="11" customFormat="false" ht="15" hidden="false" customHeight="false" outlineLevel="0" collapsed="false">
      <c r="A11" s="6"/>
      <c r="B11" s="34" t="s">
        <v>238</v>
      </c>
      <c r="C11" s="31" t="n">
        <f aca="false">(Revenue_Build!C12+Revenue_Build!D12)*Billing_Upfront*0.5</f>
        <v>5788800</v>
      </c>
      <c r="D11" s="31" t="n">
        <f aca="false">(Revenue_Build!D12+Revenue_Build!E12)*Billing_Upfront*0.5</f>
        <v>9153648</v>
      </c>
      <c r="E11" s="31" t="n">
        <f aca="false">(Revenue_Build!E12+Revenue_Build!F12)*Billing_Upfront*0.5</f>
        <v>13356320.04</v>
      </c>
      <c r="F11" s="31" t="n">
        <f aca="false">(Revenue_Build!F12+Revenue_Build!G12)*Billing_Upfront*0.5</f>
        <v>18110279.0925</v>
      </c>
      <c r="G11" s="31" t="n">
        <f aca="false">Revenue_Build!G12*Billing_Upfront*0.5</f>
        <v>10278807.0525</v>
      </c>
    </row>
    <row r="12" customFormat="false" ht="15" hidden="false" customHeight="false" outlineLevel="0" collapsed="false">
      <c r="A12" s="6"/>
      <c r="B12" s="34" t="s">
        <v>239</v>
      </c>
      <c r="C12" s="31" t="n">
        <f aca="false">CG_Total_COGS*DPO_Days/365</f>
        <v>258953.424657534</v>
      </c>
      <c r="D12" s="31" t="n">
        <f aca="false">CG_Total_COGS*DPO_Days/365</f>
        <v>311166.246575343</v>
      </c>
      <c r="E12" s="31" t="n">
        <f aca="false">CG_Total_COGS*DPO_Days/365</f>
        <v>373112.924054794</v>
      </c>
      <c r="F12" s="31" t="n">
        <f aca="false">CG_Total_COGS*DPO_Days/365</f>
        <v>444467.552903014</v>
      </c>
      <c r="G12" s="31" t="n">
        <f aca="false">CG_Total_COGS*DPO_Days/365</f>
        <v>524578.221341931</v>
      </c>
    </row>
    <row r="13" customFormat="false" ht="15" hidden="false" customHeight="false" outlineLevel="0" collapsed="false">
      <c r="A13" s="6"/>
      <c r="B13" s="34" t="s">
        <v>240</v>
      </c>
      <c r="C13" s="31" t="n">
        <f aca="false">OX_Total_OpEx*Accrued_Liab_Pct</f>
        <v>1009520</v>
      </c>
      <c r="D13" s="31" t="n">
        <f aca="false">OX_Total_OpEx*Accrued_Liab_Pct</f>
        <v>1297183.2</v>
      </c>
      <c r="E13" s="31" t="n">
        <f aca="false">OX_Total_OpEx*Accrued_Liab_Pct</f>
        <v>1657290.152</v>
      </c>
      <c r="F13" s="31" t="n">
        <f aca="false">OX_Total_OpEx*Accrued_Liab_Pct</f>
        <v>2095331.36136</v>
      </c>
      <c r="G13" s="31" t="n">
        <f aca="false">OX_Total_OpEx*Accrued_Liab_Pct</f>
        <v>2597264.48363</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7" t="s">
        <v>241</v>
      </c>
      <c r="C15" s="36" t="n">
        <f aca="false">C10-C12-C11-C13</f>
        <v>-6200424.10958904</v>
      </c>
      <c r="D15" s="36" t="n">
        <f aca="false">D10-D12-D11-D13</f>
        <v>-9399730.32328767</v>
      </c>
      <c r="E15" s="36" t="n">
        <f aca="false">E10-E12-E11-E13</f>
        <v>-13378188.8009863</v>
      </c>
      <c r="F15" s="36" t="n">
        <f aca="false">F10-F12-F11-F13</f>
        <v>-17864375.3403247</v>
      </c>
      <c r="G15" s="36" t="n">
        <f aca="false">G10-G12-G11-G13</f>
        <v>-9795909.34728358</v>
      </c>
    </row>
    <row r="16" customFormat="false" ht="15" hidden="false" customHeight="false" outlineLevel="0" collapsed="false">
      <c r="A16" s="6"/>
      <c r="B16" s="7" t="s">
        <v>242</v>
      </c>
      <c r="C16" s="36" t="n">
        <f aca="false">-C15</f>
        <v>6200424.10958904</v>
      </c>
      <c r="D16" s="36" t="n">
        <f aca="false">-(D15-C15)</f>
        <v>3199306.21369863</v>
      </c>
      <c r="E16" s="36" t="n">
        <f aca="false">-(E15-D15)</f>
        <v>3978458.47769863</v>
      </c>
      <c r="F16" s="36" t="n">
        <f aca="false">-(F15-E15)</f>
        <v>4486186.53933836</v>
      </c>
      <c r="G16" s="36" t="n">
        <f aca="false">-(G15-F15)</f>
        <v>-8068465.99304109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243</v>
      </c>
      <c r="C2" s="3"/>
      <c r="D2" s="3"/>
      <c r="E2" s="3"/>
      <c r="F2" s="3"/>
      <c r="G2" s="3"/>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189</v>
      </c>
      <c r="C3" s="5"/>
      <c r="D3" s="5"/>
      <c r="E3" s="5"/>
      <c r="F3" s="5"/>
      <c r="G3" s="5"/>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3"/>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25" t="s">
        <v>190</v>
      </c>
      <c r="C7" s="33" t="n">
        <f aca="false">COLUMN()-2</f>
        <v>1</v>
      </c>
      <c r="D7" s="33" t="n">
        <f aca="false">COLUMN()-2</f>
        <v>2</v>
      </c>
      <c r="E7" s="33" t="n">
        <f aca="false">COLUMN()-2</f>
        <v>3</v>
      </c>
      <c r="F7" s="33" t="n">
        <f aca="false">COLUMN()-2</f>
        <v>4</v>
      </c>
      <c r="G7" s="33" t="n">
        <f aca="false">COLUMN()-2</f>
        <v>5</v>
      </c>
    </row>
    <row r="8" customFormat="false" ht="15" hidden="false" customHeight="false" outlineLevel="0" collapsed="false">
      <c r="A8" s="6"/>
      <c r="B8" s="6"/>
      <c r="C8" s="6"/>
      <c r="D8" s="6"/>
      <c r="E8" s="6"/>
      <c r="F8" s="6"/>
      <c r="G8" s="6"/>
    </row>
    <row r="9" customFormat="false" ht="15" hidden="false" customHeight="false" outlineLevel="0" collapsed="false">
      <c r="A9" s="6"/>
      <c r="B9" s="9" t="s">
        <v>244</v>
      </c>
      <c r="C9" s="10"/>
      <c r="D9" s="10"/>
      <c r="E9" s="10"/>
      <c r="F9" s="10"/>
      <c r="G9" s="10"/>
    </row>
    <row r="10" customFormat="false" ht="15" hidden="false" customHeight="false" outlineLevel="0" collapsed="false">
      <c r="A10" s="6"/>
      <c r="B10" s="34" t="s">
        <v>191</v>
      </c>
      <c r="C10" s="31" t="n">
        <f aca="false">RB_Sub_Revenue</f>
        <v>5400000</v>
      </c>
      <c r="D10" s="31" t="n">
        <f aca="false">RB_Sub_Revenue</f>
        <v>9072000</v>
      </c>
      <c r="E10" s="31" t="n">
        <f aca="false">RB_Sub_Revenue</f>
        <v>13812120</v>
      </c>
      <c r="F10" s="31" t="n">
        <f aca="false">RB_Sub_Revenue</f>
        <v>19578680.1</v>
      </c>
      <c r="G10" s="31" t="n">
        <f aca="false">RB_Sub_Revenue</f>
        <v>25697017.63125</v>
      </c>
    </row>
    <row r="11" customFormat="false" ht="15" hidden="false" customHeight="false" outlineLevel="0" collapsed="false">
      <c r="A11" s="6"/>
      <c r="B11" s="34" t="s">
        <v>196</v>
      </c>
      <c r="C11" s="31" t="n">
        <f aca="false">RB_Usage_Revenue</f>
        <v>300000</v>
      </c>
      <c r="D11" s="31" t="n">
        <f aca="false">RB_Usage_Revenue</f>
        <v>540000</v>
      </c>
      <c r="E11" s="31" t="n">
        <f aca="false">RB_Usage_Revenue</f>
        <v>826200</v>
      </c>
      <c r="F11" s="31" t="n">
        <f aca="false">RB_Usage_Revenue</f>
        <v>1115370</v>
      </c>
      <c r="G11" s="31" t="n">
        <f aca="false">RB_Usage_Revenue</f>
        <v>1355174.55</v>
      </c>
    </row>
    <row r="12" customFormat="false" ht="15" hidden="false" customHeight="false" outlineLevel="0" collapsed="false">
      <c r="A12" s="6"/>
      <c r="B12" s="34" t="s">
        <v>197</v>
      </c>
      <c r="C12" s="31" t="n">
        <f aca="false">RB_PS_Revenue</f>
        <v>1250000</v>
      </c>
      <c r="D12" s="31" t="n">
        <f aca="false">RB_PS_Revenue</f>
        <v>1437500</v>
      </c>
      <c r="E12" s="31" t="n">
        <f aca="false">RB_PS_Revenue</f>
        <v>1653125</v>
      </c>
      <c r="F12" s="31" t="n">
        <f aca="false">RB_PS_Revenue</f>
        <v>1901093.75</v>
      </c>
      <c r="G12" s="31" t="n">
        <f aca="false">RB_PS_Revenue</f>
        <v>2186257.8125</v>
      </c>
    </row>
    <row r="13" customFormat="false" ht="15" hidden="false" customHeight="false" outlineLevel="0" collapsed="false">
      <c r="A13" s="6"/>
      <c r="B13" s="7" t="s">
        <v>245</v>
      </c>
      <c r="C13" s="36" t="n">
        <f aca="false">C10+C11+C12</f>
        <v>6950000</v>
      </c>
      <c r="D13" s="36" t="n">
        <f aca="false">D10+D11+D12</f>
        <v>11049500</v>
      </c>
      <c r="E13" s="36" t="n">
        <f aca="false">E10+E11+E12</f>
        <v>16291445</v>
      </c>
      <c r="F13" s="36" t="n">
        <f aca="false">F10+F11+F12</f>
        <v>22595143.85</v>
      </c>
      <c r="G13" s="36" t="n">
        <f aca="false">G10+G11+G12</f>
        <v>29238449.99375</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90</v>
      </c>
      <c r="C15" s="10"/>
      <c r="D15" s="10"/>
      <c r="E15" s="10"/>
      <c r="F15" s="10"/>
      <c r="G15" s="10"/>
    </row>
    <row r="16" customFormat="false" ht="15" hidden="false" customHeight="false" outlineLevel="0" collapsed="false">
      <c r="A16" s="6"/>
      <c r="B16" s="34" t="s">
        <v>246</v>
      </c>
      <c r="C16" s="31" t="n">
        <f aca="false">CG_Total_COGS</f>
        <v>3150600</v>
      </c>
      <c r="D16" s="31" t="n">
        <f aca="false">CG_Total_COGS</f>
        <v>3785856</v>
      </c>
      <c r="E16" s="31" t="n">
        <f aca="false">CG_Total_COGS</f>
        <v>4539540.576</v>
      </c>
      <c r="F16" s="31" t="n">
        <f aca="false">CG_Total_COGS</f>
        <v>5407688.56032</v>
      </c>
      <c r="G16" s="31" t="n">
        <f aca="false">CG_Total_COGS</f>
        <v>6382368.35966016</v>
      </c>
    </row>
    <row r="17" customFormat="false" ht="15" hidden="false" customHeight="false" outlineLevel="0" collapsed="false">
      <c r="A17" s="6"/>
      <c r="B17" s="7" t="s">
        <v>211</v>
      </c>
      <c r="C17" s="38" t="n">
        <f aca="false">C13-C16</f>
        <v>3799400</v>
      </c>
      <c r="D17" s="38" t="n">
        <f aca="false">D13-D16</f>
        <v>7263644</v>
      </c>
      <c r="E17" s="38" t="n">
        <f aca="false">E13-E16</f>
        <v>11751904.424</v>
      </c>
      <c r="F17" s="38" t="n">
        <f aca="false">F13-F16</f>
        <v>17187455.28968</v>
      </c>
      <c r="G17" s="38" t="n">
        <f aca="false">G13-G16</f>
        <v>22856081.6340898</v>
      </c>
    </row>
    <row r="18" customFormat="false" ht="15" hidden="false" customHeight="false" outlineLevel="0" collapsed="false">
      <c r="A18" s="6"/>
      <c r="B18" s="25" t="s">
        <v>212</v>
      </c>
      <c r="C18" s="41" t="n">
        <f aca="false">IFERROR(C17/C13,0)</f>
        <v>0.546676258992806</v>
      </c>
      <c r="D18" s="41" t="n">
        <f aca="false">IFERROR(D17/D13,0)</f>
        <v>0.65737309380515</v>
      </c>
      <c r="E18" s="41" t="n">
        <f aca="false">IFERROR(E17/E13,0)</f>
        <v>0.721354331920833</v>
      </c>
      <c r="F18" s="41" t="n">
        <f aca="false">IFERROR(F17/F13,0)</f>
        <v>0.760670319418214</v>
      </c>
      <c r="G18" s="41" t="n">
        <f aca="false">IFERROR(G17/G13,0)</f>
        <v>0.781713176963059</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9" t="s">
        <v>113</v>
      </c>
      <c r="C20" s="10"/>
      <c r="D20" s="10"/>
      <c r="E20" s="10"/>
      <c r="F20" s="10"/>
      <c r="G20" s="10"/>
    </row>
    <row r="21" customFormat="false" ht="15" hidden="false" customHeight="false" outlineLevel="0" collapsed="false">
      <c r="A21" s="6"/>
      <c r="B21" s="34" t="s">
        <v>216</v>
      </c>
      <c r="C21" s="31" t="n">
        <f aca="false">OX_RD_Net</f>
        <v>6400000</v>
      </c>
      <c r="D21" s="31" t="n">
        <f aca="false">OX_RD_Net</f>
        <v>8000000</v>
      </c>
      <c r="E21" s="31" t="n">
        <f aca="false">OX_RD_Net</f>
        <v>10000000</v>
      </c>
      <c r="F21" s="31" t="n">
        <f aca="false">OX_RD_Net</f>
        <v>12500000</v>
      </c>
      <c r="G21" s="31" t="n">
        <f aca="false">OX_RD_Net</f>
        <v>15625000</v>
      </c>
    </row>
    <row r="22" customFormat="false" ht="15" hidden="false" customHeight="false" outlineLevel="0" collapsed="false">
      <c r="A22" s="6"/>
      <c r="B22" s="34" t="s">
        <v>217</v>
      </c>
      <c r="C22" s="31" t="n">
        <f aca="false">OX_SM</f>
        <v>2085000</v>
      </c>
      <c r="D22" s="31" t="n">
        <f aca="false">OX_SM</f>
        <v>3314850</v>
      </c>
      <c r="E22" s="31" t="n">
        <f aca="false">OX_SM</f>
        <v>4887433.5</v>
      </c>
      <c r="F22" s="31" t="n">
        <f aca="false">OX_SM</f>
        <v>6778543.155</v>
      </c>
      <c r="G22" s="31" t="n">
        <f aca="false">OX_SM</f>
        <v>8771534.998125</v>
      </c>
    </row>
    <row r="23" customFormat="false" ht="15" hidden="false" customHeight="false" outlineLevel="0" collapsed="false">
      <c r="A23" s="6"/>
      <c r="B23" s="34" t="s">
        <v>218</v>
      </c>
      <c r="C23" s="31" t="n">
        <f aca="false">GA_Base*(1+GA_Growth)^(C7-1)</f>
        <v>2500000</v>
      </c>
      <c r="D23" s="31" t="n">
        <f aca="false">GA_Base*(1+GA_Growth)^(D7-1)</f>
        <v>2750000</v>
      </c>
      <c r="E23" s="31" t="n">
        <f aca="false">GA_Base*(1+GA_Growth)^(E7-1)</f>
        <v>3025000</v>
      </c>
      <c r="F23" s="31" t="n">
        <f aca="false">GA_Base*(1+GA_Growth)^(F7-1)</f>
        <v>3327500</v>
      </c>
      <c r="G23" s="31" t="n">
        <f aca="false">GA_Base*(1+GA_Growth)^(G7-1)</f>
        <v>3660250</v>
      </c>
    </row>
    <row r="24" customFormat="false" ht="15" hidden="false" customHeight="false" outlineLevel="0" collapsed="false">
      <c r="A24" s="6"/>
      <c r="B24" s="34" t="s">
        <v>128</v>
      </c>
      <c r="C24" s="31" t="n">
        <f aca="false">Rent_Amount*(1+Rent_Esc)^(C7-1)</f>
        <v>600000</v>
      </c>
      <c r="D24" s="31" t="n">
        <f aca="false">Rent_Amount*(1+Rent_Esc)^(D7-1)</f>
        <v>618000</v>
      </c>
      <c r="E24" s="31" t="n">
        <f aca="false">Rent_Amount*(1+Rent_Esc)^(E7-1)</f>
        <v>636540</v>
      </c>
      <c r="F24" s="31" t="n">
        <f aca="false">Rent_Amount*(1+Rent_Esc)^(F7-1)</f>
        <v>655636.2</v>
      </c>
      <c r="G24" s="31" t="n">
        <f aca="false">Rent_Amount*(1+Rent_Esc)^(G7-1)</f>
        <v>675305.286</v>
      </c>
    </row>
    <row r="25" customFormat="false" ht="15" hidden="false" customHeight="false" outlineLevel="0" collapsed="false">
      <c r="A25" s="6"/>
      <c r="B25" s="34" t="s">
        <v>132</v>
      </c>
      <c r="C25" s="31" t="n">
        <f aca="false">Insurance_Amount*(1+Insurance_Esc)^(C7-1)</f>
        <v>200000</v>
      </c>
      <c r="D25" s="31" t="n">
        <f aca="false">Insurance_Amount*(1+Insurance_Esc)^(D7-1)</f>
        <v>206000</v>
      </c>
      <c r="E25" s="31" t="n">
        <f aca="false">Insurance_Amount*(1+Insurance_Esc)^(E7-1)</f>
        <v>212180</v>
      </c>
      <c r="F25" s="31" t="n">
        <f aca="false">Insurance_Amount*(1+Insurance_Esc)^(F7-1)</f>
        <v>218545.4</v>
      </c>
      <c r="G25" s="31" t="n">
        <f aca="false">Insurance_Amount*(1+Insurance_Esc)^(G7-1)</f>
        <v>225101.762</v>
      </c>
    </row>
    <row r="26" customFormat="false" ht="15" hidden="false" customHeight="false" outlineLevel="0" collapsed="false">
      <c r="A26" s="6"/>
      <c r="B26" s="34" t="s">
        <v>219</v>
      </c>
      <c r="C26" s="31" t="n">
        <f aca="false">C13*SBC_Pct</f>
        <v>834000</v>
      </c>
      <c r="D26" s="31" t="n">
        <f aca="false">D13*SBC_Pct</f>
        <v>1325940</v>
      </c>
      <c r="E26" s="31" t="n">
        <f aca="false">E13*SBC_Pct</f>
        <v>1954973.4</v>
      </c>
      <c r="F26" s="31" t="n">
        <f aca="false">F13*SBC_Pct</f>
        <v>2711417.262</v>
      </c>
      <c r="G26" s="31" t="n">
        <f aca="false">G13*SBC_Pct</f>
        <v>3508613.99925</v>
      </c>
    </row>
    <row r="27" customFormat="false" ht="15" hidden="false" customHeight="false" outlineLevel="0" collapsed="false">
      <c r="A27" s="6"/>
      <c r="B27" s="7" t="s">
        <v>247</v>
      </c>
      <c r="C27" s="36" t="n">
        <f aca="false">SUM(C21:C26)</f>
        <v>12619000</v>
      </c>
      <c r="D27" s="36" t="n">
        <f aca="false">SUM(D21:D26)</f>
        <v>16214790</v>
      </c>
      <c r="E27" s="36" t="n">
        <f aca="false">SUM(E21:E26)</f>
        <v>20716126.9</v>
      </c>
      <c r="F27" s="36" t="n">
        <f aca="false">SUM(F21:F26)</f>
        <v>26191642.017</v>
      </c>
      <c r="G27" s="36" t="n">
        <f aca="false">SUM(G21:G26)</f>
        <v>32465806.045375</v>
      </c>
    </row>
    <row r="28" customFormat="false" ht="15" hidden="false" customHeight="false" outlineLevel="0" collapsed="false">
      <c r="A28" s="6"/>
      <c r="B28" s="6"/>
      <c r="C28" s="6"/>
      <c r="D28" s="6"/>
      <c r="E28" s="6"/>
      <c r="F28" s="6"/>
      <c r="G28" s="6"/>
    </row>
    <row r="29" customFormat="false" ht="15" hidden="false" customHeight="false" outlineLevel="0" collapsed="false">
      <c r="A29" s="6"/>
      <c r="B29" s="7" t="s">
        <v>248</v>
      </c>
      <c r="C29" s="38" t="n">
        <f aca="false">C17-C27</f>
        <v>-8819600</v>
      </c>
      <c r="D29" s="38" t="n">
        <f aca="false">D17-D27</f>
        <v>-8951146</v>
      </c>
      <c r="E29" s="38" t="n">
        <f aca="false">E17-E27</f>
        <v>-8964222.476</v>
      </c>
      <c r="F29" s="38" t="n">
        <f aca="false">F17-F27</f>
        <v>-9004186.72732</v>
      </c>
      <c r="G29" s="38" t="n">
        <f aca="false">G17-G27</f>
        <v>-9609724.41128516</v>
      </c>
    </row>
    <row r="30" customFormat="false" ht="15" hidden="false" customHeight="false" outlineLevel="0" collapsed="false">
      <c r="A30" s="6"/>
      <c r="B30" s="25" t="s">
        <v>249</v>
      </c>
      <c r="C30" s="41" t="n">
        <f aca="false">IFERROR(C29/C13,0)</f>
        <v>-1.2690071942446</v>
      </c>
      <c r="D30" s="41" t="n">
        <f aca="false">IFERROR(D29/D13,0)</f>
        <v>-0.810095117426128</v>
      </c>
      <c r="E30" s="41" t="n">
        <f aca="false">IFERROR(E29/E13,0)</f>
        <v>-0.550241091321243</v>
      </c>
      <c r="F30" s="41" t="n">
        <f aca="false">IFERROR(F29/F13,0)</f>
        <v>-0.398500969371788</v>
      </c>
      <c r="G30" s="41" t="n">
        <f aca="false">IFERROR(G29/G13,0)</f>
        <v>-0.32866736825445</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9" t="s">
        <v>250</v>
      </c>
      <c r="C32" s="10"/>
      <c r="D32" s="10"/>
      <c r="E32" s="10"/>
      <c r="F32" s="10"/>
      <c r="G32" s="10"/>
    </row>
    <row r="33" customFormat="false" ht="15" hidden="false" customHeight="false" outlineLevel="0" collapsed="false">
      <c r="A33" s="6"/>
      <c r="B33" s="34" t="s">
        <v>251</v>
      </c>
      <c r="C33" s="31" t="n">
        <f aca="false">CX_Total_DA</f>
        <v>658333.333333333</v>
      </c>
      <c r="D33" s="31" t="n">
        <f aca="false">CX_Total_DA</f>
        <v>1468750</v>
      </c>
      <c r="E33" s="31" t="n">
        <f aca="false">CX_Total_DA</f>
        <v>2467395.83333333</v>
      </c>
      <c r="F33" s="31" t="n">
        <f aca="false">CX_Total_DA</f>
        <v>3699171.875</v>
      </c>
      <c r="G33" s="31" t="n">
        <f aca="false">CX_Total_DA</f>
        <v>5219880.98958333</v>
      </c>
    </row>
    <row r="34" customFormat="false" ht="15" hidden="false" customHeight="false" outlineLevel="0" collapsed="false">
      <c r="A34" s="6"/>
      <c r="B34" s="7" t="s">
        <v>252</v>
      </c>
      <c r="C34" s="38" t="n">
        <f aca="false">C29-C33</f>
        <v>-9477933.33333333</v>
      </c>
      <c r="D34" s="38" t="n">
        <f aca="false">D29-D33</f>
        <v>-10419896</v>
      </c>
      <c r="E34" s="38" t="n">
        <f aca="false">E29-E33</f>
        <v>-11431618.3093333</v>
      </c>
      <c r="F34" s="38" t="n">
        <f aca="false">F29-F33</f>
        <v>-12703358.60232</v>
      </c>
      <c r="G34" s="38" t="n">
        <f aca="false">G29-G33</f>
        <v>-14829605.4008685</v>
      </c>
    </row>
    <row r="35" customFormat="false" ht="15" hidden="false" customHeight="false" outlineLevel="0" collapsed="false">
      <c r="A35" s="6"/>
      <c r="B35" s="6"/>
      <c r="C35" s="6"/>
      <c r="D35" s="6"/>
      <c r="E35" s="6"/>
      <c r="F35" s="6"/>
      <c r="G35" s="6"/>
    </row>
    <row r="36" customFormat="false" ht="15" hidden="false" customHeight="false" outlineLevel="0" collapsed="false">
      <c r="A36" s="6"/>
      <c r="B36" s="9" t="s">
        <v>253</v>
      </c>
      <c r="C36" s="10"/>
      <c r="D36" s="10"/>
      <c r="E36" s="10"/>
      <c r="F36" s="10"/>
      <c r="G36" s="10"/>
    </row>
    <row r="37" customFormat="false" ht="15" hidden="false" customHeight="false" outlineLevel="0" collapsed="false">
      <c r="A37" s="6"/>
      <c r="B37" s="39" t="s">
        <v>254</v>
      </c>
      <c r="C37" s="40" t="n">
        <f aca="false">Venture_Debt</f>
        <v>5000000</v>
      </c>
      <c r="D37" s="40" t="n">
        <f aca="false">C40</f>
        <v>3750000</v>
      </c>
      <c r="E37" s="40" t="n">
        <f aca="false">D40</f>
        <v>2500000</v>
      </c>
      <c r="F37" s="40" t="n">
        <f aca="false">E40</f>
        <v>1250000</v>
      </c>
      <c r="G37" s="40" t="n">
        <f aca="false">F40</f>
        <v>0</v>
      </c>
    </row>
    <row r="38" customFormat="false" ht="15" hidden="false" customHeight="false" outlineLevel="0" collapsed="false">
      <c r="A38" s="6"/>
      <c r="B38" s="34" t="s">
        <v>255</v>
      </c>
      <c r="C38" s="31" t="n">
        <f aca="false">C37*VD_Rate</f>
        <v>450000</v>
      </c>
      <c r="D38" s="31" t="n">
        <f aca="false">D37*VD_Rate</f>
        <v>337500</v>
      </c>
      <c r="E38" s="31" t="n">
        <f aca="false">E37*VD_Rate</f>
        <v>225000</v>
      </c>
      <c r="F38" s="31" t="n">
        <f aca="false">F37*VD_Rate</f>
        <v>112500</v>
      </c>
      <c r="G38" s="31" t="n">
        <f aca="false">G37*VD_Rate</f>
        <v>0</v>
      </c>
    </row>
    <row r="39" customFormat="false" ht="15" hidden="false" customHeight="false" outlineLevel="0" collapsed="false">
      <c r="A39" s="6"/>
      <c r="B39" s="25" t="s">
        <v>256</v>
      </c>
      <c r="C39" s="40" t="n">
        <f aca="false">MIN(Venture_Debt/VD_Tenor,C37)</f>
        <v>1250000</v>
      </c>
      <c r="D39" s="40" t="n">
        <f aca="false">MIN(Venture_Debt/VD_Tenor,D37)</f>
        <v>1250000</v>
      </c>
      <c r="E39" s="40" t="n">
        <f aca="false">MIN(Venture_Debt/VD_Tenor,E37)</f>
        <v>1250000</v>
      </c>
      <c r="F39" s="40" t="n">
        <f aca="false">MIN(Venture_Debt/VD_Tenor,F37)</f>
        <v>1250000</v>
      </c>
      <c r="G39" s="40" t="n">
        <f aca="false">MIN(Venture_Debt/VD_Tenor,G37)</f>
        <v>0</v>
      </c>
    </row>
    <row r="40" customFormat="false" ht="15" hidden="false" customHeight="false" outlineLevel="0" collapsed="false">
      <c r="A40" s="6"/>
      <c r="B40" s="25" t="s">
        <v>257</v>
      </c>
      <c r="C40" s="40" t="n">
        <f aca="false">MAX(0,C37-C39)</f>
        <v>3750000</v>
      </c>
      <c r="D40" s="40" t="n">
        <f aca="false">MAX(0,D37-D39)</f>
        <v>2500000</v>
      </c>
      <c r="E40" s="40" t="n">
        <f aca="false">MAX(0,E37-E39)</f>
        <v>1250000</v>
      </c>
      <c r="F40" s="40" t="n">
        <f aca="false">MAX(0,F37-F39)</f>
        <v>0</v>
      </c>
      <c r="G40" s="40" t="n">
        <f aca="false">MAX(0,G37-G39)</f>
        <v>0</v>
      </c>
    </row>
    <row r="41" customFormat="false" ht="15" hidden="false" customHeight="false" outlineLevel="0" collapsed="false">
      <c r="A41" s="6"/>
      <c r="B41" s="6"/>
      <c r="C41" s="6"/>
      <c r="D41" s="6"/>
      <c r="E41" s="6"/>
      <c r="F41" s="6"/>
      <c r="G41" s="6"/>
    </row>
    <row r="42" customFormat="false" ht="15" hidden="false" customHeight="false" outlineLevel="0" collapsed="false">
      <c r="A42" s="6"/>
      <c r="B42" s="7" t="s">
        <v>258</v>
      </c>
      <c r="C42" s="38" t="n">
        <f aca="false">C34-C38</f>
        <v>-9927933.33333333</v>
      </c>
      <c r="D42" s="38" t="n">
        <f aca="false">D34-D38</f>
        <v>-10757396</v>
      </c>
      <c r="E42" s="38" t="n">
        <f aca="false">E34-E38</f>
        <v>-11656618.3093333</v>
      </c>
      <c r="F42" s="38" t="n">
        <f aca="false">F34-F38</f>
        <v>-12815858.60232</v>
      </c>
      <c r="G42" s="38" t="n">
        <f aca="false">G34-G38</f>
        <v>-14829605.4008685</v>
      </c>
    </row>
    <row r="43" customFormat="false" ht="15" hidden="false" customHeight="false" outlineLevel="0" collapsed="false">
      <c r="A43" s="6"/>
      <c r="B43" s="34" t="s">
        <v>162</v>
      </c>
      <c r="C43" s="31" t="n">
        <f aca="false">MAX(0,C42*Tax_Rate)</f>
        <v>0</v>
      </c>
      <c r="D43" s="31" t="n">
        <f aca="false">MAX(0,D42*Tax_Rate)</f>
        <v>0</v>
      </c>
      <c r="E43" s="31" t="n">
        <f aca="false">MAX(0,E42*Tax_Rate)</f>
        <v>0</v>
      </c>
      <c r="F43" s="31" t="n">
        <f aca="false">MAX(0,F42*Tax_Rate)</f>
        <v>0</v>
      </c>
      <c r="G43" s="31" t="n">
        <f aca="false">MAX(0,G42*Tax_Rate)</f>
        <v>0</v>
      </c>
    </row>
    <row r="44" customFormat="false" ht="15" hidden="false" customHeight="false" outlineLevel="0" collapsed="false">
      <c r="A44" s="6"/>
      <c r="B44" s="6"/>
      <c r="C44" s="6"/>
      <c r="D44" s="6"/>
      <c r="E44" s="6"/>
      <c r="F44" s="6"/>
      <c r="G44" s="6"/>
    </row>
    <row r="45" customFormat="false" ht="15" hidden="false" customHeight="false" outlineLevel="0" collapsed="false">
      <c r="A45" s="6"/>
      <c r="B45" s="7" t="s">
        <v>259</v>
      </c>
      <c r="C45" s="38" t="n">
        <f aca="false">C42-C43</f>
        <v>-9927933.33333333</v>
      </c>
      <c r="D45" s="38" t="n">
        <f aca="false">D42-D43</f>
        <v>-10757396</v>
      </c>
      <c r="E45" s="38" t="n">
        <f aca="false">E42-E43</f>
        <v>-11656618.3093333</v>
      </c>
      <c r="F45" s="38" t="n">
        <f aca="false">F42-F43</f>
        <v>-12815858.60232</v>
      </c>
      <c r="G45" s="38" t="n">
        <f aca="false">G42-G43</f>
        <v>-14829605.4008685</v>
      </c>
    </row>
    <row r="46" customFormat="false" ht="15" hidden="false" customHeight="false" outlineLevel="0" collapsed="false">
      <c r="A46" s="6"/>
      <c r="B46" s="25" t="s">
        <v>260</v>
      </c>
      <c r="C46" s="41" t="n">
        <f aca="false">IFERROR(C45/C13,0)</f>
        <v>-1.42847961630695</v>
      </c>
      <c r="D46" s="41" t="n">
        <f aca="false">IFERROR(D45/D13,0)</f>
        <v>-0.973564052672067</v>
      </c>
      <c r="E46" s="41" t="n">
        <f aca="false">IFERROR(E45/E13,0)</f>
        <v>-0.715505488269048</v>
      </c>
      <c r="F46" s="41" t="n">
        <f aca="false">IFERROR(F45/F13,0)</f>
        <v>-0.567195264938311</v>
      </c>
      <c r="G46" s="41" t="n">
        <f aca="false">IFERROR(G45/G13,0)</f>
        <v>-0.507195333680084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261</v>
      </c>
      <c r="C2" s="3"/>
      <c r="D2" s="3"/>
      <c r="E2" s="3"/>
      <c r="F2" s="3"/>
      <c r="G2" s="3"/>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262</v>
      </c>
      <c r="C3" s="5"/>
      <c r="D3" s="5"/>
      <c r="E3" s="5"/>
      <c r="F3" s="5"/>
      <c r="G3" s="5"/>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3"/>
      <c r="C6" s="32" t="n">
        <f aca="false">Model_Start_Year+0</f>
        <v>2026</v>
      </c>
      <c r="D6" s="32" t="n">
        <f aca="false">Model_Start_Year+1</f>
        <v>2027</v>
      </c>
      <c r="E6" s="32" t="n">
        <f aca="false">Model_Start_Year+2</f>
        <v>2028</v>
      </c>
      <c r="F6" s="32" t="n">
        <f aca="false">Model_Start_Year+3</f>
        <v>2029</v>
      </c>
      <c r="G6" s="32" t="n">
        <f aca="false">Model_Start_Year+4</f>
        <v>2030</v>
      </c>
    </row>
    <row r="7" customFormat="false" ht="15" hidden="false" customHeight="false" outlineLevel="0" collapsed="false">
      <c r="A7" s="6"/>
      <c r="B7" s="6"/>
      <c r="C7" s="6"/>
      <c r="D7" s="6"/>
      <c r="E7" s="6"/>
      <c r="F7" s="6"/>
      <c r="G7" s="6"/>
    </row>
    <row r="8" customFormat="false" ht="15" hidden="false" customHeight="false" outlineLevel="0" collapsed="false">
      <c r="A8" s="6"/>
      <c r="B8" s="9" t="s">
        <v>263</v>
      </c>
      <c r="C8" s="10"/>
      <c r="D8" s="10"/>
      <c r="E8" s="10"/>
      <c r="F8" s="10"/>
      <c r="G8" s="10"/>
    </row>
    <row r="9" customFormat="false" ht="15" hidden="false" customHeight="false" outlineLevel="0" collapsed="false">
      <c r="A9" s="6"/>
      <c r="B9" s="6"/>
      <c r="C9" s="6"/>
      <c r="D9" s="6"/>
      <c r="E9" s="6"/>
      <c r="F9" s="6"/>
      <c r="G9" s="6"/>
    </row>
    <row r="10" customFormat="false" ht="15" hidden="false" customHeight="false" outlineLevel="0" collapsed="false">
      <c r="A10" s="6"/>
      <c r="B10" s="34" t="s">
        <v>264</v>
      </c>
      <c r="C10" s="31" t="n">
        <f aca="false">CF_Closing_Cash</f>
        <v>14414824.109589</v>
      </c>
      <c r="D10" s="31" t="n">
        <f aca="false">CF_Closing_Cash</f>
        <v>5826424.32328767</v>
      </c>
      <c r="E10" s="31" t="n">
        <f aca="false">CF_Closing_Cash</f>
        <v>5000000</v>
      </c>
      <c r="F10" s="31" t="n">
        <f aca="false">CF_Closing_Cash</f>
        <v>5000000</v>
      </c>
      <c r="G10" s="31" t="n">
        <f aca="false">CF_Closing_Cash</f>
        <v>5000000</v>
      </c>
    </row>
    <row r="11" customFormat="false" ht="15" hidden="false" customHeight="false" outlineLevel="0" collapsed="false">
      <c r="A11" s="6"/>
      <c r="B11" s="34" t="s">
        <v>237</v>
      </c>
      <c r="C11" s="31" t="n">
        <f aca="false">WC_AR</f>
        <v>856849.315068493</v>
      </c>
      <c r="D11" s="31" t="n">
        <f aca="false">WC_AR</f>
        <v>1362267.12328767</v>
      </c>
      <c r="E11" s="31" t="n">
        <f aca="false">WC_AR</f>
        <v>2008534.31506849</v>
      </c>
      <c r="F11" s="31" t="n">
        <f aca="false">WC_AR</f>
        <v>2785702.66643836</v>
      </c>
      <c r="G11" s="31" t="n">
        <f aca="false">WC_AR</f>
        <v>3604740.41018836</v>
      </c>
    </row>
    <row r="12" customFormat="false" ht="15" hidden="false" customHeight="false" outlineLevel="0" collapsed="false">
      <c r="A12" s="6"/>
      <c r="B12" s="7" t="s">
        <v>265</v>
      </c>
      <c r="C12" s="36" t="n">
        <f aca="false">C10+C11</f>
        <v>15271673.4246575</v>
      </c>
      <c r="D12" s="36" t="n">
        <f aca="false">D10+D11</f>
        <v>7188691.44657534</v>
      </c>
      <c r="E12" s="36" t="n">
        <f aca="false">E10+E11</f>
        <v>7008534.31506849</v>
      </c>
      <c r="F12" s="36" t="n">
        <f aca="false">F10+F11</f>
        <v>7785702.66643836</v>
      </c>
      <c r="G12" s="36" t="n">
        <f aca="false">G10+G11</f>
        <v>8604740.41018836</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266</v>
      </c>
      <c r="C14" s="10"/>
      <c r="D14" s="10"/>
      <c r="E14" s="10"/>
      <c r="F14" s="10"/>
      <c r="G14" s="10"/>
    </row>
    <row r="15" customFormat="false" ht="15" hidden="false" customHeight="false" outlineLevel="0" collapsed="false">
      <c r="A15" s="6"/>
      <c r="B15" s="34" t="s">
        <v>267</v>
      </c>
      <c r="C15" s="31" t="n">
        <f aca="false">CX_Cum_Cap_RD-CX_Cum_SW_Amort</f>
        <v>1066666.66666667</v>
      </c>
      <c r="D15" s="31" t="n">
        <f aca="false">CX_Cum_Cap_RD-CX_Cum_SW_Amort</f>
        <v>1866666.66666667</v>
      </c>
      <c r="E15" s="31" t="n">
        <f aca="false">CX_Cum_Cap_RD-CX_Cum_SW_Amort</f>
        <v>2333333.33333333</v>
      </c>
      <c r="F15" s="31" t="n">
        <f aca="false">CX_Cum_Cap_RD-CX_Cum_SW_Amort</f>
        <v>2383333.33333333</v>
      </c>
      <c r="G15" s="31" t="n">
        <f aca="false">CX_Cum_Cap_RD-CX_Cum_SW_Amort</f>
        <v>1912500</v>
      </c>
    </row>
    <row r="16" customFormat="false" ht="15" hidden="false" customHeight="false" outlineLevel="0" collapsed="false">
      <c r="A16" s="6"/>
      <c r="B16" s="34" t="s">
        <v>268</v>
      </c>
      <c r="C16" s="31" t="n">
        <f aca="false">CX_Cum_HW-CX_Cum_HW_Depr</f>
        <v>375000</v>
      </c>
      <c r="D16" s="31" t="n">
        <f aca="false">CX_Cum_HW-CX_Cum_HW_Depr</f>
        <v>681250</v>
      </c>
      <c r="E16" s="31" t="n">
        <f aca="false">CX_Cum_HW-CX_Cum_HW_Depr</f>
        <v>908437.5</v>
      </c>
      <c r="F16" s="31" t="n">
        <f aca="false">CX_Cum_HW-CX_Cum_HW_Depr</f>
        <v>1044703.125</v>
      </c>
      <c r="G16" s="31" t="n">
        <f aca="false">CX_Cum_HW-CX_Cum_HW_Depr</f>
        <v>1076408.59375</v>
      </c>
    </row>
    <row r="17" customFormat="false" ht="15" hidden="false" customHeight="false" outlineLevel="0" collapsed="false">
      <c r="A17" s="6"/>
      <c r="B17" s="7" t="s">
        <v>269</v>
      </c>
      <c r="C17" s="36" t="n">
        <f aca="false">C15+C16</f>
        <v>1441666.66666667</v>
      </c>
      <c r="D17" s="36" t="n">
        <f aca="false">D15+D16</f>
        <v>2547916.66666667</v>
      </c>
      <c r="E17" s="36" t="n">
        <f aca="false">E15+E16</f>
        <v>3241770.83333333</v>
      </c>
      <c r="F17" s="36" t="n">
        <f aca="false">F15+F16</f>
        <v>3428036.45833333</v>
      </c>
      <c r="G17" s="36" t="n">
        <f aca="false">G15+G16</f>
        <v>2988908.59375</v>
      </c>
    </row>
    <row r="18" customFormat="false" ht="15" hidden="false" customHeight="false" outlineLevel="0" collapsed="false">
      <c r="A18" s="6"/>
      <c r="B18" s="6"/>
      <c r="C18" s="6"/>
      <c r="D18" s="6"/>
      <c r="E18" s="6"/>
      <c r="F18" s="6"/>
      <c r="G18" s="6"/>
    </row>
    <row r="19" customFormat="false" ht="15" hidden="false" customHeight="false" outlineLevel="0" collapsed="false">
      <c r="A19" s="6"/>
      <c r="B19" s="7" t="s">
        <v>270</v>
      </c>
      <c r="C19" s="38" t="n">
        <f aca="false">C12+C17</f>
        <v>16713340.0913242</v>
      </c>
      <c r="D19" s="38" t="n">
        <f aca="false">D12+D17</f>
        <v>9736608.11324201</v>
      </c>
      <c r="E19" s="38" t="n">
        <f aca="false">E12+E17</f>
        <v>10250305.1484018</v>
      </c>
      <c r="F19" s="38" t="n">
        <f aca="false">F12+F17</f>
        <v>11213739.1247717</v>
      </c>
      <c r="G19" s="38" t="n">
        <f aca="false">G12+G17</f>
        <v>11593649.0039384</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9" t="s">
        <v>271</v>
      </c>
      <c r="C21" s="10"/>
      <c r="D21" s="10"/>
      <c r="E21" s="10"/>
      <c r="F21" s="10"/>
      <c r="G21" s="10"/>
    </row>
    <row r="22" customFormat="false" ht="15" hidden="false" customHeight="false" outlineLevel="0" collapsed="false">
      <c r="A22" s="6"/>
      <c r="B22" s="6"/>
      <c r="C22" s="6"/>
      <c r="D22" s="6"/>
      <c r="E22" s="6"/>
      <c r="F22" s="6"/>
      <c r="G22" s="6"/>
    </row>
    <row r="23" customFormat="false" ht="15" hidden="false" customHeight="false" outlineLevel="0" collapsed="false">
      <c r="A23" s="6"/>
      <c r="B23" s="34" t="s">
        <v>239</v>
      </c>
      <c r="C23" s="31" t="n">
        <f aca="false">WC_AP</f>
        <v>258953.424657534</v>
      </c>
      <c r="D23" s="31" t="n">
        <f aca="false">WC_AP</f>
        <v>311166.246575343</v>
      </c>
      <c r="E23" s="31" t="n">
        <f aca="false">WC_AP</f>
        <v>373112.924054794</v>
      </c>
      <c r="F23" s="31" t="n">
        <f aca="false">WC_AP</f>
        <v>444467.552903014</v>
      </c>
      <c r="G23" s="31" t="n">
        <f aca="false">WC_AP</f>
        <v>524578.221341931</v>
      </c>
    </row>
    <row r="24" customFormat="false" ht="15" hidden="false" customHeight="false" outlineLevel="0" collapsed="false">
      <c r="A24" s="6"/>
      <c r="B24" s="34" t="s">
        <v>240</v>
      </c>
      <c r="C24" s="31" t="n">
        <f aca="false">WC_Accrued</f>
        <v>1009520</v>
      </c>
      <c r="D24" s="31" t="n">
        <f aca="false">WC_Accrued</f>
        <v>1297183.2</v>
      </c>
      <c r="E24" s="31" t="n">
        <f aca="false">WC_Accrued</f>
        <v>1657290.152</v>
      </c>
      <c r="F24" s="31" t="n">
        <f aca="false">WC_Accrued</f>
        <v>2095331.36136</v>
      </c>
      <c r="G24" s="31" t="n">
        <f aca="false">WC_Accrued</f>
        <v>2597264.48363</v>
      </c>
    </row>
    <row r="25" customFormat="false" ht="15" hidden="false" customHeight="false" outlineLevel="0" collapsed="false">
      <c r="A25" s="6"/>
      <c r="B25" s="34" t="s">
        <v>238</v>
      </c>
      <c r="C25" s="31" t="n">
        <f aca="false">WC_Def_Revenue</f>
        <v>5788800</v>
      </c>
      <c r="D25" s="31" t="n">
        <f aca="false">WC_Def_Revenue</f>
        <v>9153648</v>
      </c>
      <c r="E25" s="31" t="n">
        <f aca="false">WC_Def_Revenue</f>
        <v>13356320.04</v>
      </c>
      <c r="F25" s="31" t="n">
        <f aca="false">WC_Def_Revenue</f>
        <v>18110279.0925</v>
      </c>
      <c r="G25" s="31" t="n">
        <f aca="false">WC_Def_Revenue</f>
        <v>10278807.0525</v>
      </c>
    </row>
    <row r="26" customFormat="false" ht="15" hidden="false" customHeight="false" outlineLevel="0" collapsed="false">
      <c r="A26" s="6"/>
      <c r="B26" s="34" t="s">
        <v>272</v>
      </c>
      <c r="C26" s="31" t="n">
        <f aca="false">MIN(Venture_Debt/VD_Tenor,Income_Statement!C40)</f>
        <v>1250000</v>
      </c>
      <c r="D26" s="31" t="n">
        <f aca="false">MIN(Venture_Debt/VD_Tenor,Income_Statement!D40)</f>
        <v>1250000</v>
      </c>
      <c r="E26" s="31" t="n">
        <f aca="false">MIN(Venture_Debt/VD_Tenor,Income_Statement!E40)</f>
        <v>1250000</v>
      </c>
      <c r="F26" s="31" t="n">
        <f aca="false">MIN(Venture_Debt/VD_Tenor,Income_Statement!F40)</f>
        <v>0</v>
      </c>
      <c r="G26" s="31" t="n">
        <f aca="false">MIN(Venture_Debt/VD_Tenor,Income_Statement!G40)</f>
        <v>0</v>
      </c>
    </row>
    <row r="27" customFormat="false" ht="15" hidden="false" customHeight="false" outlineLevel="0" collapsed="false">
      <c r="A27" s="6"/>
      <c r="B27" s="7" t="s">
        <v>273</v>
      </c>
      <c r="C27" s="36" t="n">
        <f aca="false">SUM(C23:C26)</f>
        <v>8307273.42465753</v>
      </c>
      <c r="D27" s="36" t="n">
        <f aca="false">SUM(D23:D26)</f>
        <v>12011997.4465753</v>
      </c>
      <c r="E27" s="36" t="n">
        <f aca="false">SUM(E23:E26)</f>
        <v>16636723.1160548</v>
      </c>
      <c r="F27" s="36" t="n">
        <f aca="false">SUM(F23:F26)</f>
        <v>20650078.006763</v>
      </c>
      <c r="G27" s="36" t="n">
        <f aca="false">SUM(G23:G26)</f>
        <v>13400649.7574719</v>
      </c>
    </row>
    <row r="28" customFormat="false" ht="15" hidden="false" customHeight="false" outlineLevel="0" collapsed="false">
      <c r="A28" s="6"/>
      <c r="B28" s="6"/>
      <c r="C28" s="6"/>
      <c r="D28" s="6"/>
      <c r="E28" s="6"/>
      <c r="F28" s="6"/>
      <c r="G28" s="6"/>
    </row>
    <row r="29" customFormat="false" ht="15" hidden="false" customHeight="false" outlineLevel="0" collapsed="false">
      <c r="A29" s="6"/>
      <c r="B29" s="9" t="s">
        <v>274</v>
      </c>
      <c r="C29" s="10"/>
      <c r="D29" s="10"/>
      <c r="E29" s="10"/>
      <c r="F29" s="10"/>
      <c r="G29" s="10"/>
    </row>
    <row r="30" customFormat="false" ht="15" hidden="false" customHeight="false" outlineLevel="0" collapsed="false">
      <c r="A30" s="6"/>
      <c r="B30" s="34" t="s">
        <v>275</v>
      </c>
      <c r="C30" s="31" t="n">
        <f aca="false">MAX(0,Income_Statement!C40-C26)</f>
        <v>2500000</v>
      </c>
      <c r="D30" s="31" t="n">
        <f aca="false">MAX(0,Income_Statement!D40-D26)</f>
        <v>1250000</v>
      </c>
      <c r="E30" s="31" t="n">
        <f aca="false">MAX(0,Income_Statement!E40-E26)</f>
        <v>0</v>
      </c>
      <c r="F30" s="31" t="n">
        <f aca="false">MAX(0,Income_Statement!F40-F26)</f>
        <v>0</v>
      </c>
      <c r="G30" s="31" t="n">
        <f aca="false">MAX(0,Income_Statement!G40-G26)</f>
        <v>0</v>
      </c>
    </row>
    <row r="31" customFormat="false" ht="15" hidden="false" customHeight="false" outlineLevel="0" collapsed="false">
      <c r="A31" s="6"/>
      <c r="B31" s="7" t="s">
        <v>276</v>
      </c>
      <c r="C31" s="36" t="n">
        <f aca="false">C30</f>
        <v>2500000</v>
      </c>
      <c r="D31" s="36" t="n">
        <f aca="false">D30</f>
        <v>1250000</v>
      </c>
      <c r="E31" s="36" t="n">
        <f aca="false">E30</f>
        <v>0</v>
      </c>
      <c r="F31" s="36" t="n">
        <f aca="false">F30</f>
        <v>0</v>
      </c>
      <c r="G31" s="36" t="n">
        <f aca="false">G30</f>
        <v>0</v>
      </c>
    </row>
    <row r="32" customFormat="false" ht="15" hidden="false" customHeight="false" outlineLevel="0" collapsed="false">
      <c r="A32" s="6"/>
      <c r="B32" s="6"/>
      <c r="C32" s="6"/>
      <c r="D32" s="6"/>
      <c r="E32" s="6"/>
      <c r="F32" s="6"/>
      <c r="G32" s="6"/>
    </row>
    <row r="33" customFormat="false" ht="15" hidden="false" customHeight="false" outlineLevel="0" collapsed="false">
      <c r="A33" s="6"/>
      <c r="B33" s="7" t="s">
        <v>277</v>
      </c>
      <c r="C33" s="38" t="n">
        <f aca="false">C27+C31</f>
        <v>10807273.4246575</v>
      </c>
      <c r="D33" s="38" t="n">
        <f aca="false">D27+D31</f>
        <v>13261997.4465753</v>
      </c>
      <c r="E33" s="38" t="n">
        <f aca="false">E27+E31</f>
        <v>16636723.1160548</v>
      </c>
      <c r="F33" s="38" t="n">
        <f aca="false">F27+F31</f>
        <v>20650078.006763</v>
      </c>
      <c r="G33" s="38" t="n">
        <f aca="false">G27+G31</f>
        <v>13400649.7574719</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9" t="s">
        <v>278</v>
      </c>
      <c r="C35" s="10"/>
      <c r="D35" s="10"/>
      <c r="E35" s="10"/>
      <c r="F35" s="10"/>
      <c r="G35" s="10"/>
    </row>
    <row r="36" customFormat="false" ht="15" hidden="false" customHeight="false" outlineLevel="0" collapsed="false">
      <c r="A36" s="6"/>
      <c r="B36" s="34" t="s">
        <v>184</v>
      </c>
      <c r="C36" s="31" t="n">
        <f aca="false">Share_Capital+SUM(Income_Statement!$C$26:C26)</f>
        <v>35834000</v>
      </c>
      <c r="D36" s="31" t="n">
        <f aca="false">Share_Capital+SUM(Income_Statement!$C$26:D26)</f>
        <v>37159940</v>
      </c>
      <c r="E36" s="31" t="n">
        <f aca="false">Share_Capital+SUM(Income_Statement!$C$26:E26)</f>
        <v>39114913.4</v>
      </c>
      <c r="F36" s="31" t="n">
        <f aca="false">Share_Capital+SUM(Income_Statement!$C$26:F26)</f>
        <v>41826330.662</v>
      </c>
      <c r="G36" s="31" t="n">
        <f aca="false">Share_Capital+SUM(Income_Statement!$C$26:G26)</f>
        <v>45334944.66125</v>
      </c>
    </row>
    <row r="37" customFormat="false" ht="15" hidden="false" customHeight="false" outlineLevel="0" collapsed="false">
      <c r="A37" s="6"/>
      <c r="B37" s="34" t="s">
        <v>279</v>
      </c>
      <c r="C37" s="31" t="n">
        <f aca="false">SUM(Cash_Flow!$C$22:C22)</f>
        <v>0</v>
      </c>
      <c r="D37" s="31" t="n">
        <f aca="false">SUM(Cash_Flow!$C$22:D22)</f>
        <v>0</v>
      </c>
      <c r="E37" s="31" t="n">
        <f aca="false">SUM(Cash_Flow!$C$22:E22)</f>
        <v>6840616.2750137</v>
      </c>
      <c r="F37" s="31" t="n">
        <f aca="false">SUM(Cash_Flow!$C$22:F22)</f>
        <v>13895136.7009953</v>
      </c>
      <c r="G37" s="31" t="n">
        <f aca="false">SUM(Cash_Flow!$C$22:G22)</f>
        <v>32845466.2310716</v>
      </c>
    </row>
    <row r="38" customFormat="false" ht="15" hidden="false" customHeight="false" outlineLevel="0" collapsed="false">
      <c r="A38" s="6"/>
      <c r="B38" s="34" t="s">
        <v>280</v>
      </c>
      <c r="C38" s="31" t="n">
        <f aca="false">Open_Ret_Earnings+IS_Net_Income</f>
        <v>-29927933.3333333</v>
      </c>
      <c r="D38" s="31" t="n">
        <f aca="false">C38+IS_Net_Income</f>
        <v>-40685329.3333333</v>
      </c>
      <c r="E38" s="31" t="n">
        <f aca="false">D38+IS_Net_Income</f>
        <v>-52341947.6426667</v>
      </c>
      <c r="F38" s="31" t="n">
        <f aca="false">E38+IS_Net_Income</f>
        <v>-65157806.2449867</v>
      </c>
      <c r="G38" s="31" t="n">
        <f aca="false">F38+IS_Net_Income</f>
        <v>-79987411.6458552</v>
      </c>
    </row>
    <row r="39" customFormat="false" ht="15" hidden="false" customHeight="false" outlineLevel="0" collapsed="false">
      <c r="A39" s="6"/>
      <c r="B39" s="7" t="s">
        <v>281</v>
      </c>
      <c r="C39" s="36" t="n">
        <f aca="false">C36+C37+C38</f>
        <v>5906066.66666666</v>
      </c>
      <c r="D39" s="36" t="n">
        <f aca="false">D36+D37+D38</f>
        <v>-3525389.33333334</v>
      </c>
      <c r="E39" s="36" t="n">
        <f aca="false">E36+E37+E38</f>
        <v>-6386417.96765297</v>
      </c>
      <c r="F39" s="36" t="n">
        <f aca="false">F36+F37+F38</f>
        <v>-9436338.88199133</v>
      </c>
      <c r="G39" s="36" t="n">
        <f aca="false">G36+G37+G38</f>
        <v>-1807000.75353357</v>
      </c>
    </row>
    <row r="40" customFormat="false" ht="15" hidden="false" customHeight="false" outlineLevel="0" collapsed="false">
      <c r="A40" s="6"/>
      <c r="B40" s="6"/>
      <c r="C40" s="6"/>
      <c r="D40" s="6"/>
      <c r="E40" s="6"/>
      <c r="F40" s="6"/>
      <c r="G40" s="6"/>
    </row>
    <row r="41" customFormat="false" ht="15" hidden="false" customHeight="false" outlineLevel="0" collapsed="false">
      <c r="A41" s="6"/>
      <c r="B41" s="7" t="s">
        <v>282</v>
      </c>
      <c r="C41" s="38" t="n">
        <f aca="false">C33+C39</f>
        <v>16713340.0913242</v>
      </c>
      <c r="D41" s="38" t="n">
        <f aca="false">D33+D39</f>
        <v>9736608.11324201</v>
      </c>
      <c r="E41" s="38" t="n">
        <f aca="false">E33+E39</f>
        <v>10250305.1484018</v>
      </c>
      <c r="F41" s="38" t="n">
        <f aca="false">F33+F39</f>
        <v>11213739.1247717</v>
      </c>
      <c r="G41" s="38" t="n">
        <f aca="false">G33+G39</f>
        <v>11593649.0039384</v>
      </c>
    </row>
    <row r="42" customFormat="false" ht="15" hidden="false" customHeight="false" outlineLevel="0" collapsed="false">
      <c r="A42" s="6"/>
      <c r="B42" s="6"/>
      <c r="C42" s="6"/>
      <c r="D42" s="6"/>
      <c r="E42" s="6"/>
      <c r="F42" s="6"/>
      <c r="G42" s="6"/>
    </row>
    <row r="43" customFormat="false" ht="15" hidden="false" customHeight="false" outlineLevel="0" collapsed="false">
      <c r="A43" s="6"/>
      <c r="B43" s="42" t="s">
        <v>283</v>
      </c>
      <c r="C43" s="43" t="n">
        <f aca="false">C19-C41</f>
        <v>0</v>
      </c>
      <c r="D43" s="43" t="n">
        <f aca="false">D19-D41</f>
        <v>0</v>
      </c>
      <c r="E43" s="43" t="n">
        <f aca="false">E19-E41</f>
        <v>0</v>
      </c>
      <c r="F43" s="43" t="n">
        <f aca="false">F19-F41</f>
        <v>0</v>
      </c>
      <c r="G43" s="43" t="n">
        <f aca="false">G19-G41</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2026-05-15T18:52:44Z</dcterms:created>
  <dc:creator>openpyxl</dc:creator>
  <dc:description/>
  <dc:language>en-GB</dc:language>
  <cp:lastModifiedBy/>
  <dcterms:modified xsi:type="dcterms:W3CDTF">2026-05-15T18:52:44Z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