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Fleet" sheetId="3" state="visible" r:id="rId5"/>
    <sheet name="Lease_Income" sheetId="4" state="visible" r:id="rId6"/>
    <sheet name="Debt" sheetId="5" state="visible" r:id="rId7"/>
    <sheet name="Cash_Flow" sheetId="6" state="visible" r:id="rId8"/>
    <sheet name="Returns" sheetId="7" state="visible" r:id="rId9"/>
    <sheet name="Sensitivity" sheetId="8" state="visible" r:id="rId10"/>
    <sheet name="Checks" sheetId="9" state="visible" r:id="rId11"/>
    <sheet name="Disclaimer" sheetId="10" state="visible" r:id="rId12"/>
  </sheets>
  <definedNames>
    <definedName function="false" hidden="false" name="Acct_Residual" vbProcedure="false">Assumptions!$C$21</definedName>
    <definedName function="false" hidden="false" name="Acq_Year" vbProcedure="false">Assumptions!$C$9</definedName>
    <definedName function="false" hidden="false" name="Aircraft_Cost" vbProcedure="false">Assumptions!$C$7</definedName>
    <definedName function="false" hidden="false" name="Amort_Period" vbProcedure="false">Assumptions!$C$30</definedName>
    <definedName function="false" hidden="false" name="Annual_Depreciation" vbProcedure="false">Assumptions!$C$23</definedName>
    <definedName function="false" hidden="false" name="Annual_Rental" vbProcedure="false">Assumptions!$C$14</definedName>
    <definedName function="false" hidden="false" name="Debt_Amount" vbProcedure="false">Assumptions!$C$27</definedName>
    <definedName function="false" hidden="false" name="Equity_Amount" vbProcedure="false">Assumptions!$C$28</definedName>
    <definedName function="false" hidden="false" name="Exit_Residual" vbProcedure="false">Assumptions!$C$22</definedName>
    <definedName function="false" hidden="false" name="Fleet_Util" vbProcedure="false">Assumptions!$C$15</definedName>
    <definedName function="false" hidden="false" name="Hold_Years" vbProcedure="false">Assumptions!$C$10</definedName>
    <definedName function="false" hidden="false" name="Interest_Rate" vbProcedure="false">Assumptions!$C$29</definedName>
    <definedName function="false" hidden="false" name="Lease_Rate_Factor" vbProcedure="false">Assumptions!$C$13</definedName>
    <definedName function="false" hidden="false" name="LTV" vbProcedure="false">Assumptions!$C$26</definedName>
    <definedName function="false" hidden="false" name="Num_Aircraft" vbProcedure="false">Assumptions!$C$6</definedName>
    <definedName function="false" hidden="false" name="Opex_Ratio" vbProcedure="false">Assumptions!$C$17</definedName>
    <definedName function="false" hidden="false" name="Rent_Escalation" vbProcedure="false">Assumptions!$C$16</definedName>
    <definedName function="false" hidden="false" name="Tax_Rate" vbProcedure="false">Assumptions!$C$33</definedName>
    <definedName function="false" hidden="false" name="Total_Fleet_Cost" vbProcedure="false">Assumptions!$C$8</definedName>
    <definedName function="false" hidden="false" name="Useful_Life" vbProcedure="false">Assumptions!$C$20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<sst xmlns="http://schemas.openxmlformats.org/spreadsheetml/2006/main" count="213" uniqueCount="183">
  <si>
    <t xml:space="preserve">Aircraft Leasing Model</t>
  </si>
  <si>
    <t xml:space="preserve">FINAMODEL.com</t>
  </si>
  <si>
    <t xml:space="preserve">Operating-Lease Portfolio Cash Flow Model</t>
  </si>
  <si>
    <t xml:space="preserve">Sheet</t>
  </si>
  <si>
    <t xml:space="preserve">Tab</t>
  </si>
  <si>
    <t xml:space="preserve">Purpose</t>
  </si>
  <si>
    <t xml:space="preserve">Cover</t>
  </si>
  <si>
    <t xml:space="preserve">Navy</t>
  </si>
  <si>
    <t xml:space="preserve">Title, sheet index</t>
  </si>
  <si>
    <t xml:space="preserve">Assumptions</t>
  </si>
  <si>
    <t xml:space="preserve">Blue</t>
  </si>
  <si>
    <t xml:space="preserve">Inputs and named ranges</t>
  </si>
  <si>
    <t xml:space="preserve">Fleet</t>
  </si>
  <si>
    <t xml:space="preserve">Aircraft count, book value, exit valuation</t>
  </si>
  <si>
    <t xml:space="preserve">Lease_Income</t>
  </si>
  <si>
    <t xml:space="preserve">Lease revenue, opex, depreciation, net income</t>
  </si>
  <si>
    <t xml:space="preserve">Debt</t>
  </si>
  <si>
    <t xml:space="preserve">Debt drawdown, amortisation, interest</t>
  </si>
  <si>
    <t xml:space="preserve">Cash_Flow</t>
  </si>
  <si>
    <t xml:space="preserve">Green</t>
  </si>
  <si>
    <t xml:space="preserve">Operating, levered and unlevered cash flow</t>
  </si>
  <si>
    <t xml:space="preserve">Returns</t>
  </si>
  <si>
    <t xml:space="preserve">Orange</t>
  </si>
  <si>
    <t xml:space="preserve">Levered IRR, equity multiple, exit summary</t>
  </si>
  <si>
    <t xml:space="preserve">Sensitivity</t>
  </si>
  <si>
    <t xml:space="preserve">Net lease yield: LRF vs utilisation grid</t>
  </si>
  <si>
    <t xml:space="preserve">Checks</t>
  </si>
  <si>
    <t xml:space="preserve">Red</t>
  </si>
  <si>
    <t xml:space="preserve">Validation: debt, NBV, sources, depreciation</t>
  </si>
  <si>
    <t xml:space="preserve">Model Version: v1 (2026-05-20)</t>
  </si>
  <si>
    <t xml:space="preserve">Status: TEMPLATE - assumptions must be confirmed before use</t>
  </si>
  <si>
    <t xml:space="preserve">Parameter</t>
  </si>
  <si>
    <t xml:space="preserve">Value</t>
  </si>
  <si>
    <t xml:space="preserve">Unit</t>
  </si>
  <si>
    <t xml:space="preserve">Notes</t>
  </si>
  <si>
    <t xml:space="preserve">Fleet &amp; Acquisition</t>
  </si>
  <si>
    <t xml:space="preserve">Number of Aircraft</t>
  </si>
  <si>
    <t xml:space="preserve">units</t>
  </si>
  <si>
    <t xml:space="preserve">Narrowbody fleet acquired at close</t>
  </si>
  <si>
    <t xml:space="preserve">Aircraft Cost</t>
  </si>
  <si>
    <t xml:space="preserve">USD</t>
  </si>
  <si>
    <t xml:space="preserve">Delivery cost per aircraft</t>
  </si>
  <si>
    <t xml:space="preserve">Total Fleet Cost</t>
  </si>
  <si>
    <t xml:space="preserve">Aircraft count x unit cost</t>
  </si>
  <si>
    <t xml:space="preserve">Acquisition Year</t>
  </si>
  <si>
    <t xml:space="preserve">year</t>
  </si>
  <si>
    <t xml:space="preserve">Year 0 portfolio close</t>
  </si>
  <si>
    <t xml:space="preserve">Hold Period</t>
  </si>
  <si>
    <t xml:space="preserve">years</t>
  </si>
  <si>
    <t xml:space="preserve">Operating hold, sale at end of term</t>
  </si>
  <si>
    <t xml:space="preserve">Lease Terms</t>
  </si>
  <si>
    <t xml:space="preserve">Lease Rate Factor</t>
  </si>
  <si>
    <t xml:space="preserve">per month</t>
  </si>
  <si>
    <t xml:space="preserve">Monthly rental as % of aircraft cost</t>
  </si>
  <si>
    <t xml:space="preserve">Annual Rental per Aircraft</t>
  </si>
  <si>
    <t xml:space="preserve">Monthly factor x 12 x cost</t>
  </si>
  <si>
    <t xml:space="preserve">Fleet Utilisation</t>
  </si>
  <si>
    <t xml:space="preserve">%</t>
  </si>
  <si>
    <t xml:space="preserve">Share of fleet on revenue lease</t>
  </si>
  <si>
    <t xml:space="preserve">Rent Escalation</t>
  </si>
  <si>
    <t xml:space="preserve">p.a.</t>
  </si>
  <si>
    <t xml:space="preserve">Annual contractual rent step-up</t>
  </si>
  <si>
    <t xml:space="preserve">Operating Expense Ratio</t>
  </si>
  <si>
    <t xml:space="preserve">% of revenue</t>
  </si>
  <si>
    <t xml:space="preserve">Lessor SG&amp;A, insurance, remarketing</t>
  </si>
  <si>
    <t xml:space="preserve">Depreciation &amp; Residual</t>
  </si>
  <si>
    <t xml:space="preserve">Useful Life</t>
  </si>
  <si>
    <t xml:space="preserve">Straight-line depreciable life</t>
  </si>
  <si>
    <t xml:space="preserve">Accounting Residual</t>
  </si>
  <si>
    <t xml:space="preserve">% of cost</t>
  </si>
  <si>
    <t xml:space="preserve">Book salvage value at end of life</t>
  </si>
  <si>
    <t xml:space="preserve">Exit Residual Value</t>
  </si>
  <si>
    <t xml:space="preserve">Market sale value at end of hold</t>
  </si>
  <si>
    <t xml:space="preserve">Annual Depreciation</t>
  </si>
  <si>
    <t xml:space="preserve">Straight-line over useful life</t>
  </si>
  <si>
    <t xml:space="preserve">Financing</t>
  </si>
  <si>
    <t xml:space="preserve">Loan-to-Value</t>
  </si>
  <si>
    <t xml:space="preserve">Senior debt as % of fleet cost</t>
  </si>
  <si>
    <t xml:space="preserve">Debt Amount</t>
  </si>
  <si>
    <t xml:space="preserve">Drawn at acquisition</t>
  </si>
  <si>
    <t xml:space="preserve">Equity Amount</t>
  </si>
  <si>
    <t xml:space="preserve">Sponsor equity at close</t>
  </si>
  <si>
    <t xml:space="preserve">Interest Rate</t>
  </si>
  <si>
    <t xml:space="preserve">All-in senior debt cost</t>
  </si>
  <si>
    <t xml:space="preserve">Amortisation Period</t>
  </si>
  <si>
    <t xml:space="preserve">Straight-line amort; balloon at exit</t>
  </si>
  <si>
    <t xml:space="preserve">Tax</t>
  </si>
  <si>
    <t xml:space="preserve">Tax Rate</t>
  </si>
  <si>
    <t xml:space="preserve">Corporate tax on pre-tax income</t>
  </si>
  <si>
    <t xml:space="preserve">Fleet count, book value, exit</t>
  </si>
  <si>
    <t xml:space="preserve">Year</t>
  </si>
  <si>
    <t xml:space="preserve">Period</t>
  </si>
  <si>
    <t xml:space="preserve">Fleet Count</t>
  </si>
  <si>
    <t xml:space="preserve">  Aircraft in Service</t>
  </si>
  <si>
    <t xml:space="preserve">  Aircraft on Lease</t>
  </si>
  <si>
    <t xml:space="preserve">Book Value Roll-Forward</t>
  </si>
  <si>
    <t xml:space="preserve">  Opening NBV</t>
  </si>
  <si>
    <t xml:space="preserve">  Acquisitions</t>
  </si>
  <si>
    <t xml:space="preserve">  Depreciation</t>
  </si>
  <si>
    <t xml:space="preserve">  Closing NBV</t>
  </si>
  <si>
    <t xml:space="preserve">Exit Valuation</t>
  </si>
  <si>
    <t xml:space="preserve">  Market Value at Exit</t>
  </si>
  <si>
    <t xml:space="preserve">  Gain/(Loss) on Sale</t>
  </si>
  <si>
    <t xml:space="preserve">Lease Income</t>
  </si>
  <si>
    <t xml:space="preserve">Lease revenue, costs, net income</t>
  </si>
  <si>
    <t xml:space="preserve">Operating Performance</t>
  </si>
  <si>
    <t xml:space="preserve">  Lease Revenue</t>
  </si>
  <si>
    <t xml:space="preserve">  Operating Expenses</t>
  </si>
  <si>
    <t xml:space="preserve">  EBITDA</t>
  </si>
  <si>
    <t xml:space="preserve">Earnings</t>
  </si>
  <si>
    <t xml:space="preserve">  EBIT</t>
  </si>
  <si>
    <t xml:space="preserve">  Interest Expense</t>
  </si>
  <si>
    <t xml:space="preserve">  Pre-Tax Income</t>
  </si>
  <si>
    <t xml:space="preserve">  Tax Expense</t>
  </si>
  <si>
    <t xml:space="preserve">  Net Income</t>
  </si>
  <si>
    <t xml:space="preserve">Debt Schedule</t>
  </si>
  <si>
    <t xml:space="preserve">Senior debt drawdown, amortisation, interest</t>
  </si>
  <si>
    <t xml:space="preserve">  Opening Balance</t>
  </si>
  <si>
    <t xml:space="preserve">  Drawdown</t>
  </si>
  <si>
    <t xml:space="preserve">  Scheduled Repayment</t>
  </si>
  <si>
    <t xml:space="preserve">  Balloon Repayment</t>
  </si>
  <si>
    <t xml:space="preserve">  Closing Balance</t>
  </si>
  <si>
    <t xml:space="preserve">Interest</t>
  </si>
  <si>
    <t xml:space="preserve">Cash Flow</t>
  </si>
  <si>
    <t xml:space="preserve">Operating and equity cash flow</t>
  </si>
  <si>
    <t xml:space="preserve">Operating Cash Flow</t>
  </si>
  <si>
    <t xml:space="preserve">  Cash Taxes</t>
  </si>
  <si>
    <t xml:space="preserve">  Interest Paid</t>
  </si>
  <si>
    <t xml:space="preserve">  Operating Cash Flow</t>
  </si>
  <si>
    <t xml:space="preserve">Investing &amp; Financing</t>
  </si>
  <si>
    <t xml:space="preserve">  Aircraft Acquisition</t>
  </si>
  <si>
    <t xml:space="preserve">  Sale Proceeds</t>
  </si>
  <si>
    <t xml:space="preserve">  Debt Drawdown</t>
  </si>
  <si>
    <t xml:space="preserve">  Debt Repayment</t>
  </si>
  <si>
    <t xml:space="preserve">Equity Cash Flow</t>
  </si>
  <si>
    <t xml:space="preserve">  Levered Cash Flow</t>
  </si>
  <si>
    <t xml:space="preserve">  Cumulative Equity CF</t>
  </si>
  <si>
    <t xml:space="preserve">Unlevered View</t>
  </si>
  <si>
    <t xml:space="preserve">  Unlevered Cash Flow</t>
  </si>
  <si>
    <t xml:space="preserve">Levered IRR, multiple, exit</t>
  </si>
  <si>
    <t xml:space="preserve">Equity Returns</t>
  </si>
  <si>
    <t xml:space="preserve">Equity Invested</t>
  </si>
  <si>
    <t xml:space="preserve">Levered IRR</t>
  </si>
  <si>
    <t xml:space="preserve">Equity Multiple</t>
  </si>
  <si>
    <t xml:space="preserve">Avg Cash Yield</t>
  </si>
  <si>
    <t xml:space="preserve">Unlevered IRR</t>
  </si>
  <si>
    <t xml:space="preserve">Exit Summary</t>
  </si>
  <si>
    <t xml:space="preserve">Sale Proceeds</t>
  </si>
  <si>
    <t xml:space="preserve">Debt at Exit</t>
  </si>
  <si>
    <t xml:space="preserve">Net Exit Equity</t>
  </si>
  <si>
    <t xml:space="preserve">Cash to Equity</t>
  </si>
  <si>
    <t xml:space="preserve">Net lease yield grid</t>
  </si>
  <si>
    <t xml:space="preserve">LRF \ Utilisation</t>
  </si>
  <si>
    <t xml:space="preserve">Validation Checks</t>
  </si>
  <si>
    <t xml:space="preserve">All checks must equal 0</t>
  </si>
  <si>
    <t xml:space="preserve">Check</t>
  </si>
  <si>
    <t xml:space="preserve">Result</t>
  </si>
  <si>
    <t xml:space="preserve">Status</t>
  </si>
  <si>
    <t xml:space="preserve">Debt repaid at exit</t>
  </si>
  <si>
    <t xml:space="preserve">NBV non-negative</t>
  </si>
  <si>
    <t xml:space="preserve">Equity ties to sources</t>
  </si>
  <si>
    <t xml:space="preserve">Year-0 equity outflow</t>
  </si>
  <si>
    <t xml:space="preserve">LTV within bounds</t>
  </si>
  <si>
    <t xml:space="preserve">Utilisation within bounds</t>
  </si>
  <si>
    <t xml:space="preserve">Depreciation reconciles</t>
  </si>
  <si>
    <t xml:space="preserve">ALL CHECKS PASS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</si>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</sst>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8">
    <numFmt numFmtId="164" formatCode="General"/>
    <numFmt numFmtId="165" formatCode="0"/>
    <numFmt numFmtId="166" formatCode="#,##0"/>
    <numFmt numFmtId="167" formatCode="0.000%"/>
    <numFmt numFmtId="168" formatCode="0.0%"/>
    <numFmt numFmtId="169" formatCode="0.00%"/>
    <numFmt numFmtId="170" formatCode="0.0"/>
    <numFmt numFmtId="171" formatCode="0.00\x"/>
  </numFmts>
  <fonts count="23">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name val="Arial"/>
      <family val="0"/>
      <charset val="1"/>
    </font>
    <font>
      <i val="true"/>
      <sz val="11"/>
      <color rgb="FFFF0000"/>
      <name val="Arial"/>
      <family val="0"/>
      <charset val="1"/>
    </font>
    <font>
      <b val="true"/>
      <sz val="11"/>
      <color theme="0"/>
      <name val="Arial"/>
      <family val="0"/>
      <charset val="1"/>
    </font>
    <font>
      <b val="true"/>
      <sz val="11"/>
      <color theme="3"/>
      <name val="Arial"/>
      <family val="0"/>
      <charset val="1"/>
    </font>
    <font>
      <sz val="11"/>
      <color rgb="FF0070C0"/>
      <name val="Arial"/>
      <family val="0"/>
      <charset val="1"/>
    </font>
    <font>
      <b val="true"/>
      <sz val="11"/>
      <color rgb="FF0070C0"/>
      <name val="Arial"/>
      <family val="0"/>
      <charset val="1"/>
    </font>
    <font>
      <b val="true"/>
      <sz val="11"/>
      <color rgb="FF00B050"/>
      <name val="Arial"/>
      <family val="0"/>
      <charset val="1"/>
    </font>
    <font>
      <b val="true"/>
      <sz val="18"/>
      <color rgb="FF1F4E79"/>
      <name val="Arial"/>
      <family val="0"/>
      <charset val="1"/>
    </font>
    <font>
      <sz val="11"/>
      <color theme="1"/>
      <name val="Calibri"/>
      <family val="2"/>
      <charset val="1"/>
    </font>
    <font>
      <b val="true"/>
      <sz val="11"/>
      <color rgb="FFFFFFFF"/>
      <name val="Arial"/>
      <family val="0"/>
      <charset val="1"/>
    </font>
    <font>
      <sz val="10"/>
      <color rgb="FF262626"/>
      <name val="Arial"/>
      <family val="0"/>
      <charset val="1"/>
    </font>
    <font>
      <b val="true"/>
      <sz val="10"/>
      <color rgb="FF1F4E79"/>
      <name val="Arial"/>
      <family val="0"/>
      <charset val="1"/>
    </font>
    <font>
      <b val="true"/>
      <sz val="11"/>
      <color rgb="FF1F4E79"/>
      <name val="Arial"/>
      <family val="0"/>
      <charset val="1"/>
    </font>
    <font>
      <sz val="9"/>
      <color rgb="FF404040"/>
      <name val="Arial"/>
      <family val="0"/>
      <charset val="1"/>
    </font>
    <font>
      <i val="true"/>
      <sz val="10"/>
      <color rgb="FF808080"/>
      <name val="Arial"/>
      <family val="0"/>
      <charset val="1"/>
    </font>
  </fonts>
  <fills count="6">
    <fill>
      <patternFill patternType="none"/>
    </fill>
    <fill>
      <patternFill patternType="gray125"/>
    </fill>
    <fill>
      <patternFill patternType="solid">
        <fgColor theme="3"/>
        <bgColor rgb="FF1F4E79"/>
      </patternFill>
    </fill>
    <fill>
      <patternFill patternType="solid">
        <fgColor rgb="FFDEEAF1"/>
        <bgColor rgb="FFF2F2F2"/>
      </patternFill>
    </fill>
    <fill>
      <patternFill patternType="solid">
        <fgColor rgb="FF1F4E79"/>
        <bgColor rgb="FF1F497D"/>
      </patternFill>
    </fill>
    <fill>
      <patternFill patternType="solid">
        <fgColor rgb="FFF2F2F2"/>
        <bgColor rgb="FFDEEAF1"/>
      </patternFill>
    </fill>
  </fills>
  <borders count="3">
    <border diagonalUp="false" diagonalDown="false">
      <left/>
      <right/>
      <top/>
      <bottom/>
      <diagonal/>
    </border>
    <border diagonalUp="false" diagonalDown="false">
      <left/>
      <right/>
      <top/>
      <bottom style="thin"/>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12" fillId="3" borderId="0" xfId="0" applyFont="true" applyBorder="false" applyAlignment="true" applyProtection="false">
      <alignment horizontal="right" vertical="center" textRotation="0" wrapText="false" indent="0" shrinkToFit="false"/>
      <protection locked="true" hidden="false"/>
    </xf>
    <xf numFmtId="166" fontId="12" fillId="3"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7" fontId="12" fillId="3" borderId="0" xfId="0" applyFont="true" applyBorder="false" applyAlignment="true" applyProtection="false">
      <alignment horizontal="right" vertical="center" textRotation="0" wrapText="false" indent="0" shrinkToFit="false"/>
      <protection locked="true" hidden="false"/>
    </xf>
    <xf numFmtId="168" fontId="12" fillId="3" borderId="0" xfId="0" applyFont="true" applyBorder="false" applyAlignment="true" applyProtection="false">
      <alignment horizontal="right" vertical="center" textRotation="0" wrapText="false" indent="0" shrinkToFit="false"/>
      <protection locked="true" hidden="false"/>
    </xf>
    <xf numFmtId="169" fontId="12" fillId="3" borderId="0" xfId="0" applyFont="true" applyBorder="false" applyAlignment="true" applyProtection="false">
      <alignment horizontal="right" vertical="center"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70" fontId="0" fillId="0" borderId="0" xfId="0" applyFont="true" applyBorder="fals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6" fontId="8" fillId="0" borderId="1" xfId="0" applyFont="true" applyBorder="true" applyAlignment="true" applyProtection="false">
      <alignment horizontal="right"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71" fontId="0" fillId="0"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8" fontId="13" fillId="3" borderId="0" xfId="0" applyFont="true" applyBorder="false" applyAlignment="true" applyProtection="false">
      <alignment horizontal="center" vertical="center" textRotation="0" wrapText="false" indent="0" shrinkToFit="false"/>
      <protection locked="true" hidden="false"/>
    </xf>
    <xf numFmtId="167" fontId="13" fillId="3" borderId="0" xfId="0" applyFont="true" applyBorder="fals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righ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17" fillId="4" borderId="0" xfId="0" applyFont="true" applyBorder="false" applyAlignment="true" applyProtection="false">
      <alignment horizontal="left" vertical="center" textRotation="0" wrapText="false" indent="1" shrinkToFit="false"/>
      <protection locked="true" hidden="false"/>
    </xf>
    <xf numFmtId="164" fontId="18" fillId="0"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21" fillId="5"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DEEAF1"/>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666699"/>
      <rgbColor rgb="FF70AD47"/>
      <rgbColor rgb="FF1F4E79"/>
      <rgbColor rgb="FF00B050"/>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6"/>
    <col collapsed="false" customWidth="true" hidden="false" outlineLevel="0" max="3" min="3" style="0" width="16"/>
    <col collapsed="false" customWidth="true" hidden="false" outlineLevel="0" max="4" min="4" style="0" width="20"/>
    <col collapsed="false" customWidth="true" hidden="false" outlineLevel="0" max="5" min="5" style="0" width="5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5" t="s">
        <v>4</v>
      </c>
      <c r="D5" s="5" t="s">
        <v>5</v>
      </c>
    </row>
    <row r="6" customFormat="false" ht="15" hidden="false" customHeight="false" outlineLevel="0" collapsed="false">
      <c r="B6" s="6" t="s">
        <v>6</v>
      </c>
      <c r="C6" s="6" t="s">
        <v>7</v>
      </c>
      <c r="D6" s="6" t="s">
        <v>8</v>
      </c>
    </row>
    <row r="7" customFormat="false" ht="15" hidden="false" customHeight="false" outlineLevel="0" collapsed="false">
      <c r="B7" s="6" t="s">
        <v>9</v>
      </c>
      <c r="C7" s="6" t="s">
        <v>10</v>
      </c>
      <c r="D7" s="6" t="s">
        <v>11</v>
      </c>
    </row>
    <row r="8" customFormat="false" ht="15" hidden="false" customHeight="false" outlineLevel="0" collapsed="false">
      <c r="B8" s="6" t="s">
        <v>12</v>
      </c>
      <c r="C8" s="6" t="s">
        <v>10</v>
      </c>
      <c r="D8" s="6" t="s">
        <v>13</v>
      </c>
    </row>
    <row r="9" customFormat="false" ht="15" hidden="false" customHeight="false" outlineLevel="0" collapsed="false">
      <c r="B9" s="6" t="s">
        <v>14</v>
      </c>
      <c r="C9" s="6" t="s">
        <v>10</v>
      </c>
      <c r="D9" s="6" t="s">
        <v>15</v>
      </c>
    </row>
    <row r="10" customFormat="false" ht="15" hidden="false" customHeight="false" outlineLevel="0" collapsed="false">
      <c r="B10" s="6" t="s">
        <v>16</v>
      </c>
      <c r="C10" s="6" t="s">
        <v>10</v>
      </c>
      <c r="D10" s="6" t="s">
        <v>17</v>
      </c>
    </row>
    <row r="11" customFormat="false" ht="15" hidden="false" customHeight="false" outlineLevel="0" collapsed="false">
      <c r="B11" s="6" t="s">
        <v>18</v>
      </c>
      <c r="C11" s="6" t="s">
        <v>19</v>
      </c>
      <c r="D11" s="6" t="s">
        <v>20</v>
      </c>
    </row>
    <row r="12" customFormat="false" ht="15" hidden="false" customHeight="false" outlineLevel="0" collapsed="false">
      <c r="B12" s="6" t="s">
        <v>21</v>
      </c>
      <c r="C12" s="6" t="s">
        <v>22</v>
      </c>
      <c r="D12" s="6" t="s">
        <v>23</v>
      </c>
    </row>
    <row r="13" customFormat="false" ht="15" hidden="false" customHeight="false" outlineLevel="0" collapsed="false">
      <c r="B13" s="6" t="s">
        <v>24</v>
      </c>
      <c r="C13" s="6" t="s">
        <v>22</v>
      </c>
      <c r="D13" s="6" t="s">
        <v>25</v>
      </c>
    </row>
    <row r="14" customFormat="false" ht="15" hidden="false" customHeight="false" outlineLevel="0" collapsed="false">
      <c r="B14" s="6" t="s">
        <v>26</v>
      </c>
      <c r="C14" s="6" t="s">
        <v>27</v>
      </c>
      <c r="D14" s="6" t="s">
        <v>28</v>
      </c>
    </row>
    <row r="16" customFormat="false" ht="15" hidden="false" customHeight="false" outlineLevel="0" collapsed="false">
      <c r="B16" s="7" t="s">
        <v>29</v>
      </c>
    </row>
    <row r="17" customFormat="false" ht="15" hidden="false" customHeight="false" outlineLevel="0" collapsed="false">
      <c r="B17" s="8" t="s">
        <v>30</v>
      </c>
    </row>
  </sheetData>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5" t="s">
        <v>166</v>
      </c>
    </row>
    <row r="3" customFormat="false" ht="3.75" hidden="false" customHeight="true" outlineLevel="0" collapsed="false">
      <c r="B3" s="36"/>
    </row>
    <row r="6" customFormat="false" ht="19.5" hidden="false" customHeight="true" outlineLevel="0" collapsed="false">
      <c r="B6" s="37" t="s">
        <v>167</v>
      </c>
    </row>
    <row r="7" customFormat="false" ht="48" hidden="false" customHeight="true" outlineLevel="0" collapsed="false">
      <c r="B7" s="38" t="s">
        <v>168</v>
      </c>
    </row>
    <row r="9" customFormat="false" ht="19.5" hidden="false" customHeight="true" outlineLevel="0" collapsed="false">
      <c r="B9" s="37" t="s">
        <v>169</v>
      </c>
    </row>
    <row r="10" customFormat="false" ht="61.5" hidden="false" customHeight="true" outlineLevel="0" collapsed="false">
      <c r="B10" s="38" t="s">
        <v>170</v>
      </c>
    </row>
    <row r="12" customFormat="false" ht="19.5" hidden="false" customHeight="true" outlineLevel="0" collapsed="false">
      <c r="B12" s="37" t="s">
        <v>171</v>
      </c>
    </row>
    <row r="13" customFormat="false" ht="75.75" hidden="false" customHeight="true" outlineLevel="0" collapsed="false">
      <c r="B13" s="38" t="s">
        <v>172</v>
      </c>
    </row>
    <row r="15" customFormat="false" ht="19.5" hidden="false" customHeight="true" outlineLevel="0" collapsed="false">
      <c r="B15" s="37" t="s">
        <v>173</v>
      </c>
    </row>
    <row r="16" customFormat="false" ht="61.5" hidden="false" customHeight="true" outlineLevel="0" collapsed="false">
      <c r="B16" s="38" t="s">
        <v>174</v>
      </c>
    </row>
    <row r="18" customFormat="false" ht="19.5" hidden="false" customHeight="true" outlineLevel="0" collapsed="false">
      <c r="B18" s="37" t="s">
        <v>175</v>
      </c>
    </row>
    <row r="19" customFormat="false" ht="33.75" hidden="false" customHeight="true" outlineLevel="0" collapsed="false">
      <c r="B19" s="38" t="s">
        <v>176</v>
      </c>
    </row>
    <row r="21" customFormat="false" ht="19.5" hidden="false" customHeight="true" outlineLevel="0" collapsed="false">
      <c r="B21" s="37" t="s">
        <v>177</v>
      </c>
    </row>
    <row r="22" customFormat="false" ht="33.75" hidden="false" customHeight="true" outlineLevel="0" collapsed="false">
      <c r="B22" s="38" t="s">
        <v>178</v>
      </c>
    </row>
    <row r="24" customFormat="false" ht="21.75" hidden="false" customHeight="true" outlineLevel="0" collapsed="false">
      <c r="B24" s="39" t="s">
        <v>179</v>
      </c>
    </row>
    <row r="26" customFormat="false" ht="18" hidden="false" customHeight="true" outlineLevel="0" collapsed="false">
      <c r="B26" s="40" t="s">
        <v>180</v>
      </c>
    </row>
    <row r="27" customFormat="false" ht="201.75" hidden="false" customHeight="true" outlineLevel="0" collapsed="false">
      <c r="B27" s="41" t="s">
        <v>181</v>
      </c>
    </row>
    <row r="29" customFormat="false" ht="18" hidden="false" customHeight="true" outlineLevel="0" collapsed="false">
      <c r="B29" s="42" t="s">
        <v>182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4"/>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9"/>
      <c r="B4" s="10" t="s">
        <v>31</v>
      </c>
      <c r="C4" s="10" t="s">
        <v>32</v>
      </c>
      <c r="D4" s="10" t="s">
        <v>33</v>
      </c>
      <c r="E4" s="10" t="s">
        <v>34</v>
      </c>
    </row>
    <row r="5" customFormat="false" ht="15" hidden="false" customHeight="false" outlineLevel="0" collapsed="false">
      <c r="B5" s="11" t="s">
        <v>35</v>
      </c>
    </row>
    <row r="6" customFormat="false" ht="15" hidden="false" customHeight="false" outlineLevel="0" collapsed="false">
      <c r="B6" s="7" t="s">
        <v>36</v>
      </c>
      <c r="C6" s="12" t="n">
        <v>10</v>
      </c>
      <c r="D6" s="7" t="s">
        <v>37</v>
      </c>
      <c r="E6" s="7" t="s">
        <v>38</v>
      </c>
    </row>
    <row r="7" customFormat="false" ht="15" hidden="false" customHeight="false" outlineLevel="0" collapsed="false">
      <c r="B7" s="7" t="s">
        <v>39</v>
      </c>
      <c r="C7" s="13" t="n">
        <v>50000000</v>
      </c>
      <c r="D7" s="7" t="s">
        <v>40</v>
      </c>
      <c r="E7" s="7" t="s">
        <v>41</v>
      </c>
    </row>
    <row r="8" customFormat="false" ht="15" hidden="false" customHeight="false" outlineLevel="0" collapsed="false">
      <c r="B8" s="14" t="s">
        <v>42</v>
      </c>
      <c r="C8" s="15" t="n">
        <f aca="false">Num_Aircraft*Aircraft_Cost</f>
        <v>500000000</v>
      </c>
      <c r="D8" s="7" t="s">
        <v>40</v>
      </c>
      <c r="E8" s="7" t="s">
        <v>43</v>
      </c>
    </row>
    <row r="9" customFormat="false" ht="15" hidden="false" customHeight="false" outlineLevel="0" collapsed="false">
      <c r="B9" s="7" t="s">
        <v>44</v>
      </c>
      <c r="C9" s="12" t="n">
        <v>2026</v>
      </c>
      <c r="D9" s="7" t="s">
        <v>45</v>
      </c>
      <c r="E9" s="7" t="s">
        <v>46</v>
      </c>
    </row>
    <row r="10" customFormat="false" ht="15" hidden="false" customHeight="false" outlineLevel="0" collapsed="false">
      <c r="B10" s="7" t="s">
        <v>47</v>
      </c>
      <c r="C10" s="12" t="n">
        <v>8</v>
      </c>
      <c r="D10" s="7" t="s">
        <v>48</v>
      </c>
      <c r="E10" s="7" t="s">
        <v>49</v>
      </c>
    </row>
    <row r="12" customFormat="false" ht="15" hidden="false" customHeight="false" outlineLevel="0" collapsed="false">
      <c r="B12" s="11" t="s">
        <v>50</v>
      </c>
    </row>
    <row r="13" customFormat="false" ht="15" hidden="false" customHeight="false" outlineLevel="0" collapsed="false">
      <c r="B13" s="7" t="s">
        <v>51</v>
      </c>
      <c r="C13" s="16" t="n">
        <v>0.0095</v>
      </c>
      <c r="D13" s="7" t="s">
        <v>52</v>
      </c>
      <c r="E13" s="7" t="s">
        <v>53</v>
      </c>
    </row>
    <row r="14" customFormat="false" ht="15" hidden="false" customHeight="false" outlineLevel="0" collapsed="false">
      <c r="B14" s="14" t="s">
        <v>54</v>
      </c>
      <c r="C14" s="15" t="n">
        <f aca="false">Lease_Rate_Factor*12*Aircraft_Cost</f>
        <v>5700000</v>
      </c>
      <c r="D14" s="7" t="s">
        <v>40</v>
      </c>
      <c r="E14" s="7" t="s">
        <v>55</v>
      </c>
    </row>
    <row r="15" customFormat="false" ht="15" hidden="false" customHeight="false" outlineLevel="0" collapsed="false">
      <c r="B15" s="7" t="s">
        <v>56</v>
      </c>
      <c r="C15" s="17" t="n">
        <v>0.96</v>
      </c>
      <c r="D15" s="7" t="s">
        <v>57</v>
      </c>
      <c r="E15" s="7" t="s">
        <v>58</v>
      </c>
    </row>
    <row r="16" customFormat="false" ht="15" hidden="false" customHeight="false" outlineLevel="0" collapsed="false">
      <c r="B16" s="7" t="s">
        <v>59</v>
      </c>
      <c r="C16" s="18" t="n">
        <v>0.015</v>
      </c>
      <c r="D16" s="7" t="s">
        <v>60</v>
      </c>
      <c r="E16" s="7" t="s">
        <v>61</v>
      </c>
    </row>
    <row r="17" customFormat="false" ht="15" hidden="false" customHeight="false" outlineLevel="0" collapsed="false">
      <c r="B17" s="7" t="s">
        <v>62</v>
      </c>
      <c r="C17" s="17" t="n">
        <v>0.08</v>
      </c>
      <c r="D17" s="7" t="s">
        <v>63</v>
      </c>
      <c r="E17" s="7" t="s">
        <v>64</v>
      </c>
    </row>
    <row r="19" customFormat="false" ht="15" hidden="false" customHeight="false" outlineLevel="0" collapsed="false">
      <c r="B19" s="11" t="s">
        <v>65</v>
      </c>
    </row>
    <row r="20" customFormat="false" ht="15" hidden="false" customHeight="false" outlineLevel="0" collapsed="false">
      <c r="B20" s="7" t="s">
        <v>66</v>
      </c>
      <c r="C20" s="12" t="n">
        <v>25</v>
      </c>
      <c r="D20" s="7" t="s">
        <v>48</v>
      </c>
      <c r="E20" s="7" t="s">
        <v>67</v>
      </c>
    </row>
    <row r="21" customFormat="false" ht="15" hidden="false" customHeight="false" outlineLevel="0" collapsed="false">
      <c r="B21" s="7" t="s">
        <v>68</v>
      </c>
      <c r="C21" s="17" t="n">
        <v>0.15</v>
      </c>
      <c r="D21" s="7" t="s">
        <v>69</v>
      </c>
      <c r="E21" s="7" t="s">
        <v>70</v>
      </c>
    </row>
    <row r="22" customFormat="false" ht="15" hidden="false" customHeight="false" outlineLevel="0" collapsed="false">
      <c r="B22" s="7" t="s">
        <v>71</v>
      </c>
      <c r="C22" s="17" t="n">
        <v>0.72</v>
      </c>
      <c r="D22" s="7" t="s">
        <v>69</v>
      </c>
      <c r="E22" s="7" t="s">
        <v>72</v>
      </c>
    </row>
    <row r="23" customFormat="false" ht="15" hidden="false" customHeight="false" outlineLevel="0" collapsed="false">
      <c r="B23" s="14" t="s">
        <v>73</v>
      </c>
      <c r="C23" s="15" t="n">
        <f aca="false">(Total_Fleet_Cost*(1-Acct_Residual))/Useful_Life</f>
        <v>17000000</v>
      </c>
      <c r="D23" s="7" t="s">
        <v>40</v>
      </c>
      <c r="E23" s="7" t="s">
        <v>74</v>
      </c>
    </row>
    <row r="25" customFormat="false" ht="15" hidden="false" customHeight="false" outlineLevel="0" collapsed="false">
      <c r="B25" s="11" t="s">
        <v>75</v>
      </c>
    </row>
    <row r="26" customFormat="false" ht="15" hidden="false" customHeight="false" outlineLevel="0" collapsed="false">
      <c r="B26" s="7" t="s">
        <v>76</v>
      </c>
      <c r="C26" s="17" t="n">
        <v>0.65</v>
      </c>
      <c r="D26" s="7" t="s">
        <v>57</v>
      </c>
      <c r="E26" s="7" t="s">
        <v>77</v>
      </c>
    </row>
    <row r="27" customFormat="false" ht="15" hidden="false" customHeight="false" outlineLevel="0" collapsed="false">
      <c r="B27" s="14" t="s">
        <v>78</v>
      </c>
      <c r="C27" s="15" t="n">
        <f aca="false">LTV*Total_Fleet_Cost</f>
        <v>325000000</v>
      </c>
      <c r="D27" s="7" t="s">
        <v>40</v>
      </c>
      <c r="E27" s="7" t="s">
        <v>79</v>
      </c>
    </row>
    <row r="28" customFormat="false" ht="15" hidden="false" customHeight="false" outlineLevel="0" collapsed="false">
      <c r="B28" s="14" t="s">
        <v>80</v>
      </c>
      <c r="C28" s="15" t="n">
        <f aca="false">Total_Fleet_Cost-Debt_Amount</f>
        <v>175000000</v>
      </c>
      <c r="D28" s="7" t="s">
        <v>40</v>
      </c>
      <c r="E28" s="7" t="s">
        <v>81</v>
      </c>
    </row>
    <row r="29" customFormat="false" ht="15" hidden="false" customHeight="false" outlineLevel="0" collapsed="false">
      <c r="B29" s="7" t="s">
        <v>82</v>
      </c>
      <c r="C29" s="18" t="n">
        <v>0.055</v>
      </c>
      <c r="D29" s="7" t="s">
        <v>60</v>
      </c>
      <c r="E29" s="7" t="s">
        <v>83</v>
      </c>
    </row>
    <row r="30" customFormat="false" ht="15" hidden="false" customHeight="false" outlineLevel="0" collapsed="false">
      <c r="B30" s="7" t="s">
        <v>84</v>
      </c>
      <c r="C30" s="12" t="n">
        <v>12</v>
      </c>
      <c r="D30" s="7" t="s">
        <v>48</v>
      </c>
      <c r="E30" s="7" t="s">
        <v>85</v>
      </c>
    </row>
    <row r="32" customFormat="false" ht="15" hidden="false" customHeight="false" outlineLevel="0" collapsed="false">
      <c r="B32" s="11" t="s">
        <v>86</v>
      </c>
    </row>
    <row r="33" customFormat="false" ht="15" hidden="false" customHeight="false" outlineLevel="0" collapsed="false">
      <c r="B33" s="7" t="s">
        <v>87</v>
      </c>
      <c r="C33" s="17" t="n">
        <v>0.21</v>
      </c>
      <c r="D33" s="7" t="s">
        <v>57</v>
      </c>
      <c r="E33" s="7" t="s">
        <v>88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1" min="3" style="0" width="1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12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89</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90</v>
      </c>
      <c r="C5" s="21" t="n">
        <f aca="false">Acq_Year+C6</f>
        <v>2026</v>
      </c>
      <c r="D5" s="21" t="n">
        <f aca="false">Acq_Year+D6</f>
        <v>2027</v>
      </c>
      <c r="E5" s="21" t="n">
        <f aca="false">Acq_Year+E6</f>
        <v>2028</v>
      </c>
      <c r="F5" s="21" t="n">
        <f aca="false">Acq_Year+F6</f>
        <v>2029</v>
      </c>
      <c r="G5" s="21" t="n">
        <f aca="false">Acq_Year+G6</f>
        <v>2030</v>
      </c>
      <c r="H5" s="21" t="n">
        <f aca="false">Acq_Year+H6</f>
        <v>2031</v>
      </c>
      <c r="I5" s="21" t="n">
        <f aca="false">Acq_Year+I6</f>
        <v>2032</v>
      </c>
      <c r="J5" s="21" t="n">
        <f aca="false">Acq_Year+J6</f>
        <v>2033</v>
      </c>
      <c r="K5" s="21" t="n">
        <f aca="false">Acq_Year+K6</f>
        <v>2034</v>
      </c>
    </row>
    <row r="6" customFormat="false" ht="15" hidden="false" customHeight="false" outlineLevel="0" collapsed="false">
      <c r="B6" s="5" t="s">
        <v>91</v>
      </c>
      <c r="C6" s="21" t="n">
        <f aca="false">Hold_Years-Hold_Years+0</f>
        <v>0</v>
      </c>
      <c r="D6" s="21" t="n">
        <f aca="false">C6+1</f>
        <v>1</v>
      </c>
      <c r="E6" s="21" t="n">
        <f aca="false">D6+1</f>
        <v>2</v>
      </c>
      <c r="F6" s="21" t="n">
        <f aca="false">E6+1</f>
        <v>3</v>
      </c>
      <c r="G6" s="21" t="n">
        <f aca="false">F6+1</f>
        <v>4</v>
      </c>
      <c r="H6" s="21" t="n">
        <f aca="false">G6+1</f>
        <v>5</v>
      </c>
      <c r="I6" s="21" t="n">
        <f aca="false">H6+1</f>
        <v>6</v>
      </c>
      <c r="J6" s="21" t="n">
        <f aca="false">I6+1</f>
        <v>7</v>
      </c>
      <c r="K6" s="21" t="n">
        <f aca="false">J6+1</f>
        <v>8</v>
      </c>
    </row>
    <row r="7" customFormat="false" ht="15" hidden="false" customHeight="false" outlineLevel="0" collapsed="false">
      <c r="B7" s="11" t="s">
        <v>92</v>
      </c>
    </row>
    <row r="8" customFormat="false" ht="15" hidden="false" customHeight="false" outlineLevel="0" collapsed="false">
      <c r="B8" s="6" t="s">
        <v>93</v>
      </c>
      <c r="C8" s="21" t="n">
        <f aca="false">Num_Aircraft</f>
        <v>10</v>
      </c>
      <c r="D8" s="21" t="n">
        <f aca="false">Num_Aircraft</f>
        <v>10</v>
      </c>
      <c r="E8" s="21" t="n">
        <f aca="false">Num_Aircraft</f>
        <v>10</v>
      </c>
      <c r="F8" s="21" t="n">
        <f aca="false">Num_Aircraft</f>
        <v>10</v>
      </c>
      <c r="G8" s="21" t="n">
        <f aca="false">Num_Aircraft</f>
        <v>10</v>
      </c>
      <c r="H8" s="21" t="n">
        <f aca="false">Num_Aircraft</f>
        <v>10</v>
      </c>
      <c r="I8" s="21" t="n">
        <f aca="false">Num_Aircraft</f>
        <v>10</v>
      </c>
      <c r="J8" s="21" t="n">
        <f aca="false">Num_Aircraft</f>
        <v>10</v>
      </c>
      <c r="K8" s="21" t="n">
        <f aca="false">Num_Aircraft</f>
        <v>10</v>
      </c>
    </row>
    <row r="9" customFormat="false" ht="15" hidden="false" customHeight="false" outlineLevel="0" collapsed="false">
      <c r="B9" s="6" t="s">
        <v>94</v>
      </c>
      <c r="C9" s="22" t="n">
        <f aca="false">C8*Fleet_Util</f>
        <v>9.6</v>
      </c>
      <c r="D9" s="22" t="n">
        <f aca="false">D8*Fleet_Util</f>
        <v>9.6</v>
      </c>
      <c r="E9" s="22" t="n">
        <f aca="false">E8*Fleet_Util</f>
        <v>9.6</v>
      </c>
      <c r="F9" s="22" t="n">
        <f aca="false">F8*Fleet_Util</f>
        <v>9.6</v>
      </c>
      <c r="G9" s="22" t="n">
        <f aca="false">G8*Fleet_Util</f>
        <v>9.6</v>
      </c>
      <c r="H9" s="22" t="n">
        <f aca="false">H8*Fleet_Util</f>
        <v>9.6</v>
      </c>
      <c r="I9" s="22" t="n">
        <f aca="false">I8*Fleet_Util</f>
        <v>9.6</v>
      </c>
      <c r="J9" s="22" t="n">
        <f aca="false">J8*Fleet_Util</f>
        <v>9.6</v>
      </c>
      <c r="K9" s="22" t="n">
        <f aca="false">K8*Fleet_Util</f>
        <v>9.6</v>
      </c>
    </row>
    <row r="11" customFormat="false" ht="15" hidden="false" customHeight="false" outlineLevel="0" collapsed="false">
      <c r="B11" s="11" t="s">
        <v>95</v>
      </c>
    </row>
    <row r="12" customFormat="false" ht="15" hidden="false" customHeight="false" outlineLevel="0" collapsed="false">
      <c r="B12" s="6" t="s">
        <v>96</v>
      </c>
      <c r="C12" s="23" t="n">
        <f aca="false">0</f>
        <v>0</v>
      </c>
      <c r="D12" s="23" t="n">
        <f aca="false">C15</f>
        <v>500000000</v>
      </c>
      <c r="E12" s="23" t="n">
        <f aca="false">D15</f>
        <v>483000000</v>
      </c>
      <c r="F12" s="23" t="n">
        <f aca="false">E15</f>
        <v>466000000</v>
      </c>
      <c r="G12" s="23" t="n">
        <f aca="false">F15</f>
        <v>449000000</v>
      </c>
      <c r="H12" s="23" t="n">
        <f aca="false">G15</f>
        <v>432000000</v>
      </c>
      <c r="I12" s="23" t="n">
        <f aca="false">H15</f>
        <v>415000000</v>
      </c>
      <c r="J12" s="23" t="n">
        <f aca="false">I15</f>
        <v>398000000</v>
      </c>
      <c r="K12" s="23" t="n">
        <f aca="false">J15</f>
        <v>381000000</v>
      </c>
    </row>
    <row r="13" customFormat="false" ht="15" hidden="false" customHeight="false" outlineLevel="0" collapsed="false">
      <c r="B13" s="6" t="s">
        <v>97</v>
      </c>
      <c r="C13" s="23" t="n">
        <f aca="false">Num_Aircraft*Aircraft_Cost</f>
        <v>500000000</v>
      </c>
      <c r="D13" s="23" t="n">
        <f aca="false">0</f>
        <v>0</v>
      </c>
      <c r="E13" s="23" t="n">
        <f aca="false">0</f>
        <v>0</v>
      </c>
      <c r="F13" s="23" t="n">
        <f aca="false">0</f>
        <v>0</v>
      </c>
      <c r="G13" s="23" t="n">
        <f aca="false">0</f>
        <v>0</v>
      </c>
      <c r="H13" s="23" t="n">
        <f aca="false">0</f>
        <v>0</v>
      </c>
      <c r="I13" s="23" t="n">
        <f aca="false">0</f>
        <v>0</v>
      </c>
      <c r="J13" s="23" t="n">
        <f aca="false">0</f>
        <v>0</v>
      </c>
      <c r="K13" s="23" t="n">
        <f aca="false">0</f>
        <v>0</v>
      </c>
    </row>
    <row r="14" customFormat="false" ht="15" hidden="false" customHeight="false" outlineLevel="0" collapsed="false">
      <c r="B14" s="6" t="s">
        <v>98</v>
      </c>
      <c r="C14" s="23" t="n">
        <f aca="false">0</f>
        <v>0</v>
      </c>
      <c r="D14" s="23" t="n">
        <f aca="false">-Annual_Depreciation</f>
        <v>-17000000</v>
      </c>
      <c r="E14" s="23" t="n">
        <f aca="false">-Annual_Depreciation</f>
        <v>-17000000</v>
      </c>
      <c r="F14" s="23" t="n">
        <f aca="false">-Annual_Depreciation</f>
        <v>-17000000</v>
      </c>
      <c r="G14" s="23" t="n">
        <f aca="false">-Annual_Depreciation</f>
        <v>-17000000</v>
      </c>
      <c r="H14" s="23" t="n">
        <f aca="false">-Annual_Depreciation</f>
        <v>-17000000</v>
      </c>
      <c r="I14" s="23" t="n">
        <f aca="false">-Annual_Depreciation</f>
        <v>-17000000</v>
      </c>
      <c r="J14" s="23" t="n">
        <f aca="false">-Annual_Depreciation</f>
        <v>-17000000</v>
      </c>
      <c r="K14" s="23" t="n">
        <f aca="false">-Annual_Depreciation</f>
        <v>-17000000</v>
      </c>
    </row>
    <row r="15" customFormat="false" ht="15" hidden="false" customHeight="false" outlineLevel="0" collapsed="false">
      <c r="B15" s="5" t="s">
        <v>99</v>
      </c>
      <c r="C15" s="15" t="n">
        <f aca="false">C12+C13+C14</f>
        <v>500000000</v>
      </c>
      <c r="D15" s="15" t="n">
        <f aca="false">D12+D13+D14</f>
        <v>483000000</v>
      </c>
      <c r="E15" s="15" t="n">
        <f aca="false">E12+E13+E14</f>
        <v>466000000</v>
      </c>
      <c r="F15" s="15" t="n">
        <f aca="false">F12+F13+F14</f>
        <v>449000000</v>
      </c>
      <c r="G15" s="15" t="n">
        <f aca="false">G12+G13+G14</f>
        <v>432000000</v>
      </c>
      <c r="H15" s="15" t="n">
        <f aca="false">H12+H13+H14</f>
        <v>415000000</v>
      </c>
      <c r="I15" s="15" t="n">
        <f aca="false">I12+I13+I14</f>
        <v>398000000</v>
      </c>
      <c r="J15" s="15" t="n">
        <f aca="false">J12+J13+J14</f>
        <v>381000000</v>
      </c>
      <c r="K15" s="15" t="n">
        <f aca="false">K12+K13+K14</f>
        <v>364000000</v>
      </c>
    </row>
    <row r="17" customFormat="false" ht="15" hidden="false" customHeight="false" outlineLevel="0" collapsed="false">
      <c r="B17" s="11" t="s">
        <v>100</v>
      </c>
    </row>
    <row r="18" customFormat="false" ht="15" hidden="false" customHeight="false" outlineLevel="0" collapsed="false">
      <c r="B18" s="6" t="s">
        <v>101</v>
      </c>
      <c r="C18" s="23" t="n">
        <f aca="false">IF(C6=Hold_Years,Exit_Residual*Total_Fleet_Cost,0)</f>
        <v>0</v>
      </c>
      <c r="D18" s="23" t="n">
        <f aca="false">IF(D6=Hold_Years,Exit_Residual*Total_Fleet_Cost,0)</f>
        <v>0</v>
      </c>
      <c r="E18" s="23" t="n">
        <f aca="false">IF(E6=Hold_Years,Exit_Residual*Total_Fleet_Cost,0)</f>
        <v>0</v>
      </c>
      <c r="F18" s="23" t="n">
        <f aca="false">IF(F6=Hold_Years,Exit_Residual*Total_Fleet_Cost,0)</f>
        <v>0</v>
      </c>
      <c r="G18" s="23" t="n">
        <f aca="false">IF(G6=Hold_Years,Exit_Residual*Total_Fleet_Cost,0)</f>
        <v>0</v>
      </c>
      <c r="H18" s="23" t="n">
        <f aca="false">IF(H6=Hold_Years,Exit_Residual*Total_Fleet_Cost,0)</f>
        <v>0</v>
      </c>
      <c r="I18" s="23" t="n">
        <f aca="false">IF(I6=Hold_Years,Exit_Residual*Total_Fleet_Cost,0)</f>
        <v>0</v>
      </c>
      <c r="J18" s="23" t="n">
        <f aca="false">IF(J6=Hold_Years,Exit_Residual*Total_Fleet_Cost,0)</f>
        <v>0</v>
      </c>
      <c r="K18" s="23" t="n">
        <f aca="false">IF(K6=Hold_Years,Exit_Residual*Total_Fleet_Cost,0)</f>
        <v>360000000</v>
      </c>
    </row>
    <row r="19" customFormat="false" ht="15" hidden="false" customHeight="false" outlineLevel="0" collapsed="false">
      <c r="B19" s="24" t="s">
        <v>102</v>
      </c>
      <c r="C19" s="25" t="n">
        <f aca="false">IF(C6=Hold_Years,C18-C15,0)</f>
        <v>0</v>
      </c>
      <c r="D19" s="25" t="n">
        <f aca="false">IF(D6=Hold_Years,D18-D15,0)</f>
        <v>0</v>
      </c>
      <c r="E19" s="25" t="n">
        <f aca="false">IF(E6=Hold_Years,E18-E15,0)</f>
        <v>0</v>
      </c>
      <c r="F19" s="25" t="n">
        <f aca="false">IF(F6=Hold_Years,F18-F15,0)</f>
        <v>0</v>
      </c>
      <c r="G19" s="25" t="n">
        <f aca="false">IF(G6=Hold_Years,G18-G15,0)</f>
        <v>0</v>
      </c>
      <c r="H19" s="25" t="n">
        <f aca="false">IF(H6=Hold_Years,H18-H15,0)</f>
        <v>0</v>
      </c>
      <c r="I19" s="25" t="n">
        <f aca="false">IF(I6=Hold_Years,I18-I15,0)</f>
        <v>0</v>
      </c>
      <c r="J19" s="25" t="n">
        <f aca="false">IF(J6=Hold_Years,J18-J15,0)</f>
        <v>0</v>
      </c>
      <c r="K19" s="25" t="n">
        <f aca="false">IF(K6=Hold_Years,K18-K15,0)</f>
        <v>-4000000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1" min="3" style="0" width="1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103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104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90</v>
      </c>
      <c r="C5" s="21" t="n">
        <f aca="false">Acq_Year+C6</f>
        <v>2026</v>
      </c>
      <c r="D5" s="21" t="n">
        <f aca="false">Acq_Year+D6</f>
        <v>2027</v>
      </c>
      <c r="E5" s="21" t="n">
        <f aca="false">Acq_Year+E6</f>
        <v>2028</v>
      </c>
      <c r="F5" s="21" t="n">
        <f aca="false">Acq_Year+F6</f>
        <v>2029</v>
      </c>
      <c r="G5" s="21" t="n">
        <f aca="false">Acq_Year+G6</f>
        <v>2030</v>
      </c>
      <c r="H5" s="21" t="n">
        <f aca="false">Acq_Year+H6</f>
        <v>2031</v>
      </c>
      <c r="I5" s="21" t="n">
        <f aca="false">Acq_Year+I6</f>
        <v>2032</v>
      </c>
      <c r="J5" s="21" t="n">
        <f aca="false">Acq_Year+J6</f>
        <v>2033</v>
      </c>
      <c r="K5" s="21" t="n">
        <f aca="false">Acq_Year+K6</f>
        <v>2034</v>
      </c>
    </row>
    <row r="6" customFormat="false" ht="15" hidden="false" customHeight="false" outlineLevel="0" collapsed="false">
      <c r="B6" s="5" t="s">
        <v>91</v>
      </c>
      <c r="C6" s="21" t="n">
        <f aca="false">Hold_Years-Hold_Years+0</f>
        <v>0</v>
      </c>
      <c r="D6" s="21" t="n">
        <f aca="false">C6+1</f>
        <v>1</v>
      </c>
      <c r="E6" s="21" t="n">
        <f aca="false">D6+1</f>
        <v>2</v>
      </c>
      <c r="F6" s="21" t="n">
        <f aca="false">E6+1</f>
        <v>3</v>
      </c>
      <c r="G6" s="21" t="n">
        <f aca="false">F6+1</f>
        <v>4</v>
      </c>
      <c r="H6" s="21" t="n">
        <f aca="false">G6+1</f>
        <v>5</v>
      </c>
      <c r="I6" s="21" t="n">
        <f aca="false">H6+1</f>
        <v>6</v>
      </c>
      <c r="J6" s="21" t="n">
        <f aca="false">I6+1</f>
        <v>7</v>
      </c>
      <c r="K6" s="21" t="n">
        <f aca="false">J6+1</f>
        <v>8</v>
      </c>
    </row>
    <row r="7" customFormat="false" ht="15" hidden="false" customHeight="false" outlineLevel="0" collapsed="false">
      <c r="B7" s="11" t="s">
        <v>105</v>
      </c>
    </row>
    <row r="8" customFormat="false" ht="15" hidden="false" customHeight="false" outlineLevel="0" collapsed="false">
      <c r="B8" s="6" t="s">
        <v>106</v>
      </c>
      <c r="C8" s="23" t="n">
        <f aca="false">IF(C6&gt;0,Fleet!C9*Annual_Rental*(1+Rent_Escalation)^(C6-1),0)</f>
        <v>0</v>
      </c>
      <c r="D8" s="23" t="n">
        <f aca="false">IF(D6&gt;0,Fleet!D9*Annual_Rental*(1+Rent_Escalation)^(D6-1),0)</f>
        <v>54720000</v>
      </c>
      <c r="E8" s="23" t="n">
        <f aca="false">IF(E6&gt;0,Fleet!E9*Annual_Rental*(1+Rent_Escalation)^(E6-1),0)</f>
        <v>55540800</v>
      </c>
      <c r="F8" s="23" t="n">
        <f aca="false">IF(F6&gt;0,Fleet!F9*Annual_Rental*(1+Rent_Escalation)^(F6-1),0)</f>
        <v>56373912</v>
      </c>
      <c r="G8" s="23" t="n">
        <f aca="false">IF(G6&gt;0,Fleet!G9*Annual_Rental*(1+Rent_Escalation)^(G6-1),0)</f>
        <v>57219520.68</v>
      </c>
      <c r="H8" s="23" t="n">
        <f aca="false">IF(H6&gt;0,Fleet!H9*Annual_Rental*(1+Rent_Escalation)^(H6-1),0)</f>
        <v>58077813.4902</v>
      </c>
      <c r="I8" s="23" t="n">
        <f aca="false">IF(I6&gt;0,Fleet!I9*Annual_Rental*(1+Rent_Escalation)^(I6-1),0)</f>
        <v>58948980.692553</v>
      </c>
      <c r="J8" s="23" t="n">
        <f aca="false">IF(J6&gt;0,Fleet!J9*Annual_Rental*(1+Rent_Escalation)^(J6-1),0)</f>
        <v>59833215.4029413</v>
      </c>
      <c r="K8" s="23" t="n">
        <f aca="false">IF(K6&gt;0,Fleet!K9*Annual_Rental*(1+Rent_Escalation)^(K6-1),0)</f>
        <v>60730713.6339854</v>
      </c>
    </row>
    <row r="9" customFormat="false" ht="15" hidden="false" customHeight="false" outlineLevel="0" collapsed="false">
      <c r="B9" s="6" t="s">
        <v>107</v>
      </c>
      <c r="C9" s="23" t="n">
        <f aca="false">-Opex_Ratio*C8</f>
        <v>-0</v>
      </c>
      <c r="D9" s="23" t="n">
        <f aca="false">-Opex_Ratio*D8</f>
        <v>-4377600</v>
      </c>
      <c r="E9" s="23" t="n">
        <f aca="false">-Opex_Ratio*E8</f>
        <v>-4443264</v>
      </c>
      <c r="F9" s="23" t="n">
        <f aca="false">-Opex_Ratio*F8</f>
        <v>-4509912.96</v>
      </c>
      <c r="G9" s="23" t="n">
        <f aca="false">-Opex_Ratio*G8</f>
        <v>-4577561.6544</v>
      </c>
      <c r="H9" s="23" t="n">
        <f aca="false">-Opex_Ratio*H8</f>
        <v>-4646225.079216</v>
      </c>
      <c r="I9" s="23" t="n">
        <f aca="false">-Opex_Ratio*I8</f>
        <v>-4715918.45540424</v>
      </c>
      <c r="J9" s="23" t="n">
        <f aca="false">-Opex_Ratio*J8</f>
        <v>-4786657.2322353</v>
      </c>
      <c r="K9" s="23" t="n">
        <f aca="false">-Opex_Ratio*K8</f>
        <v>-4858457.09071883</v>
      </c>
    </row>
    <row r="10" customFormat="false" ht="15" hidden="false" customHeight="false" outlineLevel="0" collapsed="false">
      <c r="B10" s="5" t="s">
        <v>108</v>
      </c>
      <c r="C10" s="15" t="n">
        <f aca="false">C8+C9</f>
        <v>0</v>
      </c>
      <c r="D10" s="15" t="n">
        <f aca="false">D8+D9</f>
        <v>50342400</v>
      </c>
      <c r="E10" s="15" t="n">
        <f aca="false">E8+E9</f>
        <v>51097536</v>
      </c>
      <c r="F10" s="15" t="n">
        <f aca="false">F8+F9</f>
        <v>51863999.04</v>
      </c>
      <c r="G10" s="15" t="n">
        <f aca="false">G8+G9</f>
        <v>52641959.0256</v>
      </c>
      <c r="H10" s="15" t="n">
        <f aca="false">H8+H9</f>
        <v>53431588.410984</v>
      </c>
      <c r="I10" s="15" t="n">
        <f aca="false">I8+I9</f>
        <v>54233062.2371487</v>
      </c>
      <c r="J10" s="15" t="n">
        <f aca="false">J8+J9</f>
        <v>55046558.170706</v>
      </c>
      <c r="K10" s="15" t="n">
        <f aca="false">K8+K9</f>
        <v>55872256.5432665</v>
      </c>
    </row>
    <row r="12" customFormat="false" ht="15" hidden="false" customHeight="false" outlineLevel="0" collapsed="false">
      <c r="B12" s="11" t="s">
        <v>109</v>
      </c>
    </row>
    <row r="13" customFormat="false" ht="15" hidden="false" customHeight="false" outlineLevel="0" collapsed="false">
      <c r="B13" s="6" t="s">
        <v>98</v>
      </c>
      <c r="C13" s="23" t="n">
        <f aca="false">Fleet!C14</f>
        <v>0</v>
      </c>
      <c r="D13" s="23" t="n">
        <f aca="false">Fleet!D14</f>
        <v>-17000000</v>
      </c>
      <c r="E13" s="23" t="n">
        <f aca="false">Fleet!E14</f>
        <v>-17000000</v>
      </c>
      <c r="F13" s="23" t="n">
        <f aca="false">Fleet!F14</f>
        <v>-17000000</v>
      </c>
      <c r="G13" s="23" t="n">
        <f aca="false">Fleet!G14</f>
        <v>-17000000</v>
      </c>
      <c r="H13" s="23" t="n">
        <f aca="false">Fleet!H14</f>
        <v>-17000000</v>
      </c>
      <c r="I13" s="23" t="n">
        <f aca="false">Fleet!I14</f>
        <v>-17000000</v>
      </c>
      <c r="J13" s="23" t="n">
        <f aca="false">Fleet!J14</f>
        <v>-17000000</v>
      </c>
      <c r="K13" s="23" t="n">
        <f aca="false">Fleet!K14</f>
        <v>-17000000</v>
      </c>
    </row>
    <row r="14" customFormat="false" ht="15" hidden="false" customHeight="false" outlineLevel="0" collapsed="false">
      <c r="B14" s="5" t="s">
        <v>110</v>
      </c>
      <c r="C14" s="15" t="n">
        <f aca="false">C10+C13</f>
        <v>0</v>
      </c>
      <c r="D14" s="15" t="n">
        <f aca="false">D10+D13</f>
        <v>33342400</v>
      </c>
      <c r="E14" s="15" t="n">
        <f aca="false">E10+E13</f>
        <v>34097536</v>
      </c>
      <c r="F14" s="15" t="n">
        <f aca="false">F10+F13</f>
        <v>34863999.04</v>
      </c>
      <c r="G14" s="15" t="n">
        <f aca="false">G10+G13</f>
        <v>35641959.0256</v>
      </c>
      <c r="H14" s="15" t="n">
        <f aca="false">H10+H13</f>
        <v>36431588.410984</v>
      </c>
      <c r="I14" s="15" t="n">
        <f aca="false">I10+I13</f>
        <v>37233062.2371487</v>
      </c>
      <c r="J14" s="15" t="n">
        <f aca="false">J10+J13</f>
        <v>38046558.170706</v>
      </c>
      <c r="K14" s="15" t="n">
        <f aca="false">K10+K13</f>
        <v>38872256.5432665</v>
      </c>
    </row>
    <row r="15" customFormat="false" ht="15" hidden="false" customHeight="false" outlineLevel="0" collapsed="false">
      <c r="B15" s="6" t="s">
        <v>111</v>
      </c>
      <c r="C15" s="23" t="n">
        <f aca="false">-Debt!C15</f>
        <v>-0</v>
      </c>
      <c r="D15" s="23" t="n">
        <f aca="false">-Debt!D15</f>
        <v>-17875000</v>
      </c>
      <c r="E15" s="23" t="n">
        <f aca="false">-Debt!E15</f>
        <v>-16385416.6666667</v>
      </c>
      <c r="F15" s="23" t="n">
        <f aca="false">-Debt!F15</f>
        <v>-14895833.3333333</v>
      </c>
      <c r="G15" s="23" t="n">
        <f aca="false">-Debt!G15</f>
        <v>-13406250</v>
      </c>
      <c r="H15" s="23" t="n">
        <f aca="false">-Debt!H15</f>
        <v>-11916666.6666667</v>
      </c>
      <c r="I15" s="23" t="n">
        <f aca="false">-Debt!I15</f>
        <v>-10427083.3333333</v>
      </c>
      <c r="J15" s="23" t="n">
        <f aca="false">-Debt!J15</f>
        <v>-8937500</v>
      </c>
      <c r="K15" s="23" t="n">
        <f aca="false">-Debt!K15</f>
        <v>-7447916.66666667</v>
      </c>
    </row>
    <row r="16" customFormat="false" ht="15" hidden="false" customHeight="false" outlineLevel="0" collapsed="false">
      <c r="B16" s="6" t="s">
        <v>102</v>
      </c>
      <c r="C16" s="23" t="n">
        <f aca="false">Fleet!C19</f>
        <v>0</v>
      </c>
      <c r="D16" s="23" t="n">
        <f aca="false">Fleet!D19</f>
        <v>0</v>
      </c>
      <c r="E16" s="23" t="n">
        <f aca="false">Fleet!E19</f>
        <v>0</v>
      </c>
      <c r="F16" s="23" t="n">
        <f aca="false">Fleet!F19</f>
        <v>0</v>
      </c>
      <c r="G16" s="23" t="n">
        <f aca="false">Fleet!G19</f>
        <v>0</v>
      </c>
      <c r="H16" s="23" t="n">
        <f aca="false">Fleet!H19</f>
        <v>0</v>
      </c>
      <c r="I16" s="23" t="n">
        <f aca="false">Fleet!I19</f>
        <v>0</v>
      </c>
      <c r="J16" s="23" t="n">
        <f aca="false">Fleet!J19</f>
        <v>0</v>
      </c>
      <c r="K16" s="23" t="n">
        <f aca="false">Fleet!K19</f>
        <v>-4000000</v>
      </c>
    </row>
    <row r="17" customFormat="false" ht="15" hidden="false" customHeight="false" outlineLevel="0" collapsed="false">
      <c r="B17" s="5" t="s">
        <v>112</v>
      </c>
      <c r="C17" s="15" t="n">
        <f aca="false">C14+C15+C16</f>
        <v>0</v>
      </c>
      <c r="D17" s="15" t="n">
        <f aca="false">D14+D15+D16</f>
        <v>15467400</v>
      </c>
      <c r="E17" s="15" t="n">
        <f aca="false">E14+E15+E16</f>
        <v>17712119.3333333</v>
      </c>
      <c r="F17" s="15" t="n">
        <f aca="false">F14+F15+F16</f>
        <v>19968165.7066666</v>
      </c>
      <c r="G17" s="15" t="n">
        <f aca="false">G14+G15+G16</f>
        <v>22235709.0256</v>
      </c>
      <c r="H17" s="15" t="n">
        <f aca="false">H14+H15+H16</f>
        <v>24514921.7443173</v>
      </c>
      <c r="I17" s="15" t="n">
        <f aca="false">I14+I15+I16</f>
        <v>26805978.9038154</v>
      </c>
      <c r="J17" s="15" t="n">
        <f aca="false">J14+J15+J16</f>
        <v>29109058.170706</v>
      </c>
      <c r="K17" s="15" t="n">
        <f aca="false">K14+K15+K16</f>
        <v>27424339.8765999</v>
      </c>
    </row>
    <row r="18" customFormat="false" ht="15" hidden="false" customHeight="false" outlineLevel="0" collapsed="false">
      <c r="B18" s="6" t="s">
        <v>113</v>
      </c>
      <c r="C18" s="23" t="n">
        <f aca="false">-Tax_Rate*C17</f>
        <v>-0</v>
      </c>
      <c r="D18" s="23" t="n">
        <f aca="false">-Tax_Rate*D17</f>
        <v>-3248154</v>
      </c>
      <c r="E18" s="23" t="n">
        <f aca="false">-Tax_Rate*E17</f>
        <v>-3719545.06</v>
      </c>
      <c r="F18" s="23" t="n">
        <f aca="false">-Tax_Rate*F17</f>
        <v>-4193314.79839999</v>
      </c>
      <c r="G18" s="23" t="n">
        <f aca="false">-Tax_Rate*G17</f>
        <v>-4669498.89537599</v>
      </c>
      <c r="H18" s="23" t="n">
        <f aca="false">-Tax_Rate*H17</f>
        <v>-5148133.56630664</v>
      </c>
      <c r="I18" s="23" t="n">
        <f aca="false">-Tax_Rate*I17</f>
        <v>-5629255.56980123</v>
      </c>
      <c r="J18" s="23" t="n">
        <f aca="false">-Tax_Rate*J17</f>
        <v>-6112902.21584825</v>
      </c>
      <c r="K18" s="23" t="n">
        <f aca="false">-Tax_Rate*K17</f>
        <v>-5759111.37408597</v>
      </c>
    </row>
    <row r="19" customFormat="false" ht="15" hidden="false" customHeight="false" outlineLevel="0" collapsed="false">
      <c r="B19" s="24" t="s">
        <v>114</v>
      </c>
      <c r="C19" s="25" t="n">
        <f aca="false">C17+C18</f>
        <v>0</v>
      </c>
      <c r="D19" s="25" t="n">
        <f aca="false">D17+D18</f>
        <v>12219246</v>
      </c>
      <c r="E19" s="25" t="n">
        <f aca="false">E17+E18</f>
        <v>13992574.2733333</v>
      </c>
      <c r="F19" s="25" t="n">
        <f aca="false">F17+F18</f>
        <v>15774850.9082666</v>
      </c>
      <c r="G19" s="25" t="n">
        <f aca="false">G17+G18</f>
        <v>17566210.130224</v>
      </c>
      <c r="H19" s="25" t="n">
        <f aca="false">H17+H18</f>
        <v>19366788.1780107</v>
      </c>
      <c r="I19" s="25" t="n">
        <f aca="false">I17+I18</f>
        <v>21176723.3340142</v>
      </c>
      <c r="J19" s="25" t="n">
        <f aca="false">J17+J18</f>
        <v>22996155.9548577</v>
      </c>
      <c r="K19" s="25" t="n">
        <f aca="false">K17+K18</f>
        <v>21665228.5025139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1" min="3" style="0" width="1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115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116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90</v>
      </c>
      <c r="C5" s="21" t="n">
        <f aca="false">Acq_Year+C6</f>
        <v>2026</v>
      </c>
      <c r="D5" s="21" t="n">
        <f aca="false">Acq_Year+D6</f>
        <v>2027</v>
      </c>
      <c r="E5" s="21" t="n">
        <f aca="false">Acq_Year+E6</f>
        <v>2028</v>
      </c>
      <c r="F5" s="21" t="n">
        <f aca="false">Acq_Year+F6</f>
        <v>2029</v>
      </c>
      <c r="G5" s="21" t="n">
        <f aca="false">Acq_Year+G6</f>
        <v>2030</v>
      </c>
      <c r="H5" s="21" t="n">
        <f aca="false">Acq_Year+H6</f>
        <v>2031</v>
      </c>
      <c r="I5" s="21" t="n">
        <f aca="false">Acq_Year+I6</f>
        <v>2032</v>
      </c>
      <c r="J5" s="21" t="n">
        <f aca="false">Acq_Year+J6</f>
        <v>2033</v>
      </c>
      <c r="K5" s="21" t="n">
        <f aca="false">Acq_Year+K6</f>
        <v>2034</v>
      </c>
    </row>
    <row r="6" customFormat="false" ht="15" hidden="false" customHeight="false" outlineLevel="0" collapsed="false">
      <c r="B6" s="5" t="s">
        <v>91</v>
      </c>
      <c r="C6" s="21" t="n">
        <f aca="false">Hold_Years-Hold_Years+0</f>
        <v>0</v>
      </c>
      <c r="D6" s="21" t="n">
        <f aca="false">C6+1</f>
        <v>1</v>
      </c>
      <c r="E6" s="21" t="n">
        <f aca="false">D6+1</f>
        <v>2</v>
      </c>
      <c r="F6" s="21" t="n">
        <f aca="false">E6+1</f>
        <v>3</v>
      </c>
      <c r="G6" s="21" t="n">
        <f aca="false">F6+1</f>
        <v>4</v>
      </c>
      <c r="H6" s="21" t="n">
        <f aca="false">G6+1</f>
        <v>5</v>
      </c>
      <c r="I6" s="21" t="n">
        <f aca="false">H6+1</f>
        <v>6</v>
      </c>
      <c r="J6" s="21" t="n">
        <f aca="false">I6+1</f>
        <v>7</v>
      </c>
      <c r="K6" s="21" t="n">
        <f aca="false">J6+1</f>
        <v>8</v>
      </c>
    </row>
    <row r="7" customFormat="false" ht="15" hidden="false" customHeight="false" outlineLevel="0" collapsed="false">
      <c r="B7" s="11" t="s">
        <v>115</v>
      </c>
    </row>
    <row r="8" customFormat="false" ht="15" hidden="false" customHeight="false" outlineLevel="0" collapsed="false">
      <c r="B8" s="6" t="s">
        <v>117</v>
      </c>
      <c r="C8" s="23" t="n">
        <f aca="false">0</f>
        <v>0</v>
      </c>
      <c r="D8" s="23" t="n">
        <f aca="false">C12</f>
        <v>325000000</v>
      </c>
      <c r="E8" s="23" t="n">
        <f aca="false">D12</f>
        <v>297916666.666667</v>
      </c>
      <c r="F8" s="23" t="n">
        <f aca="false">E12</f>
        <v>270833333.333333</v>
      </c>
      <c r="G8" s="23" t="n">
        <f aca="false">F12</f>
        <v>243750000</v>
      </c>
      <c r="H8" s="23" t="n">
        <f aca="false">G12</f>
        <v>216666666.666667</v>
      </c>
      <c r="I8" s="23" t="n">
        <f aca="false">H12</f>
        <v>189583333.333333</v>
      </c>
      <c r="J8" s="23" t="n">
        <f aca="false">I12</f>
        <v>162500000</v>
      </c>
      <c r="K8" s="23" t="n">
        <f aca="false">J12</f>
        <v>135416666.666667</v>
      </c>
    </row>
    <row r="9" customFormat="false" ht="15" hidden="false" customHeight="false" outlineLevel="0" collapsed="false">
      <c r="B9" s="6" t="s">
        <v>118</v>
      </c>
      <c r="C9" s="23" t="n">
        <f aca="false">Debt_Amount</f>
        <v>325000000</v>
      </c>
      <c r="D9" s="23" t="n">
        <f aca="false">0</f>
        <v>0</v>
      </c>
      <c r="E9" s="23" t="n">
        <f aca="false">0</f>
        <v>0</v>
      </c>
      <c r="F9" s="23" t="n">
        <f aca="false">0</f>
        <v>0</v>
      </c>
      <c r="G9" s="23" t="n">
        <f aca="false">0</f>
        <v>0</v>
      </c>
      <c r="H9" s="23" t="n">
        <f aca="false">0</f>
        <v>0</v>
      </c>
      <c r="I9" s="23" t="n">
        <f aca="false">0</f>
        <v>0</v>
      </c>
      <c r="J9" s="23" t="n">
        <f aca="false">0</f>
        <v>0</v>
      </c>
      <c r="K9" s="23" t="n">
        <f aca="false">0</f>
        <v>0</v>
      </c>
    </row>
    <row r="10" customFormat="false" ht="15" hidden="false" customHeight="false" outlineLevel="0" collapsed="false">
      <c r="B10" s="6" t="s">
        <v>119</v>
      </c>
      <c r="C10" s="23" t="n">
        <f aca="false">0</f>
        <v>0</v>
      </c>
      <c r="D10" s="23" t="n">
        <f aca="false">-MIN(Debt_Amount/Amort_Period,D8)</f>
        <v>-27083333.3333333</v>
      </c>
      <c r="E10" s="23" t="n">
        <f aca="false">-MIN(Debt_Amount/Amort_Period,E8)</f>
        <v>-27083333.3333333</v>
      </c>
      <c r="F10" s="23" t="n">
        <f aca="false">-MIN(Debt_Amount/Amort_Period,F8)</f>
        <v>-27083333.3333333</v>
      </c>
      <c r="G10" s="23" t="n">
        <f aca="false">-MIN(Debt_Amount/Amort_Period,G8)</f>
        <v>-27083333.3333333</v>
      </c>
      <c r="H10" s="23" t="n">
        <f aca="false">-MIN(Debt_Amount/Amort_Period,H8)</f>
        <v>-27083333.3333333</v>
      </c>
      <c r="I10" s="23" t="n">
        <f aca="false">-MIN(Debt_Amount/Amort_Period,I8)</f>
        <v>-27083333.3333333</v>
      </c>
      <c r="J10" s="23" t="n">
        <f aca="false">-MIN(Debt_Amount/Amort_Period,J8)</f>
        <v>-27083333.3333333</v>
      </c>
      <c r="K10" s="23" t="n">
        <f aca="false">-MIN(Debt_Amount/Amort_Period,K8)</f>
        <v>-27083333.3333333</v>
      </c>
    </row>
    <row r="11" customFormat="false" ht="15" hidden="false" customHeight="false" outlineLevel="0" collapsed="false">
      <c r="B11" s="6" t="s">
        <v>120</v>
      </c>
      <c r="C11" s="23" t="n">
        <f aca="false">IF(C6=Hold_Years,-(C8+C9+C10),0)</f>
        <v>0</v>
      </c>
      <c r="D11" s="23" t="n">
        <f aca="false">IF(D6=Hold_Years,-(D8+D9+D10),0)</f>
        <v>0</v>
      </c>
      <c r="E11" s="23" t="n">
        <f aca="false">IF(E6=Hold_Years,-(E8+E9+E10),0)</f>
        <v>0</v>
      </c>
      <c r="F11" s="23" t="n">
        <f aca="false">IF(F6=Hold_Years,-(F8+F9+F10),0)</f>
        <v>0</v>
      </c>
      <c r="G11" s="23" t="n">
        <f aca="false">IF(G6=Hold_Years,-(G8+G9+G10),0)</f>
        <v>0</v>
      </c>
      <c r="H11" s="23" t="n">
        <f aca="false">IF(H6=Hold_Years,-(H8+H9+H10),0)</f>
        <v>0</v>
      </c>
      <c r="I11" s="23" t="n">
        <f aca="false">IF(I6=Hold_Years,-(I8+I9+I10),0)</f>
        <v>0</v>
      </c>
      <c r="J11" s="23" t="n">
        <f aca="false">IF(J6=Hold_Years,-(J8+J9+J10),0)</f>
        <v>0</v>
      </c>
      <c r="K11" s="23" t="n">
        <f aca="false">IF(K6=Hold_Years,-(K8+K9+K10),0)</f>
        <v>-108333333.333333</v>
      </c>
    </row>
    <row r="12" customFormat="false" ht="15" hidden="false" customHeight="false" outlineLevel="0" collapsed="false">
      <c r="B12" s="5" t="s">
        <v>121</v>
      </c>
      <c r="C12" s="15" t="n">
        <f aca="false">C8+C9+C10+C11</f>
        <v>325000000</v>
      </c>
      <c r="D12" s="15" t="n">
        <f aca="false">D8+D9+D10+D11</f>
        <v>297916666.666667</v>
      </c>
      <c r="E12" s="15" t="n">
        <f aca="false">E8+E9+E10+E11</f>
        <v>270833333.333333</v>
      </c>
      <c r="F12" s="15" t="n">
        <f aca="false">F8+F9+F10+F11</f>
        <v>243750000</v>
      </c>
      <c r="G12" s="15" t="n">
        <f aca="false">G8+G9+G10+G11</f>
        <v>216666666.666667</v>
      </c>
      <c r="H12" s="15" t="n">
        <f aca="false">H8+H9+H10+H11</f>
        <v>189583333.333333</v>
      </c>
      <c r="I12" s="15" t="n">
        <f aca="false">I8+I9+I10+I11</f>
        <v>162500000</v>
      </c>
      <c r="J12" s="15" t="n">
        <f aca="false">J8+J9+J10+J11</f>
        <v>135416666.666667</v>
      </c>
      <c r="K12" s="15" t="n">
        <f aca="false">K8+K9+K10+K11</f>
        <v>0</v>
      </c>
    </row>
    <row r="14" customFormat="false" ht="15" hidden="false" customHeight="false" outlineLevel="0" collapsed="false">
      <c r="B14" s="11" t="s">
        <v>122</v>
      </c>
    </row>
    <row r="15" customFormat="false" ht="15" hidden="false" customHeight="false" outlineLevel="0" collapsed="false">
      <c r="B15" s="24" t="s">
        <v>111</v>
      </c>
      <c r="C15" s="25" t="n">
        <f aca="false">C8*Interest_Rate</f>
        <v>0</v>
      </c>
      <c r="D15" s="25" t="n">
        <f aca="false">D8*Interest_Rate</f>
        <v>17875000</v>
      </c>
      <c r="E15" s="25" t="n">
        <f aca="false">E8*Interest_Rate</f>
        <v>16385416.6666667</v>
      </c>
      <c r="F15" s="25" t="n">
        <f aca="false">F8*Interest_Rate</f>
        <v>14895833.3333333</v>
      </c>
      <c r="G15" s="25" t="n">
        <f aca="false">G8*Interest_Rate</f>
        <v>13406250</v>
      </c>
      <c r="H15" s="25" t="n">
        <f aca="false">H8*Interest_Rate</f>
        <v>11916666.6666667</v>
      </c>
      <c r="I15" s="25" t="n">
        <f aca="false">I8*Interest_Rate</f>
        <v>10427083.3333333</v>
      </c>
      <c r="J15" s="25" t="n">
        <f aca="false">J8*Interest_Rate</f>
        <v>8937500</v>
      </c>
      <c r="K15" s="25" t="n">
        <f aca="false">K8*Interest_Rate</f>
        <v>7447916.66666667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1" min="3" style="0" width="1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123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124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90</v>
      </c>
      <c r="C5" s="21" t="n">
        <f aca="false">Acq_Year+C6</f>
        <v>2026</v>
      </c>
      <c r="D5" s="21" t="n">
        <f aca="false">Acq_Year+D6</f>
        <v>2027</v>
      </c>
      <c r="E5" s="21" t="n">
        <f aca="false">Acq_Year+E6</f>
        <v>2028</v>
      </c>
      <c r="F5" s="21" t="n">
        <f aca="false">Acq_Year+F6</f>
        <v>2029</v>
      </c>
      <c r="G5" s="21" t="n">
        <f aca="false">Acq_Year+G6</f>
        <v>2030</v>
      </c>
      <c r="H5" s="21" t="n">
        <f aca="false">Acq_Year+H6</f>
        <v>2031</v>
      </c>
      <c r="I5" s="21" t="n">
        <f aca="false">Acq_Year+I6</f>
        <v>2032</v>
      </c>
      <c r="J5" s="21" t="n">
        <f aca="false">Acq_Year+J6</f>
        <v>2033</v>
      </c>
      <c r="K5" s="21" t="n">
        <f aca="false">Acq_Year+K6</f>
        <v>2034</v>
      </c>
    </row>
    <row r="6" customFormat="false" ht="15" hidden="false" customHeight="false" outlineLevel="0" collapsed="false">
      <c r="B6" s="5" t="s">
        <v>91</v>
      </c>
      <c r="C6" s="21" t="n">
        <f aca="false">Hold_Years-Hold_Years+0</f>
        <v>0</v>
      </c>
      <c r="D6" s="21" t="n">
        <f aca="false">C6+1</f>
        <v>1</v>
      </c>
      <c r="E6" s="21" t="n">
        <f aca="false">D6+1</f>
        <v>2</v>
      </c>
      <c r="F6" s="21" t="n">
        <f aca="false">E6+1</f>
        <v>3</v>
      </c>
      <c r="G6" s="21" t="n">
        <f aca="false">F6+1</f>
        <v>4</v>
      </c>
      <c r="H6" s="21" t="n">
        <f aca="false">G6+1</f>
        <v>5</v>
      </c>
      <c r="I6" s="21" t="n">
        <f aca="false">H6+1</f>
        <v>6</v>
      </c>
      <c r="J6" s="21" t="n">
        <f aca="false">I6+1</f>
        <v>7</v>
      </c>
      <c r="K6" s="21" t="n">
        <f aca="false">J6+1</f>
        <v>8</v>
      </c>
    </row>
    <row r="7" customFormat="false" ht="15" hidden="false" customHeight="false" outlineLevel="0" collapsed="false">
      <c r="B7" s="11" t="s">
        <v>125</v>
      </c>
    </row>
    <row r="8" customFormat="false" ht="15" hidden="false" customHeight="false" outlineLevel="0" collapsed="false">
      <c r="B8" s="6" t="s">
        <v>108</v>
      </c>
      <c r="C8" s="23" t="n">
        <f aca="false">Lease_Income!C10</f>
        <v>0</v>
      </c>
      <c r="D8" s="23" t="n">
        <f aca="false">Lease_Income!D10</f>
        <v>50342400</v>
      </c>
      <c r="E8" s="23" t="n">
        <f aca="false">Lease_Income!E10</f>
        <v>51097536</v>
      </c>
      <c r="F8" s="23" t="n">
        <f aca="false">Lease_Income!F10</f>
        <v>51863999.04</v>
      </c>
      <c r="G8" s="23" t="n">
        <f aca="false">Lease_Income!G10</f>
        <v>52641959.0256</v>
      </c>
      <c r="H8" s="23" t="n">
        <f aca="false">Lease_Income!H10</f>
        <v>53431588.410984</v>
      </c>
      <c r="I8" s="23" t="n">
        <f aca="false">Lease_Income!I10</f>
        <v>54233062.2371487</v>
      </c>
      <c r="J8" s="23" t="n">
        <f aca="false">Lease_Income!J10</f>
        <v>55046558.170706</v>
      </c>
      <c r="K8" s="23" t="n">
        <f aca="false">Lease_Income!K10</f>
        <v>55872256.5432665</v>
      </c>
    </row>
    <row r="9" customFormat="false" ht="15" hidden="false" customHeight="false" outlineLevel="0" collapsed="false">
      <c r="B9" s="6" t="s">
        <v>126</v>
      </c>
      <c r="C9" s="23" t="n">
        <f aca="false">Lease_Income!C18</f>
        <v>-0</v>
      </c>
      <c r="D9" s="23" t="n">
        <f aca="false">Lease_Income!D18</f>
        <v>-3248154</v>
      </c>
      <c r="E9" s="23" t="n">
        <f aca="false">Lease_Income!E18</f>
        <v>-3719545.06</v>
      </c>
      <c r="F9" s="23" t="n">
        <f aca="false">Lease_Income!F18</f>
        <v>-4193314.79839999</v>
      </c>
      <c r="G9" s="23" t="n">
        <f aca="false">Lease_Income!G18</f>
        <v>-4669498.89537599</v>
      </c>
      <c r="H9" s="23" t="n">
        <f aca="false">Lease_Income!H18</f>
        <v>-5148133.56630664</v>
      </c>
      <c r="I9" s="23" t="n">
        <f aca="false">Lease_Income!I18</f>
        <v>-5629255.56980123</v>
      </c>
      <c r="J9" s="23" t="n">
        <f aca="false">Lease_Income!J18</f>
        <v>-6112902.21584825</v>
      </c>
      <c r="K9" s="23" t="n">
        <f aca="false">Lease_Income!K18</f>
        <v>-5759111.37408597</v>
      </c>
    </row>
    <row r="10" customFormat="false" ht="15" hidden="false" customHeight="false" outlineLevel="0" collapsed="false">
      <c r="B10" s="6" t="s">
        <v>127</v>
      </c>
      <c r="C10" s="23" t="n">
        <f aca="false">Lease_Income!C15</f>
        <v>-0</v>
      </c>
      <c r="D10" s="23" t="n">
        <f aca="false">Lease_Income!D15</f>
        <v>-17875000</v>
      </c>
      <c r="E10" s="23" t="n">
        <f aca="false">Lease_Income!E15</f>
        <v>-16385416.6666667</v>
      </c>
      <c r="F10" s="23" t="n">
        <f aca="false">Lease_Income!F15</f>
        <v>-14895833.3333333</v>
      </c>
      <c r="G10" s="23" t="n">
        <f aca="false">Lease_Income!G15</f>
        <v>-13406250</v>
      </c>
      <c r="H10" s="23" t="n">
        <f aca="false">Lease_Income!H15</f>
        <v>-11916666.6666667</v>
      </c>
      <c r="I10" s="23" t="n">
        <f aca="false">Lease_Income!I15</f>
        <v>-10427083.3333333</v>
      </c>
      <c r="J10" s="23" t="n">
        <f aca="false">Lease_Income!J15</f>
        <v>-8937500</v>
      </c>
      <c r="K10" s="23" t="n">
        <f aca="false">Lease_Income!K15</f>
        <v>-7447916.66666667</v>
      </c>
    </row>
    <row r="11" customFormat="false" ht="15" hidden="false" customHeight="false" outlineLevel="0" collapsed="false">
      <c r="B11" s="5" t="s">
        <v>128</v>
      </c>
      <c r="C11" s="15" t="n">
        <f aca="false">C8+C9+C10</f>
        <v>0</v>
      </c>
      <c r="D11" s="15" t="n">
        <f aca="false">D8+D9+D10</f>
        <v>29219246</v>
      </c>
      <c r="E11" s="15" t="n">
        <f aca="false">E8+E9+E10</f>
        <v>30992574.2733333</v>
      </c>
      <c r="F11" s="15" t="n">
        <f aca="false">F8+F9+F10</f>
        <v>32774850.9082667</v>
      </c>
      <c r="G11" s="15" t="n">
        <f aca="false">G8+G9+G10</f>
        <v>34566210.130224</v>
      </c>
      <c r="H11" s="15" t="n">
        <f aca="false">H8+H9+H10</f>
        <v>36366788.1780107</v>
      </c>
      <c r="I11" s="15" t="n">
        <f aca="false">I8+I9+I10</f>
        <v>38176723.3340142</v>
      </c>
      <c r="J11" s="15" t="n">
        <f aca="false">J8+J9+J10</f>
        <v>39996155.9548577</v>
      </c>
      <c r="K11" s="15" t="n">
        <f aca="false">K8+K9+K10</f>
        <v>42665228.5025139</v>
      </c>
    </row>
    <row r="13" customFormat="false" ht="15" hidden="false" customHeight="false" outlineLevel="0" collapsed="false">
      <c r="B13" s="11" t="s">
        <v>129</v>
      </c>
    </row>
    <row r="14" customFormat="false" ht="15" hidden="false" customHeight="false" outlineLevel="0" collapsed="false">
      <c r="B14" s="6" t="s">
        <v>130</v>
      </c>
      <c r="C14" s="23" t="n">
        <f aca="false">-Total_Fleet_Cost</f>
        <v>-500000000</v>
      </c>
      <c r="D14" s="23" t="n">
        <f aca="false">0</f>
        <v>0</v>
      </c>
      <c r="E14" s="23" t="n">
        <f aca="false">0</f>
        <v>0</v>
      </c>
      <c r="F14" s="23" t="n">
        <f aca="false">0</f>
        <v>0</v>
      </c>
      <c r="G14" s="23" t="n">
        <f aca="false">0</f>
        <v>0</v>
      </c>
      <c r="H14" s="23" t="n">
        <f aca="false">0</f>
        <v>0</v>
      </c>
      <c r="I14" s="23" t="n">
        <f aca="false">0</f>
        <v>0</v>
      </c>
      <c r="J14" s="23" t="n">
        <f aca="false">0</f>
        <v>0</v>
      </c>
      <c r="K14" s="23" t="n">
        <f aca="false">0</f>
        <v>0</v>
      </c>
    </row>
    <row r="15" customFormat="false" ht="15" hidden="false" customHeight="false" outlineLevel="0" collapsed="false">
      <c r="B15" s="6" t="s">
        <v>131</v>
      </c>
      <c r="C15" s="23" t="n">
        <f aca="false">Fleet!C18</f>
        <v>0</v>
      </c>
      <c r="D15" s="23" t="n">
        <f aca="false">Fleet!D18</f>
        <v>0</v>
      </c>
      <c r="E15" s="23" t="n">
        <f aca="false">Fleet!E18</f>
        <v>0</v>
      </c>
      <c r="F15" s="23" t="n">
        <f aca="false">Fleet!F18</f>
        <v>0</v>
      </c>
      <c r="G15" s="23" t="n">
        <f aca="false">Fleet!G18</f>
        <v>0</v>
      </c>
      <c r="H15" s="23" t="n">
        <f aca="false">Fleet!H18</f>
        <v>0</v>
      </c>
      <c r="I15" s="23" t="n">
        <f aca="false">Fleet!I18</f>
        <v>0</v>
      </c>
      <c r="J15" s="23" t="n">
        <f aca="false">Fleet!J18</f>
        <v>0</v>
      </c>
      <c r="K15" s="23" t="n">
        <f aca="false">Fleet!K18</f>
        <v>360000000</v>
      </c>
    </row>
    <row r="16" customFormat="false" ht="15" hidden="false" customHeight="false" outlineLevel="0" collapsed="false">
      <c r="B16" s="6" t="s">
        <v>132</v>
      </c>
      <c r="C16" s="23" t="n">
        <f aca="false">Debt!C9</f>
        <v>325000000</v>
      </c>
      <c r="D16" s="23" t="n">
        <f aca="false">Debt!D9</f>
        <v>0</v>
      </c>
      <c r="E16" s="23" t="n">
        <f aca="false">Debt!E9</f>
        <v>0</v>
      </c>
      <c r="F16" s="23" t="n">
        <f aca="false">Debt!F9</f>
        <v>0</v>
      </c>
      <c r="G16" s="23" t="n">
        <f aca="false">Debt!G9</f>
        <v>0</v>
      </c>
      <c r="H16" s="23" t="n">
        <f aca="false">Debt!H9</f>
        <v>0</v>
      </c>
      <c r="I16" s="23" t="n">
        <f aca="false">Debt!I9</f>
        <v>0</v>
      </c>
      <c r="J16" s="23" t="n">
        <f aca="false">Debt!J9</f>
        <v>0</v>
      </c>
      <c r="K16" s="23" t="n">
        <f aca="false">Debt!K9</f>
        <v>0</v>
      </c>
    </row>
    <row r="17" customFormat="false" ht="15" hidden="false" customHeight="false" outlineLevel="0" collapsed="false">
      <c r="B17" s="6" t="s">
        <v>133</v>
      </c>
      <c r="C17" s="23" t="n">
        <f aca="false">Debt!C10+Debt!C11</f>
        <v>0</v>
      </c>
      <c r="D17" s="23" t="n">
        <f aca="false">Debt!D10+Debt!D11</f>
        <v>-27083333.3333333</v>
      </c>
      <c r="E17" s="23" t="n">
        <f aca="false">Debt!E10+Debt!E11</f>
        <v>-27083333.3333333</v>
      </c>
      <c r="F17" s="23" t="n">
        <f aca="false">Debt!F10+Debt!F11</f>
        <v>-27083333.3333333</v>
      </c>
      <c r="G17" s="23" t="n">
        <f aca="false">Debt!G10+Debt!G11</f>
        <v>-27083333.3333333</v>
      </c>
      <c r="H17" s="23" t="n">
        <f aca="false">Debt!H10+Debt!H11</f>
        <v>-27083333.3333333</v>
      </c>
      <c r="I17" s="23" t="n">
        <f aca="false">Debt!I10+Debt!I11</f>
        <v>-27083333.3333333</v>
      </c>
      <c r="J17" s="23" t="n">
        <f aca="false">Debt!J10+Debt!J11</f>
        <v>-27083333.3333333</v>
      </c>
      <c r="K17" s="23" t="n">
        <f aca="false">Debt!K10+Debt!K11</f>
        <v>-135416666.666667</v>
      </c>
    </row>
    <row r="19" customFormat="false" ht="15" hidden="false" customHeight="false" outlineLevel="0" collapsed="false">
      <c r="B19" s="11" t="s">
        <v>134</v>
      </c>
    </row>
    <row r="20" customFormat="false" ht="15" hidden="false" customHeight="false" outlineLevel="0" collapsed="false">
      <c r="B20" s="24" t="s">
        <v>135</v>
      </c>
      <c r="C20" s="25" t="n">
        <f aca="false">C11+C14+C15+C16+C17</f>
        <v>-175000000</v>
      </c>
      <c r="D20" s="25" t="n">
        <f aca="false">D11+D14+D15+D16+D17</f>
        <v>2135912.66666666</v>
      </c>
      <c r="E20" s="25" t="n">
        <f aca="false">E11+E14+E15+E16+E17</f>
        <v>3909240.93999999</v>
      </c>
      <c r="F20" s="25" t="n">
        <f aca="false">F11+F14+F15+F16+F17</f>
        <v>5691517.57493332</v>
      </c>
      <c r="G20" s="25" t="n">
        <f aca="false">G11+G14+G15+G16+G17</f>
        <v>7482876.79689064</v>
      </c>
      <c r="H20" s="25" t="n">
        <f aca="false">H11+H14+H15+H16+H17</f>
        <v>9283454.84467734</v>
      </c>
      <c r="I20" s="25" t="n">
        <f aca="false">I11+I14+I15+I16+I17</f>
        <v>11093390.0006808</v>
      </c>
      <c r="J20" s="25" t="n">
        <f aca="false">J11+J14+J15+J16+J17</f>
        <v>12912822.6215244</v>
      </c>
      <c r="K20" s="25" t="n">
        <f aca="false">K11+K14+K15+K16+K17</f>
        <v>267248561.835847</v>
      </c>
    </row>
    <row r="21" customFormat="false" ht="15" hidden="false" customHeight="false" outlineLevel="0" collapsed="false">
      <c r="B21" s="5" t="s">
        <v>136</v>
      </c>
      <c r="C21" s="15" t="n">
        <f aca="false">C20</f>
        <v>-175000000</v>
      </c>
      <c r="D21" s="15" t="n">
        <f aca="false">C21+D20</f>
        <v>-172864087.333333</v>
      </c>
      <c r="E21" s="15" t="n">
        <f aca="false">D21+E20</f>
        <v>-168954846.393333</v>
      </c>
      <c r="F21" s="15" t="n">
        <f aca="false">E21+F20</f>
        <v>-163263328.8184</v>
      </c>
      <c r="G21" s="15" t="n">
        <f aca="false">F21+G20</f>
        <v>-155780452.021509</v>
      </c>
      <c r="H21" s="15" t="n">
        <f aca="false">G21+H20</f>
        <v>-146496997.176832</v>
      </c>
      <c r="I21" s="15" t="n">
        <f aca="false">H21+I20</f>
        <v>-135403607.176151</v>
      </c>
      <c r="J21" s="15" t="n">
        <f aca="false">I21+J20</f>
        <v>-122490784.554627</v>
      </c>
      <c r="K21" s="15" t="n">
        <f aca="false">J21+K20</f>
        <v>144757777.28122</v>
      </c>
    </row>
    <row r="23" customFormat="false" ht="15" hidden="false" customHeight="false" outlineLevel="0" collapsed="false">
      <c r="B23" s="11" t="s">
        <v>137</v>
      </c>
    </row>
    <row r="24" customFormat="false" ht="15" hidden="false" customHeight="false" outlineLevel="0" collapsed="false">
      <c r="B24" s="5" t="s">
        <v>138</v>
      </c>
      <c r="C24" s="15" t="n">
        <f aca="false">C11+C14+C15</f>
        <v>-500000000</v>
      </c>
      <c r="D24" s="15" t="n">
        <f aca="false">D11+D14+D15</f>
        <v>29219246</v>
      </c>
      <c r="E24" s="15" t="n">
        <f aca="false">E11+E14+E15</f>
        <v>30992574.2733333</v>
      </c>
      <c r="F24" s="15" t="n">
        <f aca="false">F11+F14+F15</f>
        <v>32774850.9082667</v>
      </c>
      <c r="G24" s="15" t="n">
        <f aca="false">G11+G14+G15</f>
        <v>34566210.130224</v>
      </c>
      <c r="H24" s="15" t="n">
        <f aca="false">H11+H14+H15</f>
        <v>36366788.1780107</v>
      </c>
      <c r="I24" s="15" t="n">
        <f aca="false">I11+I14+I15</f>
        <v>38176723.3340142</v>
      </c>
      <c r="J24" s="15" t="n">
        <f aca="false">J11+J14+J15</f>
        <v>39996155.9548577</v>
      </c>
      <c r="K24" s="15" t="n">
        <f aca="false">K11+K14+K15</f>
        <v>402665228.502514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1" min="3"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21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139</v>
      </c>
      <c r="C3" s="1"/>
      <c r="D3" s="1"/>
      <c r="E3" s="1"/>
      <c r="F3" s="1"/>
      <c r="G3" s="1"/>
      <c r="H3" s="1"/>
      <c r="I3" s="1"/>
      <c r="J3" s="1"/>
      <c r="K3" s="1"/>
      <c r="L3" s="1"/>
      <c r="M3" s="1"/>
      <c r="N3" s="1"/>
      <c r="O3" s="1"/>
      <c r="P3" s="1"/>
      <c r="Q3" s="1"/>
      <c r="R3" s="1"/>
      <c r="S3" s="1"/>
      <c r="T3" s="1"/>
      <c r="U3" s="1"/>
      <c r="V3" s="1"/>
      <c r="W3" s="1"/>
      <c r="X3" s="1"/>
      <c r="Y3" s="1"/>
      <c r="Z3" s="1"/>
      <c r="AA3" s="1"/>
      <c r="AB3" s="1"/>
      <c r="AC3" s="1"/>
      <c r="AD3" s="1"/>
    </row>
    <row r="6" customFormat="false" ht="15" hidden="false" customHeight="false" outlineLevel="0" collapsed="false">
      <c r="B6" s="11" t="s">
        <v>140</v>
      </c>
    </row>
    <row r="7" customFormat="false" ht="15" hidden="false" customHeight="false" outlineLevel="0" collapsed="false">
      <c r="B7" s="7" t="s">
        <v>141</v>
      </c>
      <c r="C7" s="23" t="n">
        <f aca="false">Equity_Amount</f>
        <v>175000000</v>
      </c>
    </row>
    <row r="8" customFormat="false" ht="15" hidden="false" customHeight="false" outlineLevel="0" collapsed="false">
      <c r="B8" s="14" t="s">
        <v>142</v>
      </c>
      <c r="C8" s="26" t="n">
        <f aca="false">IFERROR(IRR(Cash_Flow!$C$20:$K$20),0)</f>
        <v>0.0846284592717826</v>
      </c>
    </row>
    <row r="9" customFormat="false" ht="15" hidden="false" customHeight="false" outlineLevel="0" collapsed="false">
      <c r="B9" s="7" t="s">
        <v>143</v>
      </c>
      <c r="C9" s="27" t="n">
        <f aca="false">SUM(Cash_Flow!$D$20:$K$20)/Equity_Amount</f>
        <v>1.82718729874983</v>
      </c>
    </row>
    <row r="10" customFormat="false" ht="15" hidden="false" customHeight="false" outlineLevel="0" collapsed="false">
      <c r="B10" s="7" t="s">
        <v>144</v>
      </c>
      <c r="C10" s="28" t="n">
        <f aca="false">AVERAGE(Cash_Flow!$D$20:$J$20)/Equity_Amount</f>
        <v>0.0428646656696924</v>
      </c>
    </row>
    <row r="11" customFormat="false" ht="15" hidden="false" customHeight="false" outlineLevel="0" collapsed="false">
      <c r="B11" s="7" t="s">
        <v>145</v>
      </c>
      <c r="C11" s="28" t="n">
        <f aca="false">IFERROR(IRR(Cash_Flow!$C$24:$K$24),0)</f>
        <v>0.0400370862348079</v>
      </c>
    </row>
    <row r="13" customFormat="false" ht="15" hidden="false" customHeight="false" outlineLevel="0" collapsed="false">
      <c r="B13" s="11" t="s">
        <v>146</v>
      </c>
    </row>
    <row r="14" customFormat="false" ht="15" hidden="false" customHeight="false" outlineLevel="0" collapsed="false">
      <c r="B14" s="7" t="s">
        <v>147</v>
      </c>
      <c r="C14" s="23" t="n">
        <f aca="false">Fleet!$K$18</f>
        <v>360000000</v>
      </c>
    </row>
    <row r="15" customFormat="false" ht="15" hidden="false" customHeight="false" outlineLevel="0" collapsed="false">
      <c r="B15" s="7" t="s">
        <v>148</v>
      </c>
      <c r="C15" s="23" t="n">
        <f aca="false">Debt!$K$12</f>
        <v>0</v>
      </c>
    </row>
    <row r="16" customFormat="false" ht="15" hidden="false" customHeight="false" outlineLevel="0" collapsed="false">
      <c r="B16" s="14" t="s">
        <v>149</v>
      </c>
      <c r="C16" s="15" t="n">
        <f aca="false">C14-C15</f>
        <v>360000000</v>
      </c>
    </row>
    <row r="17" customFormat="false" ht="15" hidden="false" customHeight="false" outlineLevel="0" collapsed="false">
      <c r="B17" s="7" t="s">
        <v>150</v>
      </c>
      <c r="C17" s="23" t="n">
        <f aca="false">SUM(Cash_Flow!$D$20:$K$20)</f>
        <v>319757777.28122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7" min="3" style="0" width="1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24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151</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9" t="s">
        <v>152</v>
      </c>
      <c r="C5" s="30" t="n">
        <v>-0.04</v>
      </c>
      <c r="D5" s="30" t="n">
        <v>-0.02</v>
      </c>
      <c r="E5" s="30" t="n">
        <v>0</v>
      </c>
      <c r="F5" s="30" t="n">
        <v>0.02</v>
      </c>
      <c r="G5" s="30" t="n">
        <v>0.04</v>
      </c>
    </row>
    <row r="8" customFormat="false" ht="15" hidden="false" customHeight="false" outlineLevel="0" collapsed="false">
      <c r="B8" s="31" t="n">
        <v>-0.001</v>
      </c>
      <c r="C8" s="32" t="n">
        <f aca="false">(Lease_Rate_Factor+$B8)*12*(Fleet_Util+C$5)*(1-Opex_Ratio)</f>
        <v>0.0863328</v>
      </c>
      <c r="D8" s="32" t="n">
        <f aca="false">(Lease_Rate_Factor+$B8)*12*(Fleet_Util+D$5)*(1-Opex_Ratio)</f>
        <v>0.0882096</v>
      </c>
      <c r="E8" s="32" t="n">
        <f aca="false">(Lease_Rate_Factor+$B8)*12*(Fleet_Util+E$5)*(1-Opex_Ratio)</f>
        <v>0.0900864</v>
      </c>
      <c r="F8" s="32" t="n">
        <f aca="false">(Lease_Rate_Factor+$B8)*12*(Fleet_Util+F$5)*(1-Opex_Ratio)</f>
        <v>0.0919632</v>
      </c>
      <c r="G8" s="32" t="n">
        <f aca="false">(Lease_Rate_Factor+$B8)*12*(Fleet_Util+G$5)*(1-Opex_Ratio)</f>
        <v>0.09384</v>
      </c>
    </row>
    <row r="9" customFormat="false" ht="15" hidden="false" customHeight="false" outlineLevel="0" collapsed="false">
      <c r="B9" s="31" t="n">
        <v>-0.0005</v>
      </c>
      <c r="C9" s="32" t="n">
        <f aca="false">(Lease_Rate_Factor+$B9)*12*(Fleet_Util+C$5)*(1-Opex_Ratio)</f>
        <v>0.0914112</v>
      </c>
      <c r="D9" s="32" t="n">
        <f aca="false">(Lease_Rate_Factor+$B9)*12*(Fleet_Util+D$5)*(1-Opex_Ratio)</f>
        <v>0.0933984</v>
      </c>
      <c r="E9" s="32" t="n">
        <f aca="false">(Lease_Rate_Factor+$B9)*12*(Fleet_Util+E$5)*(1-Opex_Ratio)</f>
        <v>0.0953856</v>
      </c>
      <c r="F9" s="32" t="n">
        <f aca="false">(Lease_Rate_Factor+$B9)*12*(Fleet_Util+F$5)*(1-Opex_Ratio)</f>
        <v>0.0973728</v>
      </c>
      <c r="G9" s="32" t="n">
        <f aca="false">(Lease_Rate_Factor+$B9)*12*(Fleet_Util+G$5)*(1-Opex_Ratio)</f>
        <v>0.09936</v>
      </c>
    </row>
    <row r="10" customFormat="false" ht="15" hidden="false" customHeight="false" outlineLevel="0" collapsed="false">
      <c r="B10" s="31" t="n">
        <v>0</v>
      </c>
      <c r="C10" s="32" t="n">
        <f aca="false">(Lease_Rate_Factor+$B10)*12*(Fleet_Util+C$5)*(1-Opex_Ratio)</f>
        <v>0.0964896</v>
      </c>
      <c r="D10" s="32" t="n">
        <f aca="false">(Lease_Rate_Factor+$B10)*12*(Fleet_Util+D$5)*(1-Opex_Ratio)</f>
        <v>0.0985872</v>
      </c>
      <c r="E10" s="32" t="n">
        <f aca="false">(Lease_Rate_Factor+$B10)*12*(Fleet_Util+E$5)*(1-Opex_Ratio)</f>
        <v>0.1006848</v>
      </c>
      <c r="F10" s="32" t="n">
        <f aca="false">(Lease_Rate_Factor+$B10)*12*(Fleet_Util+F$5)*(1-Opex_Ratio)</f>
        <v>0.1027824</v>
      </c>
      <c r="G10" s="32" t="n">
        <f aca="false">(Lease_Rate_Factor+$B10)*12*(Fleet_Util+G$5)*(1-Opex_Ratio)</f>
        <v>0.10488</v>
      </c>
    </row>
    <row r="11" customFormat="false" ht="15" hidden="false" customHeight="false" outlineLevel="0" collapsed="false">
      <c r="B11" s="31" t="n">
        <v>0.0005</v>
      </c>
      <c r="C11" s="32" t="n">
        <f aca="false">(Lease_Rate_Factor+$B11)*12*(Fleet_Util+C$5)*(1-Opex_Ratio)</f>
        <v>0.101568</v>
      </c>
      <c r="D11" s="32" t="n">
        <f aca="false">(Lease_Rate_Factor+$B11)*12*(Fleet_Util+D$5)*(1-Opex_Ratio)</f>
        <v>0.103776</v>
      </c>
      <c r="E11" s="32" t="n">
        <f aca="false">(Lease_Rate_Factor+$B11)*12*(Fleet_Util+E$5)*(1-Opex_Ratio)</f>
        <v>0.105984</v>
      </c>
      <c r="F11" s="32" t="n">
        <f aca="false">(Lease_Rate_Factor+$B11)*12*(Fleet_Util+F$5)*(1-Opex_Ratio)</f>
        <v>0.108192</v>
      </c>
      <c r="G11" s="32" t="n">
        <f aca="false">(Lease_Rate_Factor+$B11)*12*(Fleet_Util+G$5)*(1-Opex_Ratio)</f>
        <v>0.1104</v>
      </c>
    </row>
    <row r="12" customFormat="false" ht="15" hidden="false" customHeight="false" outlineLevel="0" collapsed="false">
      <c r="B12" s="31" t="n">
        <v>0.001</v>
      </c>
      <c r="C12" s="32" t="n">
        <f aca="false">(Lease_Rate_Factor+$B12)*12*(Fleet_Util+C$5)*(1-Opex_Ratio)</f>
        <v>0.1066464</v>
      </c>
      <c r="D12" s="32" t="n">
        <f aca="false">(Lease_Rate_Factor+$B12)*12*(Fleet_Util+D$5)*(1-Opex_Ratio)</f>
        <v>0.1089648</v>
      </c>
      <c r="E12" s="32" t="n">
        <f aca="false">(Lease_Rate_Factor+$B12)*12*(Fleet_Util+E$5)*(1-Opex_Ratio)</f>
        <v>0.1112832</v>
      </c>
      <c r="F12" s="32" t="n">
        <f aca="false">(Lease_Rate_Factor+$B12)*12*(Fleet_Util+F$5)*(1-Opex_Ratio)</f>
        <v>0.1136016</v>
      </c>
      <c r="G12" s="32" t="n">
        <f aca="false">(Lease_Rate_Factor+$B12)*12*(Fleet_Util+G$5)*(1-Opex_Ratio)</f>
        <v>0.11592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11"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153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154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9" t="s">
        <v>155</v>
      </c>
      <c r="C5" s="10" t="s">
        <v>156</v>
      </c>
      <c r="D5" s="10" t="s">
        <v>157</v>
      </c>
    </row>
    <row r="7" customFormat="false" ht="15" hidden="false" customHeight="false" outlineLevel="0" collapsed="false">
      <c r="B7" s="7" t="s">
        <v>158</v>
      </c>
      <c r="C7" s="21" t="n">
        <f aca="false">IF(ABS(Debt!$K$12)&lt;1,0,1)</f>
        <v>0</v>
      </c>
      <c r="D7" s="33" t="str">
        <f aca="false">IF(C7=0,"PASS","FAIL")</f>
        <v>PASS</v>
      </c>
    </row>
    <row r="8" customFormat="false" ht="15" hidden="false" customHeight="false" outlineLevel="0" collapsed="false">
      <c r="B8" s="7" t="s">
        <v>159</v>
      </c>
      <c r="C8" s="21" t="n">
        <f aca="false">IF(MIN(Fleet!$C$15:$K$15)&gt;=-1,0,1)</f>
        <v>0</v>
      </c>
      <c r="D8" s="33" t="str">
        <f aca="false">IF(C8=0,"PASS","FAIL")</f>
        <v>PASS</v>
      </c>
    </row>
    <row r="9" customFormat="false" ht="15" hidden="false" customHeight="false" outlineLevel="0" collapsed="false">
      <c r="B9" s="7" t="s">
        <v>160</v>
      </c>
      <c r="C9" s="21" t="n">
        <f aca="false">IF(ABS(Equity_Amount-(Total_Fleet_Cost-Debt_Amount))&lt;1,0,1)</f>
        <v>0</v>
      </c>
      <c r="D9" s="33" t="str">
        <f aca="false">IF(C9=0,"PASS","FAIL")</f>
        <v>PASS</v>
      </c>
    </row>
    <row r="10" customFormat="false" ht="15" hidden="false" customHeight="false" outlineLevel="0" collapsed="false">
      <c r="B10" s="7" t="s">
        <v>161</v>
      </c>
      <c r="C10" s="21" t="n">
        <f aca="false">IF(ABS(Cash_Flow!$C$20+Equity_Amount)&lt;1,0,1)</f>
        <v>0</v>
      </c>
      <c r="D10" s="33" t="str">
        <f aca="false">IF(C10=0,"PASS","FAIL")</f>
        <v>PASS</v>
      </c>
    </row>
    <row r="11" customFormat="false" ht="15" hidden="false" customHeight="false" outlineLevel="0" collapsed="false">
      <c r="B11" s="7" t="s">
        <v>162</v>
      </c>
      <c r="C11" s="21" t="n">
        <f aca="false">IF(AND(LTV&gt;=0,LTV&lt;=1),0,1)</f>
        <v>0</v>
      </c>
      <c r="D11" s="33" t="str">
        <f aca="false">IF(C11=0,"PASS","FAIL")</f>
        <v>PASS</v>
      </c>
    </row>
    <row r="12" customFormat="false" ht="15" hidden="false" customHeight="false" outlineLevel="0" collapsed="false">
      <c r="B12" s="7" t="s">
        <v>163</v>
      </c>
      <c r="C12" s="21" t="n">
        <f aca="false">IF(AND(Fleet_Util&gt;0,Fleet_Util&lt;=1),0,1)</f>
        <v>0</v>
      </c>
      <c r="D12" s="33" t="str">
        <f aca="false">IF(C12=0,"PASS","FAIL")</f>
        <v>PASS</v>
      </c>
    </row>
    <row r="13" customFormat="false" ht="15" hidden="false" customHeight="false" outlineLevel="0" collapsed="false">
      <c r="B13" s="7" t="s">
        <v>164</v>
      </c>
      <c r="C13" s="21" t="n">
        <f aca="false">IF(ABS((Total_Fleet_Cost-Fleet!$K$15)-Annual_Depreciation*Hold_Years)&lt;1,0,1)</f>
        <v>0</v>
      </c>
      <c r="D13" s="33" t="str">
        <f aca="false">IF(C13=0,"PASS","FAIL")</f>
        <v>PASS</v>
      </c>
    </row>
    <row r="16" customFormat="false" ht="15" hidden="false" customHeight="false" outlineLevel="0" collapsed="false">
      <c r="B16" s="14" t="s">
        <v>165</v>
      </c>
      <c r="C16" s="34" t="str">
        <f aca="false">IF(SUM(C7:C13)=0,"YES","NO")</f>
        <v>YES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2026-05-20T05:23:42Z</dcterms:created>
  <dc:creator>openpyxl</dc:creator>
  <dc:description/>
  <dc:language>en-GB</dc:language>
  <cp:lastModifiedBy/>
  <dcterms:modified xsi:type="dcterms:W3CDTF">2026-05-20T05:23:42Z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