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Traffic" sheetId="3" state="visible" r:id="rId5"/>
    <sheet name="Revenue" sheetId="4" state="visible" r:id="rId6"/>
    <sheet name="Opex" sheetId="5" state="visible" r:id="rId7"/>
    <sheet name="Capex_Depr" sheetId="6" state="visible" r:id="rId8"/>
    <sheet name="Debt" sheetId="7" state="visible" r:id="rId9"/>
    <sheet name="Tax" sheetId="8" state="visible" r:id="rId10"/>
    <sheet name="Cash_Flow" sheetId="9" state="visible" r:id="rId11"/>
    <sheet name="Sources_Uses" sheetId="10" state="visible" r:id="rId12"/>
    <sheet name="Returns" sheetId="11" state="visible" r:id="rId13"/>
    <sheet name="Checks" sheetId="12" state="visible" r:id="rId14"/>
    <sheet name="Disclaimer" sheetId="13" state="visible" r:id="rId15"/>
  </sheets>
  <definedNames>
    <definedName function="false" hidden="false" name="Aero_Cargo_PerTonne" vbProcedure="false">Assumptions!$C$38</definedName>
    <definedName function="false" hidden="false" name="Aero_Escalation" vbProcedure="false">Assumptions!$C$39</definedName>
    <definedName function="false" hidden="false" name="Aero_Landing_PerATM" vbProcedure="false">Assumptions!$C$33</definedName>
    <definedName function="false" hidden="false" name="Aero_Parking_PerATM" vbProcedure="false">Assumptions!$C$37</definedName>
    <definedName function="false" hidden="false" name="Aero_PaxFee_Dom" vbProcedure="false">Assumptions!$C$34</definedName>
    <definedName function="false" hidden="false" name="Aero_PaxFee_Intl" vbProcedure="false">Assumptions!$C$35</definedName>
    <definedName function="false" hidden="false" name="Aero_PaxFee_Trf" vbProcedure="false">Assumptions!$C$36</definedName>
    <definedName function="false" hidden="false" name="Airline_RouteIncent_Pct" vbProcedure="false">Assumptions!$C$57</definedName>
    <definedName function="false" hidden="false" name="All_In_Rate" vbProcedure="false">Assumptions!$C$81</definedName>
    <definedName function="false" hidden="false" name="Annual_Debt_Service" vbProcedure="false">Debt!$G$20</definedName>
    <definedName function="false" hidden="false" name="ATM_LoadFactor" vbProcedure="false">Assumptions!$C$26</definedName>
    <definedName function="false" hidden="false" name="ATM_Seats" vbProcedure="false">Assumptions!$C$25</definedName>
    <definedName function="false" hidden="false" name="Avg_DSCR" vbProcedure="false">Returns!$C$13</definedName>
    <definedName function="false" hidden="false" name="Base_Pax" vbProcedure="false">Assumptions!$C$17</definedName>
    <definedName function="false" hidden="false" name="Base_Rate" vbProcedure="false">Assumptions!$C$79</definedName>
    <definedName function="false" hidden="false" name="Capex_Pct_Baggage" vbProcedure="false">Assumptions!$C$63</definedName>
    <definedName function="false" hidden="false" name="Capex_Pct_FitOut" vbProcedure="false">Assumptions!$C$66</definedName>
    <definedName function="false" hidden="false" name="Capex_Pct_Ground" vbProcedure="false">Assumptions!$C$64</definedName>
    <definedName function="false" hidden="false" name="Capex_Pct_Runway" vbProcedure="false">Assumptions!$C$62</definedName>
    <definedName function="false" hidden="false" name="Capex_Pct_Terminal" vbProcedure="false">Assumptions!$C$61</definedName>
    <definedName function="false" hidden="false" name="Capex_Pct_Utilities" vbProcedure="false">Assumptions!$C$65</definedName>
    <definedName function="false" hidden="false" name="Capex_Total" vbProcedure="false">Assumptions!$C$60</definedName>
    <definedName function="false" hidden="false" name="Capex_Y1_Pct" vbProcedure="false">Assumptions!$C$67</definedName>
    <definedName function="false" hidden="false" name="Capex_Y2_Pct" vbProcedure="false">Assumptions!$C$68</definedName>
    <definedName function="false" hidden="false" name="Capex_Y3_Pct" vbProcedure="false">Assumptions!$C$69</definedName>
    <definedName function="false" hidden="false" name="Capex_Y4_Pct" vbProcedure="false">Assumptions!$C$70</definedName>
    <definedName function="false" hidden="false" name="Cargo_Growth" vbProcedure="false">Assumptions!$C$28</definedName>
    <definedName function="false" hidden="false" name="Cargo_Per_Pax" vbProcedure="false">Assumptions!$C$27</definedName>
    <definedName function="false" hidden="false" name="Concession_Life" vbProcedure="false">Assumptions!$C$12</definedName>
    <definedName function="false" hidden="false" name="Concession_Pct" vbProcedure="false">Assumptions!$C$58</definedName>
    <definedName function="false" hidden="false" name="Constr_Period" vbProcedure="false">Assumptions!$C$9</definedName>
    <definedName function="false" hidden="false" name="CPI" vbProcedure="false">Assumptions!$C$13</definedName>
    <definedName function="false" hidden="false" name="Debt_Margin" vbProcedure="false">Assumptions!$C$80</definedName>
    <definedName function="false" hidden="false" name="Debt_Tenor" vbProcedure="false">Assumptions!$C$82</definedName>
    <definedName function="false" hidden="false" name="Depr_Life" vbProcedure="false">Assumptions!$C$71</definedName>
    <definedName function="false" hidden="false" name="Discount_Rate" vbProcedure="false">Assumptions!$C$85</definedName>
    <definedName function="false" hidden="false" name="DSCR_Avg_Threshold" vbProcedure="false">Assumptions!$C$90</definedName>
    <definedName function="false" hidden="false" name="DSCR_Min_Threshold" vbProcedure="false">Assumptions!$C$89</definedName>
    <definedName function="false" hidden="false" name="DSRA_Months" vbProcedure="false">Assumptions!$C$83</definedName>
    <definedName function="false" hidden="false" name="EBITDA_Margin_Max" vbProcedure="false">Assumptions!$C$94</definedName>
    <definedName function="false" hidden="false" name="EBITDA_Margin_Min" vbProcedure="false">Assumptions!$C$93</definedName>
    <definedName function="false" hidden="false" name="Equity_IRR" vbProcedure="false">Returns!$C$10</definedName>
    <definedName function="false" hidden="false" name="Equity_Multiple" vbProcedure="false">Returns!$C$16</definedName>
    <definedName function="false" hidden="false" name="Final_Debt" vbProcedure="false">Debt!$AE$15</definedName>
    <definedName function="false" hidden="false" name="Gearing" vbProcedure="false">Assumptions!$C$78</definedName>
    <definedName function="false" hidden="false" name="Handback_Pct" vbProcedure="false">Assumptions!$C$75</definedName>
    <definedName function="false" hidden="false" name="Handback_Years" vbProcedure="false">Assumptions!$C$76</definedName>
    <definedName function="false" hidden="false" name="Initial_Debt" vbProcedure="false">Debt!$F$15</definedName>
    <definedName function="false" hidden="false" name="LLCR_Min_Threshold" vbProcedure="false">Assumptions!$C$91</definedName>
    <definedName function="false" hidden="false" name="Maint_Capex_Pct" vbProcedure="false">Assumptions!$C$72</definedName>
    <definedName function="false" hidden="false" name="Min_DSCR" vbProcedure="false">Returns!$C$12</definedName>
    <definedName function="false" hidden="false" name="Min_LLCR" vbProcedure="false">Returns!$C$28</definedName>
    <definedName function="false" hidden="false" name="Min_PLCR" vbProcedure="false">Returns!$C$29</definedName>
    <definedName function="false" hidden="false" name="Mix_Cargo" vbProcedure="false">Assumptions!$C$31</definedName>
    <definedName function="false" hidden="false" name="Mix_FSC" vbProcedure="false">Assumptions!$C$30</definedName>
    <definedName function="false" hidden="false" name="Mix_LCC" vbProcedure="false">Assumptions!$C$29</definedName>
    <definedName function="false" hidden="false" name="NA_DutyFree_PerPax" vbProcedure="false">Assumptions!$C$43</definedName>
    <definedName function="false" hidden="false" name="NA_FB_PerPax" vbProcedure="false">Assumptions!$C$42</definedName>
    <definedName function="false" hidden="false" name="NA_GroundTrans_PerPax" vbProcedure="false">Assumptions!$C$45</definedName>
    <definedName function="false" hidden="false" name="NA_Parking_PerPax" vbProcedure="false">Assumptions!$C$44</definedName>
    <definedName function="false" hidden="false" name="NA_RealEstate_PerPax" vbProcedure="false">Assumptions!$C$46</definedName>
    <definedName function="false" hidden="false" name="NA_Retail_PerPax" vbProcedure="false">Assumptions!$C$41</definedName>
    <definedName function="false" hidden="false" name="NonAero_Escalation" vbProcedure="false">Assumptions!$C$47</definedName>
    <definedName function="false" hidden="false" name="Opex_Airfield_Base" vbProcedure="false">Assumptions!$C$49</definedName>
    <definedName function="false" hidden="false" name="Opex_ARFFSec_Base" vbProcedure="false">Assumptions!$C$51</definedName>
    <definedName function="false" hidden="false" name="Opex_GroundHdl_Base" vbProcedure="false">Assumptions!$C$52</definedName>
    <definedName function="false" hidden="false" name="Opex_InsAdmin_Base" vbProcedure="false">Assumptions!$C$54</definedName>
    <definedName function="false" hidden="false" name="Opex_PropTax_Base" vbProcedure="false">Assumptions!$C$53</definedName>
    <definedName function="false" hidden="false" name="Opex_Terminal_Base" vbProcedure="false">Assumptions!$C$50</definedName>
    <definedName function="false" hidden="false" name="Op_Period" vbProcedure="false">Assumptions!$C$10</definedName>
    <definedName function="false" hidden="false" name="Pax_Dom_Pct" vbProcedure="false">Assumptions!$C$18</definedName>
    <definedName function="false" hidden="false" name="Pax_Growth" vbProcedure="false">Assumptions!$C$24</definedName>
    <definedName function="false" hidden="false" name="Pax_Intl_Pct" vbProcedure="false">Assumptions!$C$19</definedName>
    <definedName function="false" hidden="false" name="Pax_Trf_Pct" vbProcedure="false">Assumptions!$C$20</definedName>
    <definedName function="false" hidden="false" name="PLCR_Min_Threshold" vbProcedure="false">Assumptions!$C$92</definedName>
    <definedName function="false" hidden="false" name="Project_IRR" vbProcedure="false">Returns!$C$8</definedName>
    <definedName function="false" hidden="false" name="Ramp_Y1" vbProcedure="false">Assumptions!$C$21</definedName>
    <definedName function="false" hidden="false" name="Ramp_Y2" vbProcedure="false">Assumptions!$C$22</definedName>
    <definedName function="false" hidden="false" name="Ramp_Y3" vbProcedure="false">Assumptions!$C$23</definedName>
    <definedName function="false" hidden="false" name="SU_Balance_Delta" vbProcedure="false">Sources_Uses!$C$19</definedName>
    <definedName function="false" hidden="false" name="Target_DSCR" vbProcedure="false">Assumptions!$C$88</definedName>
    <definedName function="false" hidden="false" name="Target_Equity_IRR" vbProcedure="false">Assumptions!$C$87</definedName>
    <definedName function="false" hidden="false" name="Target_Project_IRR" vbProcedure="false">Assumptions!$C$86</definedName>
    <definedName function="false" hidden="false" name="Tax_Rate" vbProcedure="false">Assumptions!$C$14</definedName>
    <definedName function="false" hidden="false" name="Terminal_Capacity" vbProcedure="false">Assumptions!$C$16</definedName>
    <definedName function="false" hidden="false" name="Total_Period" vbProcedure="false">Assumptions!$C$11</definedName>
    <definedName function="false" hidden="false" name="Var_Per_ATM" vbProcedure="false">Assumptions!$C$56</definedName>
    <definedName function="false" hidden="false" name="Var_Per_Pax" vbProcedure="false">Assumptions!$C$55</definedName>
    <definedName function="false" hidden="false" name="WC_PerRev_Pct" vbProcedure="false">Assumptions!$C$74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<sst xmlns="http://schemas.openxmlformats.org/spreadsheetml/2006/main" count="768" uniqueCount="399">
  <si>
    <t xml:space="preserve">Greenfield International Airport</t>
  </si>
  <si>
    <t xml:space="preserve">FINAMODEL.com</t>
  </si>
  <si>
    <t xml:space="preserve">Project Finance Model</t>
  </si>
  <si>
    <t xml:space="preserve">34-year horizon | 4y construction | 30y operations | 25y senior debt | 40y concession</t>
  </si>
  <si>
    <t xml:space="preserve">Model Identity</t>
  </si>
  <si>
    <t xml:space="preserve">Version</t>
  </si>
  <si>
    <t xml:space="preserve">v1</t>
  </si>
  <si>
    <t xml:space="preserve">Build Date</t>
  </si>
  <si>
    <t xml:space="preserve">2026-05-15</t>
  </si>
  <si>
    <t xml:space="preserve">Model Type</t>
  </si>
  <si>
    <t xml:space="preserve">Project Finance</t>
  </si>
  <si>
    <t xml:space="preserve">Currency</t>
  </si>
  <si>
    <t xml:space="preserve">USD</t>
  </si>
  <si>
    <t xml:space="preserve">Period</t>
  </si>
  <si>
    <t xml:space="preserve">Annual (Y1-Y34)</t>
  </si>
  <si>
    <t xml:space="preserve">About this model</t>
  </si>
  <si>
    <t xml:space="preserve">An airport project finance model forecasts aero and non-aero revenue (landing fees, retail, F&amp;B, parking, lounges) driven by passenger volume growth, with realistic capex spending across construction and operating phases, to determine whether the airport can service non-recourse senior debt at a target minimum DSCR of 1.30x and deliver target equity IRR (typically 11â14%) over a 40-year concession period. The model answers the central project finance question: does the cash flow generation support the debt tenor, and what is the equity return profile?
Revenue streams include aeronautical revenue (landing fees, passenger facility charges, parking, allocated per passenger) and commercial revenue (retail, F&amp;B, concession guarantees) which grows faster than aeronautical revenue due to penetration improvement. Costs are modelled as fixed cost categories (staff, utilities, maintenance, security, insurance) escalated by CPI, plus a variable per-passenger overlay and a concession fee to the government (typically 5% of total revenue). The balance sheet is project-finance specific: gross PP&amp;E rolls forward with construction capex, IDC capitalisation in Year 4, and maintenance capex additions, while a DSRA (debt service reserve account) is funded at financial close and released at debt maturity. Debt is structured as a 25-year annuity (constant annual debt service) with a DSRA target equal to 6 months of forward debt service.
Infrastructure investors, lenders, and governments use airport models to assess project viability, stress traffic downside scenarios, confirm that DSCR floors don't breach lender covenants, and compare projected equity returns to the cost of capital (WACC target 10â12%).</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</si>
  <si>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</si>
  <si>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</si>
  <si>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</si>
  <si>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</si>
  <si>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</si>
  <si>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Project finance inputs - all named ranges single-cell only</t>
  </si>
  <si>
    <t xml:space="preserve">Item</t>
  </si>
  <si>
    <t xml:space="preserve">Value</t>
  </si>
  <si>
    <t xml:space="preserve">Unit</t>
  </si>
  <si>
    <t xml:space="preserve">Notes</t>
  </si>
  <si>
    <t xml:space="preserve">Project Timing</t>
  </si>
  <si>
    <t xml:space="preserve">Construction period</t>
  </si>
  <si>
    <t xml:space="preserve">yrs</t>
  </si>
  <si>
    <t xml:space="preserve">Years of construction</t>
  </si>
  <si>
    <t xml:space="preserve">Operating period</t>
  </si>
  <si>
    <t xml:space="preserve">Years modelled in ops</t>
  </si>
  <si>
    <t xml:space="preserve">Total modelled period</t>
  </si>
  <si>
    <t xml:space="preserve">C+O</t>
  </si>
  <si>
    <t xml:space="preserve">Concession life</t>
  </si>
  <si>
    <t xml:space="preserve">Total concession term</t>
  </si>
  <si>
    <t xml:space="preserve">CPI / inflation</t>
  </si>
  <si>
    <t xml:space="preserve">%</t>
  </si>
  <si>
    <t xml:space="preserve">Opex escalator base</t>
  </si>
  <si>
    <t xml:space="preserve">Corporate tax rate</t>
  </si>
  <si>
    <t xml:space="preserve">Traffic Drivers</t>
  </si>
  <si>
    <t xml:space="preserve">Terminal capacity (pax)</t>
  </si>
  <si>
    <t xml:space="preserve">pax</t>
  </si>
  <si>
    <t xml:space="preserve">Annual design capacity</t>
  </si>
  <si>
    <t xml:space="preserve">Base passengers</t>
  </si>
  <si>
    <t xml:space="preserve">Demand at 100% ramp</t>
  </si>
  <si>
    <t xml:space="preserve">Domestic pax %</t>
  </si>
  <si>
    <t xml:space="preserve">Share of total pax</t>
  </si>
  <si>
    <t xml:space="preserve">International pax %</t>
  </si>
  <si>
    <t xml:space="preserve">Transfer pax %</t>
  </si>
  <si>
    <t xml:space="preserve">Ramp factor Y5</t>
  </si>
  <si>
    <t xml:space="preserve">Y5 demand vs base</t>
  </si>
  <si>
    <t xml:space="preserve">Ramp factor Y6</t>
  </si>
  <si>
    <t xml:space="preserve">Y6 demand vs base</t>
  </si>
  <si>
    <t xml:space="preserve">Ramp factor Y7</t>
  </si>
  <si>
    <t xml:space="preserve">Y7 demand vs base</t>
  </si>
  <si>
    <t xml:space="preserve">Pax growth (Y8+)</t>
  </si>
  <si>
    <t xml:space="preserve">Long-term growth</t>
  </si>
  <si>
    <t xml:space="preserve">Avg seats per ATM</t>
  </si>
  <si>
    <t xml:space="preserve">seats</t>
  </si>
  <si>
    <t xml:space="preserve">Aircraft mix average</t>
  </si>
  <si>
    <t xml:space="preserve">Load factor</t>
  </si>
  <si>
    <t xml:space="preserve">Pax per available seat</t>
  </si>
  <si>
    <t xml:space="preserve">Cargo tonnes per pax (Y5)</t>
  </si>
  <si>
    <t xml:space="preserve">tonnes</t>
  </si>
  <si>
    <t xml:space="preserve">Y5 base ratio</t>
  </si>
  <si>
    <t xml:space="preserve">Cargo growth</t>
  </si>
  <si>
    <t xml:space="preserve">Annual tonnage growth</t>
  </si>
  <si>
    <t xml:space="preserve">Aircraft mix - LCC</t>
  </si>
  <si>
    <t xml:space="preserve">Low-cost carrier share</t>
  </si>
  <si>
    <t xml:space="preserve">Aircraft mix - FSC</t>
  </si>
  <si>
    <t xml:space="preserve">Full-service carrier share</t>
  </si>
  <si>
    <t xml:space="preserve">Aircraft mix - Cargo</t>
  </si>
  <si>
    <t xml:space="preserve">Cargo carrier share</t>
  </si>
  <si>
    <t xml:space="preserve">Revenue Drivers - Aero</t>
  </si>
  <si>
    <t xml:space="preserve">Landing fee per ATM ($)</t>
  </si>
  <si>
    <t xml:space="preserve">$</t>
  </si>
  <si>
    <t xml:space="preserve">Y5 base</t>
  </si>
  <si>
    <t xml:space="preserve">Pax fee per Dom pax ($)</t>
  </si>
  <si>
    <t xml:space="preserve">Pax fee per Intl pax ($)</t>
  </si>
  <si>
    <t xml:space="preserve">Y5 base, ~1.8x Dom</t>
  </si>
  <si>
    <t xml:space="preserve">Pax fee per Transfer pax ($)</t>
  </si>
  <si>
    <t xml:space="preserve">Y5 base, reduced</t>
  </si>
  <si>
    <t xml:space="preserve">Parking fee per ATM ($)</t>
  </si>
  <si>
    <t xml:space="preserve">Cargo handling per tonne ($)</t>
  </si>
  <si>
    <t xml:space="preserve">Aero escalation</t>
  </si>
  <si>
    <t xml:space="preserve">CPI - 0.5%</t>
  </si>
  <si>
    <t xml:space="preserve">Revenue Drivers - Non-Aero (per pax)</t>
  </si>
  <si>
    <t xml:space="preserve">Retail concessions ($/pax)</t>
  </si>
  <si>
    <t xml:space="preserve">F&amp;B concessions ($/pax)</t>
  </si>
  <si>
    <t xml:space="preserve">Duty Free ($/pax, Intl only)</t>
  </si>
  <si>
    <t xml:space="preserve">Applied to Intl pax</t>
  </si>
  <si>
    <t xml:space="preserve">Car parking ($/pax)</t>
  </si>
  <si>
    <t xml:space="preserve">Ground transport ($/pax)</t>
  </si>
  <si>
    <t xml:space="preserve">Real estate / advertising ($/pax)</t>
  </si>
  <si>
    <t xml:space="preserve">Non-aero escalation</t>
  </si>
  <si>
    <t xml:space="preserve">CPI + 0.5%</t>
  </si>
  <si>
    <t xml:space="preserve">Opex Drivers</t>
  </si>
  <si>
    <t xml:space="preserve">Airfield ops (Y5 base $)</t>
  </si>
  <si>
    <t xml:space="preserve">Terminal ops (Y5 base $)</t>
  </si>
  <si>
    <t xml:space="preserve">ARFF + Security (Y5 base $)</t>
  </si>
  <si>
    <t xml:space="preserve">Ground handling (Y5 base $)</t>
  </si>
  <si>
    <t xml:space="preserve">Paid to handlers</t>
  </si>
  <si>
    <t xml:space="preserve">Property tax / Land lease (Y5 $)</t>
  </si>
  <si>
    <t xml:space="preserve">To granting authority</t>
  </si>
  <si>
    <t xml:space="preserve">Insurance + Admin (Y5 base $)</t>
  </si>
  <si>
    <t xml:space="preserve">Variable opex per pax ($)</t>
  </si>
  <si>
    <t xml:space="preserve">Pax-scaled costs</t>
  </si>
  <si>
    <t xml:space="preserve">Variable opex per ATM ($)</t>
  </si>
  <si>
    <t xml:space="preserve">ATM-scaled costs</t>
  </si>
  <si>
    <t xml:space="preserve">Airline route incentives (% aero)</t>
  </si>
  <si>
    <t xml:space="preserve">Concession share to airlines</t>
  </si>
  <si>
    <t xml:space="preserve">Concession fee (% revenue)</t>
  </si>
  <si>
    <t xml:space="preserve">Authority concession fee</t>
  </si>
  <si>
    <t xml:space="preserve">CapEx Component Breakdown</t>
  </si>
  <si>
    <t xml:space="preserve">Total construction capex ($)</t>
  </si>
  <si>
    <t xml:space="preserve">Excludes IDC</t>
  </si>
  <si>
    <t xml:space="preserve">Terminal building %</t>
  </si>
  <si>
    <t xml:space="preserve">Runway / Taxiway / Apron %</t>
  </si>
  <si>
    <t xml:space="preserve">Baggage handling %</t>
  </si>
  <si>
    <t xml:space="preserve">Ground transport / parking %</t>
  </si>
  <si>
    <t xml:space="preserve">Utilities + ATC %</t>
  </si>
  <si>
    <t xml:space="preserve">Fit-out / FF&amp;E %</t>
  </si>
  <si>
    <t xml:space="preserve">Capex Y1 phasing</t>
  </si>
  <si>
    <t xml:space="preserve">Capex Y2 phasing</t>
  </si>
  <si>
    <t xml:space="preserve">Capex Y3 phasing</t>
  </si>
  <si>
    <t xml:space="preserve">Capex Y4 phasing</t>
  </si>
  <si>
    <t xml:space="preserve">Depreciation life</t>
  </si>
  <si>
    <t xml:space="preserve">Straight-line</t>
  </si>
  <si>
    <t xml:space="preserve">Maint capex % opening PPE</t>
  </si>
  <si>
    <t xml:space="preserve">Annual maintenance</t>
  </si>
  <si>
    <t xml:space="preserve">Working Capital &amp; Reserves</t>
  </si>
  <si>
    <t xml:space="preserve">Working capital (% revenue)</t>
  </si>
  <si>
    <t xml:space="preserve">Net AR-AP-prepaid as % rev</t>
  </si>
  <si>
    <t xml:space="preserve">Handback reserve target (% cum maint)</t>
  </si>
  <si>
    <t xml:space="preserve">5% of cum maint capex</t>
  </si>
  <si>
    <t xml:space="preserve">Handback fund years before end</t>
  </si>
  <si>
    <t xml:space="preserve">Build over last N years</t>
  </si>
  <si>
    <t xml:space="preserve">Capital Structure &amp; Debt</t>
  </si>
  <si>
    <t xml:space="preserve">Gearing (D/(D+E))</t>
  </si>
  <si>
    <t xml:space="preserve">Debt share of TPC</t>
  </si>
  <si>
    <t xml:space="preserve">Base rate</t>
  </si>
  <si>
    <t xml:space="preserve">Risk-free reference</t>
  </si>
  <si>
    <t xml:space="preserve">Debt margin</t>
  </si>
  <si>
    <t xml:space="preserve">PF lender margin</t>
  </si>
  <si>
    <t xml:space="preserve">All-in rate</t>
  </si>
  <si>
    <t xml:space="preserve">Debt tenor</t>
  </si>
  <si>
    <t xml:space="preserve">From Y5</t>
  </si>
  <si>
    <t xml:space="preserve">DSRA target months</t>
  </si>
  <si>
    <t xml:space="preserve">mths</t>
  </si>
  <si>
    <t xml:space="preserve">Of next year DS</t>
  </si>
  <si>
    <t xml:space="preserve">Returns &amp; Hurdles</t>
  </si>
  <si>
    <t xml:space="preserve">Project discount rate</t>
  </si>
  <si>
    <t xml:space="preserve">NPV rate</t>
  </si>
  <si>
    <t xml:space="preserve">Target project IRR</t>
  </si>
  <si>
    <t xml:space="preserve">Project IRR hurdle (Checks)</t>
  </si>
  <si>
    <t xml:space="preserve">Target equity IRR</t>
  </si>
  <si>
    <t xml:space="preserve">Sponsor hurdle</t>
  </si>
  <si>
    <t xml:space="preserve">Target DSCR</t>
  </si>
  <si>
    <t xml:space="preserve">x</t>
  </si>
  <si>
    <t xml:space="preserve">Lender min target</t>
  </si>
  <si>
    <t xml:space="preserve">DSCR min threshold</t>
  </si>
  <si>
    <t xml:space="preserve">Hard floor (Checks)</t>
  </si>
  <si>
    <t xml:space="preserve">DSCR avg threshold</t>
  </si>
  <si>
    <t xml:space="preserve">Avg floor (Checks)</t>
  </si>
  <si>
    <t xml:space="preserve">LLCR min threshold</t>
  </si>
  <si>
    <t xml:space="preserve">Loan-life cover floor</t>
  </si>
  <si>
    <t xml:space="preserve">PLCR min threshold</t>
  </si>
  <si>
    <t xml:space="preserve">Project-life cover floor</t>
  </si>
  <si>
    <t xml:space="preserve">EBITDA margin min</t>
  </si>
  <si>
    <t xml:space="preserve">Mature margin floor</t>
  </si>
  <si>
    <t xml:space="preserve">EBITDA margin max</t>
  </si>
  <si>
    <t xml:space="preserve">Mature margin ceiling</t>
  </si>
  <si>
    <t xml:space="preserve">Traffic</t>
  </si>
  <si>
    <t xml:space="preserve">Year</t>
  </si>
  <si>
    <t xml:space="preserve">Phase</t>
  </si>
  <si>
    <t xml:space="preserve">Construction</t>
  </si>
  <si>
    <t xml:space="preserve">Operating</t>
  </si>
  <si>
    <t xml:space="preserve">Passenger Volume Build</t>
  </si>
  <si>
    <t xml:space="preserve">Base demand (pax)</t>
  </si>
  <si>
    <t xml:space="preserve">Ramp factor</t>
  </si>
  <si>
    <t xml:space="preserve">Pax (uncapped)</t>
  </si>
  <si>
    <t xml:space="preserve">Terminal capacity</t>
  </si>
  <si>
    <t xml:space="preserve">Total passengers</t>
  </si>
  <si>
    <t xml:space="preserve">Utilisation</t>
  </si>
  <si>
    <t xml:space="preserve">Pax Segmentation</t>
  </si>
  <si>
    <t xml:space="preserve">Domestic pax</t>
  </si>
  <si>
    <t xml:space="preserve">International pax</t>
  </si>
  <si>
    <t xml:space="preserve">Transfer pax</t>
  </si>
  <si>
    <t xml:space="preserve">Segmentation check (=total)</t>
  </si>
  <si>
    <t xml:space="preserve">ATMs &amp; Cargo</t>
  </si>
  <si>
    <t xml:space="preserve">ATMs (Air Traffic Movements)</t>
  </si>
  <si>
    <t xml:space="preserve">Load factor (input)</t>
  </si>
  <si>
    <t xml:space="preserve">Cargo tonnes per pax</t>
  </si>
  <si>
    <t xml:space="preserve">Cargo tonnes</t>
  </si>
  <si>
    <t xml:space="preserve">Aircraft Mix (informational)</t>
  </si>
  <si>
    <t xml:space="preserve">LCC share</t>
  </si>
  <si>
    <t xml:space="preserve">FSC share</t>
  </si>
  <si>
    <t xml:space="preserve">Cargo share</t>
  </si>
  <si>
    <t xml:space="preserve">Revenue</t>
  </si>
  <si>
    <t xml:space="preserve">Yield Escalators</t>
  </si>
  <si>
    <t xml:space="preserve">Aero escalation index</t>
  </si>
  <si>
    <t xml:space="preserve">Non-aero escalation index</t>
  </si>
  <si>
    <t xml:space="preserve">Aeronautical Revenue</t>
  </si>
  <si>
    <t xml:space="preserve">Landing fees</t>
  </si>
  <si>
    <t xml:space="preserve">Pax fees - Domestic</t>
  </si>
  <si>
    <t xml:space="preserve">Pax fees - International</t>
  </si>
  <si>
    <t xml:space="preserve">Pax fees - Transfer</t>
  </si>
  <si>
    <t xml:space="preserve">Parking fees</t>
  </si>
  <si>
    <t xml:space="preserve">Cargo handling</t>
  </si>
  <si>
    <t xml:space="preserve">Total aeronautical revenue</t>
  </si>
  <si>
    <t xml:space="preserve">Non-Aeronautical Revenue</t>
  </si>
  <si>
    <t xml:space="preserve">Retail concessions</t>
  </si>
  <si>
    <t xml:space="preserve">F&amp;B concessions</t>
  </si>
  <si>
    <t xml:space="preserve">Duty Free (Intl pax)</t>
  </si>
  <si>
    <t xml:space="preserve">Car parking</t>
  </si>
  <si>
    <t xml:space="preserve">Ground transport</t>
  </si>
  <si>
    <t xml:space="preserve">Real estate / advertising</t>
  </si>
  <si>
    <t xml:space="preserve">Total non-aeronautical revenue</t>
  </si>
  <si>
    <t xml:space="preserve">Total Revenue</t>
  </si>
  <si>
    <t xml:space="preserve">Total revenue</t>
  </si>
  <si>
    <t xml:space="preserve">Opex &amp; EBITDA</t>
  </si>
  <si>
    <t xml:space="preserve">Fixed Opex (CPI-escalated)</t>
  </si>
  <si>
    <t xml:space="preserve">Airfield operations</t>
  </si>
  <si>
    <t xml:space="preserve">Terminal operations</t>
  </si>
  <si>
    <t xml:space="preserve">ARFF + Security</t>
  </si>
  <si>
    <t xml:space="preserve">Ground handling fees</t>
  </si>
  <si>
    <t xml:space="preserve">Property tax / Land lease</t>
  </si>
  <si>
    <t xml:space="preserve">Insurance + Admin</t>
  </si>
  <si>
    <t xml:space="preserve">Fixed opex subtotal</t>
  </si>
  <si>
    <t xml:space="preserve">Variable Opex (pax &amp; ATM-scaled)</t>
  </si>
  <si>
    <t xml:space="preserve">Variable opex per pax (rate)</t>
  </si>
  <si>
    <t xml:space="preserve">Variable opex (pax-scaled)</t>
  </si>
  <si>
    <t xml:space="preserve">Variable opex per ATM (rate)</t>
  </si>
  <si>
    <t xml:space="preserve">Variable opex (ATM-scaled)</t>
  </si>
  <si>
    <t xml:space="preserve">Variable opex subtotal</t>
  </si>
  <si>
    <t xml:space="preserve">Concessions &amp; Authority Charges</t>
  </si>
  <si>
    <t xml:space="preserve">Concession fee to authority</t>
  </si>
  <si>
    <t xml:space="preserve">Total opex</t>
  </si>
  <si>
    <t xml:space="preserve">EBITDA Bridge</t>
  </si>
  <si>
    <t xml:space="preserve">(less) Total opex</t>
  </si>
  <si>
    <t xml:space="preserve">EBITDA</t>
  </si>
  <si>
    <t xml:space="preserve">EBITDA margin</t>
  </si>
  <si>
    <t xml:space="preserve">Capex &amp; Depreciation</t>
  </si>
  <si>
    <t xml:space="preserve">Construction CapEx by Sub-Asset (Component Input Table)</t>
  </si>
  <si>
    <t xml:space="preserve">Component</t>
  </si>
  <si>
    <t xml:space="preserve">% of total</t>
  </si>
  <si>
    <t xml:space="preserve">Amount ($)</t>
  </si>
  <si>
    <t xml:space="preserve">  Terminal building</t>
  </si>
  <si>
    <t xml:space="preserve">  Runway / Taxiway / Apron</t>
  </si>
  <si>
    <t xml:space="preserve">  Baggage handling</t>
  </si>
  <si>
    <t xml:space="preserve">  Ground transport / parking</t>
  </si>
  <si>
    <t xml:space="preserve">  Utilities + ATC</t>
  </si>
  <si>
    <t xml:space="preserve">  Fit-out / FF&amp;E</t>
  </si>
  <si>
    <t xml:space="preserve">  Total</t>
  </si>
  <si>
    <t xml:space="preserve">Construction Spend by Year (pooled)</t>
  </si>
  <si>
    <t xml:space="preserve">Construction capex</t>
  </si>
  <si>
    <t xml:space="preserve">Cumulative construction</t>
  </si>
  <si>
    <t xml:space="preserve">Avg debt drawn (yr)</t>
  </si>
  <si>
    <t xml:space="preserve">IDC (year)</t>
  </si>
  <si>
    <t xml:space="preserve">Cumulative IDC</t>
  </si>
  <si>
    <t xml:space="preserve">Total project cost</t>
  </si>
  <si>
    <t xml:space="preserve">Maintenance CapEx &amp; PPE Rollforward</t>
  </si>
  <si>
    <t xml:space="preserve">Maintenance capex</t>
  </si>
  <si>
    <t xml:space="preserve">Cumulative maintenance capex</t>
  </si>
  <si>
    <t xml:space="preserve">Gross PPE opening</t>
  </si>
  <si>
    <t xml:space="preserve">Gross PPE closing</t>
  </si>
  <si>
    <t xml:space="preserve">Period depreciation</t>
  </si>
  <si>
    <t xml:space="preserve">Cum depreciation opening</t>
  </si>
  <si>
    <t xml:space="preserve">Cum depreciation closing</t>
  </si>
  <si>
    <t xml:space="preserve">Net PPE</t>
  </si>
  <si>
    <t xml:space="preserve">Debt Schedule</t>
  </si>
  <si>
    <t xml:space="preserve">Drawdown &amp; Equity Injection</t>
  </si>
  <si>
    <t xml:space="preserve">Total project cost (Y4 closing)</t>
  </si>
  <si>
    <t xml:space="preserve">Equity injection</t>
  </si>
  <si>
    <t xml:space="preserve">Debt drawdown</t>
  </si>
  <si>
    <t xml:space="preserve">Senior Debt Balance</t>
  </si>
  <si>
    <t xml:space="preserve">Debt opening</t>
  </si>
  <si>
    <t xml:space="preserve">Debt closing</t>
  </si>
  <si>
    <t xml:space="preserve">Initial debt (Y4 closing)</t>
  </si>
  <si>
    <t xml:space="preserve">Debt Service (Annuity)</t>
  </si>
  <si>
    <t xml:space="preserve">Annual debt service</t>
  </si>
  <si>
    <t xml:space="preserve">Interest expense</t>
  </si>
  <si>
    <t xml:space="preserve">Principal repayment</t>
  </si>
  <si>
    <t xml:space="preserve">DSCR</t>
  </si>
  <si>
    <t xml:space="preserve">DSRA (Debt Service Reserve Account)</t>
  </si>
  <si>
    <t xml:space="preserve">DSRA target</t>
  </si>
  <si>
    <t xml:space="preserve">DSRA opening</t>
  </si>
  <si>
    <t xml:space="preserve">DSRA closing</t>
  </si>
  <si>
    <t xml:space="preserve">DSRA funding (delta)</t>
  </si>
  <si>
    <t xml:space="preserve">Tax</t>
  </si>
  <si>
    <t xml:space="preserve">Pre-Tax Income (Levered - with Interest Deduction)</t>
  </si>
  <si>
    <t xml:space="preserve">(less) Depreciation</t>
  </si>
  <si>
    <t xml:space="preserve">(less) Interest expense</t>
  </si>
  <si>
    <t xml:space="preserve">EBT (levered)</t>
  </si>
  <si>
    <t xml:space="preserve">NOL Carry-Forward &amp; Tax Payable (Levered)</t>
  </si>
  <si>
    <t xml:space="preserve">NOL opening</t>
  </si>
  <si>
    <t xml:space="preserve">NOL closing</t>
  </si>
  <si>
    <t xml:space="preserve">Taxable income (levered)</t>
  </si>
  <si>
    <t xml:space="preserve">Tax payable (levered)</t>
  </si>
  <si>
    <t xml:space="preserve">Unlevered Tax (No Interest Deduction) - For Project IRR</t>
  </si>
  <si>
    <t xml:space="preserve">EBT (unlevered)</t>
  </si>
  <si>
    <t xml:space="preserve">Unlevered NOL opening</t>
  </si>
  <si>
    <t xml:space="preserve">Unlevered NOL closing</t>
  </si>
  <si>
    <t xml:space="preserve">Taxable income (unlevered)</t>
  </si>
  <si>
    <t xml:space="preserve">Tax payable (unlevered)</t>
  </si>
  <si>
    <t xml:space="preserve">Cash Flow Waterfall</t>
  </si>
  <si>
    <t xml:space="preserve">Operating Cash Flow (CFADS)</t>
  </si>
  <si>
    <t xml:space="preserve">(less) Maintenance capex</t>
  </si>
  <si>
    <t xml:space="preserve">(less) Tax paid (levered)</t>
  </si>
  <si>
    <t xml:space="preserve">(less) Working capital movement</t>
  </si>
  <si>
    <t xml:space="preserve">CFADS</t>
  </si>
  <si>
    <t xml:space="preserve">Debt Service Waterfall</t>
  </si>
  <si>
    <t xml:space="preserve">(less) Debt service</t>
  </si>
  <si>
    <t xml:space="preserve">(less) DSRA funding (delta)</t>
  </si>
  <si>
    <t xml:space="preserve">Handback Reserve</t>
  </si>
  <si>
    <t xml:space="preserve">(less) Handback reserve contribution</t>
  </si>
  <si>
    <t xml:space="preserve">Handback reserve balance</t>
  </si>
  <si>
    <t xml:space="preserve">Equity Distributable</t>
  </si>
  <si>
    <t xml:space="preserve">Distributable to equity</t>
  </si>
  <si>
    <t xml:space="preserve">Construction Funding (Reference)</t>
  </si>
  <si>
    <t xml:space="preserve">Construction equity injection</t>
  </si>
  <si>
    <t xml:space="preserve">Construction debt drawdown</t>
  </si>
  <si>
    <t xml:space="preserve">Construction capex outflow</t>
  </si>
  <si>
    <t xml:space="preserve">IRR Streams</t>
  </si>
  <si>
    <t xml:space="preserve">Equity IRR stream</t>
  </si>
  <si>
    <t xml:space="preserve">Project IRR stream (unlevered)</t>
  </si>
  <si>
    <t xml:space="preserve">Sources &amp; Uses</t>
  </si>
  <si>
    <t xml:space="preserve">Day-0 financial close view (end of construction)</t>
  </si>
  <si>
    <t xml:space="preserve">Uses of Funds</t>
  </si>
  <si>
    <t xml:space="preserve">Construction CapEx (Y1-Y4)</t>
  </si>
  <si>
    <t xml:space="preserve">Interest During Construction (IDC)</t>
  </si>
  <si>
    <t xml:space="preserve">DSRA Initial Funding</t>
  </si>
  <si>
    <t xml:space="preserve">Total Uses</t>
  </si>
  <si>
    <t xml:space="preserve">Sources of Funds</t>
  </si>
  <si>
    <t xml:space="preserve">Senior Debt (drawn through Y4)</t>
  </si>
  <si>
    <t xml:space="preserve">Sponsor Equity (injected Y1-Y4)</t>
  </si>
  <si>
    <t xml:space="preserve">Total Sources</t>
  </si>
  <si>
    <t xml:space="preserve">Balance Check</t>
  </si>
  <si>
    <t xml:space="preserve">Uses - Sources</t>
  </si>
  <si>
    <t xml:space="preserve">Balance check (|delta| &lt; 1)</t>
  </si>
  <si>
    <t xml:space="preserve">Returns</t>
  </si>
  <si>
    <t xml:space="preserve">Summary Returns Metrics</t>
  </si>
  <si>
    <t xml:space="preserve">Project IRR</t>
  </si>
  <si>
    <t xml:space="preserve">Project NPV @ disc</t>
  </si>
  <si>
    <t xml:space="preserve">Equity IRR</t>
  </si>
  <si>
    <t xml:space="preserve">Equity NPV @ disc</t>
  </si>
  <si>
    <t xml:space="preserve">Min DSCR</t>
  </si>
  <si>
    <t xml:space="preserve">Avg DSCR</t>
  </si>
  <si>
    <t xml:space="preserve">Total equity invested</t>
  </si>
  <si>
    <t xml:space="preserve">Total distributions</t>
  </si>
  <si>
    <t xml:space="preserve">Equity multiple</t>
  </si>
  <si>
    <t xml:space="preserve">Initial debt</t>
  </si>
  <si>
    <t xml:space="preserve">Final debt (Y29)</t>
  </si>
  <si>
    <t xml:space="preserve">Loan Life Cover Ratio (LLCR) by Year</t>
  </si>
  <si>
    <t xml:space="preserve">LLCR</t>
  </si>
  <si>
    <t xml:space="preserve">Project Life Cover Ratio (PLCR) by Year</t>
  </si>
  <si>
    <t xml:space="preserve">PLCR</t>
  </si>
  <si>
    <t xml:space="preserve">LLCR / PLCR Summary</t>
  </si>
  <si>
    <t xml:space="preserve">Min LLCR</t>
  </si>
  <si>
    <t xml:space="preserve">Min PLCR</t>
  </si>
  <si>
    <t xml:space="preserve">Validation Checks</t>
  </si>
  <si>
    <t xml:space="preserve">Model integrity tests</t>
  </si>
  <si>
    <t xml:space="preserve">Integrity Gates</t>
  </si>
  <si>
    <t xml:space="preserve">Min DSCR &gt;= threshold</t>
  </si>
  <si>
    <t xml:space="preserve">Avg DSCR &gt;= threshold</t>
  </si>
  <si>
    <t xml:space="preserve">Min DSCR &gt;= Target DSCR</t>
  </si>
  <si>
    <t xml:space="preserve">Min LLCR &gt;= threshold</t>
  </si>
  <si>
    <t xml:space="preserve">Min PLCR &gt;= threshold</t>
  </si>
  <si>
    <t xml:space="preserve">Debt fully repaid by Y29</t>
  </si>
  <si>
    <t xml:space="preserve">Tail period &gt; 0</t>
  </si>
  <si>
    <t xml:space="preserve">Concession life &gt;= tenor + 5</t>
  </si>
  <si>
    <t xml:space="preserve">Y14 EBITDA margin in band</t>
  </si>
  <si>
    <t xml:space="preserve">Project IRR &gt; Target_Project_IRR</t>
  </si>
  <si>
    <t xml:space="preserve">Equity IRR &gt; target</t>
  </si>
  <si>
    <t xml:space="preserve">Pax &lt;= capacity always</t>
  </si>
  <si>
    <t xml:space="preserve">Cum depr &lt;= Gross PPE (Y34)</t>
  </si>
  <si>
    <t xml:space="preserve">DSRA fully released by Y34</t>
  </si>
  <si>
    <t xml:space="preserve">Sources = Uses (S&amp;U sheet)</t>
  </si>
  <si>
    <t xml:space="preserve">Project IRR is numeric</t>
  </si>
  <si>
    <t xml:space="preserve">Min DSCR is numeric</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</si>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</sst>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5">
    <numFmt numFmtId="164" formatCode="General"/>
    <numFmt numFmtId="165" formatCode="#,##0.00"/>
    <numFmt numFmtId="166" formatCode="0.00%"/>
    <numFmt numFmtId="167" formatCode="0.00\x"/>
    <numFmt numFmtId="168" formatCode="@"/>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i val="true"/>
      <sz val="9"/>
      <color rgb="FF808080"/>
      <name val="Arial"/>
      <family val="0"/>
      <charset val="1"/>
    </font>
    <font>
      <b val="true"/>
      <sz val="11"/>
      <color theme="0"/>
      <name val="Arial"/>
      <family val="0"/>
      <charset val="1"/>
    </font>
    <font>
      <b val="true"/>
      <sz val="10"/>
      <name val="Arial"/>
      <family val="0"/>
      <charset val="1"/>
    </font>
    <font>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theme="0"/>
      <name val="Arial"/>
      <family val="0"/>
      <charset val="1"/>
    </font>
    <font>
      <sz val="10"/>
      <color theme="3"/>
      <name val="Arial"/>
      <family val="0"/>
      <charset val="1"/>
    </font>
    <font>
      <sz val="10"/>
      <color rgb="FF000000"/>
      <name val="Arial"/>
      <family val="0"/>
      <charset val="1"/>
    </font>
    <font>
      <b val="true"/>
      <sz val="10"/>
      <color rgb="FF00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D9D9D9"/>
      </patternFill>
    </fill>
    <fill>
      <patternFill patternType="solid">
        <fgColor rgb="FFFFF2CC"/>
        <bgColor rgb="FFF2F2F2"/>
      </patternFill>
    </fill>
    <fill>
      <patternFill patternType="solid">
        <fgColor rgb="FFF2F2F2"/>
        <bgColor rgb="FFFFFFFF"/>
      </patternFill>
    </fill>
    <fill>
      <patternFill patternType="solid">
        <fgColor rgb="FFD9D9D9"/>
        <bgColor rgb="FFD6E4F0"/>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true" applyProtection="false">
      <alignment horizontal="left" vertical="center" textRotation="0" wrapText="false" indent="0" shrinkToFit="false"/>
      <protection locked="true" hidden="false"/>
    </xf>
    <xf numFmtId="164" fontId="15" fillId="3"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9" fillId="2" borderId="0" xfId="0" applyFont="true" applyBorder="false" applyAlignment="true" applyProtection="false">
      <alignment horizontal="center" vertical="center" textRotation="0" wrapText="false" indent="0" shrinkToFit="false"/>
      <protection locked="true" hidden="false"/>
    </xf>
    <xf numFmtId="165" fontId="20" fillId="4"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5" fontId="21" fillId="0" borderId="0" xfId="0" applyFont="true" applyBorder="false" applyAlignment="true" applyProtection="false">
      <alignment horizontal="right" vertical="center" textRotation="0" wrapText="false" indent="0" shrinkToFit="false"/>
      <protection locked="true" hidden="false"/>
    </xf>
    <xf numFmtId="166" fontId="20" fillId="4" borderId="0" xfId="0" applyFont="true" applyBorder="fals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7" fontId="20" fillId="4" borderId="0" xfId="0" applyFont="true" applyBorder="false" applyAlignment="true" applyProtection="false">
      <alignment horizontal="right" vertical="center"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5" fontId="19" fillId="2" borderId="0" xfId="0" applyFont="true" applyBorder="false" applyAlignment="true" applyProtection="false">
      <alignment horizontal="center" vertical="center" textRotation="0" wrapText="false" indent="0" shrinkToFit="false"/>
      <protection locked="true" hidden="false"/>
    </xf>
    <xf numFmtId="168" fontId="10" fillId="5" borderId="0" xfId="0" applyFont="true" applyBorder="fals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false" indent="0" shrinkToFit="false"/>
      <protection locked="true" hidden="false"/>
    </xf>
    <xf numFmtId="165" fontId="22" fillId="0" borderId="1" xfId="0" applyFont="true" applyBorder="true" applyAlignment="true" applyProtection="false">
      <alignment horizontal="right"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false" indent="0" shrinkToFit="false"/>
      <protection locked="true" hidden="false"/>
    </xf>
    <xf numFmtId="165" fontId="21" fillId="0" borderId="1" xfId="0" applyFont="true" applyBorder="true" applyAlignment="true" applyProtection="false">
      <alignment horizontal="right" vertical="center" textRotation="0" wrapText="false" indent="0" shrinkToFit="false"/>
      <protection locked="true" hidden="false"/>
    </xf>
    <xf numFmtId="164" fontId="12" fillId="0" borderId="2" xfId="0" applyFont="true" applyBorder="true" applyAlignment="true" applyProtection="false">
      <alignment horizontal="left" vertical="center" textRotation="0" wrapText="false" indent="0" shrinkToFit="false"/>
      <protection locked="true" hidden="false"/>
    </xf>
    <xf numFmtId="165" fontId="22" fillId="0" borderId="2" xfId="0" applyFont="true" applyBorder="true" applyAlignment="true" applyProtection="false">
      <alignment horizontal="right" vertical="center" textRotation="0" wrapText="false" indent="0" shrinkToFit="false"/>
      <protection locked="true" hidden="false"/>
    </xf>
    <xf numFmtId="164" fontId="22" fillId="6" borderId="0" xfId="0" applyFont="true" applyBorder="false" applyAlignment="false" applyProtection="false">
      <alignment horizontal="general" vertical="bottom" textRotation="0" wrapText="false" indent="0" shrinkToFit="false"/>
      <protection locked="true" hidden="false"/>
    </xf>
    <xf numFmtId="164" fontId="22" fillId="6"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6" fontId="22" fillId="0" borderId="2" xfId="0" applyFont="true" applyBorder="true" applyAlignment="true" applyProtection="false">
      <alignment horizontal="right" vertical="center" textRotation="0" wrapText="false" indent="0" shrinkToFit="false"/>
      <protection locked="true" hidden="false"/>
    </xf>
    <xf numFmtId="167" fontId="21" fillId="0" borderId="0" xfId="0" applyFont="true" applyBorder="false" applyAlignment="true" applyProtection="false">
      <alignment horizontal="right" vertical="center" textRotation="0" wrapText="false" indent="0" shrinkToFit="false"/>
      <protection locked="true" hidden="false"/>
    </xf>
    <xf numFmtId="165" fontId="22"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7" fontId="22" fillId="0" borderId="0" xfId="0" applyFont="true" applyBorder="false" applyAlignment="true" applyProtection="false">
      <alignment horizontal="right" vertical="center" textRotation="0" wrapText="false" indent="0" shrinkToFit="false"/>
      <protection locked="true" hidden="false"/>
    </xf>
    <xf numFmtId="168" fontId="12" fillId="0" borderId="0" xfId="0" applyFont="true" applyBorder="fals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15" fillId="0" borderId="3" xfId="0" applyFont="true" applyBorder="true" applyAlignment="false" applyProtection="false">
      <alignment horizontal="general" vertical="bottom" textRotation="0" wrapText="false" indent="0" shrinkToFit="false"/>
      <protection locked="true" hidden="false"/>
    </xf>
    <xf numFmtId="164" fontId="24" fillId="7"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4" fontId="27" fillId="5"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6E4F0"/>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28"/>
    <col collapsed="false" customWidth="true" hidden="false" outlineLevel="0" max="3" min="3" style="0" width="6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7" t="s">
        <v>3</v>
      </c>
      <c r="C4" s="6"/>
      <c r="D4" s="6"/>
    </row>
    <row r="5" customFormat="false" ht="15" hidden="false" customHeight="false" outlineLevel="0" collapsed="false">
      <c r="A5" s="6"/>
      <c r="B5" s="6"/>
      <c r="C5" s="6"/>
      <c r="D5" s="6"/>
    </row>
    <row r="6" customFormat="false" ht="15" hidden="false" customHeight="false" outlineLevel="0" collapsed="false">
      <c r="A6" s="6"/>
      <c r="B6" s="8" t="s">
        <v>4</v>
      </c>
      <c r="C6" s="9"/>
      <c r="D6" s="9"/>
    </row>
    <row r="7" customFormat="false" ht="15" hidden="false" customHeight="false" outlineLevel="0" collapsed="false">
      <c r="A7" s="6"/>
      <c r="B7" s="6"/>
      <c r="C7" s="6"/>
      <c r="D7" s="6"/>
    </row>
    <row r="8" customFormat="false" ht="15" hidden="false" customHeight="false" outlineLevel="0" collapsed="false">
      <c r="A8" s="6"/>
      <c r="B8" s="10" t="s">
        <v>5</v>
      </c>
      <c r="C8" s="11" t="s">
        <v>6</v>
      </c>
      <c r="D8" s="6"/>
    </row>
    <row r="9" customFormat="false" ht="15" hidden="false" customHeight="false" outlineLevel="0" collapsed="false">
      <c r="A9" s="6"/>
      <c r="B9" s="10" t="s">
        <v>7</v>
      </c>
      <c r="C9" s="11" t="s">
        <v>8</v>
      </c>
      <c r="D9" s="6"/>
    </row>
    <row r="10" customFormat="false" ht="15" hidden="false" customHeight="false" outlineLevel="0" collapsed="false">
      <c r="A10" s="6"/>
      <c r="B10" s="10" t="s">
        <v>9</v>
      </c>
      <c r="C10" s="11" t="s">
        <v>10</v>
      </c>
      <c r="D10" s="6"/>
    </row>
    <row r="11" customFormat="false" ht="15" hidden="false" customHeight="false" outlineLevel="0" collapsed="false">
      <c r="A11" s="6"/>
      <c r="B11" s="10" t="s">
        <v>11</v>
      </c>
      <c r="C11" s="11" t="s">
        <v>12</v>
      </c>
      <c r="D11" s="6"/>
    </row>
    <row r="12" customFormat="false" ht="15" hidden="false" customHeight="false" outlineLevel="0" collapsed="false">
      <c r="A12" s="6"/>
      <c r="B12" s="10" t="s">
        <v>13</v>
      </c>
      <c r="C12" s="11" t="s">
        <v>14</v>
      </c>
      <c r="D12" s="6"/>
    </row>
    <row r="15" customFormat="false" ht="19.5" hidden="false" customHeight="true" outlineLevel="0" collapsed="false">
      <c r="B15" s="12" t="s">
        <v>15</v>
      </c>
      <c r="C15" s="13"/>
      <c r="D15" s="13"/>
      <c r="E15" s="13"/>
      <c r="F15" s="13"/>
      <c r="G15" s="13"/>
    </row>
    <row r="16" customFormat="false" ht="246" hidden="false" customHeight="true" outlineLevel="0" collapsed="false">
      <c r="B16" s="14" t="s">
        <v>16</v>
      </c>
      <c r="C16" s="14"/>
      <c r="D16" s="14"/>
      <c r="E16" s="14"/>
      <c r="F16" s="14"/>
      <c r="G16" s="14"/>
    </row>
    <row r="18" customFormat="false" ht="19.5" hidden="false" customHeight="true" outlineLevel="0" collapsed="false">
      <c r="B18" s="12" t="s">
        <v>17</v>
      </c>
      <c r="C18" s="13"/>
      <c r="D18" s="13"/>
      <c r="E18" s="13"/>
      <c r="F18" s="13"/>
      <c r="G18" s="13"/>
    </row>
    <row r="19" customFormat="false" ht="57" hidden="false" customHeight="true" outlineLevel="0" collapsed="false">
      <c r="B19" s="14" t="s">
        <v>18</v>
      </c>
      <c r="C19" s="14"/>
      <c r="D19" s="14"/>
      <c r="E19" s="14"/>
      <c r="F19" s="14"/>
      <c r="G19" s="14"/>
    </row>
    <row r="20" customFormat="false" ht="15" hidden="false" customHeight="false" outlineLevel="0" collapsed="false">
      <c r="B20" s="15" t="s">
        <v>19</v>
      </c>
      <c r="C20" s="15"/>
      <c r="D20" s="15"/>
      <c r="E20" s="15"/>
      <c r="F20" s="15"/>
      <c r="G20" s="15"/>
    </row>
    <row r="21" customFormat="false" ht="15" hidden="false" customHeight="false" outlineLevel="0" collapsed="false">
      <c r="B21" s="16" t="s">
        <v>20</v>
      </c>
    </row>
  </sheetData>
  <mergeCells count="3">
    <mergeCell ref="B16:G16"/>
    <mergeCell ref="B19:G19"/>
    <mergeCell ref="B20:G2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3" min="3" style="0" width="22"/>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328</v>
      </c>
      <c r="C2" s="1"/>
      <c r="D2" s="2"/>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329</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6"/>
      <c r="C5" s="6"/>
    </row>
    <row r="6" customFormat="false" ht="15" hidden="false" customHeight="false" outlineLevel="0" collapsed="false">
      <c r="A6" s="6"/>
      <c r="B6" s="8" t="s">
        <v>330</v>
      </c>
      <c r="C6" s="9"/>
    </row>
    <row r="7" customFormat="false" ht="15" hidden="false" customHeight="false" outlineLevel="0" collapsed="false">
      <c r="A7" s="6"/>
      <c r="B7" s="6"/>
      <c r="C7" s="6"/>
    </row>
    <row r="8" customFormat="false" ht="15" hidden="false" customHeight="false" outlineLevel="0" collapsed="false">
      <c r="A8" s="6"/>
      <c r="B8" s="11" t="s">
        <v>331</v>
      </c>
      <c r="C8" s="21" t="n">
        <f aca="false">Capex_Depr!F19</f>
        <v>2800000000</v>
      </c>
    </row>
    <row r="9" customFormat="false" ht="15" hidden="false" customHeight="false" outlineLevel="0" collapsed="false">
      <c r="A9" s="6"/>
      <c r="B9" s="11" t="s">
        <v>332</v>
      </c>
      <c r="C9" s="21" t="n">
        <f aca="false">Capex_Depr!F22</f>
        <v>249375000</v>
      </c>
    </row>
    <row r="10" customFormat="false" ht="15" hidden="false" customHeight="false" outlineLevel="0" collapsed="false">
      <c r="A10" s="6"/>
      <c r="B10" s="11" t="s">
        <v>333</v>
      </c>
      <c r="C10" s="21" t="n">
        <f aca="false">Debt!F27</f>
        <v>94086148.0537381</v>
      </c>
    </row>
    <row r="11" customFormat="false" ht="15" hidden="false" customHeight="false" outlineLevel="0" collapsed="false">
      <c r="A11" s="6"/>
      <c r="B11" s="32" t="s">
        <v>334</v>
      </c>
      <c r="C11" s="33" t="n">
        <f aca="false">SUM(C8:C10)</f>
        <v>3143461148.05374</v>
      </c>
    </row>
    <row r="12" customFormat="false" ht="15" hidden="false" customHeight="false" outlineLevel="0" collapsed="false">
      <c r="A12" s="6"/>
      <c r="B12" s="6"/>
      <c r="C12" s="6"/>
    </row>
    <row r="13" customFormat="false" ht="15" hidden="false" customHeight="false" outlineLevel="0" collapsed="false">
      <c r="A13" s="6"/>
      <c r="B13" s="8" t="s">
        <v>335</v>
      </c>
      <c r="C13" s="9"/>
    </row>
    <row r="14" customFormat="false" ht="15" hidden="false" customHeight="false" outlineLevel="0" collapsed="false">
      <c r="A14" s="6"/>
      <c r="B14" s="11" t="s">
        <v>336</v>
      </c>
      <c r="C14" s="21" t="n">
        <f aca="false">Initial_Debt</f>
        <v>2349375000</v>
      </c>
    </row>
    <row r="15" customFormat="false" ht="15" hidden="false" customHeight="false" outlineLevel="0" collapsed="false">
      <c r="A15" s="6"/>
      <c r="B15" s="11" t="s">
        <v>337</v>
      </c>
      <c r="C15" s="21" t="n">
        <f aca="false">SUM(Debt!C9:F9)</f>
        <v>794086148.053738</v>
      </c>
    </row>
    <row r="16" customFormat="false" ht="15" hidden="false" customHeight="false" outlineLevel="0" collapsed="false">
      <c r="A16" s="6"/>
      <c r="B16" s="32" t="s">
        <v>338</v>
      </c>
      <c r="C16" s="33" t="n">
        <f aca="false">C14+C15</f>
        <v>3143461148.05374</v>
      </c>
    </row>
    <row r="17" customFormat="false" ht="15" hidden="false" customHeight="false" outlineLevel="0" collapsed="false">
      <c r="A17" s="6"/>
      <c r="B17" s="6"/>
      <c r="C17" s="6"/>
    </row>
    <row r="18" customFormat="false" ht="15" hidden="false" customHeight="false" outlineLevel="0" collapsed="false">
      <c r="A18" s="6"/>
      <c r="B18" s="8" t="s">
        <v>339</v>
      </c>
      <c r="C18" s="9"/>
    </row>
    <row r="19" customFormat="false" ht="15" hidden="false" customHeight="false" outlineLevel="0" collapsed="false">
      <c r="A19" s="6"/>
      <c r="B19" s="10" t="s">
        <v>340</v>
      </c>
      <c r="C19" s="40" t="n">
        <f aca="false">C11-C16</f>
        <v>0</v>
      </c>
    </row>
    <row r="20" customFormat="false" ht="15" hidden="false" customHeight="false" outlineLevel="0" collapsed="false">
      <c r="A20" s="6"/>
      <c r="B20" s="10" t="s">
        <v>341</v>
      </c>
      <c r="C20" s="41" t="str">
        <f aca="false">IF(ABS(C19)&lt;1,"PASS","FAIL")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BFBF"/>
    <pageSetUpPr fitToPage="false"/>
  </sheetPr>
  <dimension ref="A1:AJ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342</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343</v>
      </c>
      <c r="C6" s="9"/>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0" t="s">
        <v>344</v>
      </c>
      <c r="C8" s="23" t="n">
        <f aca="false">IFERROR(IRR(Cash_Flow!C32:AJ32,0.05),IRR(Cash_Flow!C32:AJ32,0.001))</f>
        <v>0.102020334474474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row>
    <row r="9" customFormat="false" ht="15" hidden="false" customHeight="false" outlineLevel="0" collapsed="false">
      <c r="A9" s="6"/>
      <c r="B9" s="10" t="s">
        <v>345</v>
      </c>
      <c r="C9" s="21" t="n">
        <f aca="false">Cash_Flow!C32+NPV(Discount_Rate,Cash_Flow!D32:AJ32)</f>
        <v>61400573.0293495</v>
      </c>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customFormat="false" ht="15" hidden="false" customHeight="false" outlineLevel="0" collapsed="false">
      <c r="A10" s="6"/>
      <c r="B10" s="10" t="s">
        <v>346</v>
      </c>
      <c r="C10" s="23" t="n">
        <f aca="false">IFERROR(IRR(Cash_Flow!C31:AJ31,0.05),IRR(Cash_Flow!C31:AJ31,0.001))</f>
        <v>0.154621041371292</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customFormat="false" ht="15" hidden="false" customHeight="false" outlineLevel="0" collapsed="false">
      <c r="A11" s="6"/>
      <c r="B11" s="10" t="s">
        <v>347</v>
      </c>
      <c r="C11" s="21" t="n">
        <f aca="false">Cash_Flow!C31+NPV(Discount_Rate,Cash_Flow!D31:AJ31)</f>
        <v>712210269.136533</v>
      </c>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customFormat="false" ht="15" hidden="false" customHeight="false" outlineLevel="0" collapsed="false">
      <c r="A12" s="6"/>
      <c r="B12" s="10" t="s">
        <v>348</v>
      </c>
      <c r="C12" s="39" t="n">
        <f aca="false">MIN(Debt!G23:AE23)</f>
        <v>1.22135370949469</v>
      </c>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customFormat="false" ht="15" hidden="false" customHeight="false" outlineLevel="0" collapsed="false">
      <c r="A13" s="6"/>
      <c r="B13" s="10" t="s">
        <v>349</v>
      </c>
      <c r="C13" s="39" t="n">
        <f aca="false">AVERAGE(Debt!G23:AE23)</f>
        <v>2.41264110480003</v>
      </c>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customFormat="false" ht="15" hidden="false" customHeight="false" outlineLevel="0" collapsed="false">
      <c r="A14" s="6"/>
      <c r="B14" s="10" t="s">
        <v>350</v>
      </c>
      <c r="C14" s="21" t="n">
        <f aca="false">SUM(Cash_Flow!C26:F26)</f>
        <v>794086148.053738</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customFormat="false" ht="15" hidden="false" customHeight="false" outlineLevel="0" collapsed="false">
      <c r="A15" s="6"/>
      <c r="B15" s="10" t="s">
        <v>351</v>
      </c>
      <c r="C15" s="21" t="n">
        <f aca="false">SUM(Cash_Flow!G23:AJ23)</f>
        <v>10305472437.9092</v>
      </c>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customFormat="false" ht="15" hidden="false" customHeight="false" outlineLevel="0" collapsed="false">
      <c r="A16" s="6"/>
      <c r="B16" s="10" t="s">
        <v>352</v>
      </c>
      <c r="C16" s="39" t="n">
        <f aca="false">C15/C14</f>
        <v>12.9777763573478</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customFormat="false" ht="15" hidden="false" customHeight="false" outlineLevel="0" collapsed="false">
      <c r="A17" s="6"/>
      <c r="B17" s="10" t="s">
        <v>353</v>
      </c>
      <c r="C17" s="21" t="n">
        <f aca="false">Initial_Debt</f>
        <v>2349375000</v>
      </c>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customFormat="false" ht="15" hidden="false" customHeight="false" outlineLevel="0" collapsed="false">
      <c r="A18" s="6"/>
      <c r="B18" s="10" t="s">
        <v>354</v>
      </c>
      <c r="C18" s="21" t="n">
        <f aca="false">Final_Debt</f>
        <v>-1.51991844177246E-006</v>
      </c>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row>
    <row r="19" customFormat="false" ht="15" hidden="false" customHeight="false" outlineLevel="0" collapsed="false">
      <c r="A19" s="6"/>
      <c r="B19" s="10" t="s">
        <v>262</v>
      </c>
      <c r="C19" s="21" t="n">
        <f aca="false">Capex_Depr!F23</f>
        <v>3049375000</v>
      </c>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customFormat="false" ht="15" hidden="false" customHeight="false" outlineLevel="0" collapsed="false">
      <c r="A21" s="6"/>
      <c r="B21" s="8" t="s">
        <v>355</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row>
    <row r="22" customFormat="false" ht="15" hidden="false" customHeight="false" outlineLevel="0" collapsed="false">
      <c r="A22" s="6"/>
      <c r="B22" s="11" t="s">
        <v>356</v>
      </c>
      <c r="C22" s="39" t="n">
        <v>0</v>
      </c>
      <c r="D22" s="39" t="n">
        <v>0</v>
      </c>
      <c r="E22" s="39" t="n">
        <v>0</v>
      </c>
      <c r="F22" s="39" t="n">
        <v>0</v>
      </c>
      <c r="G22" s="39" t="n">
        <f aca="false">IFERROR(NPV(All_In_Rate,Cash_Flow!G12:AE12)/Debt!G14,0)</f>
        <v>2.08888384622825</v>
      </c>
      <c r="H22" s="39" t="n">
        <f aca="false">IFERROR(NPV(All_In_Rate,Cash_Flow!H12:AE12)/Debt!H14,0)</f>
        <v>2.15961279107516</v>
      </c>
      <c r="I22" s="39" t="n">
        <f aca="false">IFERROR(NPV(All_In_Rate,Cash_Flow!I12:AE12)/Debt!I14,0)</f>
        <v>2.2290206850345</v>
      </c>
      <c r="J22" s="39" t="n">
        <f aca="false">IFERROR(NPV(All_In_Rate,Cash_Flow!J12:AE12)/Debt!J14,0)</f>
        <v>2.30189111084712</v>
      </c>
      <c r="K22" s="39" t="n">
        <f aca="false">IFERROR(NPV(All_In_Rate,Cash_Flow!K12:AE12)/Debt!K14,0)</f>
        <v>2.37607085676882</v>
      </c>
      <c r="L22" s="39" t="n">
        <f aca="false">IFERROR(NPV(All_In_Rate,Cash_Flow!L12:AE12)/Debt!L14,0)</f>
        <v>2.45139386978033</v>
      </c>
      <c r="M22" s="39" t="n">
        <f aca="false">IFERROR(NPV(All_In_Rate,Cash_Flow!M12:AE12)/Debt!M14,0)</f>
        <v>2.52771464409295</v>
      </c>
      <c r="N22" s="39" t="n">
        <f aca="false">IFERROR(NPV(All_In_Rate,Cash_Flow!N12:AE12)/Debt!N14,0)</f>
        <v>2.60485030796923</v>
      </c>
      <c r="O22" s="39" t="n">
        <f aca="false">IFERROR(NPV(All_In_Rate,Cash_Flow!O12:AE12)/Debt!O14,0)</f>
        <v>2.68257007285157</v>
      </c>
      <c r="P22" s="39" t="n">
        <f aca="false">IFERROR(NPV(All_In_Rate,Cash_Flow!P12:AE12)/Debt!P14,0)</f>
        <v>2.76058074939536</v>
      </c>
      <c r="Q22" s="39" t="n">
        <f aca="false">IFERROR(NPV(All_In_Rate,Cash_Flow!Q12:AE12)/Debt!Q14,0)</f>
        <v>2.83850649354401</v>
      </c>
      <c r="R22" s="39" t="n">
        <f aca="false">IFERROR(NPV(All_In_Rate,Cash_Flow!R12:AE12)/Debt!R14,0)</f>
        <v>2.91585989597231</v>
      </c>
      <c r="S22" s="39" t="n">
        <f aca="false">IFERROR(NPV(All_In_Rate,Cash_Flow!S12:AE12)/Debt!S14,0)</f>
        <v>2.99199975162745</v>
      </c>
      <c r="T22" s="39" t="n">
        <f aca="false">IFERROR(NPV(All_In_Rate,Cash_Flow!T12:AE12)/Debt!T14,0)</f>
        <v>3.06606773706129</v>
      </c>
      <c r="U22" s="39" t="n">
        <f aca="false">IFERROR(NPV(All_In_Rate,Cash_Flow!U12:AE12)/Debt!U14,0)</f>
        <v>3.13689057046599</v>
      </c>
      <c r="V22" s="39" t="n">
        <f aca="false">IFERROR(NPV(All_In_Rate,Cash_Flow!V12:AE12)/Debt!V14,0)</f>
        <v>3.20282348905527</v>
      </c>
      <c r="W22" s="39" t="n">
        <f aca="false">IFERROR(NPV(All_In_Rate,Cash_Flow!W12:AE12)/Debt!W14,0)</f>
        <v>3.26148939791273</v>
      </c>
      <c r="X22" s="39" t="n">
        <f aca="false">IFERROR(NPV(All_In_Rate,Cash_Flow!X12:AE12)/Debt!X14,0)</f>
        <v>3.30932239834447</v>
      </c>
      <c r="Y22" s="39" t="n">
        <f aca="false">IFERROR(NPV(All_In_Rate,Cash_Flow!Y12:AE12)/Debt!Y14,0)</f>
        <v>3.35082873594069</v>
      </c>
      <c r="Z22" s="39" t="n">
        <f aca="false">IFERROR(NPV(All_In_Rate,Cash_Flow!Z12:AE12)/Debt!Z14,0)</f>
        <v>3.39213216837932</v>
      </c>
      <c r="AA22" s="39" t="n">
        <f aca="false">IFERROR(NPV(All_In_Rate,Cash_Flow!AA12:AE12)/Debt!AA14,0)</f>
        <v>3.43336687124256</v>
      </c>
      <c r="AB22" s="39" t="n">
        <f aca="false">IFERROR(NPV(All_In_Rate,Cash_Flow!AB12:AE12)/Debt!AB14,0)</f>
        <v>3.47451306979786</v>
      </c>
      <c r="AC22" s="39" t="n">
        <f aca="false">IFERROR(NPV(All_In_Rate,Cash_Flow!AC12:AE12)/Debt!AC14,0)</f>
        <v>3.51555099983291</v>
      </c>
      <c r="AD22" s="39" t="n">
        <f aca="false">IFERROR(NPV(All_In_Rate,Cash_Flow!AD12:AE12)/Debt!AD14,0)</f>
        <v>3.55646094337848</v>
      </c>
      <c r="AE22" s="39" t="n">
        <f aca="false">IFERROR(NPV(All_In_Rate,Cash_Flow!AE12)/Debt!AE14,0)</f>
        <v>3.59722326445935</v>
      </c>
      <c r="AF22" s="39" t="n">
        <v>0</v>
      </c>
      <c r="AG22" s="39" t="n">
        <v>0</v>
      </c>
      <c r="AH22" s="39" t="n">
        <v>0</v>
      </c>
      <c r="AI22" s="39" t="n">
        <v>0</v>
      </c>
      <c r="AJ22" s="39" t="n">
        <v>0</v>
      </c>
    </row>
    <row r="23" customFormat="false" ht="15" hidden="false" customHeight="fals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customFormat="false" ht="15" hidden="false" customHeight="false" outlineLevel="0" collapsed="false">
      <c r="A24" s="6"/>
      <c r="B24" s="8" t="s">
        <v>357</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customFormat="false" ht="15" hidden="false" customHeight="false" outlineLevel="0" collapsed="false">
      <c r="A25" s="6"/>
      <c r="B25" s="11" t="s">
        <v>358</v>
      </c>
      <c r="C25" s="39" t="n">
        <v>0</v>
      </c>
      <c r="D25" s="39" t="n">
        <v>0</v>
      </c>
      <c r="E25" s="39" t="n">
        <v>0</v>
      </c>
      <c r="F25" s="39" t="n">
        <v>0</v>
      </c>
      <c r="G25" s="39" t="n">
        <f aca="false">IFERROR(NPV(All_In_Rate,Cash_Flow!G12:AJ12)/Debt!G14,0)</f>
        <v>2.3736807321067</v>
      </c>
      <c r="H25" s="39" t="n">
        <f aca="false">IFERROR(NPV(All_In_Rate,Cash_Flow!H12:AJ12)/Debt!H14,0)</f>
        <v>2.46762890863323</v>
      </c>
      <c r="I25" s="39" t="n">
        <f aca="false">IFERROR(NPV(All_In_Rate,Cash_Flow!I12:AJ12)/Debt!I14,0)</f>
        <v>2.56263621066845</v>
      </c>
      <c r="J25" s="39" t="n">
        <f aca="false">IFERROR(NPV(All_In_Rate,Cash_Flow!J12:AJ12)/Debt!J14,0)</f>
        <v>2.66381712349939</v>
      </c>
      <c r="K25" s="39" t="n">
        <f aca="false">IFERROR(NPV(All_In_Rate,Cash_Flow!K12:AJ12)/Debt!K14,0)</f>
        <v>2.76941220870984</v>
      </c>
      <c r="L25" s="39" t="n">
        <f aca="false">IFERROR(NPV(All_In_Rate,Cash_Flow!L12:AJ12)/Debt!L14,0)</f>
        <v>2.87972776077199</v>
      </c>
      <c r="M25" s="39" t="n">
        <f aca="false">IFERROR(NPV(All_In_Rate,Cash_Flow!M12:AJ12)/Debt!M14,0)</f>
        <v>2.99518985800268</v>
      </c>
      <c r="N25" s="39" t="n">
        <f aca="false">IFERROR(NPV(All_In_Rate,Cash_Flow!N12:AJ12)/Debt!N14,0)</f>
        <v>3.11631399949211</v>
      </c>
      <c r="O25" s="39" t="n">
        <f aca="false">IFERROR(NPV(All_In_Rate,Cash_Flow!O12:AJ12)/Debt!O14,0)</f>
        <v>3.24373182815834</v>
      </c>
      <c r="P25" s="39" t="n">
        <f aca="false">IFERROR(NPV(All_In_Rate,Cash_Flow!P12:AJ12)/Debt!P14,0)</f>
        <v>3.37822789876604</v>
      </c>
      <c r="Q25" s="39" t="n">
        <f aca="false">IFERROR(NPV(All_In_Rate,Cash_Flow!Q12:AJ12)/Debt!Q14,0)</f>
        <v>3.52079117721749</v>
      </c>
      <c r="R25" s="39" t="n">
        <f aca="false">IFERROR(NPV(All_In_Rate,Cash_Flow!R12:AJ12)/Debt!R14,0)</f>
        <v>3.67268863513933</v>
      </c>
      <c r="S25" s="39" t="n">
        <f aca="false">IFERROR(NPV(All_In_Rate,Cash_Flow!S12:AJ12)/Debt!S14,0)</f>
        <v>3.83557283531155</v>
      </c>
      <c r="T25" s="39" t="n">
        <f aca="false">IFERROR(NPV(All_In_Rate,Cash_Flow!T12:AJ12)/Debt!T14,0)</f>
        <v>4.0116433336596</v>
      </c>
      <c r="U25" s="39" t="n">
        <f aca="false">IFERROR(NPV(All_In_Rate,Cash_Flow!U12:AJ12)/Debt!U14,0)</f>
        <v>4.20389614203931</v>
      </c>
      <c r="V25" s="39" t="n">
        <f aca="false">IFERROR(NPV(All_In_Rate,Cash_Flow!V12:AJ12)/Debt!V14,0)</f>
        <v>4.41652289122522</v>
      </c>
      <c r="W25" s="39" t="n">
        <f aca="false">IFERROR(NPV(All_In_Rate,Cash_Flow!W12:AJ12)/Debt!W14,0)</f>
        <v>4.65557612389247</v>
      </c>
      <c r="X25" s="39" t="n">
        <f aca="false">IFERROR(NPV(All_In_Rate,Cash_Flow!X12:AJ12)/Debt!X14,0)</f>
        <v>4.93013357696111</v>
      </c>
      <c r="Y25" s="39" t="n">
        <f aca="false">IFERROR(NPV(All_In_Rate,Cash_Flow!Y12:AJ12)/Debt!Y14,0)</f>
        <v>5.2645691034958</v>
      </c>
      <c r="Z25" s="39" t="n">
        <f aca="false">IFERROR(NPV(All_In_Rate,Cash_Flow!Z12:AJ12)/Debt!Z14,0)</f>
        <v>5.69811799082248</v>
      </c>
      <c r="AA25" s="39" t="n">
        <f aca="false">IFERROR(NPV(All_In_Rate,Cash_Flow!AA12:AJ12)/Debt!AA14,0)</f>
        <v>6.29051376035367</v>
      </c>
      <c r="AB25" s="39" t="n">
        <f aca="false">IFERROR(NPV(All_In_Rate,Cash_Flow!AB12:AJ12)/Debt!AB14,0)</f>
        <v>7.16093353871663</v>
      </c>
      <c r="AC25" s="39" t="n">
        <f aca="false">IFERROR(NPV(All_In_Rate,Cash_Flow!AC12:AJ12)/Debt!AC14,0)</f>
        <v>8.58748124260403</v>
      </c>
      <c r="AD25" s="39" t="n">
        <f aca="false">IFERROR(NPV(All_In_Rate,Cash_Flow!AD12:AJ12)/Debt!AD14,0)</f>
        <v>11.4045045197876</v>
      </c>
      <c r="AE25" s="39" t="n">
        <f aca="false">IFERROR(NPV(All_In_Rate,Cash_Flow!AE12:AJ12)/Debt!AE14,0)</f>
        <v>19.7838131408032</v>
      </c>
      <c r="AF25" s="39" t="n">
        <v>0</v>
      </c>
      <c r="AG25" s="39" t="n">
        <v>0</v>
      </c>
      <c r="AH25" s="39" t="n">
        <v>0</v>
      </c>
      <c r="AI25" s="39" t="n">
        <v>0</v>
      </c>
      <c r="AJ25" s="39" t="n">
        <v>0</v>
      </c>
    </row>
    <row r="26" customFormat="false" ht="15" hidden="false" customHeight="fals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customFormat="false" ht="15" hidden="false" customHeight="false" outlineLevel="0" collapsed="false">
      <c r="A27" s="6"/>
      <c r="B27" s="8" t="s">
        <v>359</v>
      </c>
      <c r="C27" s="9"/>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customFormat="false" ht="15" hidden="false" customHeight="false" outlineLevel="0" collapsed="false">
      <c r="A28" s="6"/>
      <c r="B28" s="10" t="s">
        <v>360</v>
      </c>
      <c r="C28" s="42" t="n">
        <f aca="false">MIN(G22:AE22)</f>
        <v>2.08888384622825</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customFormat="false" ht="15" hidden="false" customHeight="false" outlineLevel="0" collapsed="false">
      <c r="A29" s="6"/>
      <c r="B29" s="10" t="s">
        <v>361</v>
      </c>
      <c r="C29" s="42" t="n">
        <f aca="false">MIN(G25:AE25)</f>
        <v>2.3736807321067</v>
      </c>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4"/>
    <col collapsed="false" customWidth="true" hidden="false" outlineLevel="0" max="3" min="3" style="0" width="14"/>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362</v>
      </c>
      <c r="C2" s="1"/>
      <c r="D2" s="2"/>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363</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6"/>
      <c r="C5" s="6"/>
    </row>
    <row r="6" customFormat="false" ht="15" hidden="false" customHeight="false" outlineLevel="0" collapsed="false">
      <c r="A6" s="6"/>
      <c r="B6" s="8" t="s">
        <v>364</v>
      </c>
      <c r="C6" s="9"/>
    </row>
    <row r="7" customFormat="false" ht="15" hidden="false" customHeight="false" outlineLevel="0" collapsed="false">
      <c r="A7" s="6"/>
      <c r="B7" s="6"/>
      <c r="C7" s="6"/>
    </row>
    <row r="8" customFormat="false" ht="15" hidden="false" customHeight="false" outlineLevel="0" collapsed="false">
      <c r="A8" s="6"/>
      <c r="B8" s="11" t="s">
        <v>365</v>
      </c>
      <c r="C8" s="43" t="str">
        <f aca="false">IF(Min_DSCR&gt;=DSCR_Min_Threshold,"PASS","FAIL")</f>
        <v>PASS</v>
      </c>
    </row>
    <row r="9" customFormat="false" ht="15" hidden="false" customHeight="false" outlineLevel="0" collapsed="false">
      <c r="A9" s="6"/>
      <c r="B9" s="11" t="s">
        <v>366</v>
      </c>
      <c r="C9" s="43" t="str">
        <f aca="false">IF(Avg_DSCR&gt;=DSCR_Avg_Threshold,"PASS","FAIL")</f>
        <v>PASS</v>
      </c>
    </row>
    <row r="10" customFormat="false" ht="15" hidden="false" customHeight="false" outlineLevel="0" collapsed="false">
      <c r="A10" s="6"/>
      <c r="B10" s="11" t="s">
        <v>367</v>
      </c>
      <c r="C10" s="43" t="str">
        <f aca="false">IF(Min_DSCR&gt;=Target_DSCR,"PASS","INFO")</f>
        <v>INFO</v>
      </c>
    </row>
    <row r="11" customFormat="false" ht="15" hidden="false" customHeight="false" outlineLevel="0" collapsed="false">
      <c r="A11" s="6"/>
      <c r="B11" s="11" t="s">
        <v>368</v>
      </c>
      <c r="C11" s="43" t="str">
        <f aca="false">IF(Min_LLCR&gt;=LLCR_Min_Threshold,"PASS","FAIL")</f>
        <v>PASS</v>
      </c>
    </row>
    <row r="12" customFormat="false" ht="15" hidden="false" customHeight="false" outlineLevel="0" collapsed="false">
      <c r="A12" s="6"/>
      <c r="B12" s="11" t="s">
        <v>369</v>
      </c>
      <c r="C12" s="43" t="str">
        <f aca="false">IF(Min_PLCR&gt;=PLCR_Min_Threshold,"PASS","FAIL")</f>
        <v>PASS</v>
      </c>
    </row>
    <row r="13" customFormat="false" ht="15" hidden="false" customHeight="false" outlineLevel="0" collapsed="false">
      <c r="A13" s="6"/>
      <c r="B13" s="11" t="s">
        <v>370</v>
      </c>
      <c r="C13" s="43" t="str">
        <f aca="false">IF(ABS(Final_Debt)&lt;1,"PASS","FAIL")</f>
        <v>PASS</v>
      </c>
    </row>
    <row r="14" customFormat="false" ht="15" hidden="false" customHeight="false" outlineLevel="0" collapsed="false">
      <c r="A14" s="6"/>
      <c r="B14" s="11" t="s">
        <v>371</v>
      </c>
      <c r="C14" s="43" t="str">
        <f aca="false">IF(Op_Period&gt;Debt_Tenor,"PASS","FAIL")</f>
        <v>PASS</v>
      </c>
    </row>
    <row r="15" customFormat="false" ht="15" hidden="false" customHeight="false" outlineLevel="0" collapsed="false">
      <c r="A15" s="6"/>
      <c r="B15" s="11" t="s">
        <v>372</v>
      </c>
      <c r="C15" s="43" t="str">
        <f aca="false">IF(Concession_Life&gt;=Debt_Tenor+5,"PASS","FAIL")</f>
        <v>PASS</v>
      </c>
    </row>
    <row r="16" customFormat="false" ht="15" hidden="false" customHeight="false" outlineLevel="0" collapsed="false">
      <c r="A16" s="6"/>
      <c r="B16" s="11" t="s">
        <v>373</v>
      </c>
      <c r="C16" s="43" t="str">
        <f aca="false">IF(AND(Opex!P32&gt;=EBITDA_Margin_Min,Opex!P32&lt;=EBITDA_Margin_Max),"PASS","WARN")</f>
        <v>PASS</v>
      </c>
    </row>
    <row r="17" customFormat="false" ht="15" hidden="false" customHeight="false" outlineLevel="0" collapsed="false">
      <c r="A17" s="6"/>
      <c r="B17" s="11" t="s">
        <v>374</v>
      </c>
      <c r="C17" s="43" t="str">
        <f aca="false">IF(Project_IRR&gt;Target_Project_IRR,"PASS","FAIL")</f>
        <v>PASS</v>
      </c>
    </row>
    <row r="18" customFormat="false" ht="15" hidden="false" customHeight="false" outlineLevel="0" collapsed="false">
      <c r="A18" s="6"/>
      <c r="B18" s="11" t="s">
        <v>375</v>
      </c>
      <c r="C18" s="43" t="str">
        <f aca="false">IF(Equity_IRR&gt;Target_Equity_IRR,"PASS","INFO")</f>
        <v>PASS</v>
      </c>
    </row>
    <row r="19" customFormat="false" ht="15" hidden="false" customHeight="false" outlineLevel="0" collapsed="false">
      <c r="A19" s="6"/>
      <c r="B19" s="11" t="s">
        <v>376</v>
      </c>
      <c r="C19" s="43" t="str">
        <f aca="false">IF(MAX(Traffic!G12:AJ12)&lt;=Terminal_Capacity,"PASS","FAIL")</f>
        <v>PASS</v>
      </c>
    </row>
    <row r="20" customFormat="false" ht="15" hidden="false" customHeight="false" outlineLevel="0" collapsed="false">
      <c r="A20" s="6"/>
      <c r="B20" s="11" t="s">
        <v>377</v>
      </c>
      <c r="C20" s="43" t="str">
        <f aca="false">IF(Capex_Depr!AJ32&lt;=Capex_Depr!AJ29,"PASS","FAIL")</f>
        <v>PASS</v>
      </c>
    </row>
    <row r="21" customFormat="false" ht="15" hidden="false" customHeight="false" outlineLevel="0" collapsed="false">
      <c r="A21" s="6"/>
      <c r="B21" s="11" t="s">
        <v>378</v>
      </c>
      <c r="C21" s="43" t="str">
        <f aca="false">IF(Debt!AJ29&lt;1,"PASS","FAIL")</f>
        <v>PASS</v>
      </c>
    </row>
    <row r="22" customFormat="false" ht="15" hidden="false" customHeight="false" outlineLevel="0" collapsed="false">
      <c r="A22" s="6"/>
      <c r="B22" s="11" t="s">
        <v>379</v>
      </c>
      <c r="C22" s="43" t="str">
        <f aca="false">IF(ABS(SU_Balance_Delta)&lt;1,"PASS","FAIL")</f>
        <v>PASS</v>
      </c>
    </row>
    <row r="23" customFormat="false" ht="15" hidden="false" customHeight="false" outlineLevel="0" collapsed="false">
      <c r="A23" s="6"/>
      <c r="B23" s="11" t="s">
        <v>380</v>
      </c>
      <c r="C23" s="43" t="str">
        <f aca="false">IF(ISNUMBER(Project_IRR),"PASS","FAIL")</f>
        <v>PASS</v>
      </c>
    </row>
    <row r="24" customFormat="false" ht="15" hidden="false" customHeight="false" outlineLevel="0" collapsed="false">
      <c r="A24" s="6"/>
      <c r="B24" s="11" t="s">
        <v>381</v>
      </c>
      <c r="C24" s="43" t="str">
        <f aca="false">IF(ISNUMBER(Min_DSCR),"PASS","FAIL")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4" t="s">
        <v>382</v>
      </c>
    </row>
    <row r="3" customFormat="false" ht="3.75" hidden="false" customHeight="true" outlineLevel="0" collapsed="false">
      <c r="B3" s="45"/>
    </row>
    <row r="5" customFormat="false" ht="19.5" hidden="false" customHeight="true" outlineLevel="0" collapsed="false">
      <c r="B5" s="46" t="s">
        <v>383</v>
      </c>
    </row>
    <row r="6" customFormat="false" ht="48" hidden="false" customHeight="true" outlineLevel="0" collapsed="false">
      <c r="B6" s="47" t="s">
        <v>384</v>
      </c>
    </row>
    <row r="8" customFormat="false" ht="19.5" hidden="false" customHeight="true" outlineLevel="0" collapsed="false">
      <c r="B8" s="46" t="s">
        <v>385</v>
      </c>
    </row>
    <row r="9" customFormat="false" ht="61.5" hidden="false" customHeight="true" outlineLevel="0" collapsed="false">
      <c r="B9" s="47" t="s">
        <v>386</v>
      </c>
    </row>
    <row r="11" customFormat="false" ht="19.5" hidden="false" customHeight="true" outlineLevel="0" collapsed="false">
      <c r="B11" s="46" t="s">
        <v>387</v>
      </c>
    </row>
    <row r="12" customFormat="false" ht="75.75" hidden="false" customHeight="true" outlineLevel="0" collapsed="false">
      <c r="B12" s="47" t="s">
        <v>388</v>
      </c>
    </row>
    <row r="14" customFormat="false" ht="19.5" hidden="false" customHeight="true" outlineLevel="0" collapsed="false">
      <c r="B14" s="46" t="s">
        <v>389</v>
      </c>
    </row>
    <row r="15" customFormat="false" ht="61.5" hidden="false" customHeight="true" outlineLevel="0" collapsed="false">
      <c r="B15" s="47" t="s">
        <v>390</v>
      </c>
    </row>
    <row r="17" customFormat="false" ht="19.5" hidden="false" customHeight="true" outlineLevel="0" collapsed="false">
      <c r="B17" s="46" t="s">
        <v>391</v>
      </c>
    </row>
    <row r="18" customFormat="false" ht="33.75" hidden="false" customHeight="true" outlineLevel="0" collapsed="false">
      <c r="B18" s="47" t="s">
        <v>392</v>
      </c>
    </row>
    <row r="20" customFormat="false" ht="19.5" hidden="false" customHeight="true" outlineLevel="0" collapsed="false">
      <c r="B20" s="46" t="s">
        <v>393</v>
      </c>
    </row>
    <row r="21" customFormat="false" ht="33.75" hidden="false" customHeight="true" outlineLevel="0" collapsed="false">
      <c r="B21" s="47" t="s">
        <v>394</v>
      </c>
    </row>
    <row r="23" customFormat="false" ht="21.75" hidden="false" customHeight="true" outlineLevel="0" collapsed="false">
      <c r="B23" s="48" t="s">
        <v>395</v>
      </c>
    </row>
    <row r="25" customFormat="false" ht="18" hidden="false" customHeight="true" outlineLevel="0" collapsed="false">
      <c r="B25" s="49" t="s">
        <v>396</v>
      </c>
    </row>
    <row r="26" customFormat="false" ht="201.75" hidden="false" customHeight="true" outlineLevel="0" collapsed="false">
      <c r="B26" s="50" t="s">
        <v>397</v>
      </c>
    </row>
    <row r="28" customFormat="false" ht="18" hidden="false" customHeight="true" outlineLevel="0" collapsed="false">
      <c r="B28" s="51" t="s">
        <v>398</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D6E4F0"/>
    <pageSetUpPr fitToPage="false"/>
  </sheetPr>
  <dimension ref="A1:AD9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2"/>
    <col collapsed="false" customWidth="true" hidden="false" outlineLevel="0" max="3" min="3" style="0" width="20"/>
    <col collapsed="false" customWidth="true" hidden="false" outlineLevel="0" max="4" min="4" style="0" width="10"/>
    <col collapsed="false" customWidth="true" hidden="false" outlineLevel="0" max="5" min="5" style="0" width="5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21</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22</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6"/>
      <c r="C5" s="6"/>
      <c r="D5" s="6"/>
      <c r="E5" s="6"/>
    </row>
    <row r="6" customFormat="false" ht="15" hidden="false" customHeight="false" outlineLevel="0" collapsed="false">
      <c r="A6" s="6"/>
      <c r="B6" s="17" t="s">
        <v>23</v>
      </c>
      <c r="C6" s="17" t="s">
        <v>24</v>
      </c>
      <c r="D6" s="17" t="s">
        <v>25</v>
      </c>
      <c r="E6" s="17" t="s">
        <v>26</v>
      </c>
    </row>
    <row r="7" customFormat="false" ht="15" hidden="false" customHeight="false" outlineLevel="0" collapsed="false">
      <c r="A7" s="6"/>
      <c r="B7" s="6"/>
      <c r="C7" s="6"/>
      <c r="D7" s="6"/>
      <c r="E7" s="6"/>
    </row>
    <row r="8" customFormat="false" ht="15" hidden="false" customHeight="false" outlineLevel="0" collapsed="false">
      <c r="A8" s="6"/>
      <c r="B8" s="8" t="s">
        <v>27</v>
      </c>
      <c r="C8" s="9"/>
      <c r="D8" s="9"/>
      <c r="E8" s="9"/>
    </row>
    <row r="9" customFormat="false" ht="15" hidden="false" customHeight="false" outlineLevel="0" collapsed="false">
      <c r="A9" s="6"/>
      <c r="B9" s="11" t="s">
        <v>28</v>
      </c>
      <c r="C9" s="18" t="n">
        <v>4</v>
      </c>
      <c r="D9" s="19" t="s">
        <v>29</v>
      </c>
      <c r="E9" s="20" t="s">
        <v>30</v>
      </c>
    </row>
    <row r="10" customFormat="false" ht="15" hidden="false" customHeight="false" outlineLevel="0" collapsed="false">
      <c r="A10" s="6"/>
      <c r="B10" s="11" t="s">
        <v>31</v>
      </c>
      <c r="C10" s="18" t="n">
        <v>30</v>
      </c>
      <c r="D10" s="19" t="s">
        <v>29</v>
      </c>
      <c r="E10" s="20" t="s">
        <v>32</v>
      </c>
    </row>
    <row r="11" customFormat="false" ht="15" hidden="false" customHeight="false" outlineLevel="0" collapsed="false">
      <c r="A11" s="6"/>
      <c r="B11" s="11" t="s">
        <v>33</v>
      </c>
      <c r="C11" s="21" t="n">
        <f aca="false">Constr_Period+Op_Period</f>
        <v>34</v>
      </c>
      <c r="D11" s="19" t="s">
        <v>29</v>
      </c>
      <c r="E11" s="20" t="s">
        <v>34</v>
      </c>
    </row>
    <row r="12" customFormat="false" ht="15" hidden="false" customHeight="false" outlineLevel="0" collapsed="false">
      <c r="A12" s="6"/>
      <c r="B12" s="11" t="s">
        <v>35</v>
      </c>
      <c r="C12" s="18" t="n">
        <v>40</v>
      </c>
      <c r="D12" s="19" t="s">
        <v>29</v>
      </c>
      <c r="E12" s="20" t="s">
        <v>36</v>
      </c>
    </row>
    <row r="13" customFormat="false" ht="15" hidden="false" customHeight="false" outlineLevel="0" collapsed="false">
      <c r="A13" s="6"/>
      <c r="B13" s="11" t="s">
        <v>37</v>
      </c>
      <c r="C13" s="22" t="n">
        <v>0.025</v>
      </c>
      <c r="D13" s="19" t="s">
        <v>38</v>
      </c>
      <c r="E13" s="20" t="s">
        <v>39</v>
      </c>
    </row>
    <row r="14" customFormat="false" ht="15" hidden="false" customHeight="false" outlineLevel="0" collapsed="false">
      <c r="A14" s="6"/>
      <c r="B14" s="11" t="s">
        <v>40</v>
      </c>
      <c r="C14" s="22" t="n">
        <v>0.25</v>
      </c>
      <c r="D14" s="19" t="s">
        <v>38</v>
      </c>
      <c r="E14" s="20"/>
    </row>
    <row r="15" customFormat="false" ht="15" hidden="false" customHeight="false" outlineLevel="0" collapsed="false">
      <c r="A15" s="6"/>
      <c r="B15" s="8" t="s">
        <v>41</v>
      </c>
      <c r="C15" s="9"/>
      <c r="D15" s="9"/>
      <c r="E15" s="9"/>
    </row>
    <row r="16" customFormat="false" ht="15" hidden="false" customHeight="false" outlineLevel="0" collapsed="false">
      <c r="A16" s="6"/>
      <c r="B16" s="11" t="s">
        <v>42</v>
      </c>
      <c r="C16" s="18" t="n">
        <v>20000000</v>
      </c>
      <c r="D16" s="19" t="s">
        <v>43</v>
      </c>
      <c r="E16" s="20" t="s">
        <v>44</v>
      </c>
    </row>
    <row r="17" customFormat="false" ht="15" hidden="false" customHeight="false" outlineLevel="0" collapsed="false">
      <c r="A17" s="6"/>
      <c r="B17" s="11" t="s">
        <v>45</v>
      </c>
      <c r="C17" s="18" t="n">
        <v>14000000</v>
      </c>
      <c r="D17" s="19" t="s">
        <v>43</v>
      </c>
      <c r="E17" s="20" t="s">
        <v>46</v>
      </c>
    </row>
    <row r="18" customFormat="false" ht="15" hidden="false" customHeight="false" outlineLevel="0" collapsed="false">
      <c r="A18" s="6"/>
      <c r="B18" s="11" t="s">
        <v>47</v>
      </c>
      <c r="C18" s="22" t="n">
        <v>0.6</v>
      </c>
      <c r="D18" s="19" t="s">
        <v>38</v>
      </c>
      <c r="E18" s="20" t="s">
        <v>48</v>
      </c>
    </row>
    <row r="19" customFormat="false" ht="15" hidden="false" customHeight="false" outlineLevel="0" collapsed="false">
      <c r="A19" s="6"/>
      <c r="B19" s="11" t="s">
        <v>49</v>
      </c>
      <c r="C19" s="22" t="n">
        <v>0.3</v>
      </c>
      <c r="D19" s="19" t="s">
        <v>38</v>
      </c>
      <c r="E19" s="20" t="s">
        <v>48</v>
      </c>
    </row>
    <row r="20" customFormat="false" ht="15" hidden="false" customHeight="false" outlineLevel="0" collapsed="false">
      <c r="A20" s="6"/>
      <c r="B20" s="11" t="s">
        <v>50</v>
      </c>
      <c r="C20" s="22" t="n">
        <v>0.1</v>
      </c>
      <c r="D20" s="19" t="s">
        <v>38</v>
      </c>
      <c r="E20" s="20" t="s">
        <v>48</v>
      </c>
    </row>
    <row r="21" customFormat="false" ht="15" hidden="false" customHeight="false" outlineLevel="0" collapsed="false">
      <c r="A21" s="6"/>
      <c r="B21" s="11" t="s">
        <v>51</v>
      </c>
      <c r="C21" s="22" t="n">
        <v>0.97</v>
      </c>
      <c r="D21" s="19" t="s">
        <v>38</v>
      </c>
      <c r="E21" s="20" t="s">
        <v>52</v>
      </c>
    </row>
    <row r="22" customFormat="false" ht="15" hidden="false" customHeight="false" outlineLevel="0" collapsed="false">
      <c r="A22" s="6"/>
      <c r="B22" s="11" t="s">
        <v>53</v>
      </c>
      <c r="C22" s="22" t="n">
        <v>0.99</v>
      </c>
      <c r="D22" s="19" t="s">
        <v>38</v>
      </c>
      <c r="E22" s="20" t="s">
        <v>54</v>
      </c>
    </row>
    <row r="23" customFormat="false" ht="15" hidden="false" customHeight="false" outlineLevel="0" collapsed="false">
      <c r="A23" s="6"/>
      <c r="B23" s="11" t="s">
        <v>55</v>
      </c>
      <c r="C23" s="22" t="n">
        <v>1</v>
      </c>
      <c r="D23" s="19" t="s">
        <v>38</v>
      </c>
      <c r="E23" s="20" t="s">
        <v>56</v>
      </c>
    </row>
    <row r="24" customFormat="false" ht="15" hidden="false" customHeight="false" outlineLevel="0" collapsed="false">
      <c r="A24" s="6"/>
      <c r="B24" s="11" t="s">
        <v>57</v>
      </c>
      <c r="C24" s="22" t="n">
        <v>0.025</v>
      </c>
      <c r="D24" s="19" t="s">
        <v>38</v>
      </c>
      <c r="E24" s="20" t="s">
        <v>58</v>
      </c>
    </row>
    <row r="25" customFormat="false" ht="15" hidden="false" customHeight="false" outlineLevel="0" collapsed="false">
      <c r="A25" s="6"/>
      <c r="B25" s="11" t="s">
        <v>59</v>
      </c>
      <c r="C25" s="18" t="n">
        <v>180</v>
      </c>
      <c r="D25" s="19" t="s">
        <v>60</v>
      </c>
      <c r="E25" s="20" t="s">
        <v>61</v>
      </c>
    </row>
    <row r="26" customFormat="false" ht="15" hidden="false" customHeight="false" outlineLevel="0" collapsed="false">
      <c r="A26" s="6"/>
      <c r="B26" s="11" t="s">
        <v>62</v>
      </c>
      <c r="C26" s="22" t="n">
        <v>0.8</v>
      </c>
      <c r="D26" s="19" t="s">
        <v>38</v>
      </c>
      <c r="E26" s="20" t="s">
        <v>63</v>
      </c>
    </row>
    <row r="27" customFormat="false" ht="15" hidden="false" customHeight="false" outlineLevel="0" collapsed="false">
      <c r="A27" s="6"/>
      <c r="B27" s="11" t="s">
        <v>64</v>
      </c>
      <c r="C27" s="18" t="n">
        <v>0.005</v>
      </c>
      <c r="D27" s="19" t="s">
        <v>65</v>
      </c>
      <c r="E27" s="20" t="s">
        <v>66</v>
      </c>
    </row>
    <row r="28" customFormat="false" ht="15" hidden="false" customHeight="false" outlineLevel="0" collapsed="false">
      <c r="A28" s="6"/>
      <c r="B28" s="11" t="s">
        <v>67</v>
      </c>
      <c r="C28" s="22" t="n">
        <v>0.04</v>
      </c>
      <c r="D28" s="19" t="s">
        <v>38</v>
      </c>
      <c r="E28" s="20" t="s">
        <v>68</v>
      </c>
    </row>
    <row r="29" customFormat="false" ht="15" hidden="false" customHeight="false" outlineLevel="0" collapsed="false">
      <c r="A29" s="6"/>
      <c r="B29" s="11" t="s">
        <v>69</v>
      </c>
      <c r="C29" s="22" t="n">
        <v>0.45</v>
      </c>
      <c r="D29" s="19" t="s">
        <v>38</v>
      </c>
      <c r="E29" s="20" t="s">
        <v>70</v>
      </c>
    </row>
    <row r="30" customFormat="false" ht="15" hidden="false" customHeight="false" outlineLevel="0" collapsed="false">
      <c r="A30" s="6"/>
      <c r="B30" s="11" t="s">
        <v>71</v>
      </c>
      <c r="C30" s="22" t="n">
        <v>0.4</v>
      </c>
      <c r="D30" s="19" t="s">
        <v>38</v>
      </c>
      <c r="E30" s="20" t="s">
        <v>72</v>
      </c>
    </row>
    <row r="31" customFormat="false" ht="15" hidden="false" customHeight="false" outlineLevel="0" collapsed="false">
      <c r="A31" s="6"/>
      <c r="B31" s="11" t="s">
        <v>73</v>
      </c>
      <c r="C31" s="22" t="n">
        <v>0.15</v>
      </c>
      <c r="D31" s="19" t="s">
        <v>38</v>
      </c>
      <c r="E31" s="20" t="s">
        <v>74</v>
      </c>
    </row>
    <row r="32" customFormat="false" ht="15" hidden="false" customHeight="false" outlineLevel="0" collapsed="false">
      <c r="A32" s="6"/>
      <c r="B32" s="8" t="s">
        <v>75</v>
      </c>
      <c r="C32" s="9"/>
      <c r="D32" s="9"/>
      <c r="E32" s="9"/>
    </row>
    <row r="33" customFormat="false" ht="15" hidden="false" customHeight="false" outlineLevel="0" collapsed="false">
      <c r="A33" s="6"/>
      <c r="B33" s="11" t="s">
        <v>76</v>
      </c>
      <c r="C33" s="18" t="n">
        <v>1200</v>
      </c>
      <c r="D33" s="19" t="s">
        <v>77</v>
      </c>
      <c r="E33" s="20" t="s">
        <v>78</v>
      </c>
    </row>
    <row r="34" customFormat="false" ht="15" hidden="false" customHeight="false" outlineLevel="0" collapsed="false">
      <c r="A34" s="6"/>
      <c r="B34" s="11" t="s">
        <v>79</v>
      </c>
      <c r="C34" s="18" t="n">
        <v>10</v>
      </c>
      <c r="D34" s="19" t="s">
        <v>77</v>
      </c>
      <c r="E34" s="20" t="s">
        <v>78</v>
      </c>
    </row>
    <row r="35" customFormat="false" ht="15" hidden="false" customHeight="false" outlineLevel="0" collapsed="false">
      <c r="A35" s="6"/>
      <c r="B35" s="11" t="s">
        <v>80</v>
      </c>
      <c r="C35" s="18" t="n">
        <v>18</v>
      </c>
      <c r="D35" s="19" t="s">
        <v>77</v>
      </c>
      <c r="E35" s="20" t="s">
        <v>81</v>
      </c>
    </row>
    <row r="36" customFormat="false" ht="15" hidden="false" customHeight="false" outlineLevel="0" collapsed="false">
      <c r="A36" s="6"/>
      <c r="B36" s="11" t="s">
        <v>82</v>
      </c>
      <c r="C36" s="18" t="n">
        <v>6</v>
      </c>
      <c r="D36" s="19" t="s">
        <v>77</v>
      </c>
      <c r="E36" s="20" t="s">
        <v>83</v>
      </c>
    </row>
    <row r="37" customFormat="false" ht="15" hidden="false" customHeight="false" outlineLevel="0" collapsed="false">
      <c r="A37" s="6"/>
      <c r="B37" s="11" t="s">
        <v>84</v>
      </c>
      <c r="C37" s="18" t="n">
        <v>250</v>
      </c>
      <c r="D37" s="19" t="s">
        <v>77</v>
      </c>
      <c r="E37" s="20" t="s">
        <v>78</v>
      </c>
    </row>
    <row r="38" customFormat="false" ht="15" hidden="false" customHeight="false" outlineLevel="0" collapsed="false">
      <c r="A38" s="6"/>
      <c r="B38" s="11" t="s">
        <v>85</v>
      </c>
      <c r="C38" s="18" t="n">
        <v>90</v>
      </c>
      <c r="D38" s="19" t="s">
        <v>77</v>
      </c>
      <c r="E38" s="20" t="s">
        <v>78</v>
      </c>
    </row>
    <row r="39" customFormat="false" ht="15" hidden="false" customHeight="false" outlineLevel="0" collapsed="false">
      <c r="A39" s="6"/>
      <c r="B39" s="11" t="s">
        <v>86</v>
      </c>
      <c r="C39" s="22" t="n">
        <v>0.02</v>
      </c>
      <c r="D39" s="19" t="s">
        <v>38</v>
      </c>
      <c r="E39" s="20" t="s">
        <v>87</v>
      </c>
    </row>
    <row r="40" customFormat="false" ht="15" hidden="false" customHeight="false" outlineLevel="0" collapsed="false">
      <c r="A40" s="6"/>
      <c r="B40" s="8" t="s">
        <v>88</v>
      </c>
      <c r="C40" s="9"/>
      <c r="D40" s="9"/>
      <c r="E40" s="9"/>
    </row>
    <row r="41" customFormat="false" ht="15" hidden="false" customHeight="false" outlineLevel="0" collapsed="false">
      <c r="A41" s="6"/>
      <c r="B41" s="11" t="s">
        <v>89</v>
      </c>
      <c r="C41" s="18" t="n">
        <v>5</v>
      </c>
      <c r="D41" s="19" t="s">
        <v>77</v>
      </c>
      <c r="E41" s="20" t="s">
        <v>78</v>
      </c>
    </row>
    <row r="42" customFormat="false" ht="15" hidden="false" customHeight="false" outlineLevel="0" collapsed="false">
      <c r="A42" s="6"/>
      <c r="B42" s="11" t="s">
        <v>90</v>
      </c>
      <c r="C42" s="18" t="n">
        <v>3.5</v>
      </c>
      <c r="D42" s="19" t="s">
        <v>77</v>
      </c>
      <c r="E42" s="20" t="s">
        <v>78</v>
      </c>
    </row>
    <row r="43" customFormat="false" ht="15" hidden="false" customHeight="false" outlineLevel="0" collapsed="false">
      <c r="A43" s="6"/>
      <c r="B43" s="11" t="s">
        <v>91</v>
      </c>
      <c r="C43" s="18" t="n">
        <v>8</v>
      </c>
      <c r="D43" s="19" t="s">
        <v>77</v>
      </c>
      <c r="E43" s="20" t="s">
        <v>92</v>
      </c>
    </row>
    <row r="44" customFormat="false" ht="15" hidden="false" customHeight="false" outlineLevel="0" collapsed="false">
      <c r="A44" s="6"/>
      <c r="B44" s="11" t="s">
        <v>93</v>
      </c>
      <c r="C44" s="18" t="n">
        <v>2.5</v>
      </c>
      <c r="D44" s="19" t="s">
        <v>77</v>
      </c>
      <c r="E44" s="20" t="s">
        <v>78</v>
      </c>
    </row>
    <row r="45" customFormat="false" ht="15" hidden="false" customHeight="false" outlineLevel="0" collapsed="false">
      <c r="A45" s="6"/>
      <c r="B45" s="11" t="s">
        <v>94</v>
      </c>
      <c r="C45" s="18" t="n">
        <v>1.2</v>
      </c>
      <c r="D45" s="19" t="s">
        <v>77</v>
      </c>
      <c r="E45" s="20" t="s">
        <v>78</v>
      </c>
    </row>
    <row r="46" customFormat="false" ht="15" hidden="false" customHeight="false" outlineLevel="0" collapsed="false">
      <c r="A46" s="6"/>
      <c r="B46" s="11" t="s">
        <v>95</v>
      </c>
      <c r="C46" s="18" t="n">
        <v>1.8</v>
      </c>
      <c r="D46" s="19" t="s">
        <v>77</v>
      </c>
      <c r="E46" s="20" t="s">
        <v>78</v>
      </c>
    </row>
    <row r="47" customFormat="false" ht="15" hidden="false" customHeight="false" outlineLevel="0" collapsed="false">
      <c r="A47" s="6"/>
      <c r="B47" s="11" t="s">
        <v>96</v>
      </c>
      <c r="C47" s="22" t="n">
        <v>0.03</v>
      </c>
      <c r="D47" s="19" t="s">
        <v>38</v>
      </c>
      <c r="E47" s="20" t="s">
        <v>97</v>
      </c>
    </row>
    <row r="48" customFormat="false" ht="15" hidden="false" customHeight="false" outlineLevel="0" collapsed="false">
      <c r="A48" s="6"/>
      <c r="B48" s="8" t="s">
        <v>98</v>
      </c>
      <c r="C48" s="9"/>
      <c r="D48" s="9"/>
      <c r="E48" s="9"/>
    </row>
    <row r="49" customFormat="false" ht="15" hidden="false" customHeight="false" outlineLevel="0" collapsed="false">
      <c r="A49" s="6"/>
      <c r="B49" s="11" t="s">
        <v>99</v>
      </c>
      <c r="C49" s="18" t="n">
        <v>38000000</v>
      </c>
      <c r="D49" s="19" t="s">
        <v>77</v>
      </c>
      <c r="E49" s="20"/>
    </row>
    <row r="50" customFormat="false" ht="15" hidden="false" customHeight="false" outlineLevel="0" collapsed="false">
      <c r="A50" s="6"/>
      <c r="B50" s="11" t="s">
        <v>100</v>
      </c>
      <c r="C50" s="18" t="n">
        <v>52000000</v>
      </c>
      <c r="D50" s="19" t="s">
        <v>77</v>
      </c>
      <c r="E50" s="20"/>
    </row>
    <row r="51" customFormat="false" ht="15" hidden="false" customHeight="false" outlineLevel="0" collapsed="false">
      <c r="A51" s="6"/>
      <c r="B51" s="11" t="s">
        <v>101</v>
      </c>
      <c r="C51" s="18" t="n">
        <v>30000000</v>
      </c>
      <c r="D51" s="19" t="s">
        <v>77</v>
      </c>
      <c r="E51" s="20"/>
    </row>
    <row r="52" customFormat="false" ht="15" hidden="false" customHeight="false" outlineLevel="0" collapsed="false">
      <c r="A52" s="6"/>
      <c r="B52" s="11" t="s">
        <v>102</v>
      </c>
      <c r="C52" s="18" t="n">
        <v>14000000</v>
      </c>
      <c r="D52" s="19" t="s">
        <v>77</v>
      </c>
      <c r="E52" s="20" t="s">
        <v>103</v>
      </c>
    </row>
    <row r="53" customFormat="false" ht="15" hidden="false" customHeight="false" outlineLevel="0" collapsed="false">
      <c r="A53" s="6"/>
      <c r="B53" s="11" t="s">
        <v>104</v>
      </c>
      <c r="C53" s="18" t="n">
        <v>18000000</v>
      </c>
      <c r="D53" s="19" t="s">
        <v>77</v>
      </c>
      <c r="E53" s="20" t="s">
        <v>105</v>
      </c>
    </row>
    <row r="54" customFormat="false" ht="15" hidden="false" customHeight="false" outlineLevel="0" collapsed="false">
      <c r="A54" s="6"/>
      <c r="B54" s="11" t="s">
        <v>106</v>
      </c>
      <c r="C54" s="18" t="n">
        <v>16000000</v>
      </c>
      <c r="D54" s="19" t="s">
        <v>77</v>
      </c>
      <c r="E54" s="20"/>
    </row>
    <row r="55" customFormat="false" ht="15" hidden="false" customHeight="false" outlineLevel="0" collapsed="false">
      <c r="A55" s="6"/>
      <c r="B55" s="11" t="s">
        <v>107</v>
      </c>
      <c r="C55" s="18" t="n">
        <v>1.8</v>
      </c>
      <c r="D55" s="19" t="s">
        <v>77</v>
      </c>
      <c r="E55" s="20" t="s">
        <v>108</v>
      </c>
    </row>
    <row r="56" customFormat="false" ht="15" hidden="false" customHeight="false" outlineLevel="0" collapsed="false">
      <c r="A56" s="6"/>
      <c r="B56" s="11" t="s">
        <v>109</v>
      </c>
      <c r="C56" s="18" t="n">
        <v>80</v>
      </c>
      <c r="D56" s="19" t="s">
        <v>77</v>
      </c>
      <c r="E56" s="20" t="s">
        <v>110</v>
      </c>
    </row>
    <row r="57" customFormat="false" ht="15" hidden="false" customHeight="false" outlineLevel="0" collapsed="false">
      <c r="A57" s="6"/>
      <c r="B57" s="11" t="s">
        <v>111</v>
      </c>
      <c r="C57" s="22" t="n">
        <v>0.04</v>
      </c>
      <c r="D57" s="19" t="s">
        <v>38</v>
      </c>
      <c r="E57" s="20" t="s">
        <v>112</v>
      </c>
    </row>
    <row r="58" customFormat="false" ht="15" hidden="false" customHeight="false" outlineLevel="0" collapsed="false">
      <c r="A58" s="6"/>
      <c r="B58" s="11" t="s">
        <v>113</v>
      </c>
      <c r="C58" s="22" t="n">
        <v>0.04</v>
      </c>
      <c r="D58" s="19" t="s">
        <v>38</v>
      </c>
      <c r="E58" s="20" t="s">
        <v>114</v>
      </c>
    </row>
    <row r="59" customFormat="false" ht="15" hidden="false" customHeight="false" outlineLevel="0" collapsed="false">
      <c r="A59" s="6"/>
      <c r="B59" s="8" t="s">
        <v>115</v>
      </c>
      <c r="C59" s="9"/>
      <c r="D59" s="9"/>
      <c r="E59" s="9"/>
    </row>
    <row r="60" customFormat="false" ht="15" hidden="false" customHeight="false" outlineLevel="0" collapsed="false">
      <c r="A60" s="6"/>
      <c r="B60" s="11" t="s">
        <v>116</v>
      </c>
      <c r="C60" s="18" t="n">
        <v>2800000000</v>
      </c>
      <c r="D60" s="19" t="s">
        <v>77</v>
      </c>
      <c r="E60" s="20" t="s">
        <v>117</v>
      </c>
    </row>
    <row r="61" customFormat="false" ht="15" hidden="false" customHeight="false" outlineLevel="0" collapsed="false">
      <c r="A61" s="6"/>
      <c r="B61" s="11" t="s">
        <v>118</v>
      </c>
      <c r="C61" s="22" t="n">
        <v>0.4</v>
      </c>
      <c r="D61" s="19" t="s">
        <v>38</v>
      </c>
      <c r="E61" s="20"/>
    </row>
    <row r="62" customFormat="false" ht="15" hidden="false" customHeight="false" outlineLevel="0" collapsed="false">
      <c r="A62" s="6"/>
      <c r="B62" s="11" t="s">
        <v>119</v>
      </c>
      <c r="C62" s="22" t="n">
        <v>0.25</v>
      </c>
      <c r="D62" s="19" t="s">
        <v>38</v>
      </c>
      <c r="E62" s="20"/>
    </row>
    <row r="63" customFormat="false" ht="15" hidden="false" customHeight="false" outlineLevel="0" collapsed="false">
      <c r="A63" s="6"/>
      <c r="B63" s="11" t="s">
        <v>120</v>
      </c>
      <c r="C63" s="22" t="n">
        <v>0.05</v>
      </c>
      <c r="D63" s="19" t="s">
        <v>38</v>
      </c>
      <c r="E63" s="20"/>
    </row>
    <row r="64" customFormat="false" ht="15" hidden="false" customHeight="false" outlineLevel="0" collapsed="false">
      <c r="A64" s="6"/>
      <c r="B64" s="11" t="s">
        <v>121</v>
      </c>
      <c r="C64" s="22" t="n">
        <v>0.1</v>
      </c>
      <c r="D64" s="19" t="s">
        <v>38</v>
      </c>
      <c r="E64" s="20"/>
    </row>
    <row r="65" customFormat="false" ht="15" hidden="false" customHeight="false" outlineLevel="0" collapsed="false">
      <c r="A65" s="6"/>
      <c r="B65" s="11" t="s">
        <v>122</v>
      </c>
      <c r="C65" s="22" t="n">
        <v>0.1</v>
      </c>
      <c r="D65" s="19" t="s">
        <v>38</v>
      </c>
      <c r="E65" s="20"/>
    </row>
    <row r="66" customFormat="false" ht="15" hidden="false" customHeight="false" outlineLevel="0" collapsed="false">
      <c r="A66" s="6"/>
      <c r="B66" s="11" t="s">
        <v>123</v>
      </c>
      <c r="C66" s="22" t="n">
        <v>0.1</v>
      </c>
      <c r="D66" s="19" t="s">
        <v>38</v>
      </c>
      <c r="E66" s="20"/>
    </row>
    <row r="67" customFormat="false" ht="15" hidden="false" customHeight="false" outlineLevel="0" collapsed="false">
      <c r="A67" s="6"/>
      <c r="B67" s="11" t="s">
        <v>124</v>
      </c>
      <c r="C67" s="22" t="n">
        <v>0.15</v>
      </c>
      <c r="D67" s="19" t="s">
        <v>38</v>
      </c>
      <c r="E67" s="20"/>
    </row>
    <row r="68" customFormat="false" ht="15" hidden="false" customHeight="false" outlineLevel="0" collapsed="false">
      <c r="A68" s="6"/>
      <c r="B68" s="11" t="s">
        <v>125</v>
      </c>
      <c r="C68" s="22" t="n">
        <v>0.3</v>
      </c>
      <c r="D68" s="19" t="s">
        <v>38</v>
      </c>
      <c r="E68" s="20"/>
    </row>
    <row r="69" customFormat="false" ht="15" hidden="false" customHeight="false" outlineLevel="0" collapsed="false">
      <c r="A69" s="6"/>
      <c r="B69" s="11" t="s">
        <v>126</v>
      </c>
      <c r="C69" s="22" t="n">
        <v>0.35</v>
      </c>
      <c r="D69" s="19" t="s">
        <v>38</v>
      </c>
      <c r="E69" s="20"/>
    </row>
    <row r="70" customFormat="false" ht="15" hidden="false" customHeight="false" outlineLevel="0" collapsed="false">
      <c r="A70" s="6"/>
      <c r="B70" s="11" t="s">
        <v>127</v>
      </c>
      <c r="C70" s="22" t="n">
        <v>0.2</v>
      </c>
      <c r="D70" s="19" t="s">
        <v>38</v>
      </c>
      <c r="E70" s="20"/>
    </row>
    <row r="71" customFormat="false" ht="15" hidden="false" customHeight="false" outlineLevel="0" collapsed="false">
      <c r="A71" s="6"/>
      <c r="B71" s="11" t="s">
        <v>128</v>
      </c>
      <c r="C71" s="18" t="n">
        <v>30</v>
      </c>
      <c r="D71" s="19" t="s">
        <v>29</v>
      </c>
      <c r="E71" s="20" t="s">
        <v>129</v>
      </c>
    </row>
    <row r="72" customFormat="false" ht="15" hidden="false" customHeight="false" outlineLevel="0" collapsed="false">
      <c r="A72" s="6"/>
      <c r="B72" s="11" t="s">
        <v>130</v>
      </c>
      <c r="C72" s="22" t="n">
        <v>0.015</v>
      </c>
      <c r="D72" s="19" t="s">
        <v>38</v>
      </c>
      <c r="E72" s="20" t="s">
        <v>131</v>
      </c>
    </row>
    <row r="73" customFormat="false" ht="15" hidden="false" customHeight="false" outlineLevel="0" collapsed="false">
      <c r="A73" s="6"/>
      <c r="B73" s="8" t="s">
        <v>132</v>
      </c>
      <c r="C73" s="9"/>
      <c r="D73" s="9"/>
      <c r="E73" s="9"/>
    </row>
    <row r="74" customFormat="false" ht="15" hidden="false" customHeight="false" outlineLevel="0" collapsed="false">
      <c r="A74" s="6"/>
      <c r="B74" s="11" t="s">
        <v>133</v>
      </c>
      <c r="C74" s="22" t="n">
        <v>0.015</v>
      </c>
      <c r="D74" s="19" t="s">
        <v>38</v>
      </c>
      <c r="E74" s="20" t="s">
        <v>134</v>
      </c>
    </row>
    <row r="75" customFormat="false" ht="15" hidden="false" customHeight="false" outlineLevel="0" collapsed="false">
      <c r="A75" s="6"/>
      <c r="B75" s="11" t="s">
        <v>135</v>
      </c>
      <c r="C75" s="22" t="n">
        <v>0.05</v>
      </c>
      <c r="D75" s="19" t="s">
        <v>38</v>
      </c>
      <c r="E75" s="20" t="s">
        <v>136</v>
      </c>
    </row>
    <row r="76" customFormat="false" ht="15" hidden="false" customHeight="false" outlineLevel="0" collapsed="false">
      <c r="A76" s="6"/>
      <c r="B76" s="11" t="s">
        <v>137</v>
      </c>
      <c r="C76" s="18" t="n">
        <v>5</v>
      </c>
      <c r="D76" s="19" t="s">
        <v>29</v>
      </c>
      <c r="E76" s="20" t="s">
        <v>138</v>
      </c>
    </row>
    <row r="77" customFormat="false" ht="15" hidden="false" customHeight="false" outlineLevel="0" collapsed="false">
      <c r="A77" s="6"/>
      <c r="B77" s="8" t="s">
        <v>139</v>
      </c>
      <c r="C77" s="9"/>
      <c r="D77" s="9"/>
      <c r="E77" s="9"/>
    </row>
    <row r="78" customFormat="false" ht="15" hidden="false" customHeight="false" outlineLevel="0" collapsed="false">
      <c r="A78" s="6"/>
      <c r="B78" s="11" t="s">
        <v>140</v>
      </c>
      <c r="C78" s="22" t="n">
        <v>0.75</v>
      </c>
      <c r="D78" s="19" t="s">
        <v>38</v>
      </c>
      <c r="E78" s="20" t="s">
        <v>141</v>
      </c>
    </row>
    <row r="79" customFormat="false" ht="15" hidden="false" customHeight="false" outlineLevel="0" collapsed="false">
      <c r="A79" s="6"/>
      <c r="B79" s="11" t="s">
        <v>142</v>
      </c>
      <c r="C79" s="22" t="n">
        <v>0.04</v>
      </c>
      <c r="D79" s="19" t="s">
        <v>38</v>
      </c>
      <c r="E79" s="20" t="s">
        <v>143</v>
      </c>
    </row>
    <row r="80" customFormat="false" ht="15" hidden="false" customHeight="false" outlineLevel="0" collapsed="false">
      <c r="A80" s="6"/>
      <c r="B80" s="11" t="s">
        <v>144</v>
      </c>
      <c r="C80" s="22" t="n">
        <v>0.0225</v>
      </c>
      <c r="D80" s="19" t="s">
        <v>38</v>
      </c>
      <c r="E80" s="20" t="s">
        <v>145</v>
      </c>
    </row>
    <row r="81" customFormat="false" ht="15" hidden="false" customHeight="false" outlineLevel="0" collapsed="false">
      <c r="A81" s="6"/>
      <c r="B81" s="11" t="s">
        <v>146</v>
      </c>
      <c r="C81" s="23" t="n">
        <f aca="false">Base_Rate+Debt_Margin</f>
        <v>0.0625</v>
      </c>
      <c r="D81" s="19" t="s">
        <v>38</v>
      </c>
      <c r="E81" s="20"/>
    </row>
    <row r="82" customFormat="false" ht="15" hidden="false" customHeight="false" outlineLevel="0" collapsed="false">
      <c r="A82" s="6"/>
      <c r="B82" s="11" t="s">
        <v>147</v>
      </c>
      <c r="C82" s="18" t="n">
        <v>25</v>
      </c>
      <c r="D82" s="19" t="s">
        <v>29</v>
      </c>
      <c r="E82" s="20" t="s">
        <v>148</v>
      </c>
    </row>
    <row r="83" customFormat="false" ht="15" hidden="false" customHeight="false" outlineLevel="0" collapsed="false">
      <c r="A83" s="6"/>
      <c r="B83" s="11" t="s">
        <v>149</v>
      </c>
      <c r="C83" s="18" t="n">
        <v>6</v>
      </c>
      <c r="D83" s="19" t="s">
        <v>150</v>
      </c>
      <c r="E83" s="20" t="s">
        <v>151</v>
      </c>
    </row>
    <row r="84" customFormat="false" ht="15" hidden="false" customHeight="false" outlineLevel="0" collapsed="false">
      <c r="A84" s="6"/>
      <c r="B84" s="8" t="s">
        <v>152</v>
      </c>
      <c r="C84" s="9"/>
      <c r="D84" s="9"/>
      <c r="E84" s="9"/>
    </row>
    <row r="85" customFormat="false" ht="15" hidden="false" customHeight="false" outlineLevel="0" collapsed="false">
      <c r="A85" s="6"/>
      <c r="B85" s="11" t="s">
        <v>153</v>
      </c>
      <c r="C85" s="22" t="n">
        <v>0.1</v>
      </c>
      <c r="D85" s="19" t="s">
        <v>38</v>
      </c>
      <c r="E85" s="20" t="s">
        <v>154</v>
      </c>
    </row>
    <row r="86" customFormat="false" ht="15" hidden="false" customHeight="false" outlineLevel="0" collapsed="false">
      <c r="A86" s="6"/>
      <c r="B86" s="11" t="s">
        <v>155</v>
      </c>
      <c r="C86" s="22" t="n">
        <v>0.08</v>
      </c>
      <c r="D86" s="19" t="s">
        <v>38</v>
      </c>
      <c r="E86" s="20" t="s">
        <v>156</v>
      </c>
    </row>
    <row r="87" customFormat="false" ht="15" hidden="false" customHeight="false" outlineLevel="0" collapsed="false">
      <c r="A87" s="6"/>
      <c r="B87" s="11" t="s">
        <v>157</v>
      </c>
      <c r="C87" s="22" t="n">
        <v>0.12</v>
      </c>
      <c r="D87" s="19" t="s">
        <v>38</v>
      </c>
      <c r="E87" s="20" t="s">
        <v>158</v>
      </c>
    </row>
    <row r="88" customFormat="false" ht="15" hidden="false" customHeight="false" outlineLevel="0" collapsed="false">
      <c r="A88" s="6"/>
      <c r="B88" s="11" t="s">
        <v>159</v>
      </c>
      <c r="C88" s="24" t="n">
        <v>1.3</v>
      </c>
      <c r="D88" s="19" t="s">
        <v>160</v>
      </c>
      <c r="E88" s="20" t="s">
        <v>161</v>
      </c>
    </row>
    <row r="89" customFormat="false" ht="15" hidden="false" customHeight="false" outlineLevel="0" collapsed="false">
      <c r="A89" s="6"/>
      <c r="B89" s="11" t="s">
        <v>162</v>
      </c>
      <c r="C89" s="24" t="n">
        <v>1.2</v>
      </c>
      <c r="D89" s="19" t="s">
        <v>160</v>
      </c>
      <c r="E89" s="20" t="s">
        <v>163</v>
      </c>
    </row>
    <row r="90" customFormat="false" ht="15" hidden="false" customHeight="false" outlineLevel="0" collapsed="false">
      <c r="A90" s="6"/>
      <c r="B90" s="11" t="s">
        <v>164</v>
      </c>
      <c r="C90" s="24" t="n">
        <v>1.3</v>
      </c>
      <c r="D90" s="19" t="s">
        <v>160</v>
      </c>
      <c r="E90" s="20" t="s">
        <v>165</v>
      </c>
    </row>
    <row r="91" customFormat="false" ht="15" hidden="false" customHeight="false" outlineLevel="0" collapsed="false">
      <c r="A91" s="6"/>
      <c r="B91" s="11" t="s">
        <v>166</v>
      </c>
      <c r="C91" s="24" t="n">
        <v>1.4</v>
      </c>
      <c r="D91" s="19" t="s">
        <v>160</v>
      </c>
      <c r="E91" s="20" t="s">
        <v>167</v>
      </c>
    </row>
    <row r="92" customFormat="false" ht="15" hidden="false" customHeight="false" outlineLevel="0" collapsed="false">
      <c r="A92" s="6"/>
      <c r="B92" s="11" t="s">
        <v>168</v>
      </c>
      <c r="C92" s="24" t="n">
        <v>1.5</v>
      </c>
      <c r="D92" s="19" t="s">
        <v>160</v>
      </c>
      <c r="E92" s="20" t="s">
        <v>169</v>
      </c>
    </row>
    <row r="93" customFormat="false" ht="15" hidden="false" customHeight="false" outlineLevel="0" collapsed="false">
      <c r="A93" s="6"/>
      <c r="B93" s="11" t="s">
        <v>170</v>
      </c>
      <c r="C93" s="22" t="n">
        <v>0.45</v>
      </c>
      <c r="D93" s="19" t="s">
        <v>38</v>
      </c>
      <c r="E93" s="20" t="s">
        <v>171</v>
      </c>
    </row>
    <row r="94" customFormat="false" ht="15" hidden="false" customHeight="false" outlineLevel="0" collapsed="false">
      <c r="A94" s="6"/>
      <c r="B94" s="11" t="s">
        <v>172</v>
      </c>
      <c r="C94" s="22" t="n">
        <v>0.65</v>
      </c>
      <c r="D94" s="19" t="s">
        <v>38</v>
      </c>
      <c r="E94" s="20" t="s">
        <v>173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J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174</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179</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180</v>
      </c>
      <c r="C8" s="21" t="n">
        <f aca="false">Base_Pax</f>
        <v>14000000</v>
      </c>
      <c r="D8" s="21" t="n">
        <f aca="false">Base_Pax</f>
        <v>14000000</v>
      </c>
      <c r="E8" s="21" t="n">
        <f aca="false">Base_Pax</f>
        <v>14000000</v>
      </c>
      <c r="F8" s="21" t="n">
        <f aca="false">Base_Pax</f>
        <v>14000000</v>
      </c>
      <c r="G8" s="21" t="n">
        <f aca="false">Base_Pax</f>
        <v>14000000</v>
      </c>
      <c r="H8" s="21" t="n">
        <f aca="false">Base_Pax</f>
        <v>14000000</v>
      </c>
      <c r="I8" s="21" t="n">
        <f aca="false">Base_Pax</f>
        <v>14000000</v>
      </c>
      <c r="J8" s="21" t="n">
        <f aca="false">Base_Pax</f>
        <v>14000000</v>
      </c>
      <c r="K8" s="21" t="n">
        <f aca="false">Base_Pax</f>
        <v>14000000</v>
      </c>
      <c r="L8" s="21" t="n">
        <f aca="false">Base_Pax</f>
        <v>14000000</v>
      </c>
      <c r="M8" s="21" t="n">
        <f aca="false">Base_Pax</f>
        <v>14000000</v>
      </c>
      <c r="N8" s="21" t="n">
        <f aca="false">Base_Pax</f>
        <v>14000000</v>
      </c>
      <c r="O8" s="21" t="n">
        <f aca="false">Base_Pax</f>
        <v>14000000</v>
      </c>
      <c r="P8" s="21" t="n">
        <f aca="false">Base_Pax</f>
        <v>14000000</v>
      </c>
      <c r="Q8" s="21" t="n">
        <f aca="false">Base_Pax</f>
        <v>14000000</v>
      </c>
      <c r="R8" s="21" t="n">
        <f aca="false">Base_Pax</f>
        <v>14000000</v>
      </c>
      <c r="S8" s="21" t="n">
        <f aca="false">Base_Pax</f>
        <v>14000000</v>
      </c>
      <c r="T8" s="21" t="n">
        <f aca="false">Base_Pax</f>
        <v>14000000</v>
      </c>
      <c r="U8" s="21" t="n">
        <f aca="false">Base_Pax</f>
        <v>14000000</v>
      </c>
      <c r="V8" s="21" t="n">
        <f aca="false">Base_Pax</f>
        <v>14000000</v>
      </c>
      <c r="W8" s="21" t="n">
        <f aca="false">Base_Pax</f>
        <v>14000000</v>
      </c>
      <c r="X8" s="21" t="n">
        <f aca="false">Base_Pax</f>
        <v>14000000</v>
      </c>
      <c r="Y8" s="21" t="n">
        <f aca="false">Base_Pax</f>
        <v>14000000</v>
      </c>
      <c r="Z8" s="21" t="n">
        <f aca="false">Base_Pax</f>
        <v>14000000</v>
      </c>
      <c r="AA8" s="21" t="n">
        <f aca="false">Base_Pax</f>
        <v>14000000</v>
      </c>
      <c r="AB8" s="21" t="n">
        <f aca="false">Base_Pax</f>
        <v>14000000</v>
      </c>
      <c r="AC8" s="21" t="n">
        <f aca="false">Base_Pax</f>
        <v>14000000</v>
      </c>
      <c r="AD8" s="21" t="n">
        <f aca="false">Base_Pax</f>
        <v>14000000</v>
      </c>
      <c r="AE8" s="21" t="n">
        <f aca="false">Base_Pax</f>
        <v>14000000</v>
      </c>
      <c r="AF8" s="21" t="n">
        <f aca="false">Base_Pax</f>
        <v>14000000</v>
      </c>
      <c r="AG8" s="21" t="n">
        <f aca="false">Base_Pax</f>
        <v>14000000</v>
      </c>
      <c r="AH8" s="21" t="n">
        <f aca="false">Base_Pax</f>
        <v>14000000</v>
      </c>
      <c r="AI8" s="21" t="n">
        <f aca="false">Base_Pax</f>
        <v>14000000</v>
      </c>
      <c r="AJ8" s="21" t="n">
        <f aca="false">Base_Pax</f>
        <v>14000000</v>
      </c>
    </row>
    <row r="9" customFormat="false" ht="15" hidden="false" customHeight="false" outlineLevel="0" collapsed="false">
      <c r="A9" s="6"/>
      <c r="B9" s="11" t="s">
        <v>181</v>
      </c>
      <c r="C9" s="23" t="n">
        <v>0</v>
      </c>
      <c r="D9" s="23" t="n">
        <v>0</v>
      </c>
      <c r="E9" s="23" t="n">
        <v>0</v>
      </c>
      <c r="F9" s="23" t="n">
        <v>0</v>
      </c>
      <c r="G9" s="23" t="n">
        <f aca="false">Ramp_Y1</f>
        <v>0.97</v>
      </c>
      <c r="H9" s="23" t="n">
        <f aca="false">Ramp_Y2</f>
        <v>0.99</v>
      </c>
      <c r="I9" s="23" t="n">
        <f aca="false">Ramp_Y3</f>
        <v>1</v>
      </c>
      <c r="J9" s="23" t="n">
        <v>1</v>
      </c>
      <c r="K9" s="23" t="n">
        <v>1</v>
      </c>
      <c r="L9" s="23" t="n">
        <v>1</v>
      </c>
      <c r="M9" s="23" t="n">
        <v>1</v>
      </c>
      <c r="N9" s="23" t="n">
        <v>1</v>
      </c>
      <c r="O9" s="23" t="n">
        <v>1</v>
      </c>
      <c r="P9" s="23" t="n">
        <v>1</v>
      </c>
      <c r="Q9" s="23" t="n">
        <v>1</v>
      </c>
      <c r="R9" s="23" t="n">
        <v>1</v>
      </c>
      <c r="S9" s="23" t="n">
        <v>1</v>
      </c>
      <c r="T9" s="23" t="n">
        <v>1</v>
      </c>
      <c r="U9" s="23" t="n">
        <v>1</v>
      </c>
      <c r="V9" s="23" t="n">
        <v>1</v>
      </c>
      <c r="W9" s="23" t="n">
        <v>1</v>
      </c>
      <c r="X9" s="23" t="n">
        <v>1</v>
      </c>
      <c r="Y9" s="23" t="n">
        <v>1</v>
      </c>
      <c r="Z9" s="23" t="n">
        <v>1</v>
      </c>
      <c r="AA9" s="23" t="n">
        <v>1</v>
      </c>
      <c r="AB9" s="23" t="n">
        <v>1</v>
      </c>
      <c r="AC9" s="23" t="n">
        <v>1</v>
      </c>
      <c r="AD9" s="23" t="n">
        <v>1</v>
      </c>
      <c r="AE9" s="23" t="n">
        <v>1</v>
      </c>
      <c r="AF9" s="23" t="n">
        <v>1</v>
      </c>
      <c r="AG9" s="23" t="n">
        <v>1</v>
      </c>
      <c r="AH9" s="23" t="n">
        <v>1</v>
      </c>
      <c r="AI9" s="23" t="n">
        <v>1</v>
      </c>
      <c r="AJ9" s="23" t="n">
        <v>1</v>
      </c>
    </row>
    <row r="10" customFormat="false" ht="15" hidden="false" customHeight="false" outlineLevel="0" collapsed="false">
      <c r="A10" s="6"/>
      <c r="B10" s="11" t="s">
        <v>182</v>
      </c>
      <c r="C10" s="21" t="n">
        <v>0</v>
      </c>
      <c r="D10" s="21" t="n">
        <v>0</v>
      </c>
      <c r="E10" s="21" t="n">
        <v>0</v>
      </c>
      <c r="F10" s="21" t="n">
        <v>0</v>
      </c>
      <c r="G10" s="21" t="n">
        <f aca="false">G8*G9</f>
        <v>13580000</v>
      </c>
      <c r="H10" s="21" t="n">
        <f aca="false">H8*H9</f>
        <v>13860000</v>
      </c>
      <c r="I10" s="21" t="n">
        <f aca="false">I8*I9</f>
        <v>14000000</v>
      </c>
      <c r="J10" s="21" t="n">
        <f aca="false">I10*(1+Pax_Growth)</f>
        <v>14350000</v>
      </c>
      <c r="K10" s="21" t="n">
        <f aca="false">J10*(1+Pax_Growth)</f>
        <v>14708750</v>
      </c>
      <c r="L10" s="21" t="n">
        <f aca="false">K10*(1+Pax_Growth)</f>
        <v>15076468.75</v>
      </c>
      <c r="M10" s="21" t="n">
        <f aca="false">L10*(1+Pax_Growth)</f>
        <v>15453380.46875</v>
      </c>
      <c r="N10" s="21" t="n">
        <f aca="false">M10*(1+Pax_Growth)</f>
        <v>15839714.9804687</v>
      </c>
      <c r="O10" s="21" t="n">
        <f aca="false">N10*(1+Pax_Growth)</f>
        <v>16235707.8549805</v>
      </c>
      <c r="P10" s="21" t="n">
        <f aca="false">O10*(1+Pax_Growth)</f>
        <v>16641600.551355</v>
      </c>
      <c r="Q10" s="21" t="n">
        <f aca="false">P10*(1+Pax_Growth)</f>
        <v>17057640.5651388</v>
      </c>
      <c r="R10" s="21" t="n">
        <f aca="false">Q10*(1+Pax_Growth)</f>
        <v>17484081.5792673</v>
      </c>
      <c r="S10" s="21" t="n">
        <f aca="false">R10*(1+Pax_Growth)</f>
        <v>17921183.618749</v>
      </c>
      <c r="T10" s="21" t="n">
        <f aca="false">S10*(1+Pax_Growth)</f>
        <v>18369213.2092177</v>
      </c>
      <c r="U10" s="21" t="n">
        <f aca="false">T10*(1+Pax_Growth)</f>
        <v>18828443.5394482</v>
      </c>
      <c r="V10" s="21" t="n">
        <f aca="false">U10*(1+Pax_Growth)</f>
        <v>19299154.6279344</v>
      </c>
      <c r="W10" s="21" t="n">
        <f aca="false">V10*(1+Pax_Growth)</f>
        <v>19781633.4936327</v>
      </c>
      <c r="X10" s="21" t="n">
        <f aca="false">W10*(1+Pax_Growth)</f>
        <v>20276174.3309735</v>
      </c>
      <c r="Y10" s="21" t="n">
        <f aca="false">X10*(1+Pax_Growth)</f>
        <v>20783078.6892479</v>
      </c>
      <c r="Z10" s="21" t="n">
        <f aca="false">Y10*(1+Pax_Growth)</f>
        <v>21302655.6564791</v>
      </c>
      <c r="AA10" s="21" t="n">
        <f aca="false">Z10*(1+Pax_Growth)</f>
        <v>21835222.047891</v>
      </c>
      <c r="AB10" s="21" t="n">
        <f aca="false">AA10*(1+Pax_Growth)</f>
        <v>22381102.5990883</v>
      </c>
      <c r="AC10" s="21" t="n">
        <f aca="false">AB10*(1+Pax_Growth)</f>
        <v>22940630.1640655</v>
      </c>
      <c r="AD10" s="21" t="n">
        <f aca="false">AC10*(1+Pax_Growth)</f>
        <v>23514145.9181672</v>
      </c>
      <c r="AE10" s="21" t="n">
        <f aca="false">AD10*(1+Pax_Growth)</f>
        <v>24101999.5661213</v>
      </c>
      <c r="AF10" s="21" t="n">
        <f aca="false">AE10*(1+Pax_Growth)</f>
        <v>24704549.5552744</v>
      </c>
      <c r="AG10" s="21" t="n">
        <f aca="false">AF10*(1+Pax_Growth)</f>
        <v>25322163.2941562</v>
      </c>
      <c r="AH10" s="21" t="n">
        <f aca="false">AG10*(1+Pax_Growth)</f>
        <v>25955217.3765101</v>
      </c>
      <c r="AI10" s="21" t="n">
        <f aca="false">AH10*(1+Pax_Growth)</f>
        <v>26604097.8109229</v>
      </c>
      <c r="AJ10" s="21" t="n">
        <f aca="false">AI10*(1+Pax_Growth)</f>
        <v>27269200.2561959</v>
      </c>
    </row>
    <row r="11" customFormat="false" ht="15" hidden="false" customHeight="false" outlineLevel="0" collapsed="false">
      <c r="A11" s="6"/>
      <c r="B11" s="11" t="s">
        <v>183</v>
      </c>
      <c r="C11" s="21" t="n">
        <v>0</v>
      </c>
      <c r="D11" s="21" t="n">
        <v>0</v>
      </c>
      <c r="E11" s="21" t="n">
        <v>0</v>
      </c>
      <c r="F11" s="21" t="n">
        <v>0</v>
      </c>
      <c r="G11" s="21" t="n">
        <f aca="false">Terminal_Capacity</f>
        <v>20000000</v>
      </c>
      <c r="H11" s="21" t="n">
        <f aca="false">Terminal_Capacity</f>
        <v>20000000</v>
      </c>
      <c r="I11" s="21" t="n">
        <f aca="false">Terminal_Capacity</f>
        <v>20000000</v>
      </c>
      <c r="J11" s="21" t="n">
        <f aca="false">Terminal_Capacity</f>
        <v>20000000</v>
      </c>
      <c r="K11" s="21" t="n">
        <f aca="false">Terminal_Capacity</f>
        <v>20000000</v>
      </c>
      <c r="L11" s="21" t="n">
        <f aca="false">Terminal_Capacity</f>
        <v>20000000</v>
      </c>
      <c r="M11" s="21" t="n">
        <f aca="false">Terminal_Capacity</f>
        <v>20000000</v>
      </c>
      <c r="N11" s="21" t="n">
        <f aca="false">Terminal_Capacity</f>
        <v>20000000</v>
      </c>
      <c r="O11" s="21" t="n">
        <f aca="false">Terminal_Capacity</f>
        <v>20000000</v>
      </c>
      <c r="P11" s="21" t="n">
        <f aca="false">Terminal_Capacity</f>
        <v>20000000</v>
      </c>
      <c r="Q11" s="21" t="n">
        <f aca="false">Terminal_Capacity</f>
        <v>20000000</v>
      </c>
      <c r="R11" s="21" t="n">
        <f aca="false">Terminal_Capacity</f>
        <v>20000000</v>
      </c>
      <c r="S11" s="21" t="n">
        <f aca="false">Terminal_Capacity</f>
        <v>20000000</v>
      </c>
      <c r="T11" s="21" t="n">
        <f aca="false">Terminal_Capacity</f>
        <v>20000000</v>
      </c>
      <c r="U11" s="21" t="n">
        <f aca="false">Terminal_Capacity</f>
        <v>20000000</v>
      </c>
      <c r="V11" s="21" t="n">
        <f aca="false">Terminal_Capacity</f>
        <v>20000000</v>
      </c>
      <c r="W11" s="21" t="n">
        <f aca="false">Terminal_Capacity</f>
        <v>20000000</v>
      </c>
      <c r="X11" s="21" t="n">
        <f aca="false">Terminal_Capacity</f>
        <v>20000000</v>
      </c>
      <c r="Y11" s="21" t="n">
        <f aca="false">Terminal_Capacity</f>
        <v>20000000</v>
      </c>
      <c r="Z11" s="21" t="n">
        <f aca="false">Terminal_Capacity</f>
        <v>20000000</v>
      </c>
      <c r="AA11" s="21" t="n">
        <f aca="false">Terminal_Capacity</f>
        <v>20000000</v>
      </c>
      <c r="AB11" s="21" t="n">
        <f aca="false">Terminal_Capacity</f>
        <v>20000000</v>
      </c>
      <c r="AC11" s="21" t="n">
        <f aca="false">Terminal_Capacity</f>
        <v>20000000</v>
      </c>
      <c r="AD11" s="21" t="n">
        <f aca="false">Terminal_Capacity</f>
        <v>20000000</v>
      </c>
      <c r="AE11" s="21" t="n">
        <f aca="false">Terminal_Capacity</f>
        <v>20000000</v>
      </c>
      <c r="AF11" s="21" t="n">
        <f aca="false">Terminal_Capacity</f>
        <v>20000000</v>
      </c>
      <c r="AG11" s="21" t="n">
        <f aca="false">Terminal_Capacity</f>
        <v>20000000</v>
      </c>
      <c r="AH11" s="21" t="n">
        <f aca="false">Terminal_Capacity</f>
        <v>20000000</v>
      </c>
      <c r="AI11" s="21" t="n">
        <f aca="false">Terminal_Capacity</f>
        <v>20000000</v>
      </c>
      <c r="AJ11" s="21" t="n">
        <f aca="false">Terminal_Capacity</f>
        <v>20000000</v>
      </c>
    </row>
    <row r="12" customFormat="false" ht="15" hidden="false" customHeight="false" outlineLevel="0" collapsed="false">
      <c r="A12" s="6"/>
      <c r="B12" s="28" t="s">
        <v>184</v>
      </c>
      <c r="C12" s="29" t="n">
        <v>0</v>
      </c>
      <c r="D12" s="29" t="n">
        <v>0</v>
      </c>
      <c r="E12" s="29" t="n">
        <v>0</v>
      </c>
      <c r="F12" s="29" t="n">
        <v>0</v>
      </c>
      <c r="G12" s="29" t="n">
        <f aca="false">MIN(G10,G11)</f>
        <v>13580000</v>
      </c>
      <c r="H12" s="29" t="n">
        <f aca="false">MIN(H10,H11)</f>
        <v>13860000</v>
      </c>
      <c r="I12" s="29" t="n">
        <f aca="false">MIN(I10,I11)</f>
        <v>14000000</v>
      </c>
      <c r="J12" s="29" t="n">
        <f aca="false">MIN(J10,J11)</f>
        <v>14350000</v>
      </c>
      <c r="K12" s="29" t="n">
        <f aca="false">MIN(K10,K11)</f>
        <v>14708750</v>
      </c>
      <c r="L12" s="29" t="n">
        <f aca="false">MIN(L10,L11)</f>
        <v>15076468.75</v>
      </c>
      <c r="M12" s="29" t="n">
        <f aca="false">MIN(M10,M11)</f>
        <v>15453380.46875</v>
      </c>
      <c r="N12" s="29" t="n">
        <f aca="false">MIN(N10,N11)</f>
        <v>15839714.9804687</v>
      </c>
      <c r="O12" s="29" t="n">
        <f aca="false">MIN(O10,O11)</f>
        <v>16235707.8549805</v>
      </c>
      <c r="P12" s="29" t="n">
        <f aca="false">MIN(P10,P11)</f>
        <v>16641600.551355</v>
      </c>
      <c r="Q12" s="29" t="n">
        <f aca="false">MIN(Q10,Q11)</f>
        <v>17057640.5651388</v>
      </c>
      <c r="R12" s="29" t="n">
        <f aca="false">MIN(R10,R11)</f>
        <v>17484081.5792673</v>
      </c>
      <c r="S12" s="29" t="n">
        <f aca="false">MIN(S10,S11)</f>
        <v>17921183.618749</v>
      </c>
      <c r="T12" s="29" t="n">
        <f aca="false">MIN(T10,T11)</f>
        <v>18369213.2092177</v>
      </c>
      <c r="U12" s="29" t="n">
        <f aca="false">MIN(U10,U11)</f>
        <v>18828443.5394482</v>
      </c>
      <c r="V12" s="29" t="n">
        <f aca="false">MIN(V10,V11)</f>
        <v>19299154.6279344</v>
      </c>
      <c r="W12" s="29" t="n">
        <f aca="false">MIN(W10,W11)</f>
        <v>19781633.4936327</v>
      </c>
      <c r="X12" s="29" t="n">
        <f aca="false">MIN(X10,X11)</f>
        <v>20000000</v>
      </c>
      <c r="Y12" s="29" t="n">
        <f aca="false">MIN(Y10,Y11)</f>
        <v>20000000</v>
      </c>
      <c r="Z12" s="29" t="n">
        <f aca="false">MIN(Z10,Z11)</f>
        <v>20000000</v>
      </c>
      <c r="AA12" s="29" t="n">
        <f aca="false">MIN(AA10,AA11)</f>
        <v>20000000</v>
      </c>
      <c r="AB12" s="29" t="n">
        <f aca="false">MIN(AB10,AB11)</f>
        <v>20000000</v>
      </c>
      <c r="AC12" s="29" t="n">
        <f aca="false">MIN(AC10,AC11)</f>
        <v>20000000</v>
      </c>
      <c r="AD12" s="29" t="n">
        <f aca="false">MIN(AD10,AD11)</f>
        <v>20000000</v>
      </c>
      <c r="AE12" s="29" t="n">
        <f aca="false">MIN(AE10,AE11)</f>
        <v>20000000</v>
      </c>
      <c r="AF12" s="29" t="n">
        <f aca="false">MIN(AF10,AF11)</f>
        <v>20000000</v>
      </c>
      <c r="AG12" s="29" t="n">
        <f aca="false">MIN(AG10,AG11)</f>
        <v>20000000</v>
      </c>
      <c r="AH12" s="29" t="n">
        <f aca="false">MIN(AH10,AH11)</f>
        <v>20000000</v>
      </c>
      <c r="AI12" s="29" t="n">
        <f aca="false">MIN(AI10,AI11)</f>
        <v>20000000</v>
      </c>
      <c r="AJ12" s="29" t="n">
        <f aca="false">MIN(AJ10,AJ11)</f>
        <v>20000000</v>
      </c>
    </row>
    <row r="13" customFormat="false" ht="15" hidden="false" customHeight="false" outlineLevel="0" collapsed="false">
      <c r="A13" s="6"/>
      <c r="B13" s="11" t="s">
        <v>185</v>
      </c>
      <c r="C13" s="23" t="n">
        <v>0</v>
      </c>
      <c r="D13" s="23" t="n">
        <v>0</v>
      </c>
      <c r="E13" s="23" t="n">
        <v>0</v>
      </c>
      <c r="F13" s="23" t="n">
        <v>0</v>
      </c>
      <c r="G13" s="23" t="n">
        <f aca="false">IFERROR(G12/G11,0)</f>
        <v>0.679</v>
      </c>
      <c r="H13" s="23" t="n">
        <f aca="false">IFERROR(H12/H11,0)</f>
        <v>0.693</v>
      </c>
      <c r="I13" s="23" t="n">
        <f aca="false">IFERROR(I12/I11,0)</f>
        <v>0.7</v>
      </c>
      <c r="J13" s="23" t="n">
        <f aca="false">IFERROR(J12/J11,0)</f>
        <v>0.7175</v>
      </c>
      <c r="K13" s="23" t="n">
        <f aca="false">IFERROR(K12/K11,0)</f>
        <v>0.7354375</v>
      </c>
      <c r="L13" s="23" t="n">
        <f aca="false">IFERROR(L12/L11,0)</f>
        <v>0.7538234375</v>
      </c>
      <c r="M13" s="23" t="n">
        <f aca="false">IFERROR(M12/M11,0)</f>
        <v>0.7726690234375</v>
      </c>
      <c r="N13" s="23" t="n">
        <f aca="false">IFERROR(N12/N11,0)</f>
        <v>0.791985749023437</v>
      </c>
      <c r="O13" s="23" t="n">
        <f aca="false">IFERROR(O12/O11,0)</f>
        <v>0.811785392749023</v>
      </c>
      <c r="P13" s="23" t="n">
        <f aca="false">IFERROR(P12/P11,0)</f>
        <v>0.832080027567748</v>
      </c>
      <c r="Q13" s="23" t="n">
        <f aca="false">IFERROR(Q12/Q11,0)</f>
        <v>0.852882028256942</v>
      </c>
      <c r="R13" s="23" t="n">
        <f aca="false">IFERROR(R12/R11,0)</f>
        <v>0.874204078963365</v>
      </c>
      <c r="S13" s="23" t="n">
        <f aca="false">IFERROR(S12/S11,0)</f>
        <v>0.896059180937449</v>
      </c>
      <c r="T13" s="23" t="n">
        <f aca="false">IFERROR(T12/T11,0)</f>
        <v>0.918460660460886</v>
      </c>
      <c r="U13" s="23" t="n">
        <f aca="false">IFERROR(U12/U11,0)</f>
        <v>0.941422176972408</v>
      </c>
      <c r="V13" s="23" t="n">
        <f aca="false">IFERROR(V12/V11,0)</f>
        <v>0.964957731396718</v>
      </c>
      <c r="W13" s="23" t="n">
        <f aca="false">IFERROR(W12/W11,0)</f>
        <v>0.989081674681636</v>
      </c>
      <c r="X13" s="23" t="n">
        <f aca="false">IFERROR(X12/X11,0)</f>
        <v>1</v>
      </c>
      <c r="Y13" s="23" t="n">
        <f aca="false">IFERROR(Y12/Y11,0)</f>
        <v>1</v>
      </c>
      <c r="Z13" s="23" t="n">
        <f aca="false">IFERROR(Z12/Z11,0)</f>
        <v>1</v>
      </c>
      <c r="AA13" s="23" t="n">
        <f aca="false">IFERROR(AA12/AA11,0)</f>
        <v>1</v>
      </c>
      <c r="AB13" s="23" t="n">
        <f aca="false">IFERROR(AB12/AB11,0)</f>
        <v>1</v>
      </c>
      <c r="AC13" s="23" t="n">
        <f aca="false">IFERROR(AC12/AC11,0)</f>
        <v>1</v>
      </c>
      <c r="AD13" s="23" t="n">
        <f aca="false">IFERROR(AD12/AD11,0)</f>
        <v>1</v>
      </c>
      <c r="AE13" s="23" t="n">
        <f aca="false">IFERROR(AE12/AE11,0)</f>
        <v>1</v>
      </c>
      <c r="AF13" s="23" t="n">
        <f aca="false">IFERROR(AF12/AF11,0)</f>
        <v>1</v>
      </c>
      <c r="AG13" s="23" t="n">
        <f aca="false">IFERROR(AG12/AG11,0)</f>
        <v>1</v>
      </c>
      <c r="AH13" s="23" t="n">
        <f aca="false">IFERROR(AH12/AH11,0)</f>
        <v>1</v>
      </c>
      <c r="AI13" s="23" t="n">
        <f aca="false">IFERROR(AI12/AI11,0)</f>
        <v>1</v>
      </c>
      <c r="AJ13" s="23" t="n">
        <f aca="false">IFERROR(AJ12/AJ11,0)</f>
        <v>1</v>
      </c>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customFormat="false" ht="15" hidden="false" customHeight="false" outlineLevel="0" collapsed="false">
      <c r="A15" s="6"/>
      <c r="B15" s="8" t="s">
        <v>186</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row>
    <row r="16" customFormat="false" ht="15" hidden="false" customHeight="false" outlineLevel="0" collapsed="false">
      <c r="A16" s="6"/>
      <c r="B16" s="11" t="s">
        <v>187</v>
      </c>
      <c r="C16" s="21" t="n">
        <v>0</v>
      </c>
      <c r="D16" s="21" t="n">
        <v>0</v>
      </c>
      <c r="E16" s="21" t="n">
        <v>0</v>
      </c>
      <c r="F16" s="21" t="n">
        <v>0</v>
      </c>
      <c r="G16" s="21" t="n">
        <f aca="false">G12*Pax_Dom_Pct</f>
        <v>8148000</v>
      </c>
      <c r="H16" s="21" t="n">
        <f aca="false">H12*Pax_Dom_Pct</f>
        <v>8316000</v>
      </c>
      <c r="I16" s="21" t="n">
        <f aca="false">I12*Pax_Dom_Pct</f>
        <v>8400000</v>
      </c>
      <c r="J16" s="21" t="n">
        <f aca="false">J12*Pax_Dom_Pct</f>
        <v>8610000</v>
      </c>
      <c r="K16" s="21" t="n">
        <f aca="false">K12*Pax_Dom_Pct</f>
        <v>8825250</v>
      </c>
      <c r="L16" s="21" t="n">
        <f aca="false">L12*Pax_Dom_Pct</f>
        <v>9045881.25</v>
      </c>
      <c r="M16" s="21" t="n">
        <f aca="false">M12*Pax_Dom_Pct</f>
        <v>9272028.28124999</v>
      </c>
      <c r="N16" s="21" t="n">
        <f aca="false">N12*Pax_Dom_Pct</f>
        <v>9503828.98828124</v>
      </c>
      <c r="O16" s="21" t="n">
        <f aca="false">O12*Pax_Dom_Pct</f>
        <v>9741424.71298827</v>
      </c>
      <c r="P16" s="21" t="n">
        <f aca="false">P12*Pax_Dom_Pct</f>
        <v>9984960.33081298</v>
      </c>
      <c r="Q16" s="21" t="n">
        <f aca="false">Q12*Pax_Dom_Pct</f>
        <v>10234584.3390833</v>
      </c>
      <c r="R16" s="21" t="n">
        <f aca="false">R12*Pax_Dom_Pct</f>
        <v>10490448.9475604</v>
      </c>
      <c r="S16" s="21" t="n">
        <f aca="false">S12*Pax_Dom_Pct</f>
        <v>10752710.1712494</v>
      </c>
      <c r="T16" s="21" t="n">
        <f aca="false">T12*Pax_Dom_Pct</f>
        <v>11021527.9255306</v>
      </c>
      <c r="U16" s="21" t="n">
        <f aca="false">U12*Pax_Dom_Pct</f>
        <v>11297066.1236689</v>
      </c>
      <c r="V16" s="21" t="n">
        <f aca="false">V12*Pax_Dom_Pct</f>
        <v>11579492.7767606</v>
      </c>
      <c r="W16" s="21" t="n">
        <f aca="false">W12*Pax_Dom_Pct</f>
        <v>11868980.0961796</v>
      </c>
      <c r="X16" s="21" t="n">
        <f aca="false">X12*Pax_Dom_Pct</f>
        <v>12000000</v>
      </c>
      <c r="Y16" s="21" t="n">
        <f aca="false">Y12*Pax_Dom_Pct</f>
        <v>12000000</v>
      </c>
      <c r="Z16" s="21" t="n">
        <f aca="false">Z12*Pax_Dom_Pct</f>
        <v>12000000</v>
      </c>
      <c r="AA16" s="21" t="n">
        <f aca="false">AA12*Pax_Dom_Pct</f>
        <v>12000000</v>
      </c>
      <c r="AB16" s="21" t="n">
        <f aca="false">AB12*Pax_Dom_Pct</f>
        <v>12000000</v>
      </c>
      <c r="AC16" s="21" t="n">
        <f aca="false">AC12*Pax_Dom_Pct</f>
        <v>12000000</v>
      </c>
      <c r="AD16" s="21" t="n">
        <f aca="false">AD12*Pax_Dom_Pct</f>
        <v>12000000</v>
      </c>
      <c r="AE16" s="21" t="n">
        <f aca="false">AE12*Pax_Dom_Pct</f>
        <v>12000000</v>
      </c>
      <c r="AF16" s="21" t="n">
        <f aca="false">AF12*Pax_Dom_Pct</f>
        <v>12000000</v>
      </c>
      <c r="AG16" s="21" t="n">
        <f aca="false">AG12*Pax_Dom_Pct</f>
        <v>12000000</v>
      </c>
      <c r="AH16" s="21" t="n">
        <f aca="false">AH12*Pax_Dom_Pct</f>
        <v>12000000</v>
      </c>
      <c r="AI16" s="21" t="n">
        <f aca="false">AI12*Pax_Dom_Pct</f>
        <v>12000000</v>
      </c>
      <c r="AJ16" s="21" t="n">
        <f aca="false">AJ12*Pax_Dom_Pct</f>
        <v>12000000</v>
      </c>
    </row>
    <row r="17" customFormat="false" ht="15" hidden="false" customHeight="false" outlineLevel="0" collapsed="false">
      <c r="A17" s="6"/>
      <c r="B17" s="11" t="s">
        <v>188</v>
      </c>
      <c r="C17" s="21" t="n">
        <v>0</v>
      </c>
      <c r="D17" s="21" t="n">
        <v>0</v>
      </c>
      <c r="E17" s="21" t="n">
        <v>0</v>
      </c>
      <c r="F17" s="21" t="n">
        <v>0</v>
      </c>
      <c r="G17" s="21" t="n">
        <f aca="false">G12*Pax_Intl_Pct</f>
        <v>4074000</v>
      </c>
      <c r="H17" s="21" t="n">
        <f aca="false">H12*Pax_Intl_Pct</f>
        <v>4158000</v>
      </c>
      <c r="I17" s="21" t="n">
        <f aca="false">I12*Pax_Intl_Pct</f>
        <v>4200000</v>
      </c>
      <c r="J17" s="21" t="n">
        <f aca="false">J12*Pax_Intl_Pct</f>
        <v>4305000</v>
      </c>
      <c r="K17" s="21" t="n">
        <f aca="false">K12*Pax_Intl_Pct</f>
        <v>4412625</v>
      </c>
      <c r="L17" s="21" t="n">
        <f aca="false">L12*Pax_Intl_Pct</f>
        <v>4522940.625</v>
      </c>
      <c r="M17" s="21" t="n">
        <f aca="false">M12*Pax_Intl_Pct</f>
        <v>4636014.140625</v>
      </c>
      <c r="N17" s="21" t="n">
        <f aca="false">N12*Pax_Intl_Pct</f>
        <v>4751914.49414062</v>
      </c>
      <c r="O17" s="21" t="n">
        <f aca="false">O12*Pax_Intl_Pct</f>
        <v>4870712.35649414</v>
      </c>
      <c r="P17" s="21" t="n">
        <f aca="false">P12*Pax_Intl_Pct</f>
        <v>4992480.16540649</v>
      </c>
      <c r="Q17" s="21" t="n">
        <f aca="false">Q12*Pax_Intl_Pct</f>
        <v>5117292.16954165</v>
      </c>
      <c r="R17" s="21" t="n">
        <f aca="false">R12*Pax_Intl_Pct</f>
        <v>5245224.47378019</v>
      </c>
      <c r="S17" s="21" t="n">
        <f aca="false">S12*Pax_Intl_Pct</f>
        <v>5376355.0856247</v>
      </c>
      <c r="T17" s="21" t="n">
        <f aca="false">T12*Pax_Intl_Pct</f>
        <v>5510763.96276531</v>
      </c>
      <c r="U17" s="21" t="n">
        <f aca="false">U12*Pax_Intl_Pct</f>
        <v>5648533.06183445</v>
      </c>
      <c r="V17" s="21" t="n">
        <f aca="false">V12*Pax_Intl_Pct</f>
        <v>5789746.38838031</v>
      </c>
      <c r="W17" s="21" t="n">
        <f aca="false">W12*Pax_Intl_Pct</f>
        <v>5934490.04808981</v>
      </c>
      <c r="X17" s="21" t="n">
        <f aca="false">X12*Pax_Intl_Pct</f>
        <v>6000000</v>
      </c>
      <c r="Y17" s="21" t="n">
        <f aca="false">Y12*Pax_Intl_Pct</f>
        <v>6000000</v>
      </c>
      <c r="Z17" s="21" t="n">
        <f aca="false">Z12*Pax_Intl_Pct</f>
        <v>6000000</v>
      </c>
      <c r="AA17" s="21" t="n">
        <f aca="false">AA12*Pax_Intl_Pct</f>
        <v>6000000</v>
      </c>
      <c r="AB17" s="21" t="n">
        <f aca="false">AB12*Pax_Intl_Pct</f>
        <v>6000000</v>
      </c>
      <c r="AC17" s="21" t="n">
        <f aca="false">AC12*Pax_Intl_Pct</f>
        <v>6000000</v>
      </c>
      <c r="AD17" s="21" t="n">
        <f aca="false">AD12*Pax_Intl_Pct</f>
        <v>6000000</v>
      </c>
      <c r="AE17" s="21" t="n">
        <f aca="false">AE12*Pax_Intl_Pct</f>
        <v>6000000</v>
      </c>
      <c r="AF17" s="21" t="n">
        <f aca="false">AF12*Pax_Intl_Pct</f>
        <v>6000000</v>
      </c>
      <c r="AG17" s="21" t="n">
        <f aca="false">AG12*Pax_Intl_Pct</f>
        <v>6000000</v>
      </c>
      <c r="AH17" s="21" t="n">
        <f aca="false">AH12*Pax_Intl_Pct</f>
        <v>6000000</v>
      </c>
      <c r="AI17" s="21" t="n">
        <f aca="false">AI12*Pax_Intl_Pct</f>
        <v>6000000</v>
      </c>
      <c r="AJ17" s="21" t="n">
        <f aca="false">AJ12*Pax_Intl_Pct</f>
        <v>6000000</v>
      </c>
    </row>
    <row r="18" customFormat="false" ht="15" hidden="false" customHeight="false" outlineLevel="0" collapsed="false">
      <c r="A18" s="6"/>
      <c r="B18" s="11" t="s">
        <v>189</v>
      </c>
      <c r="C18" s="21" t="n">
        <v>0</v>
      </c>
      <c r="D18" s="21" t="n">
        <v>0</v>
      </c>
      <c r="E18" s="21" t="n">
        <v>0</v>
      </c>
      <c r="F18" s="21" t="n">
        <v>0</v>
      </c>
      <c r="G18" s="21" t="n">
        <f aca="false">G12*Pax_Trf_Pct</f>
        <v>1358000</v>
      </c>
      <c r="H18" s="21" t="n">
        <f aca="false">H12*Pax_Trf_Pct</f>
        <v>1386000</v>
      </c>
      <c r="I18" s="21" t="n">
        <f aca="false">I12*Pax_Trf_Pct</f>
        <v>1400000</v>
      </c>
      <c r="J18" s="21" t="n">
        <f aca="false">J12*Pax_Trf_Pct</f>
        <v>1435000</v>
      </c>
      <c r="K18" s="21" t="n">
        <f aca="false">K12*Pax_Trf_Pct</f>
        <v>1470875</v>
      </c>
      <c r="L18" s="21" t="n">
        <f aca="false">L12*Pax_Trf_Pct</f>
        <v>1507646.875</v>
      </c>
      <c r="M18" s="21" t="n">
        <f aca="false">M12*Pax_Trf_Pct</f>
        <v>1545338.046875</v>
      </c>
      <c r="N18" s="21" t="n">
        <f aca="false">N12*Pax_Trf_Pct</f>
        <v>1583971.49804687</v>
      </c>
      <c r="O18" s="21" t="n">
        <f aca="false">O12*Pax_Trf_Pct</f>
        <v>1623570.78549805</v>
      </c>
      <c r="P18" s="21" t="n">
        <f aca="false">P12*Pax_Trf_Pct</f>
        <v>1664160.0551355</v>
      </c>
      <c r="Q18" s="21" t="n">
        <f aca="false">Q12*Pax_Trf_Pct</f>
        <v>1705764.05651388</v>
      </c>
      <c r="R18" s="21" t="n">
        <f aca="false">R12*Pax_Trf_Pct</f>
        <v>1748408.15792673</v>
      </c>
      <c r="S18" s="21" t="n">
        <f aca="false">S12*Pax_Trf_Pct</f>
        <v>1792118.3618749</v>
      </c>
      <c r="T18" s="21" t="n">
        <f aca="false">T12*Pax_Trf_Pct</f>
        <v>1836921.32092177</v>
      </c>
      <c r="U18" s="21" t="n">
        <f aca="false">U12*Pax_Trf_Pct</f>
        <v>1882844.35394482</v>
      </c>
      <c r="V18" s="21" t="n">
        <f aca="false">V12*Pax_Trf_Pct</f>
        <v>1929915.46279344</v>
      </c>
      <c r="W18" s="21" t="n">
        <f aca="false">W12*Pax_Trf_Pct</f>
        <v>1978163.34936327</v>
      </c>
      <c r="X18" s="21" t="n">
        <f aca="false">X12*Pax_Trf_Pct</f>
        <v>2000000</v>
      </c>
      <c r="Y18" s="21" t="n">
        <f aca="false">Y12*Pax_Trf_Pct</f>
        <v>2000000</v>
      </c>
      <c r="Z18" s="21" t="n">
        <f aca="false">Z12*Pax_Trf_Pct</f>
        <v>2000000</v>
      </c>
      <c r="AA18" s="21" t="n">
        <f aca="false">AA12*Pax_Trf_Pct</f>
        <v>2000000</v>
      </c>
      <c r="AB18" s="21" t="n">
        <f aca="false">AB12*Pax_Trf_Pct</f>
        <v>2000000</v>
      </c>
      <c r="AC18" s="21" t="n">
        <f aca="false">AC12*Pax_Trf_Pct</f>
        <v>2000000</v>
      </c>
      <c r="AD18" s="21" t="n">
        <f aca="false">AD12*Pax_Trf_Pct</f>
        <v>2000000</v>
      </c>
      <c r="AE18" s="21" t="n">
        <f aca="false">AE12*Pax_Trf_Pct</f>
        <v>2000000</v>
      </c>
      <c r="AF18" s="21" t="n">
        <f aca="false">AF12*Pax_Trf_Pct</f>
        <v>2000000</v>
      </c>
      <c r="AG18" s="21" t="n">
        <f aca="false">AG12*Pax_Trf_Pct</f>
        <v>2000000</v>
      </c>
      <c r="AH18" s="21" t="n">
        <f aca="false">AH12*Pax_Trf_Pct</f>
        <v>2000000</v>
      </c>
      <c r="AI18" s="21" t="n">
        <f aca="false">AI12*Pax_Trf_Pct</f>
        <v>2000000</v>
      </c>
      <c r="AJ18" s="21" t="n">
        <f aca="false">AJ12*Pax_Trf_Pct</f>
        <v>2000000</v>
      </c>
    </row>
    <row r="19" customFormat="false" ht="15" hidden="false" customHeight="false" outlineLevel="0" collapsed="false">
      <c r="A19" s="6"/>
      <c r="B19" s="30" t="s">
        <v>190</v>
      </c>
      <c r="C19" s="31" t="n">
        <v>0</v>
      </c>
      <c r="D19" s="31" t="n">
        <v>0</v>
      </c>
      <c r="E19" s="31" t="n">
        <v>0</v>
      </c>
      <c r="F19" s="31" t="n">
        <v>0</v>
      </c>
      <c r="G19" s="31" t="n">
        <f aca="false">G16+G17+G18</f>
        <v>13580000</v>
      </c>
      <c r="H19" s="31" t="n">
        <f aca="false">H16+H17+H18</f>
        <v>13860000</v>
      </c>
      <c r="I19" s="31" t="n">
        <f aca="false">I16+I17+I18</f>
        <v>14000000</v>
      </c>
      <c r="J19" s="31" t="n">
        <f aca="false">J16+J17+J18</f>
        <v>14350000</v>
      </c>
      <c r="K19" s="31" t="n">
        <f aca="false">K16+K17+K18</f>
        <v>14708750</v>
      </c>
      <c r="L19" s="31" t="n">
        <f aca="false">L16+L17+L18</f>
        <v>15076468.75</v>
      </c>
      <c r="M19" s="31" t="n">
        <f aca="false">M16+M17+M18</f>
        <v>15453380.46875</v>
      </c>
      <c r="N19" s="31" t="n">
        <f aca="false">N16+N17+N18</f>
        <v>15839714.9804687</v>
      </c>
      <c r="O19" s="31" t="n">
        <f aca="false">O16+O17+O18</f>
        <v>16235707.8549805</v>
      </c>
      <c r="P19" s="31" t="n">
        <f aca="false">P16+P17+P18</f>
        <v>16641600.551355</v>
      </c>
      <c r="Q19" s="31" t="n">
        <f aca="false">Q16+Q17+Q18</f>
        <v>17057640.5651388</v>
      </c>
      <c r="R19" s="31" t="n">
        <f aca="false">R16+R17+R18</f>
        <v>17484081.5792673</v>
      </c>
      <c r="S19" s="31" t="n">
        <f aca="false">S16+S17+S18</f>
        <v>17921183.618749</v>
      </c>
      <c r="T19" s="31" t="n">
        <f aca="false">T16+T17+T18</f>
        <v>18369213.2092177</v>
      </c>
      <c r="U19" s="31" t="n">
        <f aca="false">U16+U17+U18</f>
        <v>18828443.5394482</v>
      </c>
      <c r="V19" s="31" t="n">
        <f aca="false">V16+V17+V18</f>
        <v>19299154.6279344</v>
      </c>
      <c r="W19" s="31" t="n">
        <f aca="false">W16+W17+W18</f>
        <v>19781633.4936327</v>
      </c>
      <c r="X19" s="31" t="n">
        <f aca="false">X16+X17+X18</f>
        <v>20000000</v>
      </c>
      <c r="Y19" s="31" t="n">
        <f aca="false">Y16+Y17+Y18</f>
        <v>20000000</v>
      </c>
      <c r="Z19" s="31" t="n">
        <f aca="false">Z16+Z17+Z18</f>
        <v>20000000</v>
      </c>
      <c r="AA19" s="31" t="n">
        <f aca="false">AA16+AA17+AA18</f>
        <v>20000000</v>
      </c>
      <c r="AB19" s="31" t="n">
        <f aca="false">AB16+AB17+AB18</f>
        <v>20000000</v>
      </c>
      <c r="AC19" s="31" t="n">
        <f aca="false">AC16+AC17+AC18</f>
        <v>20000000</v>
      </c>
      <c r="AD19" s="31" t="n">
        <f aca="false">AD16+AD17+AD18</f>
        <v>20000000</v>
      </c>
      <c r="AE19" s="31" t="n">
        <f aca="false">AE16+AE17+AE18</f>
        <v>20000000</v>
      </c>
      <c r="AF19" s="31" t="n">
        <f aca="false">AF16+AF17+AF18</f>
        <v>20000000</v>
      </c>
      <c r="AG19" s="31" t="n">
        <f aca="false">AG16+AG17+AG18</f>
        <v>20000000</v>
      </c>
      <c r="AH19" s="31" t="n">
        <f aca="false">AH16+AH17+AH18</f>
        <v>20000000</v>
      </c>
      <c r="AI19" s="31" t="n">
        <f aca="false">AI16+AI17+AI18</f>
        <v>20000000</v>
      </c>
      <c r="AJ19" s="31" t="n">
        <f aca="false">AJ16+AJ17+AJ18</f>
        <v>20000000</v>
      </c>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row>
    <row r="21" customFormat="false" ht="15" hidden="false" customHeight="false" outlineLevel="0" collapsed="false">
      <c r="A21" s="6"/>
      <c r="B21" s="8" t="s">
        <v>191</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row>
    <row r="22" customFormat="false" ht="15" hidden="false" customHeight="false" outlineLevel="0" collapsed="false">
      <c r="A22" s="6"/>
      <c r="B22" s="11" t="s">
        <v>192</v>
      </c>
      <c r="C22" s="21" t="n">
        <v>0</v>
      </c>
      <c r="D22" s="21" t="n">
        <v>0</v>
      </c>
      <c r="E22" s="21" t="n">
        <v>0</v>
      </c>
      <c r="F22" s="21" t="n">
        <v>0</v>
      </c>
      <c r="G22" s="21" t="n">
        <f aca="false">IFERROR(G12/(ATM_Seats*ATM_LoadFactor),0)</f>
        <v>94305.5555555556</v>
      </c>
      <c r="H22" s="21" t="n">
        <f aca="false">IFERROR(H12/(ATM_Seats*ATM_LoadFactor),0)</f>
        <v>96250</v>
      </c>
      <c r="I22" s="21" t="n">
        <f aca="false">IFERROR(I12/(ATM_Seats*ATM_LoadFactor),0)</f>
        <v>97222.2222222222</v>
      </c>
      <c r="J22" s="21" t="n">
        <f aca="false">IFERROR(J12/(ATM_Seats*ATM_LoadFactor),0)</f>
        <v>99652.7777777778</v>
      </c>
      <c r="K22" s="21" t="n">
        <f aca="false">IFERROR(K12/(ATM_Seats*ATM_LoadFactor),0)</f>
        <v>102144.097222222</v>
      </c>
      <c r="L22" s="21" t="n">
        <f aca="false">IFERROR(L12/(ATM_Seats*ATM_LoadFactor),0)</f>
        <v>104697.699652778</v>
      </c>
      <c r="M22" s="21" t="n">
        <f aca="false">IFERROR(M12/(ATM_Seats*ATM_LoadFactor),0)</f>
        <v>107315.142144097</v>
      </c>
      <c r="N22" s="21" t="n">
        <f aca="false">IFERROR(N12/(ATM_Seats*ATM_LoadFactor),0)</f>
        <v>109998.0206977</v>
      </c>
      <c r="O22" s="21" t="n">
        <f aca="false">IFERROR(O12/(ATM_Seats*ATM_LoadFactor),0)</f>
        <v>112747.971215142</v>
      </c>
      <c r="P22" s="21" t="n">
        <f aca="false">IFERROR(P12/(ATM_Seats*ATM_LoadFactor),0)</f>
        <v>115566.670495521</v>
      </c>
      <c r="Q22" s="21" t="n">
        <f aca="false">IFERROR(Q12/(ATM_Seats*ATM_LoadFactor),0)</f>
        <v>118455.837257909</v>
      </c>
      <c r="R22" s="21" t="n">
        <f aca="false">IFERROR(R12/(ATM_Seats*ATM_LoadFactor),0)</f>
        <v>121417.233189356</v>
      </c>
      <c r="S22" s="21" t="n">
        <f aca="false">IFERROR(S12/(ATM_Seats*ATM_LoadFactor),0)</f>
        <v>124452.66401909</v>
      </c>
      <c r="T22" s="21" t="n">
        <f aca="false">IFERROR(T12/(ATM_Seats*ATM_LoadFactor),0)</f>
        <v>127563.980619567</v>
      </c>
      <c r="U22" s="21" t="n">
        <f aca="false">IFERROR(U12/(ATM_Seats*ATM_LoadFactor),0)</f>
        <v>130753.080135057</v>
      </c>
      <c r="V22" s="21" t="n">
        <f aca="false">IFERROR(V12/(ATM_Seats*ATM_LoadFactor),0)</f>
        <v>134021.907138433</v>
      </c>
      <c r="W22" s="21" t="n">
        <f aca="false">IFERROR(W12/(ATM_Seats*ATM_LoadFactor),0)</f>
        <v>137372.454816894</v>
      </c>
      <c r="X22" s="21" t="n">
        <f aca="false">IFERROR(X12/(ATM_Seats*ATM_LoadFactor),0)</f>
        <v>138888.888888889</v>
      </c>
      <c r="Y22" s="21" t="n">
        <f aca="false">IFERROR(Y12/(ATM_Seats*ATM_LoadFactor),0)</f>
        <v>138888.888888889</v>
      </c>
      <c r="Z22" s="21" t="n">
        <f aca="false">IFERROR(Z12/(ATM_Seats*ATM_LoadFactor),0)</f>
        <v>138888.888888889</v>
      </c>
      <c r="AA22" s="21" t="n">
        <f aca="false">IFERROR(AA12/(ATM_Seats*ATM_LoadFactor),0)</f>
        <v>138888.888888889</v>
      </c>
      <c r="AB22" s="21" t="n">
        <f aca="false">IFERROR(AB12/(ATM_Seats*ATM_LoadFactor),0)</f>
        <v>138888.888888889</v>
      </c>
      <c r="AC22" s="21" t="n">
        <f aca="false">IFERROR(AC12/(ATM_Seats*ATM_LoadFactor),0)</f>
        <v>138888.888888889</v>
      </c>
      <c r="AD22" s="21" t="n">
        <f aca="false">IFERROR(AD12/(ATM_Seats*ATM_LoadFactor),0)</f>
        <v>138888.888888889</v>
      </c>
      <c r="AE22" s="21" t="n">
        <f aca="false">IFERROR(AE12/(ATM_Seats*ATM_LoadFactor),0)</f>
        <v>138888.888888889</v>
      </c>
      <c r="AF22" s="21" t="n">
        <f aca="false">IFERROR(AF12/(ATM_Seats*ATM_LoadFactor),0)</f>
        <v>138888.888888889</v>
      </c>
      <c r="AG22" s="21" t="n">
        <f aca="false">IFERROR(AG12/(ATM_Seats*ATM_LoadFactor),0)</f>
        <v>138888.888888889</v>
      </c>
      <c r="AH22" s="21" t="n">
        <f aca="false">IFERROR(AH12/(ATM_Seats*ATM_LoadFactor),0)</f>
        <v>138888.888888889</v>
      </c>
      <c r="AI22" s="21" t="n">
        <f aca="false">IFERROR(AI12/(ATM_Seats*ATM_LoadFactor),0)</f>
        <v>138888.888888889</v>
      </c>
      <c r="AJ22" s="21" t="n">
        <f aca="false">IFERROR(AJ12/(ATM_Seats*ATM_LoadFactor),0)</f>
        <v>138888.888888889</v>
      </c>
    </row>
    <row r="23" customFormat="false" ht="15" hidden="false" customHeight="false" outlineLevel="0" collapsed="false">
      <c r="A23" s="6"/>
      <c r="B23" s="11" t="s">
        <v>193</v>
      </c>
      <c r="C23" s="23" t="n">
        <v>0</v>
      </c>
      <c r="D23" s="23" t="n">
        <v>0</v>
      </c>
      <c r="E23" s="23" t="n">
        <v>0</v>
      </c>
      <c r="F23" s="23" t="n">
        <v>0</v>
      </c>
      <c r="G23" s="23" t="n">
        <f aca="false">ATM_LoadFactor</f>
        <v>0.8</v>
      </c>
      <c r="H23" s="23" t="n">
        <f aca="false">ATM_LoadFactor</f>
        <v>0.8</v>
      </c>
      <c r="I23" s="23" t="n">
        <f aca="false">ATM_LoadFactor</f>
        <v>0.8</v>
      </c>
      <c r="J23" s="23" t="n">
        <f aca="false">ATM_LoadFactor</f>
        <v>0.8</v>
      </c>
      <c r="K23" s="23" t="n">
        <f aca="false">ATM_LoadFactor</f>
        <v>0.8</v>
      </c>
      <c r="L23" s="23" t="n">
        <f aca="false">ATM_LoadFactor</f>
        <v>0.8</v>
      </c>
      <c r="M23" s="23" t="n">
        <f aca="false">ATM_LoadFactor</f>
        <v>0.8</v>
      </c>
      <c r="N23" s="23" t="n">
        <f aca="false">ATM_LoadFactor</f>
        <v>0.8</v>
      </c>
      <c r="O23" s="23" t="n">
        <f aca="false">ATM_LoadFactor</f>
        <v>0.8</v>
      </c>
      <c r="P23" s="23" t="n">
        <f aca="false">ATM_LoadFactor</f>
        <v>0.8</v>
      </c>
      <c r="Q23" s="23" t="n">
        <f aca="false">ATM_LoadFactor</f>
        <v>0.8</v>
      </c>
      <c r="R23" s="23" t="n">
        <f aca="false">ATM_LoadFactor</f>
        <v>0.8</v>
      </c>
      <c r="S23" s="23" t="n">
        <f aca="false">ATM_LoadFactor</f>
        <v>0.8</v>
      </c>
      <c r="T23" s="23" t="n">
        <f aca="false">ATM_LoadFactor</f>
        <v>0.8</v>
      </c>
      <c r="U23" s="23" t="n">
        <f aca="false">ATM_LoadFactor</f>
        <v>0.8</v>
      </c>
      <c r="V23" s="23" t="n">
        <f aca="false">ATM_LoadFactor</f>
        <v>0.8</v>
      </c>
      <c r="W23" s="23" t="n">
        <f aca="false">ATM_LoadFactor</f>
        <v>0.8</v>
      </c>
      <c r="X23" s="23" t="n">
        <f aca="false">ATM_LoadFactor</f>
        <v>0.8</v>
      </c>
      <c r="Y23" s="23" t="n">
        <f aca="false">ATM_LoadFactor</f>
        <v>0.8</v>
      </c>
      <c r="Z23" s="23" t="n">
        <f aca="false">ATM_LoadFactor</f>
        <v>0.8</v>
      </c>
      <c r="AA23" s="23" t="n">
        <f aca="false">ATM_LoadFactor</f>
        <v>0.8</v>
      </c>
      <c r="AB23" s="23" t="n">
        <f aca="false">ATM_LoadFactor</f>
        <v>0.8</v>
      </c>
      <c r="AC23" s="23" t="n">
        <f aca="false">ATM_LoadFactor</f>
        <v>0.8</v>
      </c>
      <c r="AD23" s="23" t="n">
        <f aca="false">ATM_LoadFactor</f>
        <v>0.8</v>
      </c>
      <c r="AE23" s="23" t="n">
        <f aca="false">ATM_LoadFactor</f>
        <v>0.8</v>
      </c>
      <c r="AF23" s="23" t="n">
        <f aca="false">ATM_LoadFactor</f>
        <v>0.8</v>
      </c>
      <c r="AG23" s="23" t="n">
        <f aca="false">ATM_LoadFactor</f>
        <v>0.8</v>
      </c>
      <c r="AH23" s="23" t="n">
        <f aca="false">ATM_LoadFactor</f>
        <v>0.8</v>
      </c>
      <c r="AI23" s="23" t="n">
        <f aca="false">ATM_LoadFactor</f>
        <v>0.8</v>
      </c>
      <c r="AJ23" s="23" t="n">
        <f aca="false">ATM_LoadFactor</f>
        <v>0.8</v>
      </c>
    </row>
    <row r="24" customFormat="false" ht="15" hidden="false" customHeight="false" outlineLevel="0" collapsed="false">
      <c r="A24" s="6"/>
      <c r="B24" s="11" t="s">
        <v>194</v>
      </c>
      <c r="C24" s="21" t="n">
        <v>0</v>
      </c>
      <c r="D24" s="21" t="n">
        <v>0</v>
      </c>
      <c r="E24" s="21" t="n">
        <v>0</v>
      </c>
      <c r="F24" s="21" t="n">
        <v>0</v>
      </c>
      <c r="G24" s="21" t="n">
        <f aca="false">Cargo_Per_Pax</f>
        <v>0.005</v>
      </c>
      <c r="H24" s="21" t="n">
        <f aca="false">G24*(1+Cargo_Growth)</f>
        <v>0.0052</v>
      </c>
      <c r="I24" s="21" t="n">
        <f aca="false">H24*(1+Cargo_Growth)</f>
        <v>0.005408</v>
      </c>
      <c r="J24" s="21" t="n">
        <f aca="false">I24*(1+Cargo_Growth)</f>
        <v>0.00562432</v>
      </c>
      <c r="K24" s="21" t="n">
        <f aca="false">J24*(1+Cargo_Growth)</f>
        <v>0.0058492928</v>
      </c>
      <c r="L24" s="21" t="n">
        <f aca="false">K24*(1+Cargo_Growth)</f>
        <v>0.006083264512</v>
      </c>
      <c r="M24" s="21" t="n">
        <f aca="false">L24*(1+Cargo_Growth)</f>
        <v>0.00632659509248</v>
      </c>
      <c r="N24" s="21" t="n">
        <f aca="false">M24*(1+Cargo_Growth)</f>
        <v>0.0065796588961792</v>
      </c>
      <c r="O24" s="21" t="n">
        <f aca="false">N24*(1+Cargo_Growth)</f>
        <v>0.00684284525202637</v>
      </c>
      <c r="P24" s="21" t="n">
        <f aca="false">O24*(1+Cargo_Growth)</f>
        <v>0.00711655906210743</v>
      </c>
      <c r="Q24" s="21" t="n">
        <f aca="false">P24*(1+Cargo_Growth)</f>
        <v>0.00740122142459172</v>
      </c>
      <c r="R24" s="21" t="n">
        <f aca="false">Q24*(1+Cargo_Growth)</f>
        <v>0.00769727028157539</v>
      </c>
      <c r="S24" s="21" t="n">
        <f aca="false">R24*(1+Cargo_Growth)</f>
        <v>0.00800516109283841</v>
      </c>
      <c r="T24" s="21" t="n">
        <f aca="false">S24*(1+Cargo_Growth)</f>
        <v>0.00832536753655194</v>
      </c>
      <c r="U24" s="21" t="n">
        <f aca="false">T24*(1+Cargo_Growth)</f>
        <v>0.00865838223801402</v>
      </c>
      <c r="V24" s="21" t="n">
        <f aca="false">U24*(1+Cargo_Growth)</f>
        <v>0.00900471752753458</v>
      </c>
      <c r="W24" s="21" t="n">
        <f aca="false">V24*(1+Cargo_Growth)</f>
        <v>0.00936490622863597</v>
      </c>
      <c r="X24" s="21" t="n">
        <f aca="false">W24*(1+Cargo_Growth)</f>
        <v>0.00973950247778141</v>
      </c>
      <c r="Y24" s="21" t="n">
        <f aca="false">X24*(1+Cargo_Growth)</f>
        <v>0.0101290825768927</v>
      </c>
      <c r="Z24" s="21" t="n">
        <f aca="false">Y24*(1+Cargo_Growth)</f>
        <v>0.0105342458799684</v>
      </c>
      <c r="AA24" s="21" t="n">
        <f aca="false">Z24*(1+Cargo_Growth)</f>
        <v>0.0109556157151671</v>
      </c>
      <c r="AB24" s="21" t="n">
        <f aca="false">AA24*(1+Cargo_Growth)</f>
        <v>0.0113938403437738</v>
      </c>
      <c r="AC24" s="21" t="n">
        <f aca="false">AB24*(1+Cargo_Growth)</f>
        <v>0.0118495939575247</v>
      </c>
      <c r="AD24" s="21" t="n">
        <f aca="false">AC24*(1+Cargo_Growth)</f>
        <v>0.0123235777158257</v>
      </c>
      <c r="AE24" s="21" t="n">
        <f aca="false">AD24*(1+Cargo_Growth)</f>
        <v>0.0128165208244588</v>
      </c>
      <c r="AF24" s="21" t="n">
        <f aca="false">AE24*(1+Cargo_Growth)</f>
        <v>0.0133291816574371</v>
      </c>
      <c r="AG24" s="21" t="n">
        <f aca="false">AF24*(1+Cargo_Growth)</f>
        <v>0.0138623489237346</v>
      </c>
      <c r="AH24" s="21" t="n">
        <f aca="false">AG24*(1+Cargo_Growth)</f>
        <v>0.014416842880684</v>
      </c>
      <c r="AI24" s="21" t="n">
        <f aca="false">AH24*(1+Cargo_Growth)</f>
        <v>0.0149935165959113</v>
      </c>
      <c r="AJ24" s="21" t="n">
        <f aca="false">AI24*(1+Cargo_Growth)</f>
        <v>0.0155932572597478</v>
      </c>
    </row>
    <row r="25" customFormat="false" ht="15" hidden="false" customHeight="false" outlineLevel="0" collapsed="false">
      <c r="A25" s="6"/>
      <c r="B25" s="11" t="s">
        <v>195</v>
      </c>
      <c r="C25" s="21" t="n">
        <v>0</v>
      </c>
      <c r="D25" s="21" t="n">
        <v>0</v>
      </c>
      <c r="E25" s="21" t="n">
        <v>0</v>
      </c>
      <c r="F25" s="21" t="n">
        <v>0</v>
      </c>
      <c r="G25" s="21" t="n">
        <f aca="false">G12*G24</f>
        <v>67900</v>
      </c>
      <c r="H25" s="21" t="n">
        <f aca="false">H12*H24</f>
        <v>72072</v>
      </c>
      <c r="I25" s="21" t="n">
        <f aca="false">I12*I24</f>
        <v>75712</v>
      </c>
      <c r="J25" s="21" t="n">
        <f aca="false">J12*J24</f>
        <v>80708.992</v>
      </c>
      <c r="K25" s="21" t="n">
        <f aca="false">K12*K24</f>
        <v>86035.785472</v>
      </c>
      <c r="L25" s="21" t="n">
        <f aca="false">L12*L24</f>
        <v>91714.147313152</v>
      </c>
      <c r="M25" s="21" t="n">
        <f aca="false">M12*M24</f>
        <v>97767.28103582</v>
      </c>
      <c r="N25" s="21" t="n">
        <f aca="false">N12*N24</f>
        <v>104219.921584184</v>
      </c>
      <c r="O25" s="21" t="n">
        <f aca="false">O12*O24</f>
        <v>111098.43640874</v>
      </c>
      <c r="P25" s="21" t="n">
        <f aca="false">P12*P24</f>
        <v>118430.933211717</v>
      </c>
      <c r="Q25" s="21" t="n">
        <f aca="false">Q12*Q24</f>
        <v>126247.37480369</v>
      </c>
      <c r="R25" s="21" t="n">
        <f aca="false">R12*R24</f>
        <v>134579.701540734</v>
      </c>
      <c r="S25" s="21" t="n">
        <f aca="false">S12*S24</f>
        <v>143461.961842422</v>
      </c>
      <c r="T25" s="21" t="n">
        <f aca="false">T12*T24</f>
        <v>152930.451324022</v>
      </c>
      <c r="U25" s="21" t="n">
        <f aca="false">U12*U24</f>
        <v>163023.861111408</v>
      </c>
      <c r="V25" s="21" t="n">
        <f aca="false">V12*V24</f>
        <v>173783.435944761</v>
      </c>
      <c r="W25" s="21" t="n">
        <f aca="false">W12*W24</f>
        <v>185253.142717115</v>
      </c>
      <c r="X25" s="21" t="n">
        <f aca="false">X12*X24</f>
        <v>194790.049555628</v>
      </c>
      <c r="Y25" s="21" t="n">
        <f aca="false">Y12*Y24</f>
        <v>202581.651537853</v>
      </c>
      <c r="Z25" s="21" t="n">
        <f aca="false">Z12*Z24</f>
        <v>210684.917599367</v>
      </c>
      <c r="AA25" s="21" t="n">
        <f aca="false">AA12*AA24</f>
        <v>219112.314303342</v>
      </c>
      <c r="AB25" s="21" t="n">
        <f aca="false">AB12*AB24</f>
        <v>227876.806875476</v>
      </c>
      <c r="AC25" s="21" t="n">
        <f aca="false">AC12*AC24</f>
        <v>236991.879150495</v>
      </c>
      <c r="AD25" s="21" t="n">
        <f aca="false">AD12*AD24</f>
        <v>246471.554316515</v>
      </c>
      <c r="AE25" s="21" t="n">
        <f aca="false">AE12*AE24</f>
        <v>256330.416489175</v>
      </c>
      <c r="AF25" s="21" t="n">
        <f aca="false">AF12*AF24</f>
        <v>266583.633148742</v>
      </c>
      <c r="AG25" s="21" t="n">
        <f aca="false">AG12*AG24</f>
        <v>277246.978474692</v>
      </c>
      <c r="AH25" s="21" t="n">
        <f aca="false">AH12*AH24</f>
        <v>288336.85761368</v>
      </c>
      <c r="AI25" s="21" t="n">
        <f aca="false">AI12*AI24</f>
        <v>299870.331918227</v>
      </c>
      <c r="AJ25" s="21" t="n">
        <f aca="false">AJ12*AJ24</f>
        <v>311865.145194956</v>
      </c>
    </row>
    <row r="26" customFormat="false" ht="15" hidden="false" customHeight="fals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customFormat="false" ht="15" hidden="false" customHeight="false" outlineLevel="0" collapsed="false">
      <c r="A27" s="6"/>
      <c r="B27" s="8" t="s">
        <v>196</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row>
    <row r="28" customFormat="false" ht="15" hidden="false" customHeight="false" outlineLevel="0" collapsed="false">
      <c r="A28" s="6"/>
      <c r="B28" s="11" t="s">
        <v>197</v>
      </c>
      <c r="C28" s="23" t="n">
        <v>0</v>
      </c>
      <c r="D28" s="23" t="n">
        <v>0</v>
      </c>
      <c r="E28" s="23" t="n">
        <v>0</v>
      </c>
      <c r="F28" s="23" t="n">
        <v>0</v>
      </c>
      <c r="G28" s="23" t="n">
        <f aca="false">Mix_LCC</f>
        <v>0.45</v>
      </c>
      <c r="H28" s="23" t="n">
        <f aca="false">Mix_LCC</f>
        <v>0.45</v>
      </c>
      <c r="I28" s="23" t="n">
        <f aca="false">Mix_LCC</f>
        <v>0.45</v>
      </c>
      <c r="J28" s="23" t="n">
        <f aca="false">Mix_LCC</f>
        <v>0.45</v>
      </c>
      <c r="K28" s="23" t="n">
        <f aca="false">Mix_LCC</f>
        <v>0.45</v>
      </c>
      <c r="L28" s="23" t="n">
        <f aca="false">Mix_LCC</f>
        <v>0.45</v>
      </c>
      <c r="M28" s="23" t="n">
        <f aca="false">Mix_LCC</f>
        <v>0.45</v>
      </c>
      <c r="N28" s="23" t="n">
        <f aca="false">Mix_LCC</f>
        <v>0.45</v>
      </c>
      <c r="O28" s="23" t="n">
        <f aca="false">Mix_LCC</f>
        <v>0.45</v>
      </c>
      <c r="P28" s="23" t="n">
        <f aca="false">Mix_LCC</f>
        <v>0.45</v>
      </c>
      <c r="Q28" s="23" t="n">
        <f aca="false">Mix_LCC</f>
        <v>0.45</v>
      </c>
      <c r="R28" s="23" t="n">
        <f aca="false">Mix_LCC</f>
        <v>0.45</v>
      </c>
      <c r="S28" s="23" t="n">
        <f aca="false">Mix_LCC</f>
        <v>0.45</v>
      </c>
      <c r="T28" s="23" t="n">
        <f aca="false">Mix_LCC</f>
        <v>0.45</v>
      </c>
      <c r="U28" s="23" t="n">
        <f aca="false">Mix_LCC</f>
        <v>0.45</v>
      </c>
      <c r="V28" s="23" t="n">
        <f aca="false">Mix_LCC</f>
        <v>0.45</v>
      </c>
      <c r="W28" s="23" t="n">
        <f aca="false">Mix_LCC</f>
        <v>0.45</v>
      </c>
      <c r="X28" s="23" t="n">
        <f aca="false">Mix_LCC</f>
        <v>0.45</v>
      </c>
      <c r="Y28" s="23" t="n">
        <f aca="false">Mix_LCC</f>
        <v>0.45</v>
      </c>
      <c r="Z28" s="23" t="n">
        <f aca="false">Mix_LCC</f>
        <v>0.45</v>
      </c>
      <c r="AA28" s="23" t="n">
        <f aca="false">Mix_LCC</f>
        <v>0.45</v>
      </c>
      <c r="AB28" s="23" t="n">
        <f aca="false">Mix_LCC</f>
        <v>0.45</v>
      </c>
      <c r="AC28" s="23" t="n">
        <f aca="false">Mix_LCC</f>
        <v>0.45</v>
      </c>
      <c r="AD28" s="23" t="n">
        <f aca="false">Mix_LCC</f>
        <v>0.45</v>
      </c>
      <c r="AE28" s="23" t="n">
        <f aca="false">Mix_LCC</f>
        <v>0.45</v>
      </c>
      <c r="AF28" s="23" t="n">
        <f aca="false">Mix_LCC</f>
        <v>0.45</v>
      </c>
      <c r="AG28" s="23" t="n">
        <f aca="false">Mix_LCC</f>
        <v>0.45</v>
      </c>
      <c r="AH28" s="23" t="n">
        <f aca="false">Mix_LCC</f>
        <v>0.45</v>
      </c>
      <c r="AI28" s="23" t="n">
        <f aca="false">Mix_LCC</f>
        <v>0.45</v>
      </c>
      <c r="AJ28" s="23" t="n">
        <f aca="false">Mix_LCC</f>
        <v>0.45</v>
      </c>
    </row>
    <row r="29" customFormat="false" ht="15" hidden="false" customHeight="false" outlineLevel="0" collapsed="false">
      <c r="A29" s="6"/>
      <c r="B29" s="11" t="s">
        <v>198</v>
      </c>
      <c r="C29" s="23" t="n">
        <v>0</v>
      </c>
      <c r="D29" s="23" t="n">
        <v>0</v>
      </c>
      <c r="E29" s="23" t="n">
        <v>0</v>
      </c>
      <c r="F29" s="23" t="n">
        <v>0</v>
      </c>
      <c r="G29" s="23" t="n">
        <f aca="false">Mix_FSC</f>
        <v>0.4</v>
      </c>
      <c r="H29" s="23" t="n">
        <f aca="false">Mix_FSC</f>
        <v>0.4</v>
      </c>
      <c r="I29" s="23" t="n">
        <f aca="false">Mix_FSC</f>
        <v>0.4</v>
      </c>
      <c r="J29" s="23" t="n">
        <f aca="false">Mix_FSC</f>
        <v>0.4</v>
      </c>
      <c r="K29" s="23" t="n">
        <f aca="false">Mix_FSC</f>
        <v>0.4</v>
      </c>
      <c r="L29" s="23" t="n">
        <f aca="false">Mix_FSC</f>
        <v>0.4</v>
      </c>
      <c r="M29" s="23" t="n">
        <f aca="false">Mix_FSC</f>
        <v>0.4</v>
      </c>
      <c r="N29" s="23" t="n">
        <f aca="false">Mix_FSC</f>
        <v>0.4</v>
      </c>
      <c r="O29" s="23" t="n">
        <f aca="false">Mix_FSC</f>
        <v>0.4</v>
      </c>
      <c r="P29" s="23" t="n">
        <f aca="false">Mix_FSC</f>
        <v>0.4</v>
      </c>
      <c r="Q29" s="23" t="n">
        <f aca="false">Mix_FSC</f>
        <v>0.4</v>
      </c>
      <c r="R29" s="23" t="n">
        <f aca="false">Mix_FSC</f>
        <v>0.4</v>
      </c>
      <c r="S29" s="23" t="n">
        <f aca="false">Mix_FSC</f>
        <v>0.4</v>
      </c>
      <c r="T29" s="23" t="n">
        <f aca="false">Mix_FSC</f>
        <v>0.4</v>
      </c>
      <c r="U29" s="23" t="n">
        <f aca="false">Mix_FSC</f>
        <v>0.4</v>
      </c>
      <c r="V29" s="23" t="n">
        <f aca="false">Mix_FSC</f>
        <v>0.4</v>
      </c>
      <c r="W29" s="23" t="n">
        <f aca="false">Mix_FSC</f>
        <v>0.4</v>
      </c>
      <c r="X29" s="23" t="n">
        <f aca="false">Mix_FSC</f>
        <v>0.4</v>
      </c>
      <c r="Y29" s="23" t="n">
        <f aca="false">Mix_FSC</f>
        <v>0.4</v>
      </c>
      <c r="Z29" s="23" t="n">
        <f aca="false">Mix_FSC</f>
        <v>0.4</v>
      </c>
      <c r="AA29" s="23" t="n">
        <f aca="false">Mix_FSC</f>
        <v>0.4</v>
      </c>
      <c r="AB29" s="23" t="n">
        <f aca="false">Mix_FSC</f>
        <v>0.4</v>
      </c>
      <c r="AC29" s="23" t="n">
        <f aca="false">Mix_FSC</f>
        <v>0.4</v>
      </c>
      <c r="AD29" s="23" t="n">
        <f aca="false">Mix_FSC</f>
        <v>0.4</v>
      </c>
      <c r="AE29" s="23" t="n">
        <f aca="false">Mix_FSC</f>
        <v>0.4</v>
      </c>
      <c r="AF29" s="23" t="n">
        <f aca="false">Mix_FSC</f>
        <v>0.4</v>
      </c>
      <c r="AG29" s="23" t="n">
        <f aca="false">Mix_FSC</f>
        <v>0.4</v>
      </c>
      <c r="AH29" s="23" t="n">
        <f aca="false">Mix_FSC</f>
        <v>0.4</v>
      </c>
      <c r="AI29" s="23" t="n">
        <f aca="false">Mix_FSC</f>
        <v>0.4</v>
      </c>
      <c r="AJ29" s="23" t="n">
        <f aca="false">Mix_FSC</f>
        <v>0.4</v>
      </c>
    </row>
    <row r="30" customFormat="false" ht="15" hidden="false" customHeight="false" outlineLevel="0" collapsed="false">
      <c r="A30" s="6"/>
      <c r="B30" s="11" t="s">
        <v>199</v>
      </c>
      <c r="C30" s="23" t="n">
        <v>0</v>
      </c>
      <c r="D30" s="23" t="n">
        <v>0</v>
      </c>
      <c r="E30" s="23" t="n">
        <v>0</v>
      </c>
      <c r="F30" s="23" t="n">
        <v>0</v>
      </c>
      <c r="G30" s="23" t="n">
        <f aca="false">Mix_Cargo</f>
        <v>0.15</v>
      </c>
      <c r="H30" s="23" t="n">
        <f aca="false">Mix_Cargo</f>
        <v>0.15</v>
      </c>
      <c r="I30" s="23" t="n">
        <f aca="false">Mix_Cargo</f>
        <v>0.15</v>
      </c>
      <c r="J30" s="23" t="n">
        <f aca="false">Mix_Cargo</f>
        <v>0.15</v>
      </c>
      <c r="K30" s="23" t="n">
        <f aca="false">Mix_Cargo</f>
        <v>0.15</v>
      </c>
      <c r="L30" s="23" t="n">
        <f aca="false">Mix_Cargo</f>
        <v>0.15</v>
      </c>
      <c r="M30" s="23" t="n">
        <f aca="false">Mix_Cargo</f>
        <v>0.15</v>
      </c>
      <c r="N30" s="23" t="n">
        <f aca="false">Mix_Cargo</f>
        <v>0.15</v>
      </c>
      <c r="O30" s="23" t="n">
        <f aca="false">Mix_Cargo</f>
        <v>0.15</v>
      </c>
      <c r="P30" s="23" t="n">
        <f aca="false">Mix_Cargo</f>
        <v>0.15</v>
      </c>
      <c r="Q30" s="23" t="n">
        <f aca="false">Mix_Cargo</f>
        <v>0.15</v>
      </c>
      <c r="R30" s="23" t="n">
        <f aca="false">Mix_Cargo</f>
        <v>0.15</v>
      </c>
      <c r="S30" s="23" t="n">
        <f aca="false">Mix_Cargo</f>
        <v>0.15</v>
      </c>
      <c r="T30" s="23" t="n">
        <f aca="false">Mix_Cargo</f>
        <v>0.15</v>
      </c>
      <c r="U30" s="23" t="n">
        <f aca="false">Mix_Cargo</f>
        <v>0.15</v>
      </c>
      <c r="V30" s="23" t="n">
        <f aca="false">Mix_Cargo</f>
        <v>0.15</v>
      </c>
      <c r="W30" s="23" t="n">
        <f aca="false">Mix_Cargo</f>
        <v>0.15</v>
      </c>
      <c r="X30" s="23" t="n">
        <f aca="false">Mix_Cargo</f>
        <v>0.15</v>
      </c>
      <c r="Y30" s="23" t="n">
        <f aca="false">Mix_Cargo</f>
        <v>0.15</v>
      </c>
      <c r="Z30" s="23" t="n">
        <f aca="false">Mix_Cargo</f>
        <v>0.15</v>
      </c>
      <c r="AA30" s="23" t="n">
        <f aca="false">Mix_Cargo</f>
        <v>0.15</v>
      </c>
      <c r="AB30" s="23" t="n">
        <f aca="false">Mix_Cargo</f>
        <v>0.15</v>
      </c>
      <c r="AC30" s="23" t="n">
        <f aca="false">Mix_Cargo</f>
        <v>0.15</v>
      </c>
      <c r="AD30" s="23" t="n">
        <f aca="false">Mix_Cargo</f>
        <v>0.15</v>
      </c>
      <c r="AE30" s="23" t="n">
        <f aca="false">Mix_Cargo</f>
        <v>0.15</v>
      </c>
      <c r="AF30" s="23" t="n">
        <f aca="false">Mix_Cargo</f>
        <v>0.15</v>
      </c>
      <c r="AG30" s="23" t="n">
        <f aca="false">Mix_Cargo</f>
        <v>0.15</v>
      </c>
      <c r="AH30" s="23" t="n">
        <f aca="false">Mix_Cargo</f>
        <v>0.15</v>
      </c>
      <c r="AI30" s="23" t="n">
        <f aca="false">Mix_Cargo</f>
        <v>0.15</v>
      </c>
      <c r="AJ30" s="23" t="n">
        <f aca="false">Mix_Cargo</f>
        <v>0.15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J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200</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201</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202</v>
      </c>
      <c r="C8" s="21" t="n">
        <v>0</v>
      </c>
      <c r="D8" s="21" t="n">
        <v>0</v>
      </c>
      <c r="E8" s="21" t="n">
        <v>0</v>
      </c>
      <c r="F8" s="21" t="n">
        <v>0</v>
      </c>
      <c r="G8" s="21" t="n">
        <v>1</v>
      </c>
      <c r="H8" s="21" t="n">
        <f aca="false">G8*(1+Aero_Escalation)</f>
        <v>1.02</v>
      </c>
      <c r="I8" s="21" t="n">
        <f aca="false">H8*(1+Aero_Escalation)</f>
        <v>1.0404</v>
      </c>
      <c r="J8" s="21" t="n">
        <f aca="false">I8*(1+Aero_Escalation)</f>
        <v>1.061208</v>
      </c>
      <c r="K8" s="21" t="n">
        <f aca="false">J8*(1+Aero_Escalation)</f>
        <v>1.08243216</v>
      </c>
      <c r="L8" s="21" t="n">
        <f aca="false">K8*(1+Aero_Escalation)</f>
        <v>1.1040808032</v>
      </c>
      <c r="M8" s="21" t="n">
        <f aca="false">L8*(1+Aero_Escalation)</f>
        <v>1.126162419264</v>
      </c>
      <c r="N8" s="21" t="n">
        <f aca="false">M8*(1+Aero_Escalation)</f>
        <v>1.14868566764928</v>
      </c>
      <c r="O8" s="21" t="n">
        <f aca="false">N8*(1+Aero_Escalation)</f>
        <v>1.17165938100227</v>
      </c>
      <c r="P8" s="21" t="n">
        <f aca="false">O8*(1+Aero_Escalation)</f>
        <v>1.19509256862231</v>
      </c>
      <c r="Q8" s="21" t="n">
        <f aca="false">P8*(1+Aero_Escalation)</f>
        <v>1.21899441999476</v>
      </c>
      <c r="R8" s="21" t="n">
        <f aca="false">Q8*(1+Aero_Escalation)</f>
        <v>1.24337430839465</v>
      </c>
      <c r="S8" s="21" t="n">
        <f aca="false">R8*(1+Aero_Escalation)</f>
        <v>1.26824179456255</v>
      </c>
      <c r="T8" s="21" t="n">
        <f aca="false">S8*(1+Aero_Escalation)</f>
        <v>1.2936066304538</v>
      </c>
      <c r="U8" s="21" t="n">
        <f aca="false">T8*(1+Aero_Escalation)</f>
        <v>1.31947876306287</v>
      </c>
      <c r="V8" s="21" t="n">
        <f aca="false">U8*(1+Aero_Escalation)</f>
        <v>1.34586833832413</v>
      </c>
      <c r="W8" s="21" t="n">
        <f aca="false">V8*(1+Aero_Escalation)</f>
        <v>1.37278570509061</v>
      </c>
      <c r="X8" s="21" t="n">
        <f aca="false">W8*(1+Aero_Escalation)</f>
        <v>1.40024141919242</v>
      </c>
      <c r="Y8" s="21" t="n">
        <f aca="false">X8*(1+Aero_Escalation)</f>
        <v>1.42824624757627</v>
      </c>
      <c r="Z8" s="21" t="n">
        <f aca="false">Y8*(1+Aero_Escalation)</f>
        <v>1.4568111725278</v>
      </c>
      <c r="AA8" s="21" t="n">
        <f aca="false">Z8*(1+Aero_Escalation)</f>
        <v>1.48594739597836</v>
      </c>
      <c r="AB8" s="21" t="n">
        <f aca="false">AA8*(1+Aero_Escalation)</f>
        <v>1.51566634389792</v>
      </c>
      <c r="AC8" s="21" t="n">
        <f aca="false">AB8*(1+Aero_Escalation)</f>
        <v>1.54597967077588</v>
      </c>
      <c r="AD8" s="21" t="n">
        <f aca="false">AC8*(1+Aero_Escalation)</f>
        <v>1.5768992641914</v>
      </c>
      <c r="AE8" s="21" t="n">
        <f aca="false">AD8*(1+Aero_Escalation)</f>
        <v>1.60843724947523</v>
      </c>
      <c r="AF8" s="21" t="n">
        <f aca="false">AE8*(1+Aero_Escalation)</f>
        <v>1.64060599446473</v>
      </c>
      <c r="AG8" s="21" t="n">
        <f aca="false">AF8*(1+Aero_Escalation)</f>
        <v>1.67341811435403</v>
      </c>
      <c r="AH8" s="21" t="n">
        <f aca="false">AG8*(1+Aero_Escalation)</f>
        <v>1.70688647664111</v>
      </c>
      <c r="AI8" s="21" t="n">
        <f aca="false">AH8*(1+Aero_Escalation)</f>
        <v>1.74102420617393</v>
      </c>
      <c r="AJ8" s="21" t="n">
        <f aca="false">AI8*(1+Aero_Escalation)</f>
        <v>1.77584469029741</v>
      </c>
    </row>
    <row r="9" customFormat="false" ht="15" hidden="false" customHeight="false" outlineLevel="0" collapsed="false">
      <c r="A9" s="6"/>
      <c r="B9" s="11" t="s">
        <v>203</v>
      </c>
      <c r="C9" s="21" t="n">
        <v>0</v>
      </c>
      <c r="D9" s="21" t="n">
        <v>0</v>
      </c>
      <c r="E9" s="21" t="n">
        <v>0</v>
      </c>
      <c r="F9" s="21" t="n">
        <v>0</v>
      </c>
      <c r="G9" s="21" t="n">
        <v>1</v>
      </c>
      <c r="H9" s="21" t="n">
        <f aca="false">G9*(1+NonAero_Escalation)</f>
        <v>1.03</v>
      </c>
      <c r="I9" s="21" t="n">
        <f aca="false">H9*(1+NonAero_Escalation)</f>
        <v>1.0609</v>
      </c>
      <c r="J9" s="21" t="n">
        <f aca="false">I9*(1+NonAero_Escalation)</f>
        <v>1.092727</v>
      </c>
      <c r="K9" s="21" t="n">
        <f aca="false">J9*(1+NonAero_Escalation)</f>
        <v>1.12550881</v>
      </c>
      <c r="L9" s="21" t="n">
        <f aca="false">K9*(1+NonAero_Escalation)</f>
        <v>1.1592740743</v>
      </c>
      <c r="M9" s="21" t="n">
        <f aca="false">L9*(1+NonAero_Escalation)</f>
        <v>1.194052296529</v>
      </c>
      <c r="N9" s="21" t="n">
        <f aca="false">M9*(1+NonAero_Escalation)</f>
        <v>1.22987386542487</v>
      </c>
      <c r="O9" s="21" t="n">
        <f aca="false">N9*(1+NonAero_Escalation)</f>
        <v>1.26677008138762</v>
      </c>
      <c r="P9" s="21" t="n">
        <f aca="false">O9*(1+NonAero_Escalation)</f>
        <v>1.30477318382925</v>
      </c>
      <c r="Q9" s="21" t="n">
        <f aca="false">P9*(1+NonAero_Escalation)</f>
        <v>1.34391637934412</v>
      </c>
      <c r="R9" s="21" t="n">
        <f aca="false">Q9*(1+NonAero_Escalation)</f>
        <v>1.38423387072445</v>
      </c>
      <c r="S9" s="21" t="n">
        <f aca="false">R9*(1+NonAero_Escalation)</f>
        <v>1.42576088684618</v>
      </c>
      <c r="T9" s="21" t="n">
        <f aca="false">S9*(1+NonAero_Escalation)</f>
        <v>1.46853371345156</v>
      </c>
      <c r="U9" s="21" t="n">
        <f aca="false">T9*(1+NonAero_Escalation)</f>
        <v>1.51258972485511</v>
      </c>
      <c r="V9" s="21" t="n">
        <f aca="false">U9*(1+NonAero_Escalation)</f>
        <v>1.55796741660077</v>
      </c>
      <c r="W9" s="21" t="n">
        <f aca="false">V9*(1+NonAero_Escalation)</f>
        <v>1.60470643909879</v>
      </c>
      <c r="X9" s="21" t="n">
        <f aca="false">W9*(1+NonAero_Escalation)</f>
        <v>1.65284763227175</v>
      </c>
      <c r="Y9" s="21" t="n">
        <f aca="false">X9*(1+NonAero_Escalation)</f>
        <v>1.7024330612399</v>
      </c>
      <c r="Z9" s="21" t="n">
        <f aca="false">Y9*(1+NonAero_Escalation)</f>
        <v>1.7535060530771</v>
      </c>
      <c r="AA9" s="21" t="n">
        <f aca="false">Z9*(1+NonAero_Escalation)</f>
        <v>1.80611123466942</v>
      </c>
      <c r="AB9" s="21" t="n">
        <f aca="false">AA9*(1+NonAero_Escalation)</f>
        <v>1.8602945717095</v>
      </c>
      <c r="AC9" s="21" t="n">
        <f aca="false">AB9*(1+NonAero_Escalation)</f>
        <v>1.91610340886078</v>
      </c>
      <c r="AD9" s="21" t="n">
        <f aca="false">AC9*(1+NonAero_Escalation)</f>
        <v>1.97358651112661</v>
      </c>
      <c r="AE9" s="21" t="n">
        <f aca="false">AD9*(1+NonAero_Escalation)</f>
        <v>2.0327941064604</v>
      </c>
      <c r="AF9" s="21" t="n">
        <f aca="false">AE9*(1+NonAero_Escalation)</f>
        <v>2.09377792965422</v>
      </c>
      <c r="AG9" s="21" t="n">
        <f aca="false">AF9*(1+NonAero_Escalation)</f>
        <v>2.15659126754384</v>
      </c>
      <c r="AH9" s="21" t="n">
        <f aca="false">AG9*(1+NonAero_Escalation)</f>
        <v>2.22128900557016</v>
      </c>
      <c r="AI9" s="21" t="n">
        <f aca="false">AH9*(1+NonAero_Escalation)</f>
        <v>2.28792767573726</v>
      </c>
      <c r="AJ9" s="21" t="n">
        <f aca="false">AI9*(1+NonAero_Escalation)</f>
        <v>2.35656550600938</v>
      </c>
    </row>
    <row r="10" customFormat="false" ht="15" hidden="false" customHeight="false" outlineLevel="0" collapsed="false">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customFormat="false" ht="15" hidden="false" customHeight="false" outlineLevel="0" collapsed="false">
      <c r="A11" s="6"/>
      <c r="B11" s="8" t="s">
        <v>204</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row>
    <row r="12" customFormat="false" ht="15" hidden="false" customHeight="false" outlineLevel="0" collapsed="false">
      <c r="A12" s="6"/>
      <c r="B12" s="11" t="s">
        <v>205</v>
      </c>
      <c r="C12" s="21" t="n">
        <v>0</v>
      </c>
      <c r="D12" s="21" t="n">
        <v>0</v>
      </c>
      <c r="E12" s="21" t="n">
        <v>0</v>
      </c>
      <c r="F12" s="21" t="n">
        <v>0</v>
      </c>
      <c r="G12" s="21" t="n">
        <f aca="false">Traffic!G22*Aero_Landing_PerATM*G8</f>
        <v>113166666.666667</v>
      </c>
      <c r="H12" s="21" t="n">
        <f aca="false">Traffic!H22*Aero_Landing_PerATM*H8</f>
        <v>117810000</v>
      </c>
      <c r="I12" s="21" t="n">
        <f aca="false">Traffic!I22*Aero_Landing_PerATM*I8</f>
        <v>121380000</v>
      </c>
      <c r="J12" s="21" t="n">
        <f aca="false">Traffic!J22*Aero_Landing_PerATM*J8</f>
        <v>126902790</v>
      </c>
      <c r="K12" s="21" t="n">
        <f aca="false">Traffic!K22*Aero_Landing_PerATM*K8</f>
        <v>132676866.945</v>
      </c>
      <c r="L12" s="21" t="n">
        <f aca="false">Traffic!L22*Aero_Landing_PerATM*L8</f>
        <v>138713664.390997</v>
      </c>
      <c r="M12" s="21" t="n">
        <f aca="false">Traffic!M22*Aero_Landing_PerATM*M8</f>
        <v>145025136.120788</v>
      </c>
      <c r="N12" s="21" t="n">
        <f aca="false">Traffic!N22*Aero_Landing_PerATM*N8</f>
        <v>151623779.814284</v>
      </c>
      <c r="O12" s="21" t="n">
        <f aca="false">Traffic!O22*Aero_Landing_PerATM*O8</f>
        <v>158522661.795834</v>
      </c>
      <c r="P12" s="21" t="n">
        <f aca="false">Traffic!P22*Aero_Landing_PerATM*P8</f>
        <v>165735442.907544</v>
      </c>
      <c r="Q12" s="21" t="n">
        <f aca="false">Traffic!Q22*Aero_Landing_PerATM*Q8</f>
        <v>173276405.559837</v>
      </c>
      <c r="R12" s="21" t="n">
        <f aca="false">Traffic!R22*Aero_Landing_PerATM*R8</f>
        <v>181160482.01281</v>
      </c>
      <c r="S12" s="21" t="n">
        <f aca="false">Traffic!S22*Aero_Landing_PerATM*S8</f>
        <v>189403283.944393</v>
      </c>
      <c r="T12" s="21" t="n">
        <f aca="false">Traffic!T22*Aero_Landing_PerATM*T8</f>
        <v>198021133.363862</v>
      </c>
      <c r="U12" s="21" t="n">
        <f aca="false">Traffic!U22*Aero_Landing_PerATM*U8</f>
        <v>207031094.931918</v>
      </c>
      <c r="V12" s="21" t="n">
        <f aca="false">Traffic!V22*Aero_Landing_PerATM*V8</f>
        <v>216451009.75132</v>
      </c>
      <c r="W12" s="21" t="n">
        <f aca="false">Traffic!W22*Aero_Landing_PerATM*W8</f>
        <v>226299530.695005</v>
      </c>
      <c r="X12" s="21" t="n">
        <f aca="false">Traffic!X22*Aero_Landing_PerATM*X8</f>
        <v>233373569.865404</v>
      </c>
      <c r="Y12" s="21" t="n">
        <f aca="false">Traffic!Y22*Aero_Landing_PerATM*Y8</f>
        <v>238041041.262712</v>
      </c>
      <c r="Z12" s="21" t="n">
        <f aca="false">Traffic!Z22*Aero_Landing_PerATM*Z8</f>
        <v>242801862.087966</v>
      </c>
      <c r="AA12" s="21" t="n">
        <f aca="false">Traffic!AA22*Aero_Landing_PerATM*AA8</f>
        <v>247657899.329726</v>
      </c>
      <c r="AB12" s="21" t="n">
        <f aca="false">Traffic!AB22*Aero_Landing_PerATM*AB8</f>
        <v>252611057.31632</v>
      </c>
      <c r="AC12" s="21" t="n">
        <f aca="false">Traffic!AC22*Aero_Landing_PerATM*AC8</f>
        <v>257663278.462647</v>
      </c>
      <c r="AD12" s="21" t="n">
        <f aca="false">Traffic!AD22*Aero_Landing_PerATM*AD8</f>
        <v>262816544.0319</v>
      </c>
      <c r="AE12" s="21" t="n">
        <f aca="false">Traffic!AE22*Aero_Landing_PerATM*AE8</f>
        <v>268072874.912538</v>
      </c>
      <c r="AF12" s="21" t="n">
        <f aca="false">Traffic!AF22*Aero_Landing_PerATM*AF8</f>
        <v>273434332.410788</v>
      </c>
      <c r="AG12" s="21" t="n">
        <f aca="false">Traffic!AG22*Aero_Landing_PerATM*AG8</f>
        <v>278903019.059004</v>
      </c>
      <c r="AH12" s="21" t="n">
        <f aca="false">Traffic!AH22*Aero_Landing_PerATM*AH8</f>
        <v>284481079.440184</v>
      </c>
      <c r="AI12" s="21" t="n">
        <f aca="false">Traffic!AI22*Aero_Landing_PerATM*AI8</f>
        <v>290170701.028988</v>
      </c>
      <c r="AJ12" s="21" t="n">
        <f aca="false">Traffic!AJ22*Aero_Landing_PerATM*AJ8</f>
        <v>295974115.049568</v>
      </c>
    </row>
    <row r="13" customFormat="false" ht="15" hidden="false" customHeight="false" outlineLevel="0" collapsed="false">
      <c r="A13" s="6"/>
      <c r="B13" s="11" t="s">
        <v>206</v>
      </c>
      <c r="C13" s="21" t="n">
        <v>0</v>
      </c>
      <c r="D13" s="21" t="n">
        <v>0</v>
      </c>
      <c r="E13" s="21" t="n">
        <v>0</v>
      </c>
      <c r="F13" s="21" t="n">
        <v>0</v>
      </c>
      <c r="G13" s="21" t="n">
        <f aca="false">Traffic!G16*Aero_PaxFee_Dom*G8</f>
        <v>81480000</v>
      </c>
      <c r="H13" s="21" t="n">
        <f aca="false">Traffic!H16*Aero_PaxFee_Dom*H8</f>
        <v>84823200</v>
      </c>
      <c r="I13" s="21" t="n">
        <f aca="false">Traffic!I16*Aero_PaxFee_Dom*I8</f>
        <v>87393600</v>
      </c>
      <c r="J13" s="21" t="n">
        <f aca="false">Traffic!J16*Aero_PaxFee_Dom*J8</f>
        <v>91370008.8</v>
      </c>
      <c r="K13" s="21" t="n">
        <f aca="false">Traffic!K16*Aero_PaxFee_Dom*K8</f>
        <v>95527344.2004</v>
      </c>
      <c r="L13" s="21" t="n">
        <f aca="false">Traffic!L16*Aero_PaxFee_Dom*L8</f>
        <v>99873838.3615182</v>
      </c>
      <c r="M13" s="21" t="n">
        <f aca="false">Traffic!M16*Aero_PaxFee_Dom*M8</f>
        <v>104418098.006967</v>
      </c>
      <c r="N13" s="21" t="n">
        <f aca="false">Traffic!N16*Aero_PaxFee_Dom*N8</f>
        <v>109169121.466284</v>
      </c>
      <c r="O13" s="21" t="n">
        <f aca="false">Traffic!O16*Aero_PaxFee_Dom*O8</f>
        <v>114136316.493</v>
      </c>
      <c r="P13" s="21" t="n">
        <f aca="false">Traffic!P16*Aero_PaxFee_Dom*P8</f>
        <v>119329518.893432</v>
      </c>
      <c r="Q13" s="21" t="n">
        <f aca="false">Traffic!Q16*Aero_PaxFee_Dom*Q8</f>
        <v>124759012.003083</v>
      </c>
      <c r="R13" s="21" t="n">
        <f aca="false">Traffic!R16*Aero_PaxFee_Dom*R8</f>
        <v>130435547.049223</v>
      </c>
      <c r="S13" s="21" t="n">
        <f aca="false">Traffic!S16*Aero_PaxFee_Dom*S8</f>
        <v>136370364.439963</v>
      </c>
      <c r="T13" s="21" t="n">
        <f aca="false">Traffic!T16*Aero_PaxFee_Dom*T8</f>
        <v>142575216.021981</v>
      </c>
      <c r="U13" s="21" t="n">
        <f aca="false">Traffic!U16*Aero_PaxFee_Dom*U8</f>
        <v>149062388.350981</v>
      </c>
      <c r="V13" s="21" t="n">
        <f aca="false">Traffic!V16*Aero_PaxFee_Dom*V8</f>
        <v>155844727.020951</v>
      </c>
      <c r="W13" s="21" t="n">
        <f aca="false">Traffic!W16*Aero_PaxFee_Dom*W8</f>
        <v>162935662.100404</v>
      </c>
      <c r="X13" s="21" t="n">
        <f aca="false">Traffic!X16*Aero_PaxFee_Dom*X8</f>
        <v>168028970.303091</v>
      </c>
      <c r="Y13" s="21" t="n">
        <f aca="false">Traffic!Y16*Aero_PaxFee_Dom*Y8</f>
        <v>171389549.709153</v>
      </c>
      <c r="Z13" s="21" t="n">
        <f aca="false">Traffic!Z16*Aero_PaxFee_Dom*Z8</f>
        <v>174817340.703336</v>
      </c>
      <c r="AA13" s="21" t="n">
        <f aca="false">Traffic!AA16*Aero_PaxFee_Dom*AA8</f>
        <v>178313687.517403</v>
      </c>
      <c r="AB13" s="21" t="n">
        <f aca="false">Traffic!AB16*Aero_PaxFee_Dom*AB8</f>
        <v>181879961.267751</v>
      </c>
      <c r="AC13" s="21" t="n">
        <f aca="false">Traffic!AC16*Aero_PaxFee_Dom*AC8</f>
        <v>185517560.493106</v>
      </c>
      <c r="AD13" s="21" t="n">
        <f aca="false">Traffic!AD16*Aero_PaxFee_Dom*AD8</f>
        <v>189227911.702968</v>
      </c>
      <c r="AE13" s="21" t="n">
        <f aca="false">Traffic!AE16*Aero_PaxFee_Dom*AE8</f>
        <v>193012469.937027</v>
      </c>
      <c r="AF13" s="21" t="n">
        <f aca="false">Traffic!AF16*Aero_PaxFee_Dom*AF8</f>
        <v>196872719.335768</v>
      </c>
      <c r="AG13" s="21" t="n">
        <f aca="false">Traffic!AG16*Aero_PaxFee_Dom*AG8</f>
        <v>200810173.722483</v>
      </c>
      <c r="AH13" s="21" t="n">
        <f aca="false">Traffic!AH16*Aero_PaxFee_Dom*AH8</f>
        <v>204826377.196933</v>
      </c>
      <c r="AI13" s="21" t="n">
        <f aca="false">Traffic!AI16*Aero_PaxFee_Dom*AI8</f>
        <v>208922904.740871</v>
      </c>
      <c r="AJ13" s="21" t="n">
        <f aca="false">Traffic!AJ16*Aero_PaxFee_Dom*AJ8</f>
        <v>213101362.835689</v>
      </c>
    </row>
    <row r="14" customFormat="false" ht="15" hidden="false" customHeight="false" outlineLevel="0" collapsed="false">
      <c r="A14" s="6"/>
      <c r="B14" s="11" t="s">
        <v>207</v>
      </c>
      <c r="C14" s="21" t="n">
        <v>0</v>
      </c>
      <c r="D14" s="21" t="n">
        <v>0</v>
      </c>
      <c r="E14" s="21" t="n">
        <v>0</v>
      </c>
      <c r="F14" s="21" t="n">
        <v>0</v>
      </c>
      <c r="G14" s="21" t="n">
        <f aca="false">Traffic!G17*Aero_PaxFee_Intl*G8</f>
        <v>73332000</v>
      </c>
      <c r="H14" s="21" t="n">
        <f aca="false">Traffic!H17*Aero_PaxFee_Intl*H8</f>
        <v>76340880</v>
      </c>
      <c r="I14" s="21" t="n">
        <f aca="false">Traffic!I17*Aero_PaxFee_Intl*I8</f>
        <v>78654240</v>
      </c>
      <c r="J14" s="21" t="n">
        <f aca="false">Traffic!J17*Aero_PaxFee_Intl*J8</f>
        <v>82233007.92</v>
      </c>
      <c r="K14" s="21" t="n">
        <f aca="false">Traffic!K17*Aero_PaxFee_Intl*K8</f>
        <v>85974609.78036</v>
      </c>
      <c r="L14" s="21" t="n">
        <f aca="false">Traffic!L17*Aero_PaxFee_Intl*L8</f>
        <v>89886454.5253664</v>
      </c>
      <c r="M14" s="21" t="n">
        <f aca="false">Traffic!M17*Aero_PaxFee_Intl*M8</f>
        <v>93976288.2062705</v>
      </c>
      <c r="N14" s="21" t="n">
        <f aca="false">Traffic!N17*Aero_PaxFee_Intl*N8</f>
        <v>98252209.3196558</v>
      </c>
      <c r="O14" s="21" t="n">
        <f aca="false">Traffic!O17*Aero_PaxFee_Intl*O8</f>
        <v>102722684.8437</v>
      </c>
      <c r="P14" s="21" t="n">
        <f aca="false">Traffic!P17*Aero_PaxFee_Intl*P8</f>
        <v>107396567.004088</v>
      </c>
      <c r="Q14" s="21" t="n">
        <f aca="false">Traffic!Q17*Aero_PaxFee_Intl*Q8</f>
        <v>112283110.802774</v>
      </c>
      <c r="R14" s="21" t="n">
        <f aca="false">Traffic!R17*Aero_PaxFee_Intl*R8</f>
        <v>117391992.344301</v>
      </c>
      <c r="S14" s="21" t="n">
        <f aca="false">Traffic!S17*Aero_PaxFee_Intl*S8</f>
        <v>122733327.995966</v>
      </c>
      <c r="T14" s="21" t="n">
        <f aca="false">Traffic!T17*Aero_PaxFee_Intl*T8</f>
        <v>128317694.419783</v>
      </c>
      <c r="U14" s="21" t="n">
        <f aca="false">Traffic!U17*Aero_PaxFee_Intl*U8</f>
        <v>134156149.515883</v>
      </c>
      <c r="V14" s="21" t="n">
        <f aca="false">Traffic!V17*Aero_PaxFee_Intl*V8</f>
        <v>140260254.318856</v>
      </c>
      <c r="W14" s="21" t="n">
        <f aca="false">Traffic!W17*Aero_PaxFee_Intl*W8</f>
        <v>146642095.890364</v>
      </c>
      <c r="X14" s="21" t="n">
        <f aca="false">Traffic!X17*Aero_PaxFee_Intl*X8</f>
        <v>151226073.272782</v>
      </c>
      <c r="Y14" s="21" t="n">
        <f aca="false">Traffic!Y17*Aero_PaxFee_Intl*Y8</f>
        <v>154250594.738238</v>
      </c>
      <c r="Z14" s="21" t="n">
        <f aca="false">Traffic!Z17*Aero_PaxFee_Intl*Z8</f>
        <v>157335606.633002</v>
      </c>
      <c r="AA14" s="21" t="n">
        <f aca="false">Traffic!AA17*Aero_PaxFee_Intl*AA8</f>
        <v>160482318.765662</v>
      </c>
      <c r="AB14" s="21" t="n">
        <f aca="false">Traffic!AB17*Aero_PaxFee_Intl*AB8</f>
        <v>163691965.140976</v>
      </c>
      <c r="AC14" s="21" t="n">
        <f aca="false">Traffic!AC17*Aero_PaxFee_Intl*AC8</f>
        <v>166965804.443795</v>
      </c>
      <c r="AD14" s="21" t="n">
        <f aca="false">Traffic!AD17*Aero_PaxFee_Intl*AD8</f>
        <v>170305120.532671</v>
      </c>
      <c r="AE14" s="21" t="n">
        <f aca="false">Traffic!AE17*Aero_PaxFee_Intl*AE8</f>
        <v>173711222.943324</v>
      </c>
      <c r="AF14" s="21" t="n">
        <f aca="false">Traffic!AF17*Aero_PaxFee_Intl*AF8</f>
        <v>177185447.402191</v>
      </c>
      <c r="AG14" s="21" t="n">
        <f aca="false">Traffic!AG17*Aero_PaxFee_Intl*AG8</f>
        <v>180729156.350235</v>
      </c>
      <c r="AH14" s="21" t="n">
        <f aca="false">Traffic!AH17*Aero_PaxFee_Intl*AH8</f>
        <v>184343739.477239</v>
      </c>
      <c r="AI14" s="21" t="n">
        <f aca="false">Traffic!AI17*Aero_PaxFee_Intl*AI8</f>
        <v>188030614.266784</v>
      </c>
      <c r="AJ14" s="21" t="n">
        <f aca="false">Traffic!AJ17*Aero_PaxFee_Intl*AJ8</f>
        <v>191791226.55212</v>
      </c>
    </row>
    <row r="15" customFormat="false" ht="15" hidden="false" customHeight="false" outlineLevel="0" collapsed="false">
      <c r="A15" s="6"/>
      <c r="B15" s="11" t="s">
        <v>208</v>
      </c>
      <c r="C15" s="21" t="n">
        <v>0</v>
      </c>
      <c r="D15" s="21" t="n">
        <v>0</v>
      </c>
      <c r="E15" s="21" t="n">
        <v>0</v>
      </c>
      <c r="F15" s="21" t="n">
        <v>0</v>
      </c>
      <c r="G15" s="21" t="n">
        <f aca="false">Traffic!G18*Aero_PaxFee_Trf*G8</f>
        <v>8148000</v>
      </c>
      <c r="H15" s="21" t="n">
        <f aca="false">Traffic!H18*Aero_PaxFee_Trf*H8</f>
        <v>8482320</v>
      </c>
      <c r="I15" s="21" t="n">
        <f aca="false">Traffic!I18*Aero_PaxFee_Trf*I8</f>
        <v>8739360</v>
      </c>
      <c r="J15" s="21" t="n">
        <f aca="false">Traffic!J18*Aero_PaxFee_Trf*J8</f>
        <v>9137000.88</v>
      </c>
      <c r="K15" s="21" t="n">
        <f aca="false">Traffic!K18*Aero_PaxFee_Trf*K8</f>
        <v>9552734.42004</v>
      </c>
      <c r="L15" s="21" t="n">
        <f aca="false">Traffic!L18*Aero_PaxFee_Trf*L8</f>
        <v>9987383.83615182</v>
      </c>
      <c r="M15" s="21" t="n">
        <f aca="false">Traffic!M18*Aero_PaxFee_Trf*M8</f>
        <v>10441809.8006967</v>
      </c>
      <c r="N15" s="21" t="n">
        <f aca="false">Traffic!N18*Aero_PaxFee_Trf*N8</f>
        <v>10916912.1466284</v>
      </c>
      <c r="O15" s="21" t="n">
        <f aca="false">Traffic!O18*Aero_PaxFee_Trf*O8</f>
        <v>11413631.6493</v>
      </c>
      <c r="P15" s="21" t="n">
        <f aca="false">Traffic!P18*Aero_PaxFee_Trf*P8</f>
        <v>11932951.8893432</v>
      </c>
      <c r="Q15" s="21" t="n">
        <f aca="false">Traffic!Q18*Aero_PaxFee_Trf*Q8</f>
        <v>12475901.2003083</v>
      </c>
      <c r="R15" s="21" t="n">
        <f aca="false">Traffic!R18*Aero_PaxFee_Trf*R8</f>
        <v>13043554.7049223</v>
      </c>
      <c r="S15" s="21" t="n">
        <f aca="false">Traffic!S18*Aero_PaxFee_Trf*S8</f>
        <v>13637036.4439963</v>
      </c>
      <c r="T15" s="21" t="n">
        <f aca="false">Traffic!T18*Aero_PaxFee_Trf*T8</f>
        <v>14257521.6021981</v>
      </c>
      <c r="U15" s="21" t="n">
        <f aca="false">Traffic!U18*Aero_PaxFee_Trf*U8</f>
        <v>14906238.8350981</v>
      </c>
      <c r="V15" s="21" t="n">
        <f aca="false">Traffic!V18*Aero_PaxFee_Trf*V8</f>
        <v>15584472.7020951</v>
      </c>
      <c r="W15" s="21" t="n">
        <f aca="false">Traffic!W18*Aero_PaxFee_Trf*W8</f>
        <v>16293566.2100404</v>
      </c>
      <c r="X15" s="21" t="n">
        <f aca="false">Traffic!X18*Aero_PaxFee_Trf*X8</f>
        <v>16802897.0303091</v>
      </c>
      <c r="Y15" s="21" t="n">
        <f aca="false">Traffic!Y18*Aero_PaxFee_Trf*Y8</f>
        <v>17138954.9709153</v>
      </c>
      <c r="Z15" s="21" t="n">
        <f aca="false">Traffic!Z18*Aero_PaxFee_Trf*Z8</f>
        <v>17481734.0703336</v>
      </c>
      <c r="AA15" s="21" t="n">
        <f aca="false">Traffic!AA18*Aero_PaxFee_Trf*AA8</f>
        <v>17831368.7517403</v>
      </c>
      <c r="AB15" s="21" t="n">
        <f aca="false">Traffic!AB18*Aero_PaxFee_Trf*AB8</f>
        <v>18187996.1267751</v>
      </c>
      <c r="AC15" s="21" t="n">
        <f aca="false">Traffic!AC18*Aero_PaxFee_Trf*AC8</f>
        <v>18551756.0493106</v>
      </c>
      <c r="AD15" s="21" t="n">
        <f aca="false">Traffic!AD18*Aero_PaxFee_Trf*AD8</f>
        <v>18922791.1702968</v>
      </c>
      <c r="AE15" s="21" t="n">
        <f aca="false">Traffic!AE18*Aero_PaxFee_Trf*AE8</f>
        <v>19301246.9937027</v>
      </c>
      <c r="AF15" s="21" t="n">
        <f aca="false">Traffic!AF18*Aero_PaxFee_Trf*AF8</f>
        <v>19687271.9335768</v>
      </c>
      <c r="AG15" s="21" t="n">
        <f aca="false">Traffic!AG18*Aero_PaxFee_Trf*AG8</f>
        <v>20081017.3722483</v>
      </c>
      <c r="AH15" s="21" t="n">
        <f aca="false">Traffic!AH18*Aero_PaxFee_Trf*AH8</f>
        <v>20482637.7196933</v>
      </c>
      <c r="AI15" s="21" t="n">
        <f aca="false">Traffic!AI18*Aero_PaxFee_Trf*AI8</f>
        <v>20892290.4740871</v>
      </c>
      <c r="AJ15" s="21" t="n">
        <f aca="false">Traffic!AJ18*Aero_PaxFee_Trf*AJ8</f>
        <v>21310136.2835689</v>
      </c>
    </row>
    <row r="16" customFormat="false" ht="15" hidden="false" customHeight="false" outlineLevel="0" collapsed="false">
      <c r="A16" s="6"/>
      <c r="B16" s="11" t="s">
        <v>209</v>
      </c>
      <c r="C16" s="21" t="n">
        <v>0</v>
      </c>
      <c r="D16" s="21" t="n">
        <v>0</v>
      </c>
      <c r="E16" s="21" t="n">
        <v>0</v>
      </c>
      <c r="F16" s="21" t="n">
        <v>0</v>
      </c>
      <c r="G16" s="21" t="n">
        <f aca="false">Traffic!G22*Aero_Parking_PerATM*G8</f>
        <v>23576388.8888889</v>
      </c>
      <c r="H16" s="21" t="n">
        <f aca="false">Traffic!H22*Aero_Parking_PerATM*H8</f>
        <v>24543750</v>
      </c>
      <c r="I16" s="21" t="n">
        <f aca="false">Traffic!I22*Aero_Parking_PerATM*I8</f>
        <v>25287500</v>
      </c>
      <c r="J16" s="21" t="n">
        <f aca="false">Traffic!J22*Aero_Parking_PerATM*J8</f>
        <v>26438081.25</v>
      </c>
      <c r="K16" s="21" t="n">
        <f aca="false">Traffic!K22*Aero_Parking_PerATM*K8</f>
        <v>27641013.946875</v>
      </c>
      <c r="L16" s="21" t="n">
        <f aca="false">Traffic!L22*Aero_Parking_PerATM*L8</f>
        <v>28898680.0814578</v>
      </c>
      <c r="M16" s="21" t="n">
        <f aca="false">Traffic!M22*Aero_Parking_PerATM*M8</f>
        <v>30213570.0251641</v>
      </c>
      <c r="N16" s="21" t="n">
        <f aca="false">Traffic!N22*Aero_Parking_PerATM*N8</f>
        <v>31588287.4613091</v>
      </c>
      <c r="O16" s="21" t="n">
        <f aca="false">Traffic!O22*Aero_Parking_PerATM*O8</f>
        <v>33025554.5407987</v>
      </c>
      <c r="P16" s="21" t="n">
        <f aca="false">Traffic!P22*Aero_Parking_PerATM*P8</f>
        <v>34528217.272405</v>
      </c>
      <c r="Q16" s="21" t="n">
        <f aca="false">Traffic!Q22*Aero_Parking_PerATM*Q8</f>
        <v>36099251.1582994</v>
      </c>
      <c r="R16" s="21" t="n">
        <f aca="false">Traffic!R22*Aero_Parking_PerATM*R8</f>
        <v>37741767.086002</v>
      </c>
      <c r="S16" s="21" t="n">
        <f aca="false">Traffic!S22*Aero_Parking_PerATM*S8</f>
        <v>39459017.4884151</v>
      </c>
      <c r="T16" s="21" t="n">
        <f aca="false">Traffic!T22*Aero_Parking_PerATM*T8</f>
        <v>41254402.784138</v>
      </c>
      <c r="U16" s="21" t="n">
        <f aca="false">Traffic!U22*Aero_Parking_PerATM*U8</f>
        <v>43131478.1108163</v>
      </c>
      <c r="V16" s="21" t="n">
        <f aca="false">Traffic!V22*Aero_Parking_PerATM*V8</f>
        <v>45093960.3648584</v>
      </c>
      <c r="W16" s="21" t="n">
        <f aca="false">Traffic!W22*Aero_Parking_PerATM*W8</f>
        <v>47145735.5614595</v>
      </c>
      <c r="X16" s="21" t="n">
        <f aca="false">Traffic!X22*Aero_Parking_PerATM*X8</f>
        <v>48619493.7219592</v>
      </c>
      <c r="Y16" s="21" t="n">
        <f aca="false">Traffic!Y22*Aero_Parking_PerATM*Y8</f>
        <v>49591883.5963984</v>
      </c>
      <c r="Z16" s="21" t="n">
        <f aca="false">Traffic!Z22*Aero_Parking_PerATM*Z8</f>
        <v>50583721.2683263</v>
      </c>
      <c r="AA16" s="21" t="n">
        <f aca="false">Traffic!AA22*Aero_Parking_PerATM*AA8</f>
        <v>51595395.6936929</v>
      </c>
      <c r="AB16" s="21" t="n">
        <f aca="false">Traffic!AB22*Aero_Parking_PerATM*AB8</f>
        <v>52627303.6075667</v>
      </c>
      <c r="AC16" s="21" t="n">
        <f aca="false">Traffic!AC22*Aero_Parking_PerATM*AC8</f>
        <v>53679849.6797181</v>
      </c>
      <c r="AD16" s="21" t="n">
        <f aca="false">Traffic!AD22*Aero_Parking_PerATM*AD8</f>
        <v>54753446.6733124</v>
      </c>
      <c r="AE16" s="21" t="n">
        <f aca="false">Traffic!AE22*Aero_Parking_PerATM*AE8</f>
        <v>55848515.6067787</v>
      </c>
      <c r="AF16" s="21" t="n">
        <f aca="false">Traffic!AF22*Aero_Parking_PerATM*AF8</f>
        <v>56965485.9189143</v>
      </c>
      <c r="AG16" s="21" t="n">
        <f aca="false">Traffic!AG22*Aero_Parking_PerATM*AG8</f>
        <v>58104795.6372925</v>
      </c>
      <c r="AH16" s="21" t="n">
        <f aca="false">Traffic!AH22*Aero_Parking_PerATM*AH8</f>
        <v>59266891.5500384</v>
      </c>
      <c r="AI16" s="21" t="n">
        <f aca="false">Traffic!AI22*Aero_Parking_PerATM*AI8</f>
        <v>60452229.3810392</v>
      </c>
      <c r="AJ16" s="21" t="n">
        <f aca="false">Traffic!AJ22*Aero_Parking_PerATM*AJ8</f>
        <v>61661273.9686599</v>
      </c>
    </row>
    <row r="17" customFormat="false" ht="15" hidden="false" customHeight="false" outlineLevel="0" collapsed="false">
      <c r="A17" s="6"/>
      <c r="B17" s="11" t="s">
        <v>210</v>
      </c>
      <c r="C17" s="21" t="n">
        <v>0</v>
      </c>
      <c r="D17" s="21" t="n">
        <v>0</v>
      </c>
      <c r="E17" s="21" t="n">
        <v>0</v>
      </c>
      <c r="F17" s="21" t="n">
        <v>0</v>
      </c>
      <c r="G17" s="21" t="n">
        <f aca="false">Traffic!G25*Aero_Cargo_PerTonne*G8</f>
        <v>6111000</v>
      </c>
      <c r="H17" s="21" t="n">
        <f aca="false">Traffic!H25*Aero_Cargo_PerTonne*H8</f>
        <v>6616209.6</v>
      </c>
      <c r="I17" s="21" t="n">
        <f aca="false">Traffic!I25*Aero_Cargo_PerTonne*I8</f>
        <v>7089368.832</v>
      </c>
      <c r="J17" s="21" t="n">
        <f aca="false">Traffic!J25*Aero_Cargo_PerTonne*J8</f>
        <v>7708412.51841024</v>
      </c>
      <c r="K17" s="21" t="n">
        <f aca="false">Traffic!K25*Aero_Cargo_PerTonne*K8</f>
        <v>8381511.09951782</v>
      </c>
      <c r="L17" s="21" t="n">
        <f aca="false">Traffic!L25*Aero_Cargo_PerTonne*L8</f>
        <v>9113384.64872772</v>
      </c>
      <c r="M17" s="21" t="n">
        <f aca="false">Traffic!M25*Aero_Cargo_PerTonne*M8</f>
        <v>9909165.39625462</v>
      </c>
      <c r="N17" s="21" t="n">
        <f aca="false">Traffic!N25*Aero_Cargo_PerTonne*N8</f>
        <v>10774433.7186556</v>
      </c>
      <c r="O17" s="21" t="n">
        <f aca="false">Traffic!O25*Aero_Cargo_PerTonne*O8</f>
        <v>11715257.2709686</v>
      </c>
      <c r="P17" s="21" t="n">
        <f aca="false">Traffic!P25*Aero_Cargo_PerTonne*P8</f>
        <v>12738233.5358696</v>
      </c>
      <c r="Q17" s="21" t="n">
        <f aca="false">Traffic!Q25*Aero_Cargo_PerTonne*Q8</f>
        <v>13850536.0882217</v>
      </c>
      <c r="R17" s="21" t="n">
        <f aca="false">Traffic!R25*Aero_Cargo_PerTonne*R8</f>
        <v>15059964.8994452</v>
      </c>
      <c r="S17" s="21" t="n">
        <f aca="false">Traffic!S25*Aero_Cargo_PerTonne*S8</f>
        <v>16375001.0344648</v>
      </c>
      <c r="T17" s="21" t="n">
        <f aca="false">Traffic!T25*Aero_Cargo_PerTonne*T8</f>
        <v>17804866.1247942</v>
      </c>
      <c r="U17" s="21" t="n">
        <f aca="false">Traffic!U25*Aero_Cargo_PerTonne*U8</f>
        <v>19359587.0348112</v>
      </c>
      <c r="V17" s="21" t="n">
        <f aca="false">Traffic!V25*Aero_Cargo_PerTonne*V8</f>
        <v>21050066.174691</v>
      </c>
      <c r="W17" s="21" t="n">
        <f aca="false">Traffic!W25*Aero_Cargo_PerTonne*W8</f>
        <v>22888157.953065</v>
      </c>
      <c r="X17" s="21" t="n">
        <f aca="false">Traffic!X25*Aero_Cargo_PerTonne*X8</f>
        <v>24547778.5890902</v>
      </c>
      <c r="Y17" s="21" t="n">
        <f aca="false">Traffic!Y25*Aero_Cargo_PerTonne*Y8</f>
        <v>26040283.5273069</v>
      </c>
      <c r="Z17" s="21" t="n">
        <f aca="false">Traffic!Z25*Aero_Cargo_PerTonne*Z8</f>
        <v>27623532.7657671</v>
      </c>
      <c r="AA17" s="21" t="n">
        <f aca="false">Traffic!AA25*Aero_Cargo_PerTonne*AA8</f>
        <v>29303043.5579258</v>
      </c>
      <c r="AB17" s="21" t="n">
        <f aca="false">Traffic!AB25*Aero_Cargo_PerTonne*AB8</f>
        <v>31084668.6062477</v>
      </c>
      <c r="AC17" s="21" t="n">
        <f aca="false">Traffic!AC25*Aero_Cargo_PerTonne*AC8</f>
        <v>32974616.4575075</v>
      </c>
      <c r="AD17" s="21" t="n">
        <f aca="false">Traffic!AD25*Aero_Cargo_PerTonne*AD8</f>
        <v>34979473.138124</v>
      </c>
      <c r="AE17" s="21" t="n">
        <f aca="false">Traffic!AE25*Aero_Cargo_PerTonne*AE8</f>
        <v>37106225.1049219</v>
      </c>
      <c r="AF17" s="21" t="n">
        <f aca="false">Traffic!AF25*Aero_Cargo_PerTonne*AF8</f>
        <v>39362283.5913012</v>
      </c>
      <c r="AG17" s="21" t="n">
        <f aca="false">Traffic!AG25*Aero_Cargo_PerTonne*AG8</f>
        <v>41755510.4336523</v>
      </c>
      <c r="AH17" s="21" t="n">
        <f aca="false">Traffic!AH25*Aero_Cargo_PerTonne*AH8</f>
        <v>44294245.4680184</v>
      </c>
      <c r="AI17" s="21" t="n">
        <f aca="false">Traffic!AI25*Aero_Cargo_PerTonne*AI8</f>
        <v>46987335.5924739</v>
      </c>
      <c r="AJ17" s="21" t="n">
        <f aca="false">Traffic!AJ25*Aero_Cargo_PerTonne*AJ8</f>
        <v>49844165.5964963</v>
      </c>
    </row>
    <row r="18" customFormat="false" ht="15" hidden="false" customHeight="false" outlineLevel="0" collapsed="false">
      <c r="A18" s="6"/>
      <c r="B18" s="28" t="s">
        <v>211</v>
      </c>
      <c r="C18" s="29" t="n">
        <v>0</v>
      </c>
      <c r="D18" s="29" t="n">
        <v>0</v>
      </c>
      <c r="E18" s="29" t="n">
        <v>0</v>
      </c>
      <c r="F18" s="29" t="n">
        <v>0</v>
      </c>
      <c r="G18" s="29" t="n">
        <f aca="false">G12+G13+G14+G15+G16+G17</f>
        <v>305814055.555556</v>
      </c>
      <c r="H18" s="29" t="n">
        <f aca="false">H12+H13+H14+H15+H16+H17</f>
        <v>318616359.6</v>
      </c>
      <c r="I18" s="29" t="n">
        <f aca="false">I12+I13+I14+I15+I16+I17</f>
        <v>328544068.832</v>
      </c>
      <c r="J18" s="29" t="n">
        <f aca="false">J12+J13+J14+J15+J16+J17</f>
        <v>343789301.36841</v>
      </c>
      <c r="K18" s="29" t="n">
        <f aca="false">K12+K13+K14+K15+K16+K17</f>
        <v>359754080.392193</v>
      </c>
      <c r="L18" s="29" t="n">
        <f aca="false">L12+L13+L14+L15+L16+L17</f>
        <v>376473405.844219</v>
      </c>
      <c r="M18" s="29" t="n">
        <f aca="false">M12+M13+M14+M15+M16+M17</f>
        <v>393984067.556141</v>
      </c>
      <c r="N18" s="29" t="n">
        <f aca="false">N12+N13+N14+N15+N16+N17</f>
        <v>412324743.926817</v>
      </c>
      <c r="O18" s="29" t="n">
        <f aca="false">O12+O13+O14+O15+O16+O17</f>
        <v>431536106.593601</v>
      </c>
      <c r="P18" s="29" t="n">
        <f aca="false">P12+P13+P14+P15+P16+P17</f>
        <v>451660931.502682</v>
      </c>
      <c r="Q18" s="29" t="n">
        <f aca="false">Q12+Q13+Q14+Q15+Q16+Q17</f>
        <v>472744216.812524</v>
      </c>
      <c r="R18" s="29" t="n">
        <f aca="false">R12+R13+R14+R15+R16+R17</f>
        <v>494833308.096703</v>
      </c>
      <c r="S18" s="29" t="n">
        <f aca="false">S12+S13+S14+S15+S16+S17</f>
        <v>517978031.347198</v>
      </c>
      <c r="T18" s="29" t="n">
        <f aca="false">T12+T13+T14+T15+T16+T17</f>
        <v>542230834.316757</v>
      </c>
      <c r="U18" s="29" t="n">
        <f aca="false">U12+U13+U14+U15+U16+U17</f>
        <v>567646936.779508</v>
      </c>
      <c r="V18" s="29" t="n">
        <f aca="false">V12+V13+V14+V15+V16+V17</f>
        <v>594284490.332771</v>
      </c>
      <c r="W18" s="29" t="n">
        <f aca="false">W12+W13+W14+W15+W16+W17</f>
        <v>622204748.410338</v>
      </c>
      <c r="X18" s="29" t="n">
        <f aca="false">X12+X13+X14+X15+X16+X17</f>
        <v>642598782.782636</v>
      </c>
      <c r="Y18" s="29" t="n">
        <f aca="false">Y12+Y13+Y14+Y15+Y16+Y17</f>
        <v>656452307.804723</v>
      </c>
      <c r="Z18" s="29" t="n">
        <f aca="false">Z12+Z13+Z14+Z15+Z16+Z17</f>
        <v>670643797.528732</v>
      </c>
      <c r="AA18" s="29" t="n">
        <f aca="false">AA12+AA13+AA14+AA15+AA16+AA17</f>
        <v>685183713.61615</v>
      </c>
      <c r="AB18" s="29" t="n">
        <f aca="false">AB12+AB13+AB14+AB15+AB16+AB17</f>
        <v>700082952.065636</v>
      </c>
      <c r="AC18" s="29" t="n">
        <f aca="false">AC12+AC13+AC14+AC15+AC16+AC17</f>
        <v>715352865.586084</v>
      </c>
      <c r="AD18" s="29" t="n">
        <f aca="false">AD12+AD13+AD14+AD15+AD16+AD17</f>
        <v>731005287.249272</v>
      </c>
      <c r="AE18" s="29" t="n">
        <f aca="false">AE12+AE13+AE14+AE15+AE16+AE17</f>
        <v>747052555.498293</v>
      </c>
      <c r="AF18" s="29" t="n">
        <f aca="false">AF12+AF13+AF14+AF15+AF16+AF17</f>
        <v>763507540.592539</v>
      </c>
      <c r="AG18" s="29" t="n">
        <f aca="false">AG12+AG13+AG14+AG15+AG16+AG17</f>
        <v>780383672.574915</v>
      </c>
      <c r="AH18" s="29" t="n">
        <f aca="false">AH12+AH13+AH14+AH15+AH16+AH17</f>
        <v>797694970.852107</v>
      </c>
      <c r="AI18" s="29" t="n">
        <f aca="false">AI12+AI13+AI14+AI15+AI16+AI17</f>
        <v>815456075.484244</v>
      </c>
      <c r="AJ18" s="29" t="n">
        <f aca="false">AJ12+AJ13+AJ14+AJ15+AJ16+AJ17</f>
        <v>833682280.286102</v>
      </c>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customFormat="false" ht="15" hidden="false" customHeight="false" outlineLevel="0" collapsed="false">
      <c r="A20" s="6"/>
      <c r="B20" s="8" t="s">
        <v>212</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row>
    <row r="21" customFormat="false" ht="15" hidden="false" customHeight="false" outlineLevel="0" collapsed="false">
      <c r="A21" s="6"/>
      <c r="B21" s="11" t="s">
        <v>213</v>
      </c>
      <c r="C21" s="21" t="n">
        <v>0</v>
      </c>
      <c r="D21" s="21" t="n">
        <v>0</v>
      </c>
      <c r="E21" s="21" t="n">
        <v>0</v>
      </c>
      <c r="F21" s="21" t="n">
        <v>0</v>
      </c>
      <c r="G21" s="21" t="n">
        <f aca="false">Traffic!G12*NA_Retail_PerPax*G9</f>
        <v>67900000</v>
      </c>
      <c r="H21" s="21" t="n">
        <f aca="false">Traffic!H12*NA_Retail_PerPax*H9</f>
        <v>71379000</v>
      </c>
      <c r="I21" s="21" t="n">
        <f aca="false">Traffic!I12*NA_Retail_PerPax*I9</f>
        <v>74263000</v>
      </c>
      <c r="J21" s="21" t="n">
        <f aca="false">Traffic!J12*NA_Retail_PerPax*J9</f>
        <v>78403162.25</v>
      </c>
      <c r="K21" s="21" t="n">
        <f aca="false">Traffic!K12*NA_Retail_PerPax*K9</f>
        <v>82774138.5454375</v>
      </c>
      <c r="L21" s="21" t="n">
        <f aca="false">Traffic!L12*NA_Retail_PerPax*L9</f>
        <v>87388796.7693456</v>
      </c>
      <c r="M21" s="21" t="n">
        <f aca="false">Traffic!M12*NA_Retail_PerPax*M9</f>
        <v>92260722.1892366</v>
      </c>
      <c r="N21" s="21" t="n">
        <f aca="false">Traffic!N12*NA_Retail_PerPax*N9</f>
        <v>97404257.4512866</v>
      </c>
      <c r="O21" s="21" t="n">
        <f aca="false">Traffic!O12*NA_Retail_PerPax*O9</f>
        <v>102834544.804196</v>
      </c>
      <c r="P21" s="21" t="n">
        <f aca="false">Traffic!P12*NA_Retail_PerPax*P9</f>
        <v>108567570.67703</v>
      </c>
      <c r="Q21" s="21" t="n">
        <f aca="false">Traffic!Q12*NA_Retail_PerPax*Q9</f>
        <v>114620212.742274</v>
      </c>
      <c r="R21" s="21" t="n">
        <f aca="false">Traffic!R12*NA_Retail_PerPax*R9</f>
        <v>121010289.602656</v>
      </c>
      <c r="S21" s="21" t="n">
        <f aca="false">Traffic!S12*NA_Retail_PerPax*S9</f>
        <v>127756613.248004</v>
      </c>
      <c r="T21" s="21" t="n">
        <f aca="false">Traffic!T12*NA_Retail_PerPax*T9</f>
        <v>134879044.43658</v>
      </c>
      <c r="U21" s="21" t="n">
        <f aca="false">Traffic!U12*NA_Retail_PerPax*U9</f>
        <v>142398551.163919</v>
      </c>
      <c r="V21" s="21" t="n">
        <f aca="false">Traffic!V12*NA_Retail_PerPax*V9</f>
        <v>150337270.391308</v>
      </c>
      <c r="W21" s="21" t="n">
        <f aca="false">Traffic!W12*NA_Retail_PerPax*W9</f>
        <v>158718573.215623</v>
      </c>
      <c r="X21" s="21" t="n">
        <f aca="false">Traffic!X12*NA_Retail_PerPax*X9</f>
        <v>165284763.227175</v>
      </c>
      <c r="Y21" s="21" t="n">
        <f aca="false">Traffic!Y12*NA_Retail_PerPax*Y9</f>
        <v>170243306.12399</v>
      </c>
      <c r="Z21" s="21" t="n">
        <f aca="false">Traffic!Z12*NA_Retail_PerPax*Z9</f>
        <v>175350605.30771</v>
      </c>
      <c r="AA21" s="21" t="n">
        <f aca="false">Traffic!AA12*NA_Retail_PerPax*AA9</f>
        <v>180611123.466942</v>
      </c>
      <c r="AB21" s="21" t="n">
        <f aca="false">Traffic!AB12*NA_Retail_PerPax*AB9</f>
        <v>186029457.17095</v>
      </c>
      <c r="AC21" s="21" t="n">
        <f aca="false">Traffic!AC12*NA_Retail_PerPax*AC9</f>
        <v>191610340.886078</v>
      </c>
      <c r="AD21" s="21" t="n">
        <f aca="false">Traffic!AD12*NA_Retail_PerPax*AD9</f>
        <v>197358651.112661</v>
      </c>
      <c r="AE21" s="21" t="n">
        <f aca="false">Traffic!AE12*NA_Retail_PerPax*AE9</f>
        <v>203279410.64604</v>
      </c>
      <c r="AF21" s="21" t="n">
        <f aca="false">Traffic!AF12*NA_Retail_PerPax*AF9</f>
        <v>209377792.965422</v>
      </c>
      <c r="AG21" s="21" t="n">
        <f aca="false">Traffic!AG12*NA_Retail_PerPax*AG9</f>
        <v>215659126.754384</v>
      </c>
      <c r="AH21" s="21" t="n">
        <f aca="false">Traffic!AH12*NA_Retail_PerPax*AH9</f>
        <v>222128900.557016</v>
      </c>
      <c r="AI21" s="21" t="n">
        <f aca="false">Traffic!AI12*NA_Retail_PerPax*AI9</f>
        <v>228792767.573726</v>
      </c>
      <c r="AJ21" s="21" t="n">
        <f aca="false">Traffic!AJ12*NA_Retail_PerPax*AJ9</f>
        <v>235656550.600938</v>
      </c>
    </row>
    <row r="22" customFormat="false" ht="15" hidden="false" customHeight="false" outlineLevel="0" collapsed="false">
      <c r="A22" s="6"/>
      <c r="B22" s="11" t="s">
        <v>214</v>
      </c>
      <c r="C22" s="21" t="n">
        <v>0</v>
      </c>
      <c r="D22" s="21" t="n">
        <v>0</v>
      </c>
      <c r="E22" s="21" t="n">
        <v>0</v>
      </c>
      <c r="F22" s="21" t="n">
        <v>0</v>
      </c>
      <c r="G22" s="21" t="n">
        <f aca="false">Traffic!G12*NA_FB_PerPax*G9</f>
        <v>47530000</v>
      </c>
      <c r="H22" s="21" t="n">
        <f aca="false">Traffic!H12*NA_FB_PerPax*H9</f>
        <v>49965300</v>
      </c>
      <c r="I22" s="21" t="n">
        <f aca="false">Traffic!I12*NA_FB_PerPax*I9</f>
        <v>51984100</v>
      </c>
      <c r="J22" s="21" t="n">
        <f aca="false">Traffic!J12*NA_FB_PerPax*J9</f>
        <v>54882213.575</v>
      </c>
      <c r="K22" s="21" t="n">
        <f aca="false">Traffic!K12*NA_FB_PerPax*K9</f>
        <v>57941896.9818062</v>
      </c>
      <c r="L22" s="21" t="n">
        <f aca="false">Traffic!L12*NA_FB_PerPax*L9</f>
        <v>61172157.7385419</v>
      </c>
      <c r="M22" s="21" t="n">
        <f aca="false">Traffic!M12*NA_FB_PerPax*M9</f>
        <v>64582505.5324656</v>
      </c>
      <c r="N22" s="21" t="n">
        <f aca="false">Traffic!N12*NA_FB_PerPax*N9</f>
        <v>68182980.2159006</v>
      </c>
      <c r="O22" s="21" t="n">
        <f aca="false">Traffic!O12*NA_FB_PerPax*O9</f>
        <v>71984181.3629371</v>
      </c>
      <c r="P22" s="21" t="n">
        <f aca="false">Traffic!P12*NA_FB_PerPax*P9</f>
        <v>75997299.4739208</v>
      </c>
      <c r="Q22" s="21" t="n">
        <f aca="false">Traffic!Q12*NA_FB_PerPax*Q9</f>
        <v>80234148.9195918</v>
      </c>
      <c r="R22" s="21" t="n">
        <f aca="false">Traffic!R12*NA_FB_PerPax*R9</f>
        <v>84707202.7218591</v>
      </c>
      <c r="S22" s="21" t="n">
        <f aca="false">Traffic!S12*NA_FB_PerPax*S9</f>
        <v>89429629.2736027</v>
      </c>
      <c r="T22" s="21" t="n">
        <f aca="false">Traffic!T12*NA_FB_PerPax*T9</f>
        <v>94415331.1056061</v>
      </c>
      <c r="U22" s="21" t="n">
        <f aca="false">Traffic!U12*NA_FB_PerPax*U9</f>
        <v>99678985.8147436</v>
      </c>
      <c r="V22" s="21" t="n">
        <f aca="false">Traffic!V12*NA_FB_PerPax*V9</f>
        <v>105236089.273916</v>
      </c>
      <c r="W22" s="21" t="n">
        <f aca="false">Traffic!W12*NA_FB_PerPax*W9</f>
        <v>111103001.250936</v>
      </c>
      <c r="X22" s="21" t="n">
        <f aca="false">Traffic!X12*NA_FB_PerPax*X9</f>
        <v>115699334.259023</v>
      </c>
      <c r="Y22" s="21" t="n">
        <f aca="false">Traffic!Y12*NA_FB_PerPax*Y9</f>
        <v>119170314.286793</v>
      </c>
      <c r="Z22" s="21" t="n">
        <f aca="false">Traffic!Z12*NA_FB_PerPax*Z9</f>
        <v>122745423.715397</v>
      </c>
      <c r="AA22" s="21" t="n">
        <f aca="false">Traffic!AA12*NA_FB_PerPax*AA9</f>
        <v>126427786.426859</v>
      </c>
      <c r="AB22" s="21" t="n">
        <f aca="false">Traffic!AB12*NA_FB_PerPax*AB9</f>
        <v>130220620.019665</v>
      </c>
      <c r="AC22" s="21" t="n">
        <f aca="false">Traffic!AC12*NA_FB_PerPax*AC9</f>
        <v>134127238.620255</v>
      </c>
      <c r="AD22" s="21" t="n">
        <f aca="false">Traffic!AD12*NA_FB_PerPax*AD9</f>
        <v>138151055.778862</v>
      </c>
      <c r="AE22" s="21" t="n">
        <f aca="false">Traffic!AE12*NA_FB_PerPax*AE9</f>
        <v>142295587.452228</v>
      </c>
      <c r="AF22" s="21" t="n">
        <f aca="false">Traffic!AF12*NA_FB_PerPax*AF9</f>
        <v>146564455.075795</v>
      </c>
      <c r="AG22" s="21" t="n">
        <f aca="false">Traffic!AG12*NA_FB_PerPax*AG9</f>
        <v>150961388.728069</v>
      </c>
      <c r="AH22" s="21" t="n">
        <f aca="false">Traffic!AH12*NA_FB_PerPax*AH9</f>
        <v>155490230.389911</v>
      </c>
      <c r="AI22" s="21" t="n">
        <f aca="false">Traffic!AI12*NA_FB_PerPax*AI9</f>
        <v>160154937.301608</v>
      </c>
      <c r="AJ22" s="21" t="n">
        <f aca="false">Traffic!AJ12*NA_FB_PerPax*AJ9</f>
        <v>164959585.420657</v>
      </c>
    </row>
    <row r="23" customFormat="false" ht="15" hidden="false" customHeight="false" outlineLevel="0" collapsed="false">
      <c r="A23" s="6"/>
      <c r="B23" s="11" t="s">
        <v>215</v>
      </c>
      <c r="C23" s="21" t="n">
        <v>0</v>
      </c>
      <c r="D23" s="21" t="n">
        <v>0</v>
      </c>
      <c r="E23" s="21" t="n">
        <v>0</v>
      </c>
      <c r="F23" s="21" t="n">
        <v>0</v>
      </c>
      <c r="G23" s="21" t="n">
        <f aca="false">Traffic!G17*NA_DutyFree_PerPax*G9</f>
        <v>32592000</v>
      </c>
      <c r="H23" s="21" t="n">
        <f aca="false">Traffic!H17*NA_DutyFree_PerPax*H9</f>
        <v>34261920</v>
      </c>
      <c r="I23" s="21" t="n">
        <f aca="false">Traffic!I17*NA_DutyFree_PerPax*I9</f>
        <v>35646240</v>
      </c>
      <c r="J23" s="21" t="n">
        <f aca="false">Traffic!J17*NA_DutyFree_PerPax*J9</f>
        <v>37633517.88</v>
      </c>
      <c r="K23" s="21" t="n">
        <f aca="false">Traffic!K17*NA_DutyFree_PerPax*K9</f>
        <v>39731586.50181</v>
      </c>
      <c r="L23" s="21" t="n">
        <f aca="false">Traffic!L17*NA_DutyFree_PerPax*L9</f>
        <v>41946622.4492859</v>
      </c>
      <c r="M23" s="21" t="n">
        <f aca="false">Traffic!M17*NA_DutyFree_PerPax*M9</f>
        <v>44285146.6508336</v>
      </c>
      <c r="N23" s="21" t="n">
        <f aca="false">Traffic!N17*NA_DutyFree_PerPax*N9</f>
        <v>46754043.5766176</v>
      </c>
      <c r="O23" s="21" t="n">
        <f aca="false">Traffic!O17*NA_DutyFree_PerPax*O9</f>
        <v>49360581.506014</v>
      </c>
      <c r="P23" s="21" t="n">
        <f aca="false">Traffic!P17*NA_DutyFree_PerPax*P9</f>
        <v>52112433.9249743</v>
      </c>
      <c r="Q23" s="21" t="n">
        <f aca="false">Traffic!Q17*NA_DutyFree_PerPax*Q9</f>
        <v>55017702.1162916</v>
      </c>
      <c r="R23" s="21" t="n">
        <f aca="false">Traffic!R17*NA_DutyFree_PerPax*R9</f>
        <v>58084939.0092748</v>
      </c>
      <c r="S23" s="21" t="n">
        <f aca="false">Traffic!S17*NA_DutyFree_PerPax*S9</f>
        <v>61323174.3590419</v>
      </c>
      <c r="T23" s="21" t="n">
        <f aca="false">Traffic!T17*NA_DutyFree_PerPax*T9</f>
        <v>64741941.3295585</v>
      </c>
      <c r="U23" s="21" t="n">
        <f aca="false">Traffic!U17*NA_DutyFree_PerPax*U9</f>
        <v>68351304.5586813</v>
      </c>
      <c r="V23" s="21" t="n">
        <f aca="false">Traffic!V17*NA_DutyFree_PerPax*V9</f>
        <v>72161889.7878278</v>
      </c>
      <c r="W23" s="21" t="n">
        <f aca="false">Traffic!W17*NA_DutyFree_PerPax*W9</f>
        <v>76184915.1434992</v>
      </c>
      <c r="X23" s="21" t="n">
        <f aca="false">Traffic!X17*NA_DutyFree_PerPax*X9</f>
        <v>79336686.3490441</v>
      </c>
      <c r="Y23" s="21" t="n">
        <f aca="false">Traffic!Y17*NA_DutyFree_PerPax*Y9</f>
        <v>81716786.9395154</v>
      </c>
      <c r="Z23" s="21" t="n">
        <f aca="false">Traffic!Z17*NA_DutyFree_PerPax*Z9</f>
        <v>84168290.5477009</v>
      </c>
      <c r="AA23" s="21" t="n">
        <f aca="false">Traffic!AA17*NA_DutyFree_PerPax*AA9</f>
        <v>86693339.2641319</v>
      </c>
      <c r="AB23" s="21" t="n">
        <f aca="false">Traffic!AB17*NA_DutyFree_PerPax*AB9</f>
        <v>89294139.4420559</v>
      </c>
      <c r="AC23" s="21" t="n">
        <f aca="false">Traffic!AC17*NA_DutyFree_PerPax*AC9</f>
        <v>91972963.6253176</v>
      </c>
      <c r="AD23" s="21" t="n">
        <f aca="false">Traffic!AD17*NA_DutyFree_PerPax*AD9</f>
        <v>94732152.5340771</v>
      </c>
      <c r="AE23" s="21" t="n">
        <f aca="false">Traffic!AE17*NA_DutyFree_PerPax*AE9</f>
        <v>97574117.1100994</v>
      </c>
      <c r="AF23" s="21" t="n">
        <f aca="false">Traffic!AF17*NA_DutyFree_PerPax*AF9</f>
        <v>100501340.623402</v>
      </c>
      <c r="AG23" s="21" t="n">
        <f aca="false">Traffic!AG17*NA_DutyFree_PerPax*AG9</f>
        <v>103516380.842104</v>
      </c>
      <c r="AH23" s="21" t="n">
        <f aca="false">Traffic!AH17*NA_DutyFree_PerPax*AH9</f>
        <v>106621872.267368</v>
      </c>
      <c r="AI23" s="21" t="n">
        <f aca="false">Traffic!AI17*NA_DutyFree_PerPax*AI9</f>
        <v>109820528.435389</v>
      </c>
      <c r="AJ23" s="21" t="n">
        <f aca="false">Traffic!AJ17*NA_DutyFree_PerPax*AJ9</f>
        <v>113115144.28845</v>
      </c>
    </row>
    <row r="24" customFormat="false" ht="15" hidden="false" customHeight="false" outlineLevel="0" collapsed="false">
      <c r="A24" s="6"/>
      <c r="B24" s="11" t="s">
        <v>216</v>
      </c>
      <c r="C24" s="21" t="n">
        <v>0</v>
      </c>
      <c r="D24" s="21" t="n">
        <v>0</v>
      </c>
      <c r="E24" s="21" t="n">
        <v>0</v>
      </c>
      <c r="F24" s="21" t="n">
        <v>0</v>
      </c>
      <c r="G24" s="21" t="n">
        <f aca="false">Traffic!G12*NA_Parking_PerPax*G9</f>
        <v>33950000</v>
      </c>
      <c r="H24" s="21" t="n">
        <f aca="false">Traffic!H12*NA_Parking_PerPax*H9</f>
        <v>35689500</v>
      </c>
      <c r="I24" s="21" t="n">
        <f aca="false">Traffic!I12*NA_Parking_PerPax*I9</f>
        <v>37131500</v>
      </c>
      <c r="J24" s="21" t="n">
        <f aca="false">Traffic!J12*NA_Parking_PerPax*J9</f>
        <v>39201581.125</v>
      </c>
      <c r="K24" s="21" t="n">
        <f aca="false">Traffic!K12*NA_Parking_PerPax*K9</f>
        <v>41387069.2727188</v>
      </c>
      <c r="L24" s="21" t="n">
        <f aca="false">Traffic!L12*NA_Parking_PerPax*L9</f>
        <v>43694398.3846728</v>
      </c>
      <c r="M24" s="21" t="n">
        <f aca="false">Traffic!M12*NA_Parking_PerPax*M9</f>
        <v>46130361.0946183</v>
      </c>
      <c r="N24" s="21" t="n">
        <f aca="false">Traffic!N12*NA_Parking_PerPax*N9</f>
        <v>48702128.7256433</v>
      </c>
      <c r="O24" s="21" t="n">
        <f aca="false">Traffic!O12*NA_Parking_PerPax*O9</f>
        <v>51417272.4020979</v>
      </c>
      <c r="P24" s="21" t="n">
        <f aca="false">Traffic!P12*NA_Parking_PerPax*P9</f>
        <v>54283785.3385149</v>
      </c>
      <c r="Q24" s="21" t="n">
        <f aca="false">Traffic!Q12*NA_Parking_PerPax*Q9</f>
        <v>57310106.371137</v>
      </c>
      <c r="R24" s="21" t="n">
        <f aca="false">Traffic!R12*NA_Parking_PerPax*R9</f>
        <v>60505144.8013279</v>
      </c>
      <c r="S24" s="21" t="n">
        <f aca="false">Traffic!S12*NA_Parking_PerPax*S9</f>
        <v>63878306.624002</v>
      </c>
      <c r="T24" s="21" t="n">
        <f aca="false">Traffic!T12*NA_Parking_PerPax*T9</f>
        <v>67439522.2182901</v>
      </c>
      <c r="U24" s="21" t="n">
        <f aca="false">Traffic!U12*NA_Parking_PerPax*U9</f>
        <v>71199275.5819597</v>
      </c>
      <c r="V24" s="21" t="n">
        <f aca="false">Traffic!V12*NA_Parking_PerPax*V9</f>
        <v>75168635.195654</v>
      </c>
      <c r="W24" s="21" t="n">
        <f aca="false">Traffic!W12*NA_Parking_PerPax*W9</f>
        <v>79359286.6078117</v>
      </c>
      <c r="X24" s="21" t="n">
        <f aca="false">Traffic!X12*NA_Parking_PerPax*X9</f>
        <v>82642381.6135876</v>
      </c>
      <c r="Y24" s="21" t="n">
        <f aca="false">Traffic!Y12*NA_Parking_PerPax*Y9</f>
        <v>85121653.0619952</v>
      </c>
      <c r="Z24" s="21" t="n">
        <f aca="false">Traffic!Z12*NA_Parking_PerPax*Z9</f>
        <v>87675302.6538551</v>
      </c>
      <c r="AA24" s="21" t="n">
        <f aca="false">Traffic!AA12*NA_Parking_PerPax*AA9</f>
        <v>90305561.7334708</v>
      </c>
      <c r="AB24" s="21" t="n">
        <f aca="false">Traffic!AB12*NA_Parking_PerPax*AB9</f>
        <v>93014728.5854749</v>
      </c>
      <c r="AC24" s="21" t="n">
        <f aca="false">Traffic!AC12*NA_Parking_PerPax*AC9</f>
        <v>95805170.4430391</v>
      </c>
      <c r="AD24" s="21" t="n">
        <f aca="false">Traffic!AD12*NA_Parking_PerPax*AD9</f>
        <v>98679325.5563303</v>
      </c>
      <c r="AE24" s="21" t="n">
        <f aca="false">Traffic!AE12*NA_Parking_PerPax*AE9</f>
        <v>101639705.32302</v>
      </c>
      <c r="AF24" s="21" t="n">
        <f aca="false">Traffic!AF12*NA_Parking_PerPax*AF9</f>
        <v>104688896.482711</v>
      </c>
      <c r="AG24" s="21" t="n">
        <f aca="false">Traffic!AG12*NA_Parking_PerPax*AG9</f>
        <v>107829563.377192</v>
      </c>
      <c r="AH24" s="21" t="n">
        <f aca="false">Traffic!AH12*NA_Parking_PerPax*AH9</f>
        <v>111064450.278508</v>
      </c>
      <c r="AI24" s="21" t="n">
        <f aca="false">Traffic!AI12*NA_Parking_PerPax*AI9</f>
        <v>114396383.786863</v>
      </c>
      <c r="AJ24" s="21" t="n">
        <f aca="false">Traffic!AJ12*NA_Parking_PerPax*AJ9</f>
        <v>117828275.300469</v>
      </c>
    </row>
    <row r="25" customFormat="false" ht="15" hidden="false" customHeight="false" outlineLevel="0" collapsed="false">
      <c r="A25" s="6"/>
      <c r="B25" s="11" t="s">
        <v>217</v>
      </c>
      <c r="C25" s="21" t="n">
        <v>0</v>
      </c>
      <c r="D25" s="21" t="n">
        <v>0</v>
      </c>
      <c r="E25" s="21" t="n">
        <v>0</v>
      </c>
      <c r="F25" s="21" t="n">
        <v>0</v>
      </c>
      <c r="G25" s="21" t="n">
        <f aca="false">Traffic!G12*NA_GroundTrans_PerPax*G9</f>
        <v>16296000</v>
      </c>
      <c r="H25" s="21" t="n">
        <f aca="false">Traffic!H12*NA_GroundTrans_PerPax*H9</f>
        <v>17130960</v>
      </c>
      <c r="I25" s="21" t="n">
        <f aca="false">Traffic!I12*NA_GroundTrans_PerPax*I9</f>
        <v>17823120</v>
      </c>
      <c r="J25" s="21" t="n">
        <f aca="false">Traffic!J12*NA_GroundTrans_PerPax*J9</f>
        <v>18816758.94</v>
      </c>
      <c r="K25" s="21" t="n">
        <f aca="false">Traffic!K12*NA_GroundTrans_PerPax*K9</f>
        <v>19865793.250905</v>
      </c>
      <c r="L25" s="21" t="n">
        <f aca="false">Traffic!L12*NA_GroundTrans_PerPax*L9</f>
        <v>20973311.2246429</v>
      </c>
      <c r="M25" s="21" t="n">
        <f aca="false">Traffic!M12*NA_GroundTrans_PerPax*M9</f>
        <v>22142573.3254168</v>
      </c>
      <c r="N25" s="21" t="n">
        <f aca="false">Traffic!N12*NA_GroundTrans_PerPax*N9</f>
        <v>23377021.7883088</v>
      </c>
      <c r="O25" s="21" t="n">
        <f aca="false">Traffic!O12*NA_GroundTrans_PerPax*O9</f>
        <v>24680290.753007</v>
      </c>
      <c r="P25" s="21" t="n">
        <f aca="false">Traffic!P12*NA_GroundTrans_PerPax*P9</f>
        <v>26056216.9624871</v>
      </c>
      <c r="Q25" s="21" t="n">
        <f aca="false">Traffic!Q12*NA_GroundTrans_PerPax*Q9</f>
        <v>27508851.0581458</v>
      </c>
      <c r="R25" s="21" t="n">
        <f aca="false">Traffic!R12*NA_GroundTrans_PerPax*R9</f>
        <v>29042469.5046374</v>
      </c>
      <c r="S25" s="21" t="n">
        <f aca="false">Traffic!S12*NA_GroundTrans_PerPax*S9</f>
        <v>30661587.1795209</v>
      </c>
      <c r="T25" s="21" t="n">
        <f aca="false">Traffic!T12*NA_GroundTrans_PerPax*T9</f>
        <v>32370970.6647792</v>
      </c>
      <c r="U25" s="21" t="n">
        <f aca="false">Traffic!U12*NA_GroundTrans_PerPax*U9</f>
        <v>34175652.2793407</v>
      </c>
      <c r="V25" s="21" t="n">
        <f aca="false">Traffic!V12*NA_GroundTrans_PerPax*V9</f>
        <v>36080944.8939139</v>
      </c>
      <c r="W25" s="21" t="n">
        <f aca="false">Traffic!W12*NA_GroundTrans_PerPax*W9</f>
        <v>38092457.5717496</v>
      </c>
      <c r="X25" s="21" t="n">
        <f aca="false">Traffic!X12*NA_GroundTrans_PerPax*X9</f>
        <v>39668343.1745221</v>
      </c>
      <c r="Y25" s="21" t="n">
        <f aca="false">Traffic!Y12*NA_GroundTrans_PerPax*Y9</f>
        <v>40858393.4697577</v>
      </c>
      <c r="Z25" s="21" t="n">
        <f aca="false">Traffic!Z12*NA_GroundTrans_PerPax*Z9</f>
        <v>42084145.2738504</v>
      </c>
      <c r="AA25" s="21" t="n">
        <f aca="false">Traffic!AA12*NA_GroundTrans_PerPax*AA9</f>
        <v>43346669.632066</v>
      </c>
      <c r="AB25" s="21" t="n">
        <f aca="false">Traffic!AB12*NA_GroundTrans_PerPax*AB9</f>
        <v>44647069.7210279</v>
      </c>
      <c r="AC25" s="21" t="n">
        <f aca="false">Traffic!AC12*NA_GroundTrans_PerPax*AC9</f>
        <v>45986481.8126588</v>
      </c>
      <c r="AD25" s="21" t="n">
        <f aca="false">Traffic!AD12*NA_GroundTrans_PerPax*AD9</f>
        <v>47366076.2670386</v>
      </c>
      <c r="AE25" s="21" t="n">
        <f aca="false">Traffic!AE12*NA_GroundTrans_PerPax*AE9</f>
        <v>48787058.5550497</v>
      </c>
      <c r="AF25" s="21" t="n">
        <f aca="false">Traffic!AF12*NA_GroundTrans_PerPax*AF9</f>
        <v>50250670.3117012</v>
      </c>
      <c r="AG25" s="21" t="n">
        <f aca="false">Traffic!AG12*NA_GroundTrans_PerPax*AG9</f>
        <v>51758190.4210522</v>
      </c>
      <c r="AH25" s="21" t="n">
        <f aca="false">Traffic!AH12*NA_GroundTrans_PerPax*AH9</f>
        <v>53310936.1336838</v>
      </c>
      <c r="AI25" s="21" t="n">
        <f aca="false">Traffic!AI12*NA_GroundTrans_PerPax*AI9</f>
        <v>54910264.2176943</v>
      </c>
      <c r="AJ25" s="21" t="n">
        <f aca="false">Traffic!AJ12*NA_GroundTrans_PerPax*AJ9</f>
        <v>56557572.1442252</v>
      </c>
    </row>
    <row r="26" customFormat="false" ht="15" hidden="false" customHeight="false" outlineLevel="0" collapsed="false">
      <c r="A26" s="6"/>
      <c r="B26" s="11" t="s">
        <v>218</v>
      </c>
      <c r="C26" s="21" t="n">
        <v>0</v>
      </c>
      <c r="D26" s="21" t="n">
        <v>0</v>
      </c>
      <c r="E26" s="21" t="n">
        <v>0</v>
      </c>
      <c r="F26" s="21" t="n">
        <v>0</v>
      </c>
      <c r="G26" s="21" t="n">
        <f aca="false">Traffic!G12*NA_RealEstate_PerPax*G9</f>
        <v>24444000</v>
      </c>
      <c r="H26" s="21" t="n">
        <f aca="false">Traffic!H12*NA_RealEstate_PerPax*H9</f>
        <v>25696440</v>
      </c>
      <c r="I26" s="21" t="n">
        <f aca="false">Traffic!I12*NA_RealEstate_PerPax*I9</f>
        <v>26734680</v>
      </c>
      <c r="J26" s="21" t="n">
        <f aca="false">Traffic!J12*NA_RealEstate_PerPax*J9</f>
        <v>28225138.41</v>
      </c>
      <c r="K26" s="21" t="n">
        <f aca="false">Traffic!K12*NA_RealEstate_PerPax*K9</f>
        <v>29798689.8763575</v>
      </c>
      <c r="L26" s="21" t="n">
        <f aca="false">Traffic!L12*NA_RealEstate_PerPax*L9</f>
        <v>31459966.8369644</v>
      </c>
      <c r="M26" s="21" t="n">
        <f aca="false">Traffic!M12*NA_RealEstate_PerPax*M9</f>
        <v>33213859.9881252</v>
      </c>
      <c r="N26" s="21" t="n">
        <f aca="false">Traffic!N12*NA_RealEstate_PerPax*N9</f>
        <v>35065532.6824632</v>
      </c>
      <c r="O26" s="21" t="n">
        <f aca="false">Traffic!O12*NA_RealEstate_PerPax*O9</f>
        <v>37020436.1295105</v>
      </c>
      <c r="P26" s="21" t="n">
        <f aca="false">Traffic!P12*NA_RealEstate_PerPax*P9</f>
        <v>39084325.4437307</v>
      </c>
      <c r="Q26" s="21" t="n">
        <f aca="false">Traffic!Q12*NA_RealEstate_PerPax*Q9</f>
        <v>41263276.5872187</v>
      </c>
      <c r="R26" s="21" t="n">
        <f aca="false">Traffic!R12*NA_RealEstate_PerPax*R9</f>
        <v>43563704.2569561</v>
      </c>
      <c r="S26" s="21" t="n">
        <f aca="false">Traffic!S12*NA_RealEstate_PerPax*S9</f>
        <v>45992380.7692814</v>
      </c>
      <c r="T26" s="21" t="n">
        <f aca="false">Traffic!T12*NA_RealEstate_PerPax*T9</f>
        <v>48556455.9971688</v>
      </c>
      <c r="U26" s="21" t="n">
        <f aca="false">Traffic!U12*NA_RealEstate_PerPax*U9</f>
        <v>51263478.419011</v>
      </c>
      <c r="V26" s="21" t="n">
        <f aca="false">Traffic!V12*NA_RealEstate_PerPax*V9</f>
        <v>54121417.3408709</v>
      </c>
      <c r="W26" s="21" t="n">
        <f aca="false">Traffic!W12*NA_RealEstate_PerPax*W9</f>
        <v>57138686.3576244</v>
      </c>
      <c r="X26" s="21" t="n">
        <f aca="false">Traffic!X12*NA_RealEstate_PerPax*X9</f>
        <v>59502514.7617831</v>
      </c>
      <c r="Y26" s="21" t="n">
        <f aca="false">Traffic!Y12*NA_RealEstate_PerPax*Y9</f>
        <v>61287590.2046366</v>
      </c>
      <c r="Z26" s="21" t="n">
        <f aca="false">Traffic!Z12*NA_RealEstate_PerPax*Z9</f>
        <v>63126217.9107757</v>
      </c>
      <c r="AA26" s="21" t="n">
        <f aca="false">Traffic!AA12*NA_RealEstate_PerPax*AA9</f>
        <v>65020004.4480989</v>
      </c>
      <c r="AB26" s="21" t="n">
        <f aca="false">Traffic!AB12*NA_RealEstate_PerPax*AB9</f>
        <v>66970604.5815419</v>
      </c>
      <c r="AC26" s="21" t="n">
        <f aca="false">Traffic!AC12*NA_RealEstate_PerPax*AC9</f>
        <v>68979722.7189882</v>
      </c>
      <c r="AD26" s="21" t="n">
        <f aca="false">Traffic!AD12*NA_RealEstate_PerPax*AD9</f>
        <v>71049114.4005578</v>
      </c>
      <c r="AE26" s="21" t="n">
        <f aca="false">Traffic!AE12*NA_RealEstate_PerPax*AE9</f>
        <v>73180587.8325746</v>
      </c>
      <c r="AF26" s="21" t="n">
        <f aca="false">Traffic!AF12*NA_RealEstate_PerPax*AF9</f>
        <v>75376005.4675518</v>
      </c>
      <c r="AG26" s="21" t="n">
        <f aca="false">Traffic!AG12*NA_RealEstate_PerPax*AG9</f>
        <v>77637285.6315784</v>
      </c>
      <c r="AH26" s="21" t="n">
        <f aca="false">Traffic!AH12*NA_RealEstate_PerPax*AH9</f>
        <v>79966404.2005257</v>
      </c>
      <c r="AI26" s="21" t="n">
        <f aca="false">Traffic!AI12*NA_RealEstate_PerPax*AI9</f>
        <v>82365396.3265415</v>
      </c>
      <c r="AJ26" s="21" t="n">
        <f aca="false">Traffic!AJ12*NA_RealEstate_PerPax*AJ9</f>
        <v>84836358.2163377</v>
      </c>
    </row>
    <row r="27" customFormat="false" ht="15" hidden="false" customHeight="false" outlineLevel="0" collapsed="false">
      <c r="A27" s="6"/>
      <c r="B27" s="28" t="s">
        <v>219</v>
      </c>
      <c r="C27" s="29" t="n">
        <v>0</v>
      </c>
      <c r="D27" s="29" t="n">
        <v>0</v>
      </c>
      <c r="E27" s="29" t="n">
        <v>0</v>
      </c>
      <c r="F27" s="29" t="n">
        <v>0</v>
      </c>
      <c r="G27" s="29" t="n">
        <f aca="false">G21+G22+G23+G24+G25+G26</f>
        <v>222712000</v>
      </c>
      <c r="H27" s="29" t="n">
        <f aca="false">H21+H22+H23+H24+H25+H26</f>
        <v>234123120</v>
      </c>
      <c r="I27" s="29" t="n">
        <f aca="false">I21+I22+I23+I24+I25+I26</f>
        <v>243582640</v>
      </c>
      <c r="J27" s="29" t="n">
        <f aca="false">J21+J22+J23+J24+J25+J26</f>
        <v>257162372.18</v>
      </c>
      <c r="K27" s="29" t="n">
        <f aca="false">K21+K22+K23+K24+K25+K26</f>
        <v>271499174.429035</v>
      </c>
      <c r="L27" s="29" t="n">
        <f aca="false">L21+L22+L23+L24+L25+L26</f>
        <v>286635253.403454</v>
      </c>
      <c r="M27" s="29" t="n">
        <f aca="false">M21+M22+M23+M24+M25+M26</f>
        <v>302615168.780696</v>
      </c>
      <c r="N27" s="29" t="n">
        <f aca="false">N21+N22+N23+N24+N25+N26</f>
        <v>319485964.44022</v>
      </c>
      <c r="O27" s="29" t="n">
        <f aca="false">O21+O22+O23+O24+O25+O26</f>
        <v>337297306.957762</v>
      </c>
      <c r="P27" s="29" t="n">
        <f aca="false">P21+P22+P23+P24+P25+P26</f>
        <v>356101631.820657</v>
      </c>
      <c r="Q27" s="29" t="n">
        <f aca="false">Q21+Q22+Q23+Q24+Q25+Q26</f>
        <v>375954297.794659</v>
      </c>
      <c r="R27" s="29" t="n">
        <f aca="false">R21+R22+R23+R24+R25+R26</f>
        <v>396913749.896711</v>
      </c>
      <c r="S27" s="29" t="n">
        <f aca="false">S21+S22+S23+S24+S25+S26</f>
        <v>419041691.453453</v>
      </c>
      <c r="T27" s="29" t="n">
        <f aca="false">T21+T22+T23+T24+T25+T26</f>
        <v>442403265.751983</v>
      </c>
      <c r="U27" s="29" t="n">
        <f aca="false">U21+U22+U23+U24+U25+U26</f>
        <v>467067247.817656</v>
      </c>
      <c r="V27" s="29" t="n">
        <f aca="false">V21+V22+V23+V24+V25+V26</f>
        <v>493106246.88349</v>
      </c>
      <c r="W27" s="29" t="n">
        <f aca="false">W21+W22+W23+W24+W25+W26</f>
        <v>520596920.147245</v>
      </c>
      <c r="X27" s="29" t="n">
        <f aca="false">X21+X22+X23+X24+X25+X26</f>
        <v>542134023.385135</v>
      </c>
      <c r="Y27" s="29" t="n">
        <f aca="false">Y21+Y22+Y23+Y24+Y25+Y26</f>
        <v>558398044.086689</v>
      </c>
      <c r="Z27" s="29" t="n">
        <f aca="false">Z21+Z22+Z23+Z24+Z25+Z26</f>
        <v>575149985.409289</v>
      </c>
      <c r="AA27" s="29" t="n">
        <f aca="false">AA21+AA22+AA23+AA24+AA25+AA26</f>
        <v>592404484.971568</v>
      </c>
      <c r="AB27" s="29" t="n">
        <f aca="false">AB21+AB22+AB23+AB24+AB25+AB26</f>
        <v>610176619.520715</v>
      </c>
      <c r="AC27" s="29" t="n">
        <f aca="false">AC21+AC22+AC23+AC24+AC25+AC26</f>
        <v>628481918.106337</v>
      </c>
      <c r="AD27" s="29" t="n">
        <f aca="false">AD21+AD22+AD23+AD24+AD25+AD26</f>
        <v>647336375.649527</v>
      </c>
      <c r="AE27" s="29" t="n">
        <f aca="false">AE21+AE22+AE23+AE24+AE25+AE26</f>
        <v>666756466.919013</v>
      </c>
      <c r="AF27" s="29" t="n">
        <f aca="false">AF21+AF22+AF23+AF24+AF25+AF26</f>
        <v>686759160.926583</v>
      </c>
      <c r="AG27" s="29" t="n">
        <f aca="false">AG21+AG22+AG23+AG24+AG25+AG26</f>
        <v>707361935.754381</v>
      </c>
      <c r="AH27" s="29" t="n">
        <f aca="false">AH21+AH22+AH23+AH24+AH25+AH26</f>
        <v>728582793.827012</v>
      </c>
      <c r="AI27" s="29" t="n">
        <f aca="false">AI21+AI22+AI23+AI24+AI25+AI26</f>
        <v>750440277.641822</v>
      </c>
      <c r="AJ27" s="29" t="n">
        <f aca="false">AJ21+AJ22+AJ23+AJ24+AJ25+AJ26</f>
        <v>772953485.971077</v>
      </c>
    </row>
    <row r="28" customFormat="false" ht="15" hidden="false" customHeight="false" outlineLevel="0" collapsed="false">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customFormat="false" ht="15" hidden="false" customHeight="false" outlineLevel="0" collapsed="false">
      <c r="A29" s="6"/>
      <c r="B29" s="8" t="s">
        <v>220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row>
    <row r="30" customFormat="false" ht="15" hidden="false" customHeight="false" outlineLevel="0" collapsed="false">
      <c r="A30" s="6"/>
      <c r="B30" s="32" t="s">
        <v>221</v>
      </c>
      <c r="C30" s="33" t="n">
        <v>0</v>
      </c>
      <c r="D30" s="33" t="n">
        <v>0</v>
      </c>
      <c r="E30" s="33" t="n">
        <v>0</v>
      </c>
      <c r="F30" s="33" t="n">
        <v>0</v>
      </c>
      <c r="G30" s="33" t="n">
        <f aca="false">G18+G27</f>
        <v>528526055.555556</v>
      </c>
      <c r="H30" s="33" t="n">
        <f aca="false">H18+H27</f>
        <v>552739479.6</v>
      </c>
      <c r="I30" s="33" t="n">
        <f aca="false">I18+I27</f>
        <v>572126708.832</v>
      </c>
      <c r="J30" s="33" t="n">
        <f aca="false">J18+J27</f>
        <v>600951673.54841</v>
      </c>
      <c r="K30" s="33" t="n">
        <f aca="false">K18+K27</f>
        <v>631253254.821228</v>
      </c>
      <c r="L30" s="33" t="n">
        <f aca="false">L18+L27</f>
        <v>663108659.247673</v>
      </c>
      <c r="M30" s="33" t="n">
        <f aca="false">M18+M27</f>
        <v>696599236.336837</v>
      </c>
      <c r="N30" s="33" t="n">
        <f aca="false">N18+N27</f>
        <v>731810708.367037</v>
      </c>
      <c r="O30" s="33" t="n">
        <f aca="false">O18+O27</f>
        <v>768833413.551363</v>
      </c>
      <c r="P30" s="33" t="n">
        <f aca="false">P18+P27</f>
        <v>807762563.323339</v>
      </c>
      <c r="Q30" s="33" t="n">
        <f aca="false">Q18+Q27</f>
        <v>848698514.607183</v>
      </c>
      <c r="R30" s="33" t="n">
        <f aca="false">R18+R27</f>
        <v>891747057.993414</v>
      </c>
      <c r="S30" s="33" t="n">
        <f aca="false">S18+S27</f>
        <v>937019722.800651</v>
      </c>
      <c r="T30" s="33" t="n">
        <f aca="false">T18+T27</f>
        <v>984634100.068739</v>
      </c>
      <c r="U30" s="33" t="n">
        <f aca="false">U18+U27</f>
        <v>1034714184.59716</v>
      </c>
      <c r="V30" s="33" t="n">
        <f aca="false">V18+V27</f>
        <v>1087390737.21626</v>
      </c>
      <c r="W30" s="33" t="n">
        <f aca="false">W18+W27</f>
        <v>1142801668.55758</v>
      </c>
      <c r="X30" s="33" t="n">
        <f aca="false">X18+X27</f>
        <v>1184732806.16777</v>
      </c>
      <c r="Y30" s="33" t="n">
        <f aca="false">Y18+Y27</f>
        <v>1214850351.89141</v>
      </c>
      <c r="Z30" s="33" t="n">
        <f aca="false">Z18+Z27</f>
        <v>1245793782.93802</v>
      </c>
      <c r="AA30" s="33" t="n">
        <f aca="false">AA18+AA27</f>
        <v>1277588198.58772</v>
      </c>
      <c r="AB30" s="33" t="n">
        <f aca="false">AB18+AB27</f>
        <v>1310259571.58635</v>
      </c>
      <c r="AC30" s="33" t="n">
        <f aca="false">AC18+AC27</f>
        <v>1343834783.69242</v>
      </c>
      <c r="AD30" s="33" t="n">
        <f aca="false">AD18+AD27</f>
        <v>1378341662.8988</v>
      </c>
      <c r="AE30" s="33" t="n">
        <f aca="false">AE18+AE27</f>
        <v>1413809022.41731</v>
      </c>
      <c r="AF30" s="33" t="n">
        <f aca="false">AF18+AF27</f>
        <v>1450266701.51912</v>
      </c>
      <c r="AG30" s="33" t="n">
        <f aca="false">AG18+AG27</f>
        <v>1487745608.3293</v>
      </c>
      <c r="AH30" s="33" t="n">
        <f aca="false">AH18+AH27</f>
        <v>1526277764.67912</v>
      </c>
      <c r="AI30" s="33" t="n">
        <f aca="false">AI18+AI27</f>
        <v>1565896353.12607</v>
      </c>
      <c r="AJ30" s="33" t="n">
        <f aca="false">AJ18+AJ27</f>
        <v>1606635766.25718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J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222</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223</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224</v>
      </c>
      <c r="C8" s="21" t="n">
        <v>0</v>
      </c>
      <c r="D8" s="21" t="n">
        <v>0</v>
      </c>
      <c r="E8" s="21" t="n">
        <v>0</v>
      </c>
      <c r="F8" s="21" t="n">
        <v>0</v>
      </c>
      <c r="G8" s="21" t="n">
        <f aca="false">Opex_Airfield_Base</f>
        <v>38000000</v>
      </c>
      <c r="H8" s="21" t="n">
        <f aca="false">G8*(1+CPI)</f>
        <v>38950000</v>
      </c>
      <c r="I8" s="21" t="n">
        <f aca="false">H8*(1+CPI)</f>
        <v>39923750</v>
      </c>
      <c r="J8" s="21" t="n">
        <f aca="false">I8*(1+CPI)</f>
        <v>40921843.75</v>
      </c>
      <c r="K8" s="21" t="n">
        <f aca="false">J8*(1+CPI)</f>
        <v>41944889.84375</v>
      </c>
      <c r="L8" s="21" t="n">
        <f aca="false">K8*(1+CPI)</f>
        <v>42993512.0898437</v>
      </c>
      <c r="M8" s="21" t="n">
        <f aca="false">L8*(1+CPI)</f>
        <v>44068349.8920898</v>
      </c>
      <c r="N8" s="21" t="n">
        <f aca="false">M8*(1+CPI)</f>
        <v>45170058.6393921</v>
      </c>
      <c r="O8" s="21" t="n">
        <f aca="false">N8*(1+CPI)</f>
        <v>46299310.1053769</v>
      </c>
      <c r="P8" s="21" t="n">
        <f aca="false">O8*(1+CPI)</f>
        <v>47456792.8580113</v>
      </c>
      <c r="Q8" s="21" t="n">
        <f aca="false">P8*(1+CPI)</f>
        <v>48643212.6794616</v>
      </c>
      <c r="R8" s="21" t="n">
        <f aca="false">Q8*(1+CPI)</f>
        <v>49859292.9964481</v>
      </c>
      <c r="S8" s="21" t="n">
        <f aca="false">R8*(1+CPI)</f>
        <v>51105775.3213593</v>
      </c>
      <c r="T8" s="21" t="n">
        <f aca="false">S8*(1+CPI)</f>
        <v>52383419.7043933</v>
      </c>
      <c r="U8" s="21" t="n">
        <f aca="false">T8*(1+CPI)</f>
        <v>53693005.1970031</v>
      </c>
      <c r="V8" s="21" t="n">
        <f aca="false">U8*(1+CPI)</f>
        <v>55035330.3269282</v>
      </c>
      <c r="W8" s="21" t="n">
        <f aca="false">V8*(1+CPI)</f>
        <v>56411213.5851014</v>
      </c>
      <c r="X8" s="21" t="n">
        <f aca="false">W8*(1+CPI)</f>
        <v>57821493.9247289</v>
      </c>
      <c r="Y8" s="21" t="n">
        <f aca="false">X8*(1+CPI)</f>
        <v>59267031.2728471</v>
      </c>
      <c r="Z8" s="21" t="n">
        <f aca="false">Y8*(1+CPI)</f>
        <v>60748707.0546683</v>
      </c>
      <c r="AA8" s="21" t="n">
        <f aca="false">Z8*(1+CPI)</f>
        <v>62267424.731035</v>
      </c>
      <c r="AB8" s="21" t="n">
        <f aca="false">AA8*(1+CPI)</f>
        <v>63824110.3493109</v>
      </c>
      <c r="AC8" s="21" t="n">
        <f aca="false">AB8*(1+CPI)</f>
        <v>65419713.1080436</v>
      </c>
      <c r="AD8" s="21" t="n">
        <f aca="false">AC8*(1+CPI)</f>
        <v>67055205.9357447</v>
      </c>
      <c r="AE8" s="21" t="n">
        <f aca="false">AD8*(1+CPI)</f>
        <v>68731586.0841383</v>
      </c>
      <c r="AF8" s="21" t="n">
        <f aca="false">AE8*(1+CPI)</f>
        <v>70449875.7362418</v>
      </c>
      <c r="AG8" s="21" t="n">
        <f aca="false">AF8*(1+CPI)</f>
        <v>72211122.6296478</v>
      </c>
      <c r="AH8" s="21" t="n">
        <f aca="false">AG8*(1+CPI)</f>
        <v>74016400.695389</v>
      </c>
      <c r="AI8" s="21" t="n">
        <f aca="false">AH8*(1+CPI)</f>
        <v>75866810.7127737</v>
      </c>
      <c r="AJ8" s="21" t="n">
        <f aca="false">AI8*(1+CPI)</f>
        <v>77763480.9805931</v>
      </c>
    </row>
    <row r="9" customFormat="false" ht="15" hidden="false" customHeight="false" outlineLevel="0" collapsed="false">
      <c r="A9" s="6"/>
      <c r="B9" s="11" t="s">
        <v>225</v>
      </c>
      <c r="C9" s="21" t="n">
        <v>0</v>
      </c>
      <c r="D9" s="21" t="n">
        <v>0</v>
      </c>
      <c r="E9" s="21" t="n">
        <v>0</v>
      </c>
      <c r="F9" s="21" t="n">
        <v>0</v>
      </c>
      <c r="G9" s="21" t="n">
        <f aca="false">Opex_Terminal_Base</f>
        <v>52000000</v>
      </c>
      <c r="H9" s="21" t="n">
        <f aca="false">G9*(1+CPI)</f>
        <v>53300000</v>
      </c>
      <c r="I9" s="21" t="n">
        <f aca="false">H9*(1+CPI)</f>
        <v>54632500</v>
      </c>
      <c r="J9" s="21" t="n">
        <f aca="false">I9*(1+CPI)</f>
        <v>55998312.5</v>
      </c>
      <c r="K9" s="21" t="n">
        <f aca="false">J9*(1+CPI)</f>
        <v>57398270.3125</v>
      </c>
      <c r="L9" s="21" t="n">
        <f aca="false">K9*(1+CPI)</f>
        <v>58833227.0703125</v>
      </c>
      <c r="M9" s="21" t="n">
        <f aca="false">L9*(1+CPI)</f>
        <v>60304057.7470703</v>
      </c>
      <c r="N9" s="21" t="n">
        <f aca="false">M9*(1+CPI)</f>
        <v>61811659.190747</v>
      </c>
      <c r="O9" s="21" t="n">
        <f aca="false">N9*(1+CPI)</f>
        <v>63356950.6705157</v>
      </c>
      <c r="P9" s="21" t="n">
        <f aca="false">O9*(1+CPI)</f>
        <v>64940874.4372786</v>
      </c>
      <c r="Q9" s="21" t="n">
        <f aca="false">P9*(1+CPI)</f>
        <v>66564396.2982105</v>
      </c>
      <c r="R9" s="21" t="n">
        <f aca="false">Q9*(1+CPI)</f>
        <v>68228506.2056658</v>
      </c>
      <c r="S9" s="21" t="n">
        <f aca="false">R9*(1+CPI)</f>
        <v>69934218.8608074</v>
      </c>
      <c r="T9" s="21" t="n">
        <f aca="false">S9*(1+CPI)</f>
        <v>71682574.3323276</v>
      </c>
      <c r="U9" s="21" t="n">
        <f aca="false">T9*(1+CPI)</f>
        <v>73474638.6906358</v>
      </c>
      <c r="V9" s="21" t="n">
        <f aca="false">U9*(1+CPI)</f>
        <v>75311504.6579017</v>
      </c>
      <c r="W9" s="21" t="n">
        <f aca="false">V9*(1+CPI)</f>
        <v>77194292.2743492</v>
      </c>
      <c r="X9" s="21" t="n">
        <f aca="false">W9*(1+CPI)</f>
        <v>79124149.581208</v>
      </c>
      <c r="Y9" s="21" t="n">
        <f aca="false">X9*(1+CPI)</f>
        <v>81102253.3207381</v>
      </c>
      <c r="Z9" s="21" t="n">
        <f aca="false">Y9*(1+CPI)</f>
        <v>83129809.6537566</v>
      </c>
      <c r="AA9" s="21" t="n">
        <f aca="false">Z9*(1+CPI)</f>
        <v>85208054.8951005</v>
      </c>
      <c r="AB9" s="21" t="n">
        <f aca="false">AA9*(1+CPI)</f>
        <v>87338256.267478</v>
      </c>
      <c r="AC9" s="21" t="n">
        <f aca="false">AB9*(1+CPI)</f>
        <v>89521712.6741649</v>
      </c>
      <c r="AD9" s="21" t="n">
        <f aca="false">AC9*(1+CPI)</f>
        <v>91759755.4910191</v>
      </c>
      <c r="AE9" s="21" t="n">
        <f aca="false">AD9*(1+CPI)</f>
        <v>94053749.3782945</v>
      </c>
      <c r="AF9" s="21" t="n">
        <f aca="false">AE9*(1+CPI)</f>
        <v>96405093.1127519</v>
      </c>
      <c r="AG9" s="21" t="n">
        <f aca="false">AF9*(1+CPI)</f>
        <v>98815220.4405707</v>
      </c>
      <c r="AH9" s="21" t="n">
        <f aca="false">AG9*(1+CPI)</f>
        <v>101285600.951585</v>
      </c>
      <c r="AI9" s="21" t="n">
        <f aca="false">AH9*(1+CPI)</f>
        <v>103817740.975375</v>
      </c>
      <c r="AJ9" s="21" t="n">
        <f aca="false">AI9*(1+CPI)</f>
        <v>106413184.499759</v>
      </c>
    </row>
    <row r="10" customFormat="false" ht="15" hidden="false" customHeight="false" outlineLevel="0" collapsed="false">
      <c r="A10" s="6"/>
      <c r="B10" s="11" t="s">
        <v>226</v>
      </c>
      <c r="C10" s="21" t="n">
        <v>0</v>
      </c>
      <c r="D10" s="21" t="n">
        <v>0</v>
      </c>
      <c r="E10" s="21" t="n">
        <v>0</v>
      </c>
      <c r="F10" s="21" t="n">
        <v>0</v>
      </c>
      <c r="G10" s="21" t="n">
        <f aca="false">Opex_ARFFSec_Base</f>
        <v>30000000</v>
      </c>
      <c r="H10" s="21" t="n">
        <f aca="false">G10*(1+CPI)</f>
        <v>30750000</v>
      </c>
      <c r="I10" s="21" t="n">
        <f aca="false">H10*(1+CPI)</f>
        <v>31518750</v>
      </c>
      <c r="J10" s="21" t="n">
        <f aca="false">I10*(1+CPI)</f>
        <v>32306718.75</v>
      </c>
      <c r="K10" s="21" t="n">
        <f aca="false">J10*(1+CPI)</f>
        <v>33114386.71875</v>
      </c>
      <c r="L10" s="21" t="n">
        <f aca="false">K10*(1+CPI)</f>
        <v>33942246.3867187</v>
      </c>
      <c r="M10" s="21" t="n">
        <f aca="false">L10*(1+CPI)</f>
        <v>34790802.5463867</v>
      </c>
      <c r="N10" s="21" t="n">
        <f aca="false">M10*(1+CPI)</f>
        <v>35660572.6100464</v>
      </c>
      <c r="O10" s="21" t="n">
        <f aca="false">N10*(1+CPI)</f>
        <v>36552086.9252975</v>
      </c>
      <c r="P10" s="21" t="n">
        <f aca="false">O10*(1+CPI)</f>
        <v>37465889.09843</v>
      </c>
      <c r="Q10" s="21" t="n">
        <f aca="false">P10*(1+CPI)</f>
        <v>38402536.3258907</v>
      </c>
      <c r="R10" s="21" t="n">
        <f aca="false">Q10*(1+CPI)</f>
        <v>39362599.734038</v>
      </c>
      <c r="S10" s="21" t="n">
        <f aca="false">R10*(1+CPI)</f>
        <v>40346664.7273889</v>
      </c>
      <c r="T10" s="21" t="n">
        <f aca="false">S10*(1+CPI)</f>
        <v>41355331.3455737</v>
      </c>
      <c r="U10" s="21" t="n">
        <f aca="false">T10*(1+CPI)</f>
        <v>42389214.629213</v>
      </c>
      <c r="V10" s="21" t="n">
        <f aca="false">U10*(1+CPI)</f>
        <v>43448944.9949433</v>
      </c>
      <c r="W10" s="21" t="n">
        <f aca="false">V10*(1+CPI)</f>
        <v>44535168.6198169</v>
      </c>
      <c r="X10" s="21" t="n">
        <f aca="false">W10*(1+CPI)</f>
        <v>45648547.8353123</v>
      </c>
      <c r="Y10" s="21" t="n">
        <f aca="false">X10*(1+CPI)</f>
        <v>46789761.5311951</v>
      </c>
      <c r="Z10" s="21" t="n">
        <f aca="false">Y10*(1+CPI)</f>
        <v>47959505.569475</v>
      </c>
      <c r="AA10" s="21" t="n">
        <f aca="false">Z10*(1+CPI)</f>
        <v>49158493.2087119</v>
      </c>
      <c r="AB10" s="21" t="n">
        <f aca="false">AA10*(1+CPI)</f>
        <v>50387455.5389296</v>
      </c>
      <c r="AC10" s="21" t="n">
        <f aca="false">AB10*(1+CPI)</f>
        <v>51647141.9274029</v>
      </c>
      <c r="AD10" s="21" t="n">
        <f aca="false">AC10*(1+CPI)</f>
        <v>52938320.4755879</v>
      </c>
      <c r="AE10" s="21" t="n">
        <f aca="false">AD10*(1+CPI)</f>
        <v>54261778.4874776</v>
      </c>
      <c r="AF10" s="21" t="n">
        <f aca="false">AE10*(1+CPI)</f>
        <v>55618322.9496646</v>
      </c>
      <c r="AG10" s="21" t="n">
        <f aca="false">AF10*(1+CPI)</f>
        <v>57008781.0234062</v>
      </c>
      <c r="AH10" s="21" t="n">
        <f aca="false">AG10*(1+CPI)</f>
        <v>58434000.5489913</v>
      </c>
      <c r="AI10" s="21" t="n">
        <f aca="false">AH10*(1+CPI)</f>
        <v>59894850.5627161</v>
      </c>
      <c r="AJ10" s="21" t="n">
        <f aca="false">AI10*(1+CPI)</f>
        <v>61392221.826784</v>
      </c>
    </row>
    <row r="11" customFormat="false" ht="15" hidden="false" customHeight="false" outlineLevel="0" collapsed="false">
      <c r="A11" s="6"/>
      <c r="B11" s="11" t="s">
        <v>227</v>
      </c>
      <c r="C11" s="21" t="n">
        <v>0</v>
      </c>
      <c r="D11" s="21" t="n">
        <v>0</v>
      </c>
      <c r="E11" s="21" t="n">
        <v>0</v>
      </c>
      <c r="F11" s="21" t="n">
        <v>0</v>
      </c>
      <c r="G11" s="21" t="n">
        <f aca="false">Opex_GroundHdl_Base</f>
        <v>14000000</v>
      </c>
      <c r="H11" s="21" t="n">
        <f aca="false">G11*(1+CPI)</f>
        <v>14350000</v>
      </c>
      <c r="I11" s="21" t="n">
        <f aca="false">H11*(1+CPI)</f>
        <v>14708750</v>
      </c>
      <c r="J11" s="21" t="n">
        <f aca="false">I11*(1+CPI)</f>
        <v>15076468.75</v>
      </c>
      <c r="K11" s="21" t="n">
        <f aca="false">J11*(1+CPI)</f>
        <v>15453380.46875</v>
      </c>
      <c r="L11" s="21" t="n">
        <f aca="false">K11*(1+CPI)</f>
        <v>15839714.9804687</v>
      </c>
      <c r="M11" s="21" t="n">
        <f aca="false">L11*(1+CPI)</f>
        <v>16235707.8549805</v>
      </c>
      <c r="N11" s="21" t="n">
        <f aca="false">M11*(1+CPI)</f>
        <v>16641600.551355</v>
      </c>
      <c r="O11" s="21" t="n">
        <f aca="false">N11*(1+CPI)</f>
        <v>17057640.5651388</v>
      </c>
      <c r="P11" s="21" t="n">
        <f aca="false">O11*(1+CPI)</f>
        <v>17484081.5792673</v>
      </c>
      <c r="Q11" s="21" t="n">
        <f aca="false">P11*(1+CPI)</f>
        <v>17921183.618749</v>
      </c>
      <c r="R11" s="21" t="n">
        <f aca="false">Q11*(1+CPI)</f>
        <v>18369213.2092177</v>
      </c>
      <c r="S11" s="21" t="n">
        <f aca="false">R11*(1+CPI)</f>
        <v>18828443.5394482</v>
      </c>
      <c r="T11" s="21" t="n">
        <f aca="false">S11*(1+CPI)</f>
        <v>19299154.6279344</v>
      </c>
      <c r="U11" s="21" t="n">
        <f aca="false">T11*(1+CPI)</f>
        <v>19781633.4936327</v>
      </c>
      <c r="V11" s="21" t="n">
        <f aca="false">U11*(1+CPI)</f>
        <v>20276174.3309735</v>
      </c>
      <c r="W11" s="21" t="n">
        <f aca="false">V11*(1+CPI)</f>
        <v>20783078.6892479</v>
      </c>
      <c r="X11" s="21" t="n">
        <f aca="false">W11*(1+CPI)</f>
        <v>21302655.6564791</v>
      </c>
      <c r="Y11" s="21" t="n">
        <f aca="false">X11*(1+CPI)</f>
        <v>21835222.047891</v>
      </c>
      <c r="Z11" s="21" t="n">
        <f aca="false">Y11*(1+CPI)</f>
        <v>22381102.5990883</v>
      </c>
      <c r="AA11" s="21" t="n">
        <f aca="false">Z11*(1+CPI)</f>
        <v>22940630.1640655</v>
      </c>
      <c r="AB11" s="21" t="n">
        <f aca="false">AA11*(1+CPI)</f>
        <v>23514145.9181672</v>
      </c>
      <c r="AC11" s="21" t="n">
        <f aca="false">AB11*(1+CPI)</f>
        <v>24101999.5661213</v>
      </c>
      <c r="AD11" s="21" t="n">
        <f aca="false">AC11*(1+CPI)</f>
        <v>24704549.5552744</v>
      </c>
      <c r="AE11" s="21" t="n">
        <f aca="false">AD11*(1+CPI)</f>
        <v>25322163.2941562</v>
      </c>
      <c r="AF11" s="21" t="n">
        <f aca="false">AE11*(1+CPI)</f>
        <v>25955217.3765101</v>
      </c>
      <c r="AG11" s="21" t="n">
        <f aca="false">AF11*(1+CPI)</f>
        <v>26604097.8109229</v>
      </c>
      <c r="AH11" s="21" t="n">
        <f aca="false">AG11*(1+CPI)</f>
        <v>27269200.2561959</v>
      </c>
      <c r="AI11" s="21" t="n">
        <f aca="false">AH11*(1+CPI)</f>
        <v>27950930.2626008</v>
      </c>
      <c r="AJ11" s="21" t="n">
        <f aca="false">AI11*(1+CPI)</f>
        <v>28649703.5191659</v>
      </c>
    </row>
    <row r="12" customFormat="false" ht="15" hidden="false" customHeight="false" outlineLevel="0" collapsed="false">
      <c r="A12" s="6"/>
      <c r="B12" s="11" t="s">
        <v>228</v>
      </c>
      <c r="C12" s="21" t="n">
        <v>0</v>
      </c>
      <c r="D12" s="21" t="n">
        <v>0</v>
      </c>
      <c r="E12" s="21" t="n">
        <v>0</v>
      </c>
      <c r="F12" s="21" t="n">
        <v>0</v>
      </c>
      <c r="G12" s="21" t="n">
        <f aca="false">Opex_PropTax_Base</f>
        <v>18000000</v>
      </c>
      <c r="H12" s="21" t="n">
        <f aca="false">G12*(1+CPI)</f>
        <v>18450000</v>
      </c>
      <c r="I12" s="21" t="n">
        <f aca="false">H12*(1+CPI)</f>
        <v>18911250</v>
      </c>
      <c r="J12" s="21" t="n">
        <f aca="false">I12*(1+CPI)</f>
        <v>19384031.25</v>
      </c>
      <c r="K12" s="21" t="n">
        <f aca="false">J12*(1+CPI)</f>
        <v>19868632.03125</v>
      </c>
      <c r="L12" s="21" t="n">
        <f aca="false">K12*(1+CPI)</f>
        <v>20365347.8320313</v>
      </c>
      <c r="M12" s="21" t="n">
        <f aca="false">L12*(1+CPI)</f>
        <v>20874481.527832</v>
      </c>
      <c r="N12" s="21" t="n">
        <f aca="false">M12*(1+CPI)</f>
        <v>21396343.5660278</v>
      </c>
      <c r="O12" s="21" t="n">
        <f aca="false">N12*(1+CPI)</f>
        <v>21931252.1551785</v>
      </c>
      <c r="P12" s="21" t="n">
        <f aca="false">O12*(1+CPI)</f>
        <v>22479533.459058</v>
      </c>
      <c r="Q12" s="21" t="n">
        <f aca="false">P12*(1+CPI)</f>
        <v>23041521.7955344</v>
      </c>
      <c r="R12" s="21" t="n">
        <f aca="false">Q12*(1+CPI)</f>
        <v>23617559.8404228</v>
      </c>
      <c r="S12" s="21" t="n">
        <f aca="false">R12*(1+CPI)</f>
        <v>24207998.8364334</v>
      </c>
      <c r="T12" s="21" t="n">
        <f aca="false">S12*(1+CPI)</f>
        <v>24813198.8073442</v>
      </c>
      <c r="U12" s="21" t="n">
        <f aca="false">T12*(1+CPI)</f>
        <v>25433528.7775278</v>
      </c>
      <c r="V12" s="21" t="n">
        <f aca="false">U12*(1+CPI)</f>
        <v>26069366.996966</v>
      </c>
      <c r="W12" s="21" t="n">
        <f aca="false">V12*(1+CPI)</f>
        <v>26721101.1718901</v>
      </c>
      <c r="X12" s="21" t="n">
        <f aca="false">W12*(1+CPI)</f>
        <v>27389128.7011874</v>
      </c>
      <c r="Y12" s="21" t="n">
        <f aca="false">X12*(1+CPI)</f>
        <v>28073856.9187171</v>
      </c>
      <c r="Z12" s="21" t="n">
        <f aca="false">Y12*(1+CPI)</f>
        <v>28775703.341685</v>
      </c>
      <c r="AA12" s="21" t="n">
        <f aca="false">Z12*(1+CPI)</f>
        <v>29495095.9252271</v>
      </c>
      <c r="AB12" s="21" t="n">
        <f aca="false">AA12*(1+CPI)</f>
        <v>30232473.3233578</v>
      </c>
      <c r="AC12" s="21" t="n">
        <f aca="false">AB12*(1+CPI)</f>
        <v>30988285.1564417</v>
      </c>
      <c r="AD12" s="21" t="n">
        <f aca="false">AC12*(1+CPI)</f>
        <v>31762992.2853528</v>
      </c>
      <c r="AE12" s="21" t="n">
        <f aca="false">AD12*(1+CPI)</f>
        <v>32557067.0924866</v>
      </c>
      <c r="AF12" s="21" t="n">
        <f aca="false">AE12*(1+CPI)</f>
        <v>33370993.7697988</v>
      </c>
      <c r="AG12" s="21" t="n">
        <f aca="false">AF12*(1+CPI)</f>
        <v>34205268.6140437</v>
      </c>
      <c r="AH12" s="21" t="n">
        <f aca="false">AG12*(1+CPI)</f>
        <v>35060400.3293948</v>
      </c>
      <c r="AI12" s="21" t="n">
        <f aca="false">AH12*(1+CPI)</f>
        <v>35936910.3376297</v>
      </c>
      <c r="AJ12" s="21" t="n">
        <f aca="false">AI12*(1+CPI)</f>
        <v>36835333.0960704</v>
      </c>
    </row>
    <row r="13" customFormat="false" ht="15" hidden="false" customHeight="false" outlineLevel="0" collapsed="false">
      <c r="A13" s="6"/>
      <c r="B13" s="11" t="s">
        <v>229</v>
      </c>
      <c r="C13" s="21" t="n">
        <v>0</v>
      </c>
      <c r="D13" s="21" t="n">
        <v>0</v>
      </c>
      <c r="E13" s="21" t="n">
        <v>0</v>
      </c>
      <c r="F13" s="21" t="n">
        <v>0</v>
      </c>
      <c r="G13" s="21" t="n">
        <f aca="false">Opex_InsAdmin_Base</f>
        <v>16000000</v>
      </c>
      <c r="H13" s="21" t="n">
        <f aca="false">G13*(1+CPI)</f>
        <v>16400000</v>
      </c>
      <c r="I13" s="21" t="n">
        <f aca="false">H13*(1+CPI)</f>
        <v>16810000</v>
      </c>
      <c r="J13" s="21" t="n">
        <f aca="false">I13*(1+CPI)</f>
        <v>17230250</v>
      </c>
      <c r="K13" s="21" t="n">
        <f aca="false">J13*(1+CPI)</f>
        <v>17661006.25</v>
      </c>
      <c r="L13" s="21" t="n">
        <f aca="false">K13*(1+CPI)</f>
        <v>18102531.40625</v>
      </c>
      <c r="M13" s="21" t="n">
        <f aca="false">L13*(1+CPI)</f>
        <v>18555094.6914062</v>
      </c>
      <c r="N13" s="21" t="n">
        <f aca="false">M13*(1+CPI)</f>
        <v>19018972.0586914</v>
      </c>
      <c r="O13" s="21" t="n">
        <f aca="false">N13*(1+CPI)</f>
        <v>19494446.3601587</v>
      </c>
      <c r="P13" s="21" t="n">
        <f aca="false">O13*(1+CPI)</f>
        <v>19981807.5191627</v>
      </c>
      <c r="Q13" s="21" t="n">
        <f aca="false">P13*(1+CPI)</f>
        <v>20481352.7071417</v>
      </c>
      <c r="R13" s="21" t="n">
        <f aca="false">Q13*(1+CPI)</f>
        <v>20993386.5248203</v>
      </c>
      <c r="S13" s="21" t="n">
        <f aca="false">R13*(1+CPI)</f>
        <v>21518221.1879408</v>
      </c>
      <c r="T13" s="21" t="n">
        <f aca="false">S13*(1+CPI)</f>
        <v>22056176.7176393</v>
      </c>
      <c r="U13" s="21" t="n">
        <f aca="false">T13*(1+CPI)</f>
        <v>22607581.1355803</v>
      </c>
      <c r="V13" s="21" t="n">
        <f aca="false">U13*(1+CPI)</f>
        <v>23172770.6639698</v>
      </c>
      <c r="W13" s="21" t="n">
        <f aca="false">V13*(1+CPI)</f>
        <v>23752089.930569</v>
      </c>
      <c r="X13" s="21" t="n">
        <f aca="false">W13*(1+CPI)</f>
        <v>24345892.1788332</v>
      </c>
      <c r="Y13" s="21" t="n">
        <f aca="false">X13*(1+CPI)</f>
        <v>24954539.4833041</v>
      </c>
      <c r="Z13" s="21" t="n">
        <f aca="false">Y13*(1+CPI)</f>
        <v>25578402.9703867</v>
      </c>
      <c r="AA13" s="21" t="n">
        <f aca="false">Z13*(1+CPI)</f>
        <v>26217863.0446463</v>
      </c>
      <c r="AB13" s="21" t="n">
        <f aca="false">AA13*(1+CPI)</f>
        <v>26873309.6207625</v>
      </c>
      <c r="AC13" s="21" t="n">
        <f aca="false">AB13*(1+CPI)</f>
        <v>27545142.3612815</v>
      </c>
      <c r="AD13" s="21" t="n">
        <f aca="false">AC13*(1+CPI)</f>
        <v>28233770.9203136</v>
      </c>
      <c r="AE13" s="21" t="n">
        <f aca="false">AD13*(1+CPI)</f>
        <v>28939615.1933214</v>
      </c>
      <c r="AF13" s="21" t="n">
        <f aca="false">AE13*(1+CPI)</f>
        <v>29663105.5731544</v>
      </c>
      <c r="AG13" s="21" t="n">
        <f aca="false">AF13*(1+CPI)</f>
        <v>30404683.2124833</v>
      </c>
      <c r="AH13" s="21" t="n">
        <f aca="false">AG13*(1+CPI)</f>
        <v>31164800.2927954</v>
      </c>
      <c r="AI13" s="21" t="n">
        <f aca="false">AH13*(1+CPI)</f>
        <v>31943920.3001153</v>
      </c>
      <c r="AJ13" s="21" t="n">
        <f aca="false">AI13*(1+CPI)</f>
        <v>32742518.3076182</v>
      </c>
    </row>
    <row r="14" customFormat="false" ht="15" hidden="false" customHeight="false" outlineLevel="0" collapsed="false">
      <c r="A14" s="6"/>
      <c r="B14" s="28" t="s">
        <v>230</v>
      </c>
      <c r="C14" s="29" t="n">
        <v>0</v>
      </c>
      <c r="D14" s="29" t="n">
        <v>0</v>
      </c>
      <c r="E14" s="29" t="n">
        <v>0</v>
      </c>
      <c r="F14" s="29" t="n">
        <v>0</v>
      </c>
      <c r="G14" s="29" t="n">
        <f aca="false">SUM(G8:G13)</f>
        <v>168000000</v>
      </c>
      <c r="H14" s="29" t="n">
        <f aca="false">SUM(H8:H13)</f>
        <v>172200000</v>
      </c>
      <c r="I14" s="29" t="n">
        <f aca="false">SUM(I8:I13)</f>
        <v>176505000</v>
      </c>
      <c r="J14" s="29" t="n">
        <f aca="false">SUM(J8:J13)</f>
        <v>180917625</v>
      </c>
      <c r="K14" s="29" t="n">
        <f aca="false">SUM(K8:K13)</f>
        <v>185440565.625</v>
      </c>
      <c r="L14" s="29" t="n">
        <f aca="false">SUM(L8:L13)</f>
        <v>190076579.765625</v>
      </c>
      <c r="M14" s="29" t="n">
        <f aca="false">SUM(M8:M13)</f>
        <v>194828494.259766</v>
      </c>
      <c r="N14" s="29" t="n">
        <f aca="false">SUM(N8:N13)</f>
        <v>199699206.61626</v>
      </c>
      <c r="O14" s="29" t="n">
        <f aca="false">SUM(O8:O13)</f>
        <v>204691686.781666</v>
      </c>
      <c r="P14" s="29" t="n">
        <f aca="false">SUM(P8:P13)</f>
        <v>209808978.951208</v>
      </c>
      <c r="Q14" s="29" t="n">
        <f aca="false">SUM(Q8:Q13)</f>
        <v>215054203.424988</v>
      </c>
      <c r="R14" s="29" t="n">
        <f aca="false">SUM(R8:R13)</f>
        <v>220430558.510613</v>
      </c>
      <c r="S14" s="29" t="n">
        <f aca="false">SUM(S8:S13)</f>
        <v>225941322.473378</v>
      </c>
      <c r="T14" s="29" t="n">
        <f aca="false">SUM(T8:T13)</f>
        <v>231589855.535212</v>
      </c>
      <c r="U14" s="29" t="n">
        <f aca="false">SUM(U8:U13)</f>
        <v>237379601.923593</v>
      </c>
      <c r="V14" s="29" t="n">
        <f aca="false">SUM(V8:V13)</f>
        <v>243314091.971682</v>
      </c>
      <c r="W14" s="29" t="n">
        <f aca="false">SUM(W8:W13)</f>
        <v>249396944.270975</v>
      </c>
      <c r="X14" s="29" t="n">
        <f aca="false">SUM(X8:X13)</f>
        <v>255631867.877749</v>
      </c>
      <c r="Y14" s="29" t="n">
        <f aca="false">SUM(Y8:Y13)</f>
        <v>262022664.574693</v>
      </c>
      <c r="Z14" s="29" t="n">
        <f aca="false">SUM(Z8:Z13)</f>
        <v>268573231.18906</v>
      </c>
      <c r="AA14" s="29" t="n">
        <f aca="false">SUM(AA8:AA13)</f>
        <v>275287561.968786</v>
      </c>
      <c r="AB14" s="29" t="n">
        <f aca="false">SUM(AB8:AB13)</f>
        <v>282169751.018006</v>
      </c>
      <c r="AC14" s="29" t="n">
        <f aca="false">SUM(AC8:AC13)</f>
        <v>289223994.793456</v>
      </c>
      <c r="AD14" s="29" t="n">
        <f aca="false">SUM(AD8:AD13)</f>
        <v>296454594.663292</v>
      </c>
      <c r="AE14" s="29" t="n">
        <f aca="false">SUM(AE8:AE13)</f>
        <v>303865959.529875</v>
      </c>
      <c r="AF14" s="29" t="n">
        <f aca="false">SUM(AF8:AF13)</f>
        <v>311462608.518122</v>
      </c>
      <c r="AG14" s="29" t="n">
        <f aca="false">SUM(AG8:AG13)</f>
        <v>319249173.731075</v>
      </c>
      <c r="AH14" s="29" t="n">
        <f aca="false">SUM(AH8:AH13)</f>
        <v>327230403.074351</v>
      </c>
      <c r="AI14" s="29" t="n">
        <f aca="false">SUM(AI8:AI13)</f>
        <v>335411163.15121</v>
      </c>
      <c r="AJ14" s="29" t="n">
        <f aca="false">SUM(AJ8:AJ13)</f>
        <v>343796442.22999</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customFormat="false" ht="15" hidden="false" customHeight="false" outlineLevel="0" collapsed="false">
      <c r="A16" s="6"/>
      <c r="B16" s="8" t="s">
        <v>231</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row>
    <row r="17" customFormat="false" ht="15" hidden="false" customHeight="false" outlineLevel="0" collapsed="false">
      <c r="A17" s="6"/>
      <c r="B17" s="11" t="s">
        <v>232</v>
      </c>
      <c r="C17" s="21" t="n">
        <v>0</v>
      </c>
      <c r="D17" s="21" t="n">
        <v>0</v>
      </c>
      <c r="E17" s="21" t="n">
        <v>0</v>
      </c>
      <c r="F17" s="21" t="n">
        <v>0</v>
      </c>
      <c r="G17" s="21" t="n">
        <f aca="false">Var_Per_Pax</f>
        <v>1.8</v>
      </c>
      <c r="H17" s="21" t="n">
        <f aca="false">G17*(1+CPI)</f>
        <v>1.845</v>
      </c>
      <c r="I17" s="21" t="n">
        <f aca="false">H17*(1+CPI)</f>
        <v>1.891125</v>
      </c>
      <c r="J17" s="21" t="n">
        <f aca="false">I17*(1+CPI)</f>
        <v>1.938403125</v>
      </c>
      <c r="K17" s="21" t="n">
        <f aca="false">J17*(1+CPI)</f>
        <v>1.986863203125</v>
      </c>
      <c r="L17" s="21" t="n">
        <f aca="false">K17*(1+CPI)</f>
        <v>2.03653478320312</v>
      </c>
      <c r="M17" s="21" t="n">
        <f aca="false">L17*(1+CPI)</f>
        <v>2.0874481527832</v>
      </c>
      <c r="N17" s="21" t="n">
        <f aca="false">M17*(1+CPI)</f>
        <v>2.13963435660278</v>
      </c>
      <c r="O17" s="21" t="n">
        <f aca="false">N17*(1+CPI)</f>
        <v>2.19312521551785</v>
      </c>
      <c r="P17" s="21" t="n">
        <f aca="false">O17*(1+CPI)</f>
        <v>2.2479533459058</v>
      </c>
      <c r="Q17" s="21" t="n">
        <f aca="false">P17*(1+CPI)</f>
        <v>2.30415217955344</v>
      </c>
      <c r="R17" s="21" t="n">
        <f aca="false">Q17*(1+CPI)</f>
        <v>2.36175598404228</v>
      </c>
      <c r="S17" s="21" t="n">
        <f aca="false">R17*(1+CPI)</f>
        <v>2.42079988364333</v>
      </c>
      <c r="T17" s="21" t="n">
        <f aca="false">S17*(1+CPI)</f>
        <v>2.48131988073442</v>
      </c>
      <c r="U17" s="21" t="n">
        <f aca="false">T17*(1+CPI)</f>
        <v>2.54335287775278</v>
      </c>
      <c r="V17" s="21" t="n">
        <f aca="false">U17*(1+CPI)</f>
        <v>2.6069366996966</v>
      </c>
      <c r="W17" s="21" t="n">
        <f aca="false">V17*(1+CPI)</f>
        <v>2.67211011718901</v>
      </c>
      <c r="X17" s="21" t="n">
        <f aca="false">W17*(1+CPI)</f>
        <v>2.73891287011874</v>
      </c>
      <c r="Y17" s="21" t="n">
        <f aca="false">X17*(1+CPI)</f>
        <v>2.80738569187171</v>
      </c>
      <c r="Z17" s="21" t="n">
        <f aca="false">Y17*(1+CPI)</f>
        <v>2.8775703341685</v>
      </c>
      <c r="AA17" s="21" t="n">
        <f aca="false">Z17*(1+CPI)</f>
        <v>2.94950959252271</v>
      </c>
      <c r="AB17" s="21" t="n">
        <f aca="false">AA17*(1+CPI)</f>
        <v>3.02324733233578</v>
      </c>
      <c r="AC17" s="21" t="n">
        <f aca="false">AB17*(1+CPI)</f>
        <v>3.09882851564417</v>
      </c>
      <c r="AD17" s="21" t="n">
        <f aca="false">AC17*(1+CPI)</f>
        <v>3.17629922853528</v>
      </c>
      <c r="AE17" s="21" t="n">
        <f aca="false">AD17*(1+CPI)</f>
        <v>3.25570670924866</v>
      </c>
      <c r="AF17" s="21" t="n">
        <f aca="false">AE17*(1+CPI)</f>
        <v>3.33709937697987</v>
      </c>
      <c r="AG17" s="21" t="n">
        <f aca="false">AF17*(1+CPI)</f>
        <v>3.42052686140437</v>
      </c>
      <c r="AH17" s="21" t="n">
        <f aca="false">AG17*(1+CPI)</f>
        <v>3.50604003293948</v>
      </c>
      <c r="AI17" s="21" t="n">
        <f aca="false">AH17*(1+CPI)</f>
        <v>3.59369103376297</v>
      </c>
      <c r="AJ17" s="21" t="n">
        <f aca="false">AI17*(1+CPI)</f>
        <v>3.68353330960704</v>
      </c>
    </row>
    <row r="18" customFormat="false" ht="15" hidden="false" customHeight="false" outlineLevel="0" collapsed="false">
      <c r="A18" s="6"/>
      <c r="B18" s="11" t="s">
        <v>233</v>
      </c>
      <c r="C18" s="21" t="n">
        <v>0</v>
      </c>
      <c r="D18" s="21" t="n">
        <v>0</v>
      </c>
      <c r="E18" s="21" t="n">
        <v>0</v>
      </c>
      <c r="F18" s="21" t="n">
        <v>0</v>
      </c>
      <c r="G18" s="21" t="n">
        <f aca="false">Traffic!G12*G17</f>
        <v>24444000</v>
      </c>
      <c r="H18" s="21" t="n">
        <f aca="false">Traffic!H12*H17</f>
        <v>25571700</v>
      </c>
      <c r="I18" s="21" t="n">
        <f aca="false">Traffic!I12*I17</f>
        <v>26475750</v>
      </c>
      <c r="J18" s="21" t="n">
        <f aca="false">Traffic!J12*J17</f>
        <v>27816084.84375</v>
      </c>
      <c r="K18" s="21" t="n">
        <f aca="false">Traffic!K12*K17</f>
        <v>29224274.1389648</v>
      </c>
      <c r="L18" s="21" t="n">
        <f aca="false">Traffic!L12*L17</f>
        <v>30703753.0172499</v>
      </c>
      <c r="M18" s="21" t="n">
        <f aca="false">Traffic!M12*M17</f>
        <v>32258130.5137482</v>
      </c>
      <c r="N18" s="21" t="n">
        <f aca="false">Traffic!N12*N17</f>
        <v>33891198.3710067</v>
      </c>
      <c r="O18" s="21" t="n">
        <f aca="false">Traffic!O12*O17</f>
        <v>35606940.2885389</v>
      </c>
      <c r="P18" s="21" t="n">
        <f aca="false">Traffic!P12*P17</f>
        <v>37409541.6406462</v>
      </c>
      <c r="Q18" s="21" t="n">
        <f aca="false">Traffic!Q12*Q17</f>
        <v>39303399.6862039</v>
      </c>
      <c r="R18" s="21" t="n">
        <f aca="false">Traffic!R12*R17</f>
        <v>41293134.2953179</v>
      </c>
      <c r="S18" s="21" t="n">
        <f aca="false">Traffic!S12*S17</f>
        <v>43383599.2190184</v>
      </c>
      <c r="T18" s="21" t="n">
        <f aca="false">Traffic!T12*T17</f>
        <v>45579893.9294812</v>
      </c>
      <c r="U18" s="21" t="n">
        <f aca="false">Traffic!U12*U17</f>
        <v>47887376.0596612</v>
      </c>
      <c r="V18" s="21" t="n">
        <f aca="false">Traffic!V12*V17</f>
        <v>50311674.4726815</v>
      </c>
      <c r="W18" s="21" t="n">
        <f aca="false">Traffic!W12*W17</f>
        <v>52858702.992861</v>
      </c>
      <c r="X18" s="21" t="n">
        <f aca="false">Traffic!X12*X17</f>
        <v>54778257.4023747</v>
      </c>
      <c r="Y18" s="21" t="n">
        <f aca="false">Traffic!Y12*Y17</f>
        <v>56147713.8374341</v>
      </c>
      <c r="Z18" s="21" t="n">
        <f aca="false">Traffic!Z12*Z17</f>
        <v>57551406.68337</v>
      </c>
      <c r="AA18" s="21" t="n">
        <f aca="false">Traffic!AA12*AA17</f>
        <v>58990191.8504542</v>
      </c>
      <c r="AB18" s="21" t="n">
        <f aca="false">Traffic!AB12*AB17</f>
        <v>60464946.6467156</v>
      </c>
      <c r="AC18" s="21" t="n">
        <f aca="false">Traffic!AC12*AC17</f>
        <v>61976570.3128834</v>
      </c>
      <c r="AD18" s="21" t="n">
        <f aca="false">Traffic!AD12*AD17</f>
        <v>63525984.5707055</v>
      </c>
      <c r="AE18" s="21" t="n">
        <f aca="false">Traffic!AE12*AE17</f>
        <v>65114134.1849732</v>
      </c>
      <c r="AF18" s="21" t="n">
        <f aca="false">Traffic!AF12*AF17</f>
        <v>66741987.5395975</v>
      </c>
      <c r="AG18" s="21" t="n">
        <f aca="false">Traffic!AG12*AG17</f>
        <v>68410537.2280874</v>
      </c>
      <c r="AH18" s="21" t="n">
        <f aca="false">Traffic!AH12*AH17</f>
        <v>70120800.6587896</v>
      </c>
      <c r="AI18" s="21" t="n">
        <f aca="false">Traffic!AI12*AI17</f>
        <v>71873820.6752593</v>
      </c>
      <c r="AJ18" s="21" t="n">
        <f aca="false">Traffic!AJ12*AJ17</f>
        <v>73670666.1921408</v>
      </c>
    </row>
    <row r="19" customFormat="false" ht="15" hidden="false" customHeight="false" outlineLevel="0" collapsed="false">
      <c r="A19" s="6"/>
      <c r="B19" s="11" t="s">
        <v>234</v>
      </c>
      <c r="C19" s="21" t="n">
        <v>0</v>
      </c>
      <c r="D19" s="21" t="n">
        <v>0</v>
      </c>
      <c r="E19" s="21" t="n">
        <v>0</v>
      </c>
      <c r="F19" s="21" t="n">
        <v>0</v>
      </c>
      <c r="G19" s="21" t="n">
        <f aca="false">Var_Per_ATM</f>
        <v>80</v>
      </c>
      <c r="H19" s="21" t="n">
        <f aca="false">G19*(1+CPI)</f>
        <v>82</v>
      </c>
      <c r="I19" s="21" t="n">
        <f aca="false">H19*(1+CPI)</f>
        <v>84.05</v>
      </c>
      <c r="J19" s="21" t="n">
        <f aca="false">I19*(1+CPI)</f>
        <v>86.15125</v>
      </c>
      <c r="K19" s="21" t="n">
        <f aca="false">J19*(1+CPI)</f>
        <v>88.30503125</v>
      </c>
      <c r="L19" s="21" t="n">
        <f aca="false">K19*(1+CPI)</f>
        <v>90.51265703125</v>
      </c>
      <c r="M19" s="21" t="n">
        <f aca="false">L19*(1+CPI)</f>
        <v>92.7754734570312</v>
      </c>
      <c r="N19" s="21" t="n">
        <f aca="false">M19*(1+CPI)</f>
        <v>95.094860293457</v>
      </c>
      <c r="O19" s="21" t="n">
        <f aca="false">N19*(1+CPI)</f>
        <v>97.4722318007934</v>
      </c>
      <c r="P19" s="21" t="n">
        <f aca="false">O19*(1+CPI)</f>
        <v>99.9090375958132</v>
      </c>
      <c r="Q19" s="21" t="n">
        <f aca="false">P19*(1+CPI)</f>
        <v>102.406763535709</v>
      </c>
      <c r="R19" s="21" t="n">
        <f aca="false">Q19*(1+CPI)</f>
        <v>104.966932624101</v>
      </c>
      <c r="S19" s="21" t="n">
        <f aca="false">R19*(1+CPI)</f>
        <v>107.591105939704</v>
      </c>
      <c r="T19" s="21" t="n">
        <f aca="false">S19*(1+CPI)</f>
        <v>110.280883588196</v>
      </c>
      <c r="U19" s="21" t="n">
        <f aca="false">T19*(1+CPI)</f>
        <v>113.037905677901</v>
      </c>
      <c r="V19" s="21" t="n">
        <f aca="false">U19*(1+CPI)</f>
        <v>115.863853319849</v>
      </c>
      <c r="W19" s="21" t="n">
        <f aca="false">V19*(1+CPI)</f>
        <v>118.760449652845</v>
      </c>
      <c r="X19" s="21" t="n">
        <f aca="false">W19*(1+CPI)</f>
        <v>121.729460894166</v>
      </c>
      <c r="Y19" s="21" t="n">
        <f aca="false">X19*(1+CPI)</f>
        <v>124.77269741652</v>
      </c>
      <c r="Z19" s="21" t="n">
        <f aca="false">Y19*(1+CPI)</f>
        <v>127.892014851933</v>
      </c>
      <c r="AA19" s="21" t="n">
        <f aca="false">Z19*(1+CPI)</f>
        <v>131.089315223232</v>
      </c>
      <c r="AB19" s="21" t="n">
        <f aca="false">AA19*(1+CPI)</f>
        <v>134.366548103812</v>
      </c>
      <c r="AC19" s="21" t="n">
        <f aca="false">AB19*(1+CPI)</f>
        <v>137.725711806408</v>
      </c>
      <c r="AD19" s="21" t="n">
        <f aca="false">AC19*(1+CPI)</f>
        <v>141.168854601568</v>
      </c>
      <c r="AE19" s="21" t="n">
        <f aca="false">AD19*(1+CPI)</f>
        <v>144.698075966607</v>
      </c>
      <c r="AF19" s="21" t="n">
        <f aca="false">AE19*(1+CPI)</f>
        <v>148.315527865772</v>
      </c>
      <c r="AG19" s="21" t="n">
        <f aca="false">AF19*(1+CPI)</f>
        <v>152.023416062416</v>
      </c>
      <c r="AH19" s="21" t="n">
        <f aca="false">AG19*(1+CPI)</f>
        <v>155.824001463977</v>
      </c>
      <c r="AI19" s="21" t="n">
        <f aca="false">AH19*(1+CPI)</f>
        <v>159.719601500576</v>
      </c>
      <c r="AJ19" s="21" t="n">
        <f aca="false">AI19*(1+CPI)</f>
        <v>163.712591538091</v>
      </c>
    </row>
    <row r="20" customFormat="false" ht="15" hidden="false" customHeight="false" outlineLevel="0" collapsed="false">
      <c r="A20" s="6"/>
      <c r="B20" s="11" t="s">
        <v>235</v>
      </c>
      <c r="C20" s="21" t="n">
        <v>0</v>
      </c>
      <c r="D20" s="21" t="n">
        <v>0</v>
      </c>
      <c r="E20" s="21" t="n">
        <v>0</v>
      </c>
      <c r="F20" s="21" t="n">
        <v>0</v>
      </c>
      <c r="G20" s="21" t="n">
        <f aca="false">Traffic!G22*G19</f>
        <v>7544444.44444445</v>
      </c>
      <c r="H20" s="21" t="n">
        <f aca="false">Traffic!H22*H19</f>
        <v>7892500</v>
      </c>
      <c r="I20" s="21" t="n">
        <f aca="false">Traffic!I22*I19</f>
        <v>8171527.77777778</v>
      </c>
      <c r="J20" s="21" t="n">
        <f aca="false">Traffic!J22*J19</f>
        <v>8585211.37152778</v>
      </c>
      <c r="K20" s="21" t="n">
        <f aca="false">Traffic!K22*K19</f>
        <v>9019837.69721137</v>
      </c>
      <c r="L20" s="21" t="n">
        <f aca="false">Traffic!L22*L19</f>
        <v>9476466.98063269</v>
      </c>
      <c r="M20" s="21" t="n">
        <f aca="false">Traffic!M22*M19</f>
        <v>9956213.12152722</v>
      </c>
      <c r="N20" s="21" t="n">
        <f aca="false">Traffic!N22*N19</f>
        <v>10460246.4108045</v>
      </c>
      <c r="O20" s="21" t="n">
        <f aca="false">Traffic!O22*O19</f>
        <v>10989796.3853515</v>
      </c>
      <c r="P20" s="21" t="n">
        <f aca="false">Traffic!P22*P19</f>
        <v>11546154.8273599</v>
      </c>
      <c r="Q20" s="21" t="n">
        <f aca="false">Traffic!Q22*Q19</f>
        <v>12130678.915495</v>
      </c>
      <c r="R20" s="21" t="n">
        <f aca="false">Traffic!R22*R19</f>
        <v>12744794.535592</v>
      </c>
      <c r="S20" s="21" t="n">
        <f aca="false">Traffic!S22*S19</f>
        <v>13389999.7589563</v>
      </c>
      <c r="T20" s="21" t="n">
        <f aca="false">Traffic!T22*T19</f>
        <v>14067868.4967535</v>
      </c>
      <c r="U20" s="21" t="n">
        <f aca="false">Traffic!U22*U19</f>
        <v>14780054.3394016</v>
      </c>
      <c r="V20" s="21" t="n">
        <f aca="false">Traffic!V22*V19</f>
        <v>15528294.5903338</v>
      </c>
      <c r="W20" s="21" t="n">
        <f aca="false">Traffic!W22*W19</f>
        <v>16314414.5039694</v>
      </c>
      <c r="X20" s="21" t="n">
        <f aca="false">Traffic!X22*X19</f>
        <v>16906869.5686342</v>
      </c>
      <c r="Y20" s="21" t="n">
        <f aca="false">Traffic!Y22*Y19</f>
        <v>17329541.30785</v>
      </c>
      <c r="Z20" s="21" t="n">
        <f aca="false">Traffic!Z22*Z19</f>
        <v>17762779.8405463</v>
      </c>
      <c r="AA20" s="21" t="n">
        <f aca="false">Traffic!AA22*AA19</f>
        <v>18206849.3365599</v>
      </c>
      <c r="AB20" s="21" t="n">
        <f aca="false">Traffic!AB22*AB19</f>
        <v>18662020.5699739</v>
      </c>
      <c r="AC20" s="21" t="n">
        <f aca="false">Traffic!AC22*AC19</f>
        <v>19128571.0842233</v>
      </c>
      <c r="AD20" s="21" t="n">
        <f aca="false">Traffic!AD22*AD19</f>
        <v>19606785.3613289</v>
      </c>
      <c r="AE20" s="21" t="n">
        <f aca="false">Traffic!AE22*AE19</f>
        <v>20096954.9953621</v>
      </c>
      <c r="AF20" s="21" t="n">
        <f aca="false">Traffic!AF22*AF19</f>
        <v>20599378.8702461</v>
      </c>
      <c r="AG20" s="21" t="n">
        <f aca="false">Traffic!AG22*AG19</f>
        <v>21114363.3420023</v>
      </c>
      <c r="AH20" s="21" t="n">
        <f aca="false">Traffic!AH22*AH19</f>
        <v>21642222.4255523</v>
      </c>
      <c r="AI20" s="21" t="n">
        <f aca="false">Traffic!AI22*AI19</f>
        <v>22183277.9861911</v>
      </c>
      <c r="AJ20" s="21" t="n">
        <f aca="false">Traffic!AJ22*AJ19</f>
        <v>22737859.9358459</v>
      </c>
    </row>
    <row r="21" customFormat="false" ht="15" hidden="false" customHeight="false" outlineLevel="0" collapsed="false">
      <c r="A21" s="6"/>
      <c r="B21" s="28" t="s">
        <v>236</v>
      </c>
      <c r="C21" s="29" t="n">
        <v>0</v>
      </c>
      <c r="D21" s="29" t="n">
        <v>0</v>
      </c>
      <c r="E21" s="29" t="n">
        <v>0</v>
      </c>
      <c r="F21" s="29" t="n">
        <v>0</v>
      </c>
      <c r="G21" s="29" t="n">
        <f aca="false">G18+G20</f>
        <v>31988444.4444444</v>
      </c>
      <c r="H21" s="29" t="n">
        <f aca="false">H18+H20</f>
        <v>33464200</v>
      </c>
      <c r="I21" s="29" t="n">
        <f aca="false">I18+I20</f>
        <v>34647277.7777778</v>
      </c>
      <c r="J21" s="29" t="n">
        <f aca="false">J18+J20</f>
        <v>36401296.2152778</v>
      </c>
      <c r="K21" s="29" t="n">
        <f aca="false">K18+K20</f>
        <v>38244111.8361762</v>
      </c>
      <c r="L21" s="29" t="n">
        <f aca="false">L18+L20</f>
        <v>40180219.9978826</v>
      </c>
      <c r="M21" s="29" t="n">
        <f aca="false">M18+M20</f>
        <v>42214343.6352754</v>
      </c>
      <c r="N21" s="29" t="n">
        <f aca="false">N18+N20</f>
        <v>44351444.7818112</v>
      </c>
      <c r="O21" s="29" t="n">
        <f aca="false">O18+O20</f>
        <v>46596736.6738904</v>
      </c>
      <c r="P21" s="29" t="n">
        <f aca="false">P18+P20</f>
        <v>48955696.4680061</v>
      </c>
      <c r="Q21" s="29" t="n">
        <f aca="false">Q18+Q20</f>
        <v>51434078.6016989</v>
      </c>
      <c r="R21" s="29" t="n">
        <f aca="false">R18+R20</f>
        <v>54037928.8309099</v>
      </c>
      <c r="S21" s="29" t="n">
        <f aca="false">S18+S20</f>
        <v>56773598.9779747</v>
      </c>
      <c r="T21" s="29" t="n">
        <f aca="false">T18+T20</f>
        <v>59647762.4262346</v>
      </c>
      <c r="U21" s="29" t="n">
        <f aca="false">U18+U20</f>
        <v>62667430.3990628</v>
      </c>
      <c r="V21" s="29" t="n">
        <f aca="false">V18+V20</f>
        <v>65839969.0630153</v>
      </c>
      <c r="W21" s="29" t="n">
        <f aca="false">W18+W20</f>
        <v>69173117.4968304</v>
      </c>
      <c r="X21" s="29" t="n">
        <f aca="false">X18+X20</f>
        <v>71685126.9710089</v>
      </c>
      <c r="Y21" s="29" t="n">
        <f aca="false">Y18+Y20</f>
        <v>73477255.1452841</v>
      </c>
      <c r="Z21" s="29" t="n">
        <f aca="false">Z18+Z20</f>
        <v>75314186.5239162</v>
      </c>
      <c r="AA21" s="29" t="n">
        <f aca="false">AA18+AA20</f>
        <v>77197041.1870141</v>
      </c>
      <c r="AB21" s="29" t="n">
        <f aca="false">AB18+AB20</f>
        <v>79126967.2166895</v>
      </c>
      <c r="AC21" s="29" t="n">
        <f aca="false">AC18+AC20</f>
        <v>81105141.3971067</v>
      </c>
      <c r="AD21" s="29" t="n">
        <f aca="false">AD18+AD20</f>
        <v>83132769.9320344</v>
      </c>
      <c r="AE21" s="29" t="n">
        <f aca="false">AE18+AE20</f>
        <v>85211089.1803352</v>
      </c>
      <c r="AF21" s="29" t="n">
        <f aca="false">AF18+AF20</f>
        <v>87341366.4098436</v>
      </c>
      <c r="AG21" s="29" t="n">
        <f aca="false">AG18+AG20</f>
        <v>89524900.5700897</v>
      </c>
      <c r="AH21" s="29" t="n">
        <f aca="false">AH18+AH20</f>
        <v>91763023.0843419</v>
      </c>
      <c r="AI21" s="29" t="n">
        <f aca="false">AI18+AI20</f>
        <v>94057098.6614505</v>
      </c>
      <c r="AJ21" s="29" t="n">
        <f aca="false">AJ18+AJ20</f>
        <v>96408526.1279867</v>
      </c>
    </row>
    <row r="22" customFormat="false" ht="15" hidden="false" customHeight="false" outlineLevel="0" collapsed="false">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customFormat="false" ht="15" hidden="false" customHeight="false" outlineLevel="0" collapsed="false">
      <c r="A23" s="6"/>
      <c r="B23" s="8" t="s">
        <v>237</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row>
    <row r="24" customFormat="false" ht="15" hidden="false" customHeight="false" outlineLevel="0" collapsed="false">
      <c r="A24" s="6"/>
      <c r="B24" s="11" t="s">
        <v>111</v>
      </c>
      <c r="C24" s="21" t="n">
        <v>0</v>
      </c>
      <c r="D24" s="21" t="n">
        <v>0</v>
      </c>
      <c r="E24" s="21" t="n">
        <v>0</v>
      </c>
      <c r="F24" s="21" t="n">
        <v>0</v>
      </c>
      <c r="G24" s="21" t="n">
        <f aca="false">Revenue!G18*Airline_RouteIncent_Pct</f>
        <v>12232562.2222222</v>
      </c>
      <c r="H24" s="21" t="n">
        <f aca="false">Revenue!H18*Airline_RouteIncent_Pct</f>
        <v>12744654.384</v>
      </c>
      <c r="I24" s="21" t="n">
        <f aca="false">Revenue!I18*Airline_RouteIncent_Pct</f>
        <v>13141762.75328</v>
      </c>
      <c r="J24" s="21" t="n">
        <f aca="false">Revenue!J18*Airline_RouteIncent_Pct</f>
        <v>13751572.0547364</v>
      </c>
      <c r="K24" s="21" t="n">
        <f aca="false">Revenue!K18*Airline_RouteIncent_Pct</f>
        <v>14390163.2156877</v>
      </c>
      <c r="L24" s="21" t="n">
        <f aca="false">Revenue!L18*Airline_RouteIncent_Pct</f>
        <v>15058936.2337688</v>
      </c>
      <c r="M24" s="21" t="n">
        <f aca="false">Revenue!M18*Airline_RouteIncent_Pct</f>
        <v>15759362.7022456</v>
      </c>
      <c r="N24" s="21" t="n">
        <f aca="false">Revenue!N18*Airline_RouteIncent_Pct</f>
        <v>16492989.7570727</v>
      </c>
      <c r="O24" s="21" t="n">
        <f aca="false">Revenue!O18*Airline_RouteIncent_Pct</f>
        <v>17261444.2637441</v>
      </c>
      <c r="P24" s="21" t="n">
        <f aca="false">Revenue!P18*Airline_RouteIncent_Pct</f>
        <v>18066437.2601073</v>
      </c>
      <c r="Q24" s="21" t="n">
        <f aca="false">Revenue!Q18*Airline_RouteIncent_Pct</f>
        <v>18909768.672501</v>
      </c>
      <c r="R24" s="21" t="n">
        <f aca="false">Revenue!R18*Airline_RouteIncent_Pct</f>
        <v>19793332.3238681</v>
      </c>
      <c r="S24" s="21" t="n">
        <f aca="false">Revenue!S18*Airline_RouteIncent_Pct</f>
        <v>20719121.2538879</v>
      </c>
      <c r="T24" s="21" t="n">
        <f aca="false">Revenue!T18*Airline_RouteIncent_Pct</f>
        <v>21689233.3726703</v>
      </c>
      <c r="U24" s="21" t="n">
        <f aca="false">Revenue!U18*Airline_RouteIncent_Pct</f>
        <v>22705877.4711803</v>
      </c>
      <c r="V24" s="21" t="n">
        <f aca="false">Revenue!V18*Airline_RouteIncent_Pct</f>
        <v>23771379.6133109</v>
      </c>
      <c r="W24" s="21" t="n">
        <f aca="false">Revenue!W18*Airline_RouteIncent_Pct</f>
        <v>24888189.9364135</v>
      </c>
      <c r="X24" s="21" t="n">
        <f aca="false">Revenue!X18*Airline_RouteIncent_Pct</f>
        <v>25703951.3113054</v>
      </c>
      <c r="Y24" s="21" t="n">
        <f aca="false">Revenue!Y18*Airline_RouteIncent_Pct</f>
        <v>26258092.3121889</v>
      </c>
      <c r="Z24" s="21" t="n">
        <f aca="false">Revenue!Z18*Airline_RouteIncent_Pct</f>
        <v>26825751.9011493</v>
      </c>
      <c r="AA24" s="21" t="n">
        <f aca="false">Revenue!AA18*Airline_RouteIncent_Pct</f>
        <v>27407348.544646</v>
      </c>
      <c r="AB24" s="21" t="n">
        <f aca="false">Revenue!AB18*Airline_RouteIncent_Pct</f>
        <v>28003318.0826254</v>
      </c>
      <c r="AC24" s="21" t="n">
        <f aca="false">Revenue!AC18*Airline_RouteIncent_Pct</f>
        <v>28614114.6234433</v>
      </c>
      <c r="AD24" s="21" t="n">
        <f aca="false">Revenue!AD18*Airline_RouteIncent_Pct</f>
        <v>29240211.4899709</v>
      </c>
      <c r="AE24" s="21" t="n">
        <f aca="false">Revenue!AE18*Airline_RouteIncent_Pct</f>
        <v>29882102.2199317</v>
      </c>
      <c r="AF24" s="21" t="n">
        <f aca="false">Revenue!AF18*Airline_RouteIncent_Pct</f>
        <v>30540301.6237016</v>
      </c>
      <c r="AG24" s="21" t="n">
        <f aca="false">Revenue!AG18*Airline_RouteIncent_Pct</f>
        <v>31215346.9029966</v>
      </c>
      <c r="AH24" s="21" t="n">
        <f aca="false">Revenue!AH18*Airline_RouteIncent_Pct</f>
        <v>31907798.8340843</v>
      </c>
      <c r="AI24" s="21" t="n">
        <f aca="false">Revenue!AI18*Airline_RouteIncent_Pct</f>
        <v>32618243.0193698</v>
      </c>
      <c r="AJ24" s="21" t="n">
        <f aca="false">Revenue!AJ18*Airline_RouteIncent_Pct</f>
        <v>33347291.2114441</v>
      </c>
    </row>
    <row r="25" customFormat="false" ht="15" hidden="false" customHeight="false" outlineLevel="0" collapsed="false">
      <c r="A25" s="6"/>
      <c r="B25" s="11" t="s">
        <v>238</v>
      </c>
      <c r="C25" s="21" t="n">
        <v>0</v>
      </c>
      <c r="D25" s="21" t="n">
        <v>0</v>
      </c>
      <c r="E25" s="21" t="n">
        <v>0</v>
      </c>
      <c r="F25" s="21" t="n">
        <v>0</v>
      </c>
      <c r="G25" s="21" t="n">
        <f aca="false">Revenue!G30*Concession_Pct</f>
        <v>21141042.2222222</v>
      </c>
      <c r="H25" s="21" t="n">
        <f aca="false">Revenue!H30*Concession_Pct</f>
        <v>22109579.184</v>
      </c>
      <c r="I25" s="21" t="n">
        <f aca="false">Revenue!I30*Concession_Pct</f>
        <v>22885068.35328</v>
      </c>
      <c r="J25" s="21" t="n">
        <f aca="false">Revenue!J30*Concession_Pct</f>
        <v>24038066.9419364</v>
      </c>
      <c r="K25" s="21" t="n">
        <f aca="false">Revenue!K30*Concession_Pct</f>
        <v>25250130.1928491</v>
      </c>
      <c r="L25" s="21" t="n">
        <f aca="false">Revenue!L30*Concession_Pct</f>
        <v>26524346.3699069</v>
      </c>
      <c r="M25" s="21" t="n">
        <f aca="false">Revenue!M30*Concession_Pct</f>
        <v>27863969.4534735</v>
      </c>
      <c r="N25" s="21" t="n">
        <f aca="false">Revenue!N30*Concession_Pct</f>
        <v>29272428.3346815</v>
      </c>
      <c r="O25" s="21" t="n">
        <f aca="false">Revenue!O30*Concession_Pct</f>
        <v>30753336.5420545</v>
      </c>
      <c r="P25" s="21" t="n">
        <f aca="false">Revenue!P30*Concession_Pct</f>
        <v>32310502.5329336</v>
      </c>
      <c r="Q25" s="21" t="n">
        <f aca="false">Revenue!Q30*Concession_Pct</f>
        <v>33947940.5842873</v>
      </c>
      <c r="R25" s="21" t="n">
        <f aca="false">Revenue!R30*Concession_Pct</f>
        <v>35669882.3197366</v>
      </c>
      <c r="S25" s="21" t="n">
        <f aca="false">Revenue!S30*Concession_Pct</f>
        <v>37480788.912026</v>
      </c>
      <c r="T25" s="21" t="n">
        <f aca="false">Revenue!T30*Concession_Pct</f>
        <v>39385364.0027496</v>
      </c>
      <c r="U25" s="21" t="n">
        <f aca="false">Revenue!U30*Concession_Pct</f>
        <v>41388567.3838865</v>
      </c>
      <c r="V25" s="21" t="n">
        <f aca="false">Revenue!V30*Concession_Pct</f>
        <v>43495629.4886505</v>
      </c>
      <c r="W25" s="21" t="n">
        <f aca="false">Revenue!W30*Concession_Pct</f>
        <v>45712066.7423033</v>
      </c>
      <c r="X25" s="21" t="n">
        <f aca="false">Revenue!X30*Concession_Pct</f>
        <v>47389312.2467108</v>
      </c>
      <c r="Y25" s="21" t="n">
        <f aca="false">Revenue!Y30*Concession_Pct</f>
        <v>48594014.0756565</v>
      </c>
      <c r="Z25" s="21" t="n">
        <f aca="false">Revenue!Z30*Concession_Pct</f>
        <v>49831751.3175208</v>
      </c>
      <c r="AA25" s="21" t="n">
        <f aca="false">Revenue!AA30*Concession_Pct</f>
        <v>51103527.9435087</v>
      </c>
      <c r="AB25" s="21" t="n">
        <f aca="false">Revenue!AB30*Concession_Pct</f>
        <v>52410382.8634541</v>
      </c>
      <c r="AC25" s="21" t="n">
        <f aca="false">Revenue!AC30*Concession_Pct</f>
        <v>53753391.3476968</v>
      </c>
      <c r="AD25" s="21" t="n">
        <f aca="false">Revenue!AD30*Concession_Pct</f>
        <v>55133666.5159519</v>
      </c>
      <c r="AE25" s="21" t="n">
        <f aca="false">Revenue!AE30*Concession_Pct</f>
        <v>56552360.8966922</v>
      </c>
      <c r="AF25" s="21" t="n">
        <f aca="false">Revenue!AF30*Concession_Pct</f>
        <v>58010668.0607649</v>
      </c>
      <c r="AG25" s="21" t="n">
        <f aca="false">Revenue!AG30*Concession_Pct</f>
        <v>59509824.3331718</v>
      </c>
      <c r="AH25" s="21" t="n">
        <f aca="false">Revenue!AH30*Concession_Pct</f>
        <v>61051110.5871647</v>
      </c>
      <c r="AI25" s="21" t="n">
        <f aca="false">Revenue!AI30*Concession_Pct</f>
        <v>62635854.1250427</v>
      </c>
      <c r="AJ25" s="21" t="n">
        <f aca="false">Revenue!AJ30*Concession_Pct</f>
        <v>64265430.6502871</v>
      </c>
    </row>
    <row r="26" customFormat="false" ht="15" hidden="false" customHeight="false" outlineLevel="0" collapsed="false">
      <c r="A26" s="6"/>
      <c r="B26" s="32" t="s">
        <v>239</v>
      </c>
      <c r="C26" s="33" t="n">
        <v>0</v>
      </c>
      <c r="D26" s="33" t="n">
        <v>0</v>
      </c>
      <c r="E26" s="33" t="n">
        <v>0</v>
      </c>
      <c r="F26" s="33" t="n">
        <v>0</v>
      </c>
      <c r="G26" s="33" t="n">
        <f aca="false">G14+G21+G24+G25</f>
        <v>233362048.888889</v>
      </c>
      <c r="H26" s="33" t="n">
        <f aca="false">H14+H21+H24+H25</f>
        <v>240518433.568</v>
      </c>
      <c r="I26" s="33" t="n">
        <f aca="false">I14+I21+I24+I25</f>
        <v>247179108.884338</v>
      </c>
      <c r="J26" s="33" t="n">
        <f aca="false">J14+J21+J24+J25</f>
        <v>255108560.211951</v>
      </c>
      <c r="K26" s="33" t="n">
        <f aca="false">K14+K21+K24+K25</f>
        <v>263324970.869713</v>
      </c>
      <c r="L26" s="33" t="n">
        <f aca="false">L14+L21+L24+L25</f>
        <v>271840082.367183</v>
      </c>
      <c r="M26" s="33" t="n">
        <f aca="false">M14+M21+M24+M25</f>
        <v>280666170.05076</v>
      </c>
      <c r="N26" s="33" t="n">
        <f aca="false">N14+N21+N24+N25</f>
        <v>289816069.489825</v>
      </c>
      <c r="O26" s="33" t="n">
        <f aca="false">O14+O21+O24+O25</f>
        <v>299303204.261355</v>
      </c>
      <c r="P26" s="33" t="n">
        <f aca="false">P14+P21+P24+P25</f>
        <v>309141615.212255</v>
      </c>
      <c r="Q26" s="33" t="n">
        <f aca="false">Q14+Q21+Q24+Q25</f>
        <v>319345991.283475</v>
      </c>
      <c r="R26" s="33" t="n">
        <f aca="false">R14+R21+R24+R25</f>
        <v>329931701.985127</v>
      </c>
      <c r="S26" s="33" t="n">
        <f aca="false">S14+S21+S24+S25</f>
        <v>340914831.617267</v>
      </c>
      <c r="T26" s="33" t="n">
        <f aca="false">T14+T21+T24+T25</f>
        <v>352312215.336867</v>
      </c>
      <c r="U26" s="33" t="n">
        <f aca="false">U14+U21+U24+U25</f>
        <v>364141477.177722</v>
      </c>
      <c r="V26" s="33" t="n">
        <f aca="false">V14+V21+V24+V25</f>
        <v>376421070.136659</v>
      </c>
      <c r="W26" s="33" t="n">
        <f aca="false">W14+W21+W24+W25</f>
        <v>389170318.446522</v>
      </c>
      <c r="X26" s="33" t="n">
        <f aca="false">X14+X21+X24+X25</f>
        <v>400410258.406774</v>
      </c>
      <c r="Y26" s="33" t="n">
        <f aca="false">Y14+Y21+Y24+Y25</f>
        <v>410352026.107822</v>
      </c>
      <c r="Z26" s="33" t="n">
        <f aca="false">Z14+Z21+Z24+Z25</f>
        <v>420544920.931646</v>
      </c>
      <c r="AA26" s="33" t="n">
        <f aca="false">AA14+AA21+AA24+AA25</f>
        <v>430995479.643955</v>
      </c>
      <c r="AB26" s="33" t="n">
        <f aca="false">AB14+AB21+AB24+AB25</f>
        <v>441710419.180775</v>
      </c>
      <c r="AC26" s="33" t="n">
        <f aca="false">AC14+AC21+AC24+AC25</f>
        <v>452696642.161703</v>
      </c>
      <c r="AD26" s="33" t="n">
        <f aca="false">AD14+AD21+AD24+AD25</f>
        <v>463961242.60125</v>
      </c>
      <c r="AE26" s="33" t="n">
        <f aca="false">AE14+AE21+AE24+AE25</f>
        <v>475511511.826834</v>
      </c>
      <c r="AF26" s="33" t="n">
        <f aca="false">AF14+AF21+AF24+AF25</f>
        <v>487354944.612432</v>
      </c>
      <c r="AG26" s="33" t="n">
        <f aca="false">AG14+AG21+AG24+AG25</f>
        <v>499499245.537333</v>
      </c>
      <c r="AH26" s="33" t="n">
        <f aca="false">AH14+AH21+AH24+AH25</f>
        <v>511952335.579942</v>
      </c>
      <c r="AI26" s="33" t="n">
        <f aca="false">AI14+AI21+AI24+AI25</f>
        <v>524722358.957073</v>
      </c>
      <c r="AJ26" s="33" t="n">
        <f aca="false">AJ14+AJ21+AJ24+AJ25</f>
        <v>537817690.219708</v>
      </c>
    </row>
    <row r="27" customFormat="false" ht="15" hidden="false" customHeight="fals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row>
    <row r="28" customFormat="false" ht="15" hidden="false" customHeight="false" outlineLevel="0" collapsed="false">
      <c r="A28" s="6"/>
      <c r="B28" s="8" t="s">
        <v>240</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row>
    <row r="29" customFormat="false" ht="15" hidden="false" customHeight="false" outlineLevel="0" collapsed="false">
      <c r="A29" s="6"/>
      <c r="B29" s="11" t="s">
        <v>221</v>
      </c>
      <c r="C29" s="21" t="n">
        <v>0</v>
      </c>
      <c r="D29" s="21" t="n">
        <v>0</v>
      </c>
      <c r="E29" s="21" t="n">
        <v>0</v>
      </c>
      <c r="F29" s="21" t="n">
        <v>0</v>
      </c>
      <c r="G29" s="21" t="n">
        <f aca="false">Revenue!G30</f>
        <v>528526055.555556</v>
      </c>
      <c r="H29" s="21" t="n">
        <f aca="false">Revenue!H30</f>
        <v>552739479.6</v>
      </c>
      <c r="I29" s="21" t="n">
        <f aca="false">Revenue!I30</f>
        <v>572126708.832</v>
      </c>
      <c r="J29" s="21" t="n">
        <f aca="false">Revenue!J30</f>
        <v>600951673.54841</v>
      </c>
      <c r="K29" s="21" t="n">
        <f aca="false">Revenue!K30</f>
        <v>631253254.821228</v>
      </c>
      <c r="L29" s="21" t="n">
        <f aca="false">Revenue!L30</f>
        <v>663108659.247673</v>
      </c>
      <c r="M29" s="21" t="n">
        <f aca="false">Revenue!M30</f>
        <v>696599236.336837</v>
      </c>
      <c r="N29" s="21" t="n">
        <f aca="false">Revenue!N30</f>
        <v>731810708.367037</v>
      </c>
      <c r="O29" s="21" t="n">
        <f aca="false">Revenue!O30</f>
        <v>768833413.551363</v>
      </c>
      <c r="P29" s="21" t="n">
        <f aca="false">Revenue!P30</f>
        <v>807762563.323339</v>
      </c>
      <c r="Q29" s="21" t="n">
        <f aca="false">Revenue!Q30</f>
        <v>848698514.607183</v>
      </c>
      <c r="R29" s="21" t="n">
        <f aca="false">Revenue!R30</f>
        <v>891747057.993414</v>
      </c>
      <c r="S29" s="21" t="n">
        <f aca="false">Revenue!S30</f>
        <v>937019722.800651</v>
      </c>
      <c r="T29" s="21" t="n">
        <f aca="false">Revenue!T30</f>
        <v>984634100.068739</v>
      </c>
      <c r="U29" s="21" t="n">
        <f aca="false">Revenue!U30</f>
        <v>1034714184.59716</v>
      </c>
      <c r="V29" s="21" t="n">
        <f aca="false">Revenue!V30</f>
        <v>1087390737.21626</v>
      </c>
      <c r="W29" s="21" t="n">
        <f aca="false">Revenue!W30</f>
        <v>1142801668.55758</v>
      </c>
      <c r="X29" s="21" t="n">
        <f aca="false">Revenue!X30</f>
        <v>1184732806.16777</v>
      </c>
      <c r="Y29" s="21" t="n">
        <f aca="false">Revenue!Y30</f>
        <v>1214850351.89141</v>
      </c>
      <c r="Z29" s="21" t="n">
        <f aca="false">Revenue!Z30</f>
        <v>1245793782.93802</v>
      </c>
      <c r="AA29" s="21" t="n">
        <f aca="false">Revenue!AA30</f>
        <v>1277588198.58772</v>
      </c>
      <c r="AB29" s="21" t="n">
        <f aca="false">Revenue!AB30</f>
        <v>1310259571.58635</v>
      </c>
      <c r="AC29" s="21" t="n">
        <f aca="false">Revenue!AC30</f>
        <v>1343834783.69242</v>
      </c>
      <c r="AD29" s="21" t="n">
        <f aca="false">Revenue!AD30</f>
        <v>1378341662.8988</v>
      </c>
      <c r="AE29" s="21" t="n">
        <f aca="false">Revenue!AE30</f>
        <v>1413809022.41731</v>
      </c>
      <c r="AF29" s="21" t="n">
        <f aca="false">Revenue!AF30</f>
        <v>1450266701.51912</v>
      </c>
      <c r="AG29" s="21" t="n">
        <f aca="false">Revenue!AG30</f>
        <v>1487745608.3293</v>
      </c>
      <c r="AH29" s="21" t="n">
        <f aca="false">Revenue!AH30</f>
        <v>1526277764.67912</v>
      </c>
      <c r="AI29" s="21" t="n">
        <f aca="false">Revenue!AI30</f>
        <v>1565896353.12607</v>
      </c>
      <c r="AJ29" s="21" t="n">
        <f aca="false">Revenue!AJ30</f>
        <v>1606635766.25718</v>
      </c>
    </row>
    <row r="30" customFormat="false" ht="15" hidden="false" customHeight="false" outlineLevel="0" collapsed="false">
      <c r="A30" s="6"/>
      <c r="B30" s="11" t="s">
        <v>241</v>
      </c>
      <c r="C30" s="21" t="n">
        <v>0</v>
      </c>
      <c r="D30" s="21" t="n">
        <v>0</v>
      </c>
      <c r="E30" s="21" t="n">
        <v>0</v>
      </c>
      <c r="F30" s="21" t="n">
        <v>0</v>
      </c>
      <c r="G30" s="21" t="n">
        <f aca="false">-G26</f>
        <v>-233362048.888889</v>
      </c>
      <c r="H30" s="21" t="n">
        <f aca="false">-H26</f>
        <v>-240518433.568</v>
      </c>
      <c r="I30" s="21" t="n">
        <f aca="false">-I26</f>
        <v>-247179108.884338</v>
      </c>
      <c r="J30" s="21" t="n">
        <f aca="false">-J26</f>
        <v>-255108560.211951</v>
      </c>
      <c r="K30" s="21" t="n">
        <f aca="false">-K26</f>
        <v>-263324970.869713</v>
      </c>
      <c r="L30" s="21" t="n">
        <f aca="false">-L26</f>
        <v>-271840082.367183</v>
      </c>
      <c r="M30" s="21" t="n">
        <f aca="false">-M26</f>
        <v>-280666170.05076</v>
      </c>
      <c r="N30" s="21" t="n">
        <f aca="false">-N26</f>
        <v>-289816069.489825</v>
      </c>
      <c r="O30" s="21" t="n">
        <f aca="false">-O26</f>
        <v>-299303204.261355</v>
      </c>
      <c r="P30" s="21" t="n">
        <f aca="false">-P26</f>
        <v>-309141615.212255</v>
      </c>
      <c r="Q30" s="21" t="n">
        <f aca="false">-Q26</f>
        <v>-319345991.283475</v>
      </c>
      <c r="R30" s="21" t="n">
        <f aca="false">-R26</f>
        <v>-329931701.985127</v>
      </c>
      <c r="S30" s="21" t="n">
        <f aca="false">-S26</f>
        <v>-340914831.617267</v>
      </c>
      <c r="T30" s="21" t="n">
        <f aca="false">-T26</f>
        <v>-352312215.336867</v>
      </c>
      <c r="U30" s="21" t="n">
        <f aca="false">-U26</f>
        <v>-364141477.177722</v>
      </c>
      <c r="V30" s="21" t="n">
        <f aca="false">-V26</f>
        <v>-376421070.136659</v>
      </c>
      <c r="W30" s="21" t="n">
        <f aca="false">-W26</f>
        <v>-389170318.446522</v>
      </c>
      <c r="X30" s="21" t="n">
        <f aca="false">-X26</f>
        <v>-400410258.406774</v>
      </c>
      <c r="Y30" s="21" t="n">
        <f aca="false">-Y26</f>
        <v>-410352026.107822</v>
      </c>
      <c r="Z30" s="21" t="n">
        <f aca="false">-Z26</f>
        <v>-420544920.931646</v>
      </c>
      <c r="AA30" s="21" t="n">
        <f aca="false">-AA26</f>
        <v>-430995479.643955</v>
      </c>
      <c r="AB30" s="21" t="n">
        <f aca="false">-AB26</f>
        <v>-441710419.180775</v>
      </c>
      <c r="AC30" s="21" t="n">
        <f aca="false">-AC26</f>
        <v>-452696642.161703</v>
      </c>
      <c r="AD30" s="21" t="n">
        <f aca="false">-AD26</f>
        <v>-463961242.60125</v>
      </c>
      <c r="AE30" s="21" t="n">
        <f aca="false">-AE26</f>
        <v>-475511511.826834</v>
      </c>
      <c r="AF30" s="21" t="n">
        <f aca="false">-AF26</f>
        <v>-487354944.612432</v>
      </c>
      <c r="AG30" s="21" t="n">
        <f aca="false">-AG26</f>
        <v>-499499245.537333</v>
      </c>
      <c r="AH30" s="21" t="n">
        <f aca="false">-AH26</f>
        <v>-511952335.579942</v>
      </c>
      <c r="AI30" s="21" t="n">
        <f aca="false">-AI26</f>
        <v>-524722358.957073</v>
      </c>
      <c r="AJ30" s="21" t="n">
        <f aca="false">-AJ26</f>
        <v>-537817690.219708</v>
      </c>
    </row>
    <row r="31" customFormat="false" ht="15" hidden="false" customHeight="false" outlineLevel="0" collapsed="false">
      <c r="A31" s="6"/>
      <c r="B31" s="32" t="s">
        <v>242</v>
      </c>
      <c r="C31" s="33" t="n">
        <v>0</v>
      </c>
      <c r="D31" s="33" t="n">
        <v>0</v>
      </c>
      <c r="E31" s="33" t="n">
        <v>0</v>
      </c>
      <c r="F31" s="33" t="n">
        <v>0</v>
      </c>
      <c r="G31" s="33" t="n">
        <f aca="false">G29+G30</f>
        <v>295164006.666667</v>
      </c>
      <c r="H31" s="33" t="n">
        <f aca="false">H29+H30</f>
        <v>312221046.032</v>
      </c>
      <c r="I31" s="33" t="n">
        <f aca="false">I29+I30</f>
        <v>324947599.947662</v>
      </c>
      <c r="J31" s="33" t="n">
        <f aca="false">J29+J30</f>
        <v>345843113.33646</v>
      </c>
      <c r="K31" s="33" t="n">
        <f aca="false">K29+K30</f>
        <v>367928283.951515</v>
      </c>
      <c r="L31" s="33" t="n">
        <f aca="false">L29+L30</f>
        <v>391268576.88049</v>
      </c>
      <c r="M31" s="33" t="n">
        <f aca="false">M29+M30</f>
        <v>415933066.286077</v>
      </c>
      <c r="N31" s="33" t="n">
        <f aca="false">N29+N30</f>
        <v>441994638.877212</v>
      </c>
      <c r="O31" s="33" t="n">
        <f aca="false">O29+O30</f>
        <v>469530209.290008</v>
      </c>
      <c r="P31" s="33" t="n">
        <f aca="false">P29+P30</f>
        <v>498620948.111084</v>
      </c>
      <c r="Q31" s="33" t="n">
        <f aca="false">Q29+Q30</f>
        <v>529352523.323708</v>
      </c>
      <c r="R31" s="33" t="n">
        <f aca="false">R29+R30</f>
        <v>561815356.008287</v>
      </c>
      <c r="S31" s="33" t="n">
        <f aca="false">S29+S30</f>
        <v>596104891.183384</v>
      </c>
      <c r="T31" s="33" t="n">
        <f aca="false">T29+T30</f>
        <v>632321884.731873</v>
      </c>
      <c r="U31" s="33" t="n">
        <f aca="false">U29+U30</f>
        <v>670572707.419441</v>
      </c>
      <c r="V31" s="33" t="n">
        <f aca="false">V29+V30</f>
        <v>710969667.079602</v>
      </c>
      <c r="W31" s="33" t="n">
        <f aca="false">W29+W30</f>
        <v>753631350.111061</v>
      </c>
      <c r="X31" s="33" t="n">
        <f aca="false">X29+X30</f>
        <v>784322547.760996</v>
      </c>
      <c r="Y31" s="33" t="n">
        <f aca="false">Y29+Y30</f>
        <v>804498325.78359</v>
      </c>
      <c r="Z31" s="33" t="n">
        <f aca="false">Z29+Z30</f>
        <v>825248862.006375</v>
      </c>
      <c r="AA31" s="33" t="n">
        <f aca="false">AA29+AA30</f>
        <v>846592718.943763</v>
      </c>
      <c r="AB31" s="33" t="n">
        <f aca="false">AB29+AB30</f>
        <v>868549152.405577</v>
      </c>
      <c r="AC31" s="33" t="n">
        <f aca="false">AC29+AC30</f>
        <v>891138141.530718</v>
      </c>
      <c r="AD31" s="33" t="n">
        <f aca="false">AD29+AD30</f>
        <v>914380420.297549</v>
      </c>
      <c r="AE31" s="33" t="n">
        <f aca="false">AE29+AE30</f>
        <v>938297510.590471</v>
      </c>
      <c r="AF31" s="33" t="n">
        <f aca="false">AF29+AF30</f>
        <v>962911756.906691</v>
      </c>
      <c r="AG31" s="33" t="n">
        <f aca="false">AG29+AG30</f>
        <v>988246362.791963</v>
      </c>
      <c r="AH31" s="33" t="n">
        <f aca="false">AH29+AH30</f>
        <v>1014325429.09918</v>
      </c>
      <c r="AI31" s="33" t="n">
        <f aca="false">AI29+AI30</f>
        <v>1041173994.16899</v>
      </c>
      <c r="AJ31" s="33" t="n">
        <f aca="false">AJ29+AJ30</f>
        <v>1068818076.03747</v>
      </c>
    </row>
    <row r="32" customFormat="false" ht="15" hidden="false" customHeight="false" outlineLevel="0" collapsed="false">
      <c r="A32" s="6"/>
      <c r="B32" s="11" t="s">
        <v>243</v>
      </c>
      <c r="C32" s="23" t="n">
        <v>0</v>
      </c>
      <c r="D32" s="23" t="n">
        <v>0</v>
      </c>
      <c r="E32" s="23" t="n">
        <v>0</v>
      </c>
      <c r="F32" s="23" t="n">
        <v>0</v>
      </c>
      <c r="G32" s="23" t="n">
        <f aca="false">IFERROR(G31/G29,0)</f>
        <v>0.558466330210358</v>
      </c>
      <c r="H32" s="23" t="n">
        <f aca="false">IFERROR(H31/H29,0)</f>
        <v>0.564861128171891</v>
      </c>
      <c r="I32" s="23" t="n">
        <f aca="false">IFERROR(I31/I29,0)</f>
        <v>0.567964394829678</v>
      </c>
      <c r="J32" s="23" t="n">
        <f aca="false">IFERROR(J31/J29,0)</f>
        <v>0.575492387423396</v>
      </c>
      <c r="K32" s="23" t="n">
        <f aca="false">IFERROR(K31/K29,0)</f>
        <v>0.582853682165509</v>
      </c>
      <c r="L32" s="23" t="n">
        <f aca="false">IFERROR(L31/L29,0)</f>
        <v>0.59005197930065</v>
      </c>
      <c r="M32" s="23" t="n">
        <f aca="false">IFERROR(M31/M29,0)</f>
        <v>0.597090901898369</v>
      </c>
      <c r="N32" s="23" t="n">
        <f aca="false">IFERROR(N31/N29,0)</f>
        <v>0.60397399740635</v>
      </c>
      <c r="O32" s="23" t="n">
        <f aca="false">IFERROR(O31/O29,0)</f>
        <v>0.610704739172526</v>
      </c>
      <c r="P32" s="23" t="n">
        <f aca="false">IFERROR(P31/P29,0)</f>
        <v>0.617286527936665</v>
      </c>
      <c r="Q32" s="23" t="n">
        <f aca="false">IFERROR(Q31/Q29,0)</f>
        <v>0.623722693291995</v>
      </c>
      <c r="R32" s="23" t="n">
        <f aca="false">IFERROR(R31/R29,0)</f>
        <v>0.630016495117426</v>
      </c>
      <c r="S32" s="23" t="n">
        <f aca="false">IFERROR(S31/S29,0)</f>
        <v>0.636171124980903</v>
      </c>
      <c r="T32" s="23" t="n">
        <f aca="false">IFERROR(T31/T29,0)</f>
        <v>0.642189707514425</v>
      </c>
      <c r="U32" s="23" t="n">
        <f aca="false">IFERROR(U31/U29,0)</f>
        <v>0.648075301761239</v>
      </c>
      <c r="V32" s="23" t="n">
        <f aca="false">IFERROR(V31/V29,0)</f>
        <v>0.653830902495727</v>
      </c>
      <c r="W32" s="23" t="n">
        <f aca="false">IFERROR(W31/W29,0)</f>
        <v>0.659459441516459</v>
      </c>
      <c r="X32" s="23" t="n">
        <f aca="false">IFERROR(X31/X29,0)</f>
        <v>0.662024841109978</v>
      </c>
      <c r="Y32" s="23" t="n">
        <f aca="false">IFERROR(Y31/Y29,0)</f>
        <v>0.662220103514033</v>
      </c>
      <c r="Z32" s="23" t="n">
        <f aca="false">IFERROR(Z31/Z29,0)</f>
        <v>0.662428142850534</v>
      </c>
      <c r="AA32" s="23" t="n">
        <f aca="false">IFERROR(AA31/AA29,0)</f>
        <v>0.662649138337072</v>
      </c>
      <c r="AB32" s="23" t="n">
        <f aca="false">IFERROR(AB31/AB29,0)</f>
        <v>0.662883272322911</v>
      </c>
      <c r="AC32" s="23" t="n">
        <f aca="false">IFERROR(AC31/AC29,0)</f>
        <v>0.663130730313558</v>
      </c>
      <c r="AD32" s="23" t="n">
        <f aca="false">IFERROR(AD31/AD29,0)</f>
        <v>0.663391700991255</v>
      </c>
      <c r="AE32" s="23" t="n">
        <f aca="false">IFERROR(AE31/AE29,0)</f>
        <v>0.663666376231061</v>
      </c>
      <c r="AF32" s="23" t="n">
        <f aca="false">IFERROR(AF31/AF29,0)</f>
        <v>0.663954951112138</v>
      </c>
      <c r="AG32" s="23" t="n">
        <f aca="false">IFERROR(AG31/AG29,0)</f>
        <v>0.664257623923852</v>
      </c>
      <c r="AH32" s="23" t="n">
        <f aca="false">IFERROR(AH31/AH29,0)</f>
        <v>0.664574596166266</v>
      </c>
      <c r="AI32" s="23" t="n">
        <f aca="false">IFERROR(AI31/AI29,0)</f>
        <v>0.664906072544618</v>
      </c>
      <c r="AJ32" s="23" t="n">
        <f aca="false">IFERROR(AJ31/AJ29,0)</f>
        <v>0.665252260957311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J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244</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245</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34" t="s">
        <v>246</v>
      </c>
      <c r="C8" s="35" t="s">
        <v>247</v>
      </c>
      <c r="D8" s="35" t="s">
        <v>248</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row>
    <row r="9" customFormat="false" ht="15" hidden="false" customHeight="false" outlineLevel="0" collapsed="false">
      <c r="A9" s="6"/>
      <c r="B9" s="36" t="s">
        <v>249</v>
      </c>
      <c r="C9" s="23" t="n">
        <f aca="false">Capex_Pct_Terminal</f>
        <v>0.4</v>
      </c>
      <c r="D9" s="21" t="n">
        <f aca="false">Capex_Total*Capex_Pct_Terminal</f>
        <v>1120000000</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row>
    <row r="10" customFormat="false" ht="15" hidden="false" customHeight="false" outlineLevel="0" collapsed="false">
      <c r="A10" s="6"/>
      <c r="B10" s="36" t="s">
        <v>250</v>
      </c>
      <c r="C10" s="23" t="n">
        <f aca="false">Capex_Pct_Runway</f>
        <v>0.25</v>
      </c>
      <c r="D10" s="21" t="n">
        <f aca="false">Capex_Total*Capex_Pct_Runway</f>
        <v>700000000</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customFormat="false" ht="15" hidden="false" customHeight="false" outlineLevel="0" collapsed="false">
      <c r="A11" s="6"/>
      <c r="B11" s="36" t="s">
        <v>251</v>
      </c>
      <c r="C11" s="23" t="n">
        <f aca="false">Capex_Pct_Baggage</f>
        <v>0.05</v>
      </c>
      <c r="D11" s="21" t="n">
        <f aca="false">Capex_Total*Capex_Pct_Baggage</f>
        <v>140000000</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customFormat="false" ht="15" hidden="false" customHeight="false" outlineLevel="0" collapsed="false">
      <c r="A12" s="6"/>
      <c r="B12" s="36" t="s">
        <v>252</v>
      </c>
      <c r="C12" s="23" t="n">
        <f aca="false">Capex_Pct_Ground</f>
        <v>0.1</v>
      </c>
      <c r="D12" s="21" t="n">
        <f aca="false">Capex_Total*Capex_Pct_Ground</f>
        <v>280000000</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customFormat="false" ht="15" hidden="false" customHeight="false" outlineLevel="0" collapsed="false">
      <c r="A13" s="6"/>
      <c r="B13" s="36" t="s">
        <v>253</v>
      </c>
      <c r="C13" s="23" t="n">
        <f aca="false">Capex_Pct_Utilities</f>
        <v>0.1</v>
      </c>
      <c r="D13" s="21" t="n">
        <f aca="false">Capex_Total*Capex_Pct_Utilities</f>
        <v>280000000</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customFormat="false" ht="15" hidden="false" customHeight="false" outlineLevel="0" collapsed="false">
      <c r="A14" s="6"/>
      <c r="B14" s="36" t="s">
        <v>254</v>
      </c>
      <c r="C14" s="23" t="n">
        <f aca="false">Capex_Pct_FitOut</f>
        <v>0.1</v>
      </c>
      <c r="D14" s="21" t="n">
        <f aca="false">Capex_Total*Capex_Pct_FitOut</f>
        <v>280000000</v>
      </c>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customFormat="false" ht="15" hidden="false" customHeight="false" outlineLevel="0" collapsed="false">
      <c r="A15" s="6"/>
      <c r="B15" s="37" t="s">
        <v>255</v>
      </c>
      <c r="C15" s="38" t="n">
        <f aca="false">SUM(C9:C14)</f>
        <v>1</v>
      </c>
      <c r="D15" s="33" t="n">
        <f aca="false">SUM(D9:D14)</f>
        <v>2800000000</v>
      </c>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row>
    <row r="16" customFormat="false" ht="15" hidden="false" customHeight="false" outlineLevel="0" collapsed="false">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row>
    <row r="17" customFormat="false" ht="15" hidden="false" customHeight="false" outlineLevel="0" collapsed="false">
      <c r="A17" s="6"/>
      <c r="B17" s="8" t="s">
        <v>256</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row>
    <row r="18" customFormat="false" ht="15" hidden="false" customHeight="false" outlineLevel="0" collapsed="false">
      <c r="A18" s="6"/>
      <c r="B18" s="11" t="s">
        <v>257</v>
      </c>
      <c r="C18" s="21" t="n">
        <f aca="false">Capex_Total*Capex_Y1_Pct</f>
        <v>420000000</v>
      </c>
      <c r="D18" s="21" t="n">
        <f aca="false">Capex_Total*Capex_Y2_Pct</f>
        <v>840000000</v>
      </c>
      <c r="E18" s="21" t="n">
        <f aca="false">Capex_Total*Capex_Y3_Pct</f>
        <v>980000000</v>
      </c>
      <c r="F18" s="21" t="n">
        <f aca="false">Capex_Total*Capex_Y4_Pct</f>
        <v>560000000</v>
      </c>
      <c r="G18" s="21" t="n">
        <v>0</v>
      </c>
      <c r="H18" s="21" t="n">
        <v>0</v>
      </c>
      <c r="I18" s="21" t="n">
        <v>0</v>
      </c>
      <c r="J18" s="21" t="n">
        <v>0</v>
      </c>
      <c r="K18" s="21" t="n">
        <v>0</v>
      </c>
      <c r="L18" s="21" t="n">
        <v>0</v>
      </c>
      <c r="M18" s="21" t="n">
        <v>0</v>
      </c>
      <c r="N18" s="21" t="n">
        <v>0</v>
      </c>
      <c r="O18" s="21" t="n">
        <v>0</v>
      </c>
      <c r="P18" s="21" t="n">
        <v>0</v>
      </c>
      <c r="Q18" s="21" t="n">
        <v>0</v>
      </c>
      <c r="R18" s="21" t="n">
        <v>0</v>
      </c>
      <c r="S18" s="21" t="n">
        <v>0</v>
      </c>
      <c r="T18" s="21" t="n">
        <v>0</v>
      </c>
      <c r="U18" s="21" t="n">
        <v>0</v>
      </c>
      <c r="V18" s="21" t="n">
        <v>0</v>
      </c>
      <c r="W18" s="21" t="n">
        <v>0</v>
      </c>
      <c r="X18" s="21" t="n">
        <v>0</v>
      </c>
      <c r="Y18" s="21" t="n">
        <v>0</v>
      </c>
      <c r="Z18" s="21" t="n">
        <v>0</v>
      </c>
      <c r="AA18" s="21" t="n">
        <v>0</v>
      </c>
      <c r="AB18" s="21" t="n">
        <v>0</v>
      </c>
      <c r="AC18" s="21" t="n">
        <v>0</v>
      </c>
      <c r="AD18" s="21" t="n">
        <v>0</v>
      </c>
      <c r="AE18" s="21" t="n">
        <v>0</v>
      </c>
      <c r="AF18" s="21" t="n">
        <v>0</v>
      </c>
      <c r="AG18" s="21" t="n">
        <v>0</v>
      </c>
      <c r="AH18" s="21" t="n">
        <v>0</v>
      </c>
      <c r="AI18" s="21" t="n">
        <v>0</v>
      </c>
      <c r="AJ18" s="21" t="n">
        <v>0</v>
      </c>
    </row>
    <row r="19" customFormat="false" ht="15" hidden="false" customHeight="false" outlineLevel="0" collapsed="false">
      <c r="A19" s="6"/>
      <c r="B19" s="11" t="s">
        <v>258</v>
      </c>
      <c r="C19" s="21" t="n">
        <f aca="false">C18</f>
        <v>420000000</v>
      </c>
      <c r="D19" s="21" t="n">
        <f aca="false">C19+D18</f>
        <v>1260000000</v>
      </c>
      <c r="E19" s="21" t="n">
        <f aca="false">D19+E18</f>
        <v>2240000000</v>
      </c>
      <c r="F19" s="21" t="n">
        <f aca="false">E19+F18</f>
        <v>2800000000</v>
      </c>
      <c r="G19" s="21" t="n">
        <f aca="false">F19</f>
        <v>2800000000</v>
      </c>
      <c r="H19" s="21" t="n">
        <f aca="false">F19</f>
        <v>2800000000</v>
      </c>
      <c r="I19" s="21" t="n">
        <f aca="false">F19</f>
        <v>2800000000</v>
      </c>
      <c r="J19" s="21" t="n">
        <f aca="false">F19</f>
        <v>2800000000</v>
      </c>
      <c r="K19" s="21" t="n">
        <f aca="false">F19</f>
        <v>2800000000</v>
      </c>
      <c r="L19" s="21" t="n">
        <f aca="false">F19</f>
        <v>2800000000</v>
      </c>
      <c r="M19" s="21" t="n">
        <f aca="false">F19</f>
        <v>2800000000</v>
      </c>
      <c r="N19" s="21" t="n">
        <f aca="false">F19</f>
        <v>2800000000</v>
      </c>
      <c r="O19" s="21" t="n">
        <f aca="false">F19</f>
        <v>2800000000</v>
      </c>
      <c r="P19" s="21" t="n">
        <f aca="false">F19</f>
        <v>2800000000</v>
      </c>
      <c r="Q19" s="21" t="n">
        <f aca="false">F19</f>
        <v>2800000000</v>
      </c>
      <c r="R19" s="21" t="n">
        <f aca="false">F19</f>
        <v>2800000000</v>
      </c>
      <c r="S19" s="21" t="n">
        <f aca="false">F19</f>
        <v>2800000000</v>
      </c>
      <c r="T19" s="21" t="n">
        <f aca="false">F19</f>
        <v>2800000000</v>
      </c>
      <c r="U19" s="21" t="n">
        <f aca="false">F19</f>
        <v>2800000000</v>
      </c>
      <c r="V19" s="21" t="n">
        <f aca="false">F19</f>
        <v>2800000000</v>
      </c>
      <c r="W19" s="21" t="n">
        <f aca="false">F19</f>
        <v>2800000000</v>
      </c>
      <c r="X19" s="21" t="n">
        <f aca="false">F19</f>
        <v>2800000000</v>
      </c>
      <c r="Y19" s="21" t="n">
        <f aca="false">F19</f>
        <v>2800000000</v>
      </c>
      <c r="Z19" s="21" t="n">
        <f aca="false">F19</f>
        <v>2800000000</v>
      </c>
      <c r="AA19" s="21" t="n">
        <f aca="false">F19</f>
        <v>2800000000</v>
      </c>
      <c r="AB19" s="21" t="n">
        <f aca="false">F19</f>
        <v>2800000000</v>
      </c>
      <c r="AC19" s="21" t="n">
        <f aca="false">F19</f>
        <v>2800000000</v>
      </c>
      <c r="AD19" s="21" t="n">
        <f aca="false">F19</f>
        <v>2800000000</v>
      </c>
      <c r="AE19" s="21" t="n">
        <f aca="false">F19</f>
        <v>2800000000</v>
      </c>
      <c r="AF19" s="21" t="n">
        <f aca="false">F19</f>
        <v>2800000000</v>
      </c>
      <c r="AG19" s="21" t="n">
        <f aca="false">F19</f>
        <v>2800000000</v>
      </c>
      <c r="AH19" s="21" t="n">
        <f aca="false">F19</f>
        <v>2800000000</v>
      </c>
      <c r="AI19" s="21" t="n">
        <f aca="false">F19</f>
        <v>2800000000</v>
      </c>
      <c r="AJ19" s="21" t="n">
        <f aca="false">F19</f>
        <v>2800000000</v>
      </c>
    </row>
    <row r="20" customFormat="false" ht="15" hidden="false" customHeight="false" outlineLevel="0" collapsed="false">
      <c r="A20" s="6"/>
      <c r="B20" s="11" t="s">
        <v>259</v>
      </c>
      <c r="C20" s="21" t="n">
        <f aca="false">C18*Gearing*0.5</f>
        <v>157500000</v>
      </c>
      <c r="D20" s="21" t="n">
        <f aca="false">C19*Gearing+D18*Gearing*0.5</f>
        <v>630000000</v>
      </c>
      <c r="E20" s="21" t="n">
        <f aca="false">D19*Gearing+E18*Gearing*0.5</f>
        <v>1312500000</v>
      </c>
      <c r="F20" s="21" t="n">
        <f aca="false">E19*Gearing+F18*Gearing*0.5</f>
        <v>1890000000</v>
      </c>
      <c r="G20" s="21" t="n">
        <v>0</v>
      </c>
      <c r="H20" s="21" t="n">
        <v>0</v>
      </c>
      <c r="I20" s="21" t="n">
        <v>0</v>
      </c>
      <c r="J20" s="21" t="n">
        <v>0</v>
      </c>
      <c r="K20" s="21" t="n">
        <v>0</v>
      </c>
      <c r="L20" s="21" t="n">
        <v>0</v>
      </c>
      <c r="M20" s="21" t="n">
        <v>0</v>
      </c>
      <c r="N20" s="21" t="n">
        <v>0</v>
      </c>
      <c r="O20" s="21" t="n">
        <v>0</v>
      </c>
      <c r="P20" s="21" t="n">
        <v>0</v>
      </c>
      <c r="Q20" s="21" t="n">
        <v>0</v>
      </c>
      <c r="R20" s="21" t="n">
        <v>0</v>
      </c>
      <c r="S20" s="21" t="n">
        <v>0</v>
      </c>
      <c r="T20" s="21" t="n">
        <v>0</v>
      </c>
      <c r="U20" s="21" t="n">
        <v>0</v>
      </c>
      <c r="V20" s="21" t="n">
        <v>0</v>
      </c>
      <c r="W20" s="21" t="n">
        <v>0</v>
      </c>
      <c r="X20" s="21" t="n">
        <v>0</v>
      </c>
      <c r="Y20" s="21" t="n">
        <v>0</v>
      </c>
      <c r="Z20" s="21" t="n">
        <v>0</v>
      </c>
      <c r="AA20" s="21" t="n">
        <v>0</v>
      </c>
      <c r="AB20" s="21" t="n">
        <v>0</v>
      </c>
      <c r="AC20" s="21" t="n">
        <v>0</v>
      </c>
      <c r="AD20" s="21" t="n">
        <v>0</v>
      </c>
      <c r="AE20" s="21" t="n">
        <v>0</v>
      </c>
      <c r="AF20" s="21" t="n">
        <v>0</v>
      </c>
      <c r="AG20" s="21" t="n">
        <v>0</v>
      </c>
      <c r="AH20" s="21" t="n">
        <v>0</v>
      </c>
      <c r="AI20" s="21" t="n">
        <v>0</v>
      </c>
      <c r="AJ20" s="21" t="n">
        <v>0</v>
      </c>
    </row>
    <row r="21" customFormat="false" ht="15" hidden="false" customHeight="false" outlineLevel="0" collapsed="false">
      <c r="A21" s="6"/>
      <c r="B21" s="11" t="s">
        <v>260</v>
      </c>
      <c r="C21" s="21" t="n">
        <f aca="false">C20*All_In_Rate</f>
        <v>9843750</v>
      </c>
      <c r="D21" s="21" t="n">
        <f aca="false">D20*All_In_Rate</f>
        <v>39375000</v>
      </c>
      <c r="E21" s="21" t="n">
        <f aca="false">E20*All_In_Rate</f>
        <v>82031250</v>
      </c>
      <c r="F21" s="21" t="n">
        <f aca="false">F20*All_In_Rate</f>
        <v>118125000</v>
      </c>
      <c r="G21" s="21" t="n">
        <v>0</v>
      </c>
      <c r="H21" s="21" t="n">
        <v>0</v>
      </c>
      <c r="I21" s="21" t="n">
        <v>0</v>
      </c>
      <c r="J21" s="21" t="n">
        <v>0</v>
      </c>
      <c r="K21" s="21" t="n">
        <v>0</v>
      </c>
      <c r="L21" s="21" t="n">
        <v>0</v>
      </c>
      <c r="M21" s="21" t="n">
        <v>0</v>
      </c>
      <c r="N21" s="21" t="n">
        <v>0</v>
      </c>
      <c r="O21" s="21" t="n">
        <v>0</v>
      </c>
      <c r="P21" s="21" t="n">
        <v>0</v>
      </c>
      <c r="Q21" s="21" t="n">
        <v>0</v>
      </c>
      <c r="R21" s="21" t="n">
        <v>0</v>
      </c>
      <c r="S21" s="21" t="n">
        <v>0</v>
      </c>
      <c r="T21" s="21" t="n">
        <v>0</v>
      </c>
      <c r="U21" s="21" t="n">
        <v>0</v>
      </c>
      <c r="V21" s="21" t="n">
        <v>0</v>
      </c>
      <c r="W21" s="21" t="n">
        <v>0</v>
      </c>
      <c r="X21" s="21" t="n">
        <v>0</v>
      </c>
      <c r="Y21" s="21" t="n">
        <v>0</v>
      </c>
      <c r="Z21" s="21" t="n">
        <v>0</v>
      </c>
      <c r="AA21" s="21" t="n">
        <v>0</v>
      </c>
      <c r="AB21" s="21" t="n">
        <v>0</v>
      </c>
      <c r="AC21" s="21" t="n">
        <v>0</v>
      </c>
      <c r="AD21" s="21" t="n">
        <v>0</v>
      </c>
      <c r="AE21" s="21" t="n">
        <v>0</v>
      </c>
      <c r="AF21" s="21" t="n">
        <v>0</v>
      </c>
      <c r="AG21" s="21" t="n">
        <v>0</v>
      </c>
      <c r="AH21" s="21" t="n">
        <v>0</v>
      </c>
      <c r="AI21" s="21" t="n">
        <v>0</v>
      </c>
      <c r="AJ21" s="21" t="n">
        <v>0</v>
      </c>
    </row>
    <row r="22" customFormat="false" ht="15" hidden="false" customHeight="false" outlineLevel="0" collapsed="false">
      <c r="A22" s="6"/>
      <c r="B22" s="11" t="s">
        <v>261</v>
      </c>
      <c r="C22" s="21" t="n">
        <f aca="false">C21</f>
        <v>9843750</v>
      </c>
      <c r="D22" s="21" t="n">
        <f aca="false">C22+D21</f>
        <v>49218750</v>
      </c>
      <c r="E22" s="21" t="n">
        <f aca="false">D22+E21</f>
        <v>131250000</v>
      </c>
      <c r="F22" s="21" t="n">
        <f aca="false">E22+F21</f>
        <v>249375000</v>
      </c>
      <c r="G22" s="21" t="n">
        <f aca="false">F22</f>
        <v>249375000</v>
      </c>
      <c r="H22" s="21" t="n">
        <f aca="false">F22</f>
        <v>249375000</v>
      </c>
      <c r="I22" s="21" t="n">
        <f aca="false">F22</f>
        <v>249375000</v>
      </c>
      <c r="J22" s="21" t="n">
        <f aca="false">F22</f>
        <v>249375000</v>
      </c>
      <c r="K22" s="21" t="n">
        <f aca="false">F22</f>
        <v>249375000</v>
      </c>
      <c r="L22" s="21" t="n">
        <f aca="false">F22</f>
        <v>249375000</v>
      </c>
      <c r="M22" s="21" t="n">
        <f aca="false">F22</f>
        <v>249375000</v>
      </c>
      <c r="N22" s="21" t="n">
        <f aca="false">F22</f>
        <v>249375000</v>
      </c>
      <c r="O22" s="21" t="n">
        <f aca="false">F22</f>
        <v>249375000</v>
      </c>
      <c r="P22" s="21" t="n">
        <f aca="false">F22</f>
        <v>249375000</v>
      </c>
      <c r="Q22" s="21" t="n">
        <f aca="false">F22</f>
        <v>249375000</v>
      </c>
      <c r="R22" s="21" t="n">
        <f aca="false">F22</f>
        <v>249375000</v>
      </c>
      <c r="S22" s="21" t="n">
        <f aca="false">F22</f>
        <v>249375000</v>
      </c>
      <c r="T22" s="21" t="n">
        <f aca="false">F22</f>
        <v>249375000</v>
      </c>
      <c r="U22" s="21" t="n">
        <f aca="false">F22</f>
        <v>249375000</v>
      </c>
      <c r="V22" s="21" t="n">
        <f aca="false">F22</f>
        <v>249375000</v>
      </c>
      <c r="W22" s="21" t="n">
        <f aca="false">F22</f>
        <v>249375000</v>
      </c>
      <c r="X22" s="21" t="n">
        <f aca="false">F22</f>
        <v>249375000</v>
      </c>
      <c r="Y22" s="21" t="n">
        <f aca="false">F22</f>
        <v>249375000</v>
      </c>
      <c r="Z22" s="21" t="n">
        <f aca="false">F22</f>
        <v>249375000</v>
      </c>
      <c r="AA22" s="21" t="n">
        <f aca="false">F22</f>
        <v>249375000</v>
      </c>
      <c r="AB22" s="21" t="n">
        <f aca="false">F22</f>
        <v>249375000</v>
      </c>
      <c r="AC22" s="21" t="n">
        <f aca="false">F22</f>
        <v>249375000</v>
      </c>
      <c r="AD22" s="21" t="n">
        <f aca="false">F22</f>
        <v>249375000</v>
      </c>
      <c r="AE22" s="21" t="n">
        <f aca="false">F22</f>
        <v>249375000</v>
      </c>
      <c r="AF22" s="21" t="n">
        <f aca="false">F22</f>
        <v>249375000</v>
      </c>
      <c r="AG22" s="21" t="n">
        <f aca="false">F22</f>
        <v>249375000</v>
      </c>
      <c r="AH22" s="21" t="n">
        <f aca="false">F22</f>
        <v>249375000</v>
      </c>
      <c r="AI22" s="21" t="n">
        <f aca="false">F22</f>
        <v>249375000</v>
      </c>
      <c r="AJ22" s="21" t="n">
        <f aca="false">F22</f>
        <v>249375000</v>
      </c>
    </row>
    <row r="23" customFormat="false" ht="15" hidden="false" customHeight="false" outlineLevel="0" collapsed="false">
      <c r="A23" s="6"/>
      <c r="B23" s="28" t="s">
        <v>262</v>
      </c>
      <c r="C23" s="29" t="n">
        <f aca="false">C19+C22</f>
        <v>429843750</v>
      </c>
      <c r="D23" s="29" t="n">
        <f aca="false">D19+D22</f>
        <v>1309218750</v>
      </c>
      <c r="E23" s="29" t="n">
        <f aca="false">E19+E22</f>
        <v>2371250000</v>
      </c>
      <c r="F23" s="29" t="n">
        <f aca="false">F19+F22</f>
        <v>3049375000</v>
      </c>
      <c r="G23" s="29" t="n">
        <f aca="false">F23</f>
        <v>3049375000</v>
      </c>
      <c r="H23" s="29" t="n">
        <f aca="false">F23</f>
        <v>3049375000</v>
      </c>
      <c r="I23" s="29" t="n">
        <f aca="false">F23</f>
        <v>3049375000</v>
      </c>
      <c r="J23" s="29" t="n">
        <f aca="false">F23</f>
        <v>3049375000</v>
      </c>
      <c r="K23" s="29" t="n">
        <f aca="false">F23</f>
        <v>3049375000</v>
      </c>
      <c r="L23" s="29" t="n">
        <f aca="false">F23</f>
        <v>3049375000</v>
      </c>
      <c r="M23" s="29" t="n">
        <f aca="false">F23</f>
        <v>3049375000</v>
      </c>
      <c r="N23" s="29" t="n">
        <f aca="false">F23</f>
        <v>3049375000</v>
      </c>
      <c r="O23" s="29" t="n">
        <f aca="false">F23</f>
        <v>3049375000</v>
      </c>
      <c r="P23" s="29" t="n">
        <f aca="false">F23</f>
        <v>3049375000</v>
      </c>
      <c r="Q23" s="29" t="n">
        <f aca="false">F23</f>
        <v>3049375000</v>
      </c>
      <c r="R23" s="29" t="n">
        <f aca="false">F23</f>
        <v>3049375000</v>
      </c>
      <c r="S23" s="29" t="n">
        <f aca="false">F23</f>
        <v>3049375000</v>
      </c>
      <c r="T23" s="29" t="n">
        <f aca="false">F23</f>
        <v>3049375000</v>
      </c>
      <c r="U23" s="29" t="n">
        <f aca="false">F23</f>
        <v>3049375000</v>
      </c>
      <c r="V23" s="29" t="n">
        <f aca="false">F23</f>
        <v>3049375000</v>
      </c>
      <c r="W23" s="29" t="n">
        <f aca="false">F23</f>
        <v>3049375000</v>
      </c>
      <c r="X23" s="29" t="n">
        <f aca="false">F23</f>
        <v>3049375000</v>
      </c>
      <c r="Y23" s="29" t="n">
        <f aca="false">F23</f>
        <v>3049375000</v>
      </c>
      <c r="Z23" s="29" t="n">
        <f aca="false">F23</f>
        <v>3049375000</v>
      </c>
      <c r="AA23" s="29" t="n">
        <f aca="false">F23</f>
        <v>3049375000</v>
      </c>
      <c r="AB23" s="29" t="n">
        <f aca="false">F23</f>
        <v>3049375000</v>
      </c>
      <c r="AC23" s="29" t="n">
        <f aca="false">F23</f>
        <v>3049375000</v>
      </c>
      <c r="AD23" s="29" t="n">
        <f aca="false">F23</f>
        <v>3049375000</v>
      </c>
      <c r="AE23" s="29" t="n">
        <f aca="false">F23</f>
        <v>3049375000</v>
      </c>
      <c r="AF23" s="29" t="n">
        <f aca="false">F23</f>
        <v>3049375000</v>
      </c>
      <c r="AG23" s="29" t="n">
        <f aca="false">F23</f>
        <v>3049375000</v>
      </c>
      <c r="AH23" s="29" t="n">
        <f aca="false">F23</f>
        <v>3049375000</v>
      </c>
      <c r="AI23" s="29" t="n">
        <f aca="false">F23</f>
        <v>3049375000</v>
      </c>
      <c r="AJ23" s="29" t="n">
        <f aca="false">F23</f>
        <v>3049375000</v>
      </c>
    </row>
    <row r="24" customFormat="false" ht="15" hidden="false" customHeight="fals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customFormat="false" ht="15" hidden="false" customHeight="false" outlineLevel="0" collapsed="false">
      <c r="A25" s="6"/>
      <c r="B25" s="8" t="s">
        <v>263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customFormat="false" ht="15" hidden="false" customHeight="false" outlineLevel="0" collapsed="false">
      <c r="A26" s="6"/>
      <c r="B26" s="11" t="s">
        <v>264</v>
      </c>
      <c r="C26" s="21" t="n">
        <v>0</v>
      </c>
      <c r="D26" s="21" t="n">
        <v>0</v>
      </c>
      <c r="E26" s="21" t="n">
        <v>0</v>
      </c>
      <c r="F26" s="21" t="n">
        <v>0</v>
      </c>
      <c r="G26" s="21" t="n">
        <f aca="false">G28*Maint_Capex_Pct</f>
        <v>45740625</v>
      </c>
      <c r="H26" s="21" t="n">
        <f aca="false">H28*Maint_Capex_Pct</f>
        <v>46426734.375</v>
      </c>
      <c r="I26" s="21" t="n">
        <f aca="false">I28*Maint_Capex_Pct</f>
        <v>47123135.390625</v>
      </c>
      <c r="J26" s="21" t="n">
        <f aca="false">J28*Maint_Capex_Pct</f>
        <v>47829982.4214844</v>
      </c>
      <c r="K26" s="21" t="n">
        <f aca="false">K28*Maint_Capex_Pct</f>
        <v>48547432.1578066</v>
      </c>
      <c r="L26" s="21" t="n">
        <f aca="false">L28*Maint_Capex_Pct</f>
        <v>49275643.6401737</v>
      </c>
      <c r="M26" s="21" t="n">
        <f aca="false">M28*Maint_Capex_Pct</f>
        <v>50014778.2947764</v>
      </c>
      <c r="N26" s="21" t="n">
        <f aca="false">N28*Maint_Capex_Pct</f>
        <v>50764999.969198</v>
      </c>
      <c r="O26" s="21" t="n">
        <f aca="false">O28*Maint_Capex_Pct</f>
        <v>51526474.968736</v>
      </c>
      <c r="P26" s="21" t="n">
        <f aca="false">P28*Maint_Capex_Pct</f>
        <v>52299372.093267</v>
      </c>
      <c r="Q26" s="21" t="n">
        <f aca="false">Q28*Maint_Capex_Pct</f>
        <v>53083862.674666</v>
      </c>
      <c r="R26" s="21" t="n">
        <f aca="false">R28*Maint_Capex_Pct</f>
        <v>53880120.614786</v>
      </c>
      <c r="S26" s="21" t="n">
        <f aca="false">S28*Maint_Capex_Pct</f>
        <v>54688322.4240078</v>
      </c>
      <c r="T26" s="21" t="n">
        <f aca="false">T28*Maint_Capex_Pct</f>
        <v>55508647.2603679</v>
      </c>
      <c r="U26" s="21" t="n">
        <f aca="false">U28*Maint_Capex_Pct</f>
        <v>56341276.9692734</v>
      </c>
      <c r="V26" s="21" t="n">
        <f aca="false">V28*Maint_Capex_Pct</f>
        <v>57186396.1238125</v>
      </c>
      <c r="W26" s="21" t="n">
        <f aca="false">W28*Maint_Capex_Pct</f>
        <v>58044192.0656697</v>
      </c>
      <c r="X26" s="21" t="n">
        <f aca="false">X28*Maint_Capex_Pct</f>
        <v>58914854.9466548</v>
      </c>
      <c r="Y26" s="21" t="n">
        <f aca="false">Y28*Maint_Capex_Pct</f>
        <v>59798577.7708546</v>
      </c>
      <c r="Z26" s="21" t="n">
        <f aca="false">Z28*Maint_Capex_Pct</f>
        <v>60695556.4374174</v>
      </c>
      <c r="AA26" s="21" t="n">
        <f aca="false">AA28*Maint_Capex_Pct</f>
        <v>61605989.7839787</v>
      </c>
      <c r="AB26" s="21" t="n">
        <f aca="false">AB28*Maint_Capex_Pct</f>
        <v>62530079.6307384</v>
      </c>
      <c r="AC26" s="21" t="n">
        <f aca="false">AC28*Maint_Capex_Pct</f>
        <v>63468030.8251994</v>
      </c>
      <c r="AD26" s="21" t="n">
        <f aca="false">AD28*Maint_Capex_Pct</f>
        <v>64420051.2875774</v>
      </c>
      <c r="AE26" s="21" t="n">
        <f aca="false">AE28*Maint_Capex_Pct</f>
        <v>65386352.0568911</v>
      </c>
      <c r="AF26" s="21" t="n">
        <f aca="false">AF28*Maint_Capex_Pct</f>
        <v>66367147.3377444</v>
      </c>
      <c r="AG26" s="21" t="n">
        <f aca="false">AG28*Maint_Capex_Pct</f>
        <v>67362654.5478106</v>
      </c>
      <c r="AH26" s="21" t="n">
        <f aca="false">AH28*Maint_Capex_Pct</f>
        <v>68373094.3660278</v>
      </c>
      <c r="AI26" s="21" t="n">
        <f aca="false">AI28*Maint_Capex_Pct</f>
        <v>69398690.7815182</v>
      </c>
      <c r="AJ26" s="21" t="n">
        <f aca="false">AJ28*Maint_Capex_Pct</f>
        <v>70439671.143241</v>
      </c>
    </row>
    <row r="27" customFormat="false" ht="15" hidden="false" customHeight="false" outlineLevel="0" collapsed="false">
      <c r="A27" s="6"/>
      <c r="B27" s="11" t="s">
        <v>265</v>
      </c>
      <c r="C27" s="21" t="n">
        <v>0</v>
      </c>
      <c r="D27" s="21" t="n">
        <v>0</v>
      </c>
      <c r="E27" s="21" t="n">
        <v>0</v>
      </c>
      <c r="F27" s="21" t="n">
        <v>0</v>
      </c>
      <c r="G27" s="21" t="n">
        <f aca="false">G26</f>
        <v>45740625</v>
      </c>
      <c r="H27" s="21" t="n">
        <f aca="false">G27+H26</f>
        <v>92167359.375</v>
      </c>
      <c r="I27" s="21" t="n">
        <f aca="false">H27+I26</f>
        <v>139290494.765625</v>
      </c>
      <c r="J27" s="21" t="n">
        <f aca="false">I27+J26</f>
        <v>187120477.187109</v>
      </c>
      <c r="K27" s="21" t="n">
        <f aca="false">J27+K26</f>
        <v>235667909.344916</v>
      </c>
      <c r="L27" s="21" t="n">
        <f aca="false">K27+L26</f>
        <v>284943552.98509</v>
      </c>
      <c r="M27" s="21" t="n">
        <f aca="false">L27+M26</f>
        <v>334958331.279866</v>
      </c>
      <c r="N27" s="21" t="n">
        <f aca="false">M27+N26</f>
        <v>385723331.249064</v>
      </c>
      <c r="O27" s="21" t="n">
        <f aca="false">N27+O26</f>
        <v>437249806.2178</v>
      </c>
      <c r="P27" s="21" t="n">
        <f aca="false">O27+P26</f>
        <v>489549178.311067</v>
      </c>
      <c r="Q27" s="21" t="n">
        <f aca="false">P27+Q26</f>
        <v>542633040.985733</v>
      </c>
      <c r="R27" s="21" t="n">
        <f aca="false">Q27+R26</f>
        <v>596513161.600519</v>
      </c>
      <c r="S27" s="21" t="n">
        <f aca="false">R27+S26</f>
        <v>651201484.024527</v>
      </c>
      <c r="T27" s="21" t="n">
        <f aca="false">S27+T26</f>
        <v>706710131.284895</v>
      </c>
      <c r="U27" s="21" t="n">
        <f aca="false">T27+U26</f>
        <v>763051408.254168</v>
      </c>
      <c r="V27" s="21" t="n">
        <f aca="false">U27+V26</f>
        <v>820237804.377981</v>
      </c>
      <c r="W27" s="21" t="n">
        <f aca="false">V27+W26</f>
        <v>878281996.443651</v>
      </c>
      <c r="X27" s="21" t="n">
        <f aca="false">W27+X26</f>
        <v>937196851.390305</v>
      </c>
      <c r="Y27" s="21" t="n">
        <f aca="false">X27+Y26</f>
        <v>996995429.16116</v>
      </c>
      <c r="Z27" s="21" t="n">
        <f aca="false">Y27+Z26</f>
        <v>1057690985.59858</v>
      </c>
      <c r="AA27" s="21" t="n">
        <f aca="false">Z27+AA26</f>
        <v>1119296975.38256</v>
      </c>
      <c r="AB27" s="21" t="n">
        <f aca="false">AA27+AB26</f>
        <v>1181827055.01329</v>
      </c>
      <c r="AC27" s="21" t="n">
        <f aca="false">AB27+AC26</f>
        <v>1245295085.83849</v>
      </c>
      <c r="AD27" s="21" t="n">
        <f aca="false">AC27+AD26</f>
        <v>1309715137.12607</v>
      </c>
      <c r="AE27" s="21" t="n">
        <f aca="false">AD27+AE26</f>
        <v>1375101489.18296</v>
      </c>
      <c r="AF27" s="21" t="n">
        <f aca="false">AE27+AF26</f>
        <v>1441468636.52071</v>
      </c>
      <c r="AG27" s="21" t="n">
        <f aca="false">AF27+AG26</f>
        <v>1508831291.06852</v>
      </c>
      <c r="AH27" s="21" t="n">
        <f aca="false">AG27+AH26</f>
        <v>1577204385.43454</v>
      </c>
      <c r="AI27" s="21" t="n">
        <f aca="false">AH27+AI26</f>
        <v>1646603076.21606</v>
      </c>
      <c r="AJ27" s="21" t="n">
        <f aca="false">AI27+AJ26</f>
        <v>1717042747.3593</v>
      </c>
    </row>
    <row r="28" customFormat="false" ht="15" hidden="false" customHeight="false" outlineLevel="0" collapsed="false">
      <c r="A28" s="6"/>
      <c r="B28" s="11" t="s">
        <v>266</v>
      </c>
      <c r="C28" s="21" t="n">
        <v>0</v>
      </c>
      <c r="D28" s="21" t="n">
        <f aca="false">C29</f>
        <v>420000000</v>
      </c>
      <c r="E28" s="21" t="n">
        <f aca="false">D29</f>
        <v>1260000000</v>
      </c>
      <c r="F28" s="21" t="n">
        <f aca="false">E29</f>
        <v>2240000000</v>
      </c>
      <c r="G28" s="21" t="n">
        <f aca="false">F29</f>
        <v>3049375000</v>
      </c>
      <c r="H28" s="21" t="n">
        <f aca="false">G29</f>
        <v>3095115625</v>
      </c>
      <c r="I28" s="21" t="n">
        <f aca="false">H29</f>
        <v>3141542359.375</v>
      </c>
      <c r="J28" s="21" t="n">
        <f aca="false">I29</f>
        <v>3188665494.76563</v>
      </c>
      <c r="K28" s="21" t="n">
        <f aca="false">J29</f>
        <v>3236495477.18711</v>
      </c>
      <c r="L28" s="21" t="n">
        <f aca="false">K29</f>
        <v>3285042909.34492</v>
      </c>
      <c r="M28" s="21" t="n">
        <f aca="false">L29</f>
        <v>3334318552.98509</v>
      </c>
      <c r="N28" s="21" t="n">
        <f aca="false">M29</f>
        <v>3384333331.27987</v>
      </c>
      <c r="O28" s="21" t="n">
        <f aca="false">N29</f>
        <v>3435098331.24907</v>
      </c>
      <c r="P28" s="21" t="n">
        <f aca="false">O29</f>
        <v>3486624806.2178</v>
      </c>
      <c r="Q28" s="21" t="n">
        <f aca="false">P29</f>
        <v>3538924178.31107</v>
      </c>
      <c r="R28" s="21" t="n">
        <f aca="false">Q29</f>
        <v>3592008040.98573</v>
      </c>
      <c r="S28" s="21" t="n">
        <f aca="false">R29</f>
        <v>3645888161.60052</v>
      </c>
      <c r="T28" s="21" t="n">
        <f aca="false">S29</f>
        <v>3700576484.02453</v>
      </c>
      <c r="U28" s="21" t="n">
        <f aca="false">T29</f>
        <v>3756085131.2849</v>
      </c>
      <c r="V28" s="21" t="n">
        <f aca="false">U29</f>
        <v>3812426408.25417</v>
      </c>
      <c r="W28" s="21" t="n">
        <f aca="false">V29</f>
        <v>3869612804.37798</v>
      </c>
      <c r="X28" s="21" t="n">
        <f aca="false">W29</f>
        <v>3927656996.44365</v>
      </c>
      <c r="Y28" s="21" t="n">
        <f aca="false">X29</f>
        <v>3986571851.39031</v>
      </c>
      <c r="Z28" s="21" t="n">
        <f aca="false">Y29</f>
        <v>4046370429.16116</v>
      </c>
      <c r="AA28" s="21" t="n">
        <f aca="false">Z29</f>
        <v>4107065985.59858</v>
      </c>
      <c r="AB28" s="21" t="n">
        <f aca="false">AA29</f>
        <v>4168671975.38256</v>
      </c>
      <c r="AC28" s="21" t="n">
        <f aca="false">AB29</f>
        <v>4231202055.0133</v>
      </c>
      <c r="AD28" s="21" t="n">
        <f aca="false">AC29</f>
        <v>4294670085.8385</v>
      </c>
      <c r="AE28" s="21" t="n">
        <f aca="false">AD29</f>
        <v>4359090137.12607</v>
      </c>
      <c r="AF28" s="21" t="n">
        <f aca="false">AE29</f>
        <v>4424476489.18296</v>
      </c>
      <c r="AG28" s="21" t="n">
        <f aca="false">AF29</f>
        <v>4490843636.52071</v>
      </c>
      <c r="AH28" s="21" t="n">
        <f aca="false">AG29</f>
        <v>4558206291.06852</v>
      </c>
      <c r="AI28" s="21" t="n">
        <f aca="false">AH29</f>
        <v>4626579385.43455</v>
      </c>
      <c r="AJ28" s="21" t="n">
        <f aca="false">AI29</f>
        <v>4695978076.21606</v>
      </c>
    </row>
    <row r="29" customFormat="false" ht="15" hidden="false" customHeight="false" outlineLevel="0" collapsed="false">
      <c r="A29" s="6"/>
      <c r="B29" s="28" t="s">
        <v>267</v>
      </c>
      <c r="C29" s="29" t="n">
        <f aca="false">C28+C18</f>
        <v>420000000</v>
      </c>
      <c r="D29" s="29" t="n">
        <f aca="false">D28+D18</f>
        <v>1260000000</v>
      </c>
      <c r="E29" s="29" t="n">
        <f aca="false">E28+E18</f>
        <v>2240000000</v>
      </c>
      <c r="F29" s="29" t="n">
        <f aca="false">F28+F18+F22</f>
        <v>3049375000</v>
      </c>
      <c r="G29" s="29" t="n">
        <f aca="false">G28+G26</f>
        <v>3095115625</v>
      </c>
      <c r="H29" s="29" t="n">
        <f aca="false">H28+H26</f>
        <v>3141542359.375</v>
      </c>
      <c r="I29" s="29" t="n">
        <f aca="false">I28+I26</f>
        <v>3188665494.76563</v>
      </c>
      <c r="J29" s="29" t="n">
        <f aca="false">J28+J26</f>
        <v>3236495477.18711</v>
      </c>
      <c r="K29" s="29" t="n">
        <f aca="false">K28+K26</f>
        <v>3285042909.34492</v>
      </c>
      <c r="L29" s="29" t="n">
        <f aca="false">L28+L26</f>
        <v>3334318552.98509</v>
      </c>
      <c r="M29" s="29" t="n">
        <f aca="false">M28+M26</f>
        <v>3384333331.27987</v>
      </c>
      <c r="N29" s="29" t="n">
        <f aca="false">N28+N26</f>
        <v>3435098331.24907</v>
      </c>
      <c r="O29" s="29" t="n">
        <f aca="false">O28+O26</f>
        <v>3486624806.2178</v>
      </c>
      <c r="P29" s="29" t="n">
        <f aca="false">P28+P26</f>
        <v>3538924178.31107</v>
      </c>
      <c r="Q29" s="29" t="n">
        <f aca="false">Q28+Q26</f>
        <v>3592008040.98573</v>
      </c>
      <c r="R29" s="29" t="n">
        <f aca="false">R28+R26</f>
        <v>3645888161.60052</v>
      </c>
      <c r="S29" s="29" t="n">
        <f aca="false">S28+S26</f>
        <v>3700576484.02453</v>
      </c>
      <c r="T29" s="29" t="n">
        <f aca="false">T28+T26</f>
        <v>3756085131.2849</v>
      </c>
      <c r="U29" s="29" t="n">
        <f aca="false">U28+U26</f>
        <v>3812426408.25417</v>
      </c>
      <c r="V29" s="29" t="n">
        <f aca="false">V28+V26</f>
        <v>3869612804.37798</v>
      </c>
      <c r="W29" s="29" t="n">
        <f aca="false">W28+W26</f>
        <v>3927656996.44365</v>
      </c>
      <c r="X29" s="29" t="n">
        <f aca="false">X28+X26</f>
        <v>3986571851.39031</v>
      </c>
      <c r="Y29" s="29" t="n">
        <f aca="false">Y28+Y26</f>
        <v>4046370429.16116</v>
      </c>
      <c r="Z29" s="29" t="n">
        <f aca="false">Z28+Z26</f>
        <v>4107065985.59858</v>
      </c>
      <c r="AA29" s="29" t="n">
        <f aca="false">AA28+AA26</f>
        <v>4168671975.38256</v>
      </c>
      <c r="AB29" s="29" t="n">
        <f aca="false">AB28+AB26</f>
        <v>4231202055.0133</v>
      </c>
      <c r="AC29" s="29" t="n">
        <f aca="false">AC28+AC26</f>
        <v>4294670085.8385</v>
      </c>
      <c r="AD29" s="29" t="n">
        <f aca="false">AD28+AD26</f>
        <v>4359090137.12607</v>
      </c>
      <c r="AE29" s="29" t="n">
        <f aca="false">AE28+AE26</f>
        <v>4424476489.18296</v>
      </c>
      <c r="AF29" s="29" t="n">
        <f aca="false">AF28+AF26</f>
        <v>4490843636.52071</v>
      </c>
      <c r="AG29" s="29" t="n">
        <f aca="false">AG28+AG26</f>
        <v>4558206291.06852</v>
      </c>
      <c r="AH29" s="29" t="n">
        <f aca="false">AH28+AH26</f>
        <v>4626579385.43455</v>
      </c>
      <c r="AI29" s="29" t="n">
        <f aca="false">AI28+AI26</f>
        <v>4695978076.21606</v>
      </c>
      <c r="AJ29" s="29" t="n">
        <f aca="false">AJ28+AJ26</f>
        <v>4766417747.35931</v>
      </c>
    </row>
    <row r="30" customFormat="false" ht="15" hidden="false" customHeight="false" outlineLevel="0" collapsed="false">
      <c r="A30" s="6"/>
      <c r="B30" s="11" t="s">
        <v>268</v>
      </c>
      <c r="C30" s="21" t="n">
        <v>0</v>
      </c>
      <c r="D30" s="21" t="n">
        <v>0</v>
      </c>
      <c r="E30" s="21" t="n">
        <v>0</v>
      </c>
      <c r="F30" s="21" t="n">
        <v>0</v>
      </c>
      <c r="G30" s="21" t="n">
        <f aca="false">G28/Depr_Life</f>
        <v>101645833.333333</v>
      </c>
      <c r="H30" s="21" t="n">
        <f aca="false">H28/Depr_Life</f>
        <v>103170520.833333</v>
      </c>
      <c r="I30" s="21" t="n">
        <f aca="false">I28/Depr_Life</f>
        <v>104718078.645833</v>
      </c>
      <c r="J30" s="21" t="n">
        <f aca="false">J28/Depr_Life</f>
        <v>106288849.825521</v>
      </c>
      <c r="K30" s="21" t="n">
        <f aca="false">K28/Depr_Life</f>
        <v>107883182.572904</v>
      </c>
      <c r="L30" s="21" t="n">
        <f aca="false">L28/Depr_Life</f>
        <v>109501430.311497</v>
      </c>
      <c r="M30" s="21" t="n">
        <f aca="false">M28/Depr_Life</f>
        <v>111143951.76617</v>
      </c>
      <c r="N30" s="21" t="n">
        <f aca="false">N28/Depr_Life</f>
        <v>112811111.042662</v>
      </c>
      <c r="O30" s="21" t="n">
        <f aca="false">O28/Depr_Life</f>
        <v>114503277.708302</v>
      </c>
      <c r="P30" s="21" t="n">
        <f aca="false">P28/Depr_Life</f>
        <v>116220826.873927</v>
      </c>
      <c r="Q30" s="21" t="n">
        <f aca="false">Q28/Depr_Life</f>
        <v>117964139.277036</v>
      </c>
      <c r="R30" s="21" t="n">
        <f aca="false">R28/Depr_Life</f>
        <v>119733601.366191</v>
      </c>
      <c r="S30" s="21" t="n">
        <f aca="false">S28/Depr_Life</f>
        <v>121529605.386684</v>
      </c>
      <c r="T30" s="21" t="n">
        <f aca="false">T28/Depr_Life</f>
        <v>123352549.467484</v>
      </c>
      <c r="U30" s="21" t="n">
        <f aca="false">U28/Depr_Life</f>
        <v>125202837.709497</v>
      </c>
      <c r="V30" s="21" t="n">
        <f aca="false">V28/Depr_Life</f>
        <v>127080880.275139</v>
      </c>
      <c r="W30" s="21" t="n">
        <f aca="false">W28/Depr_Life</f>
        <v>128987093.479266</v>
      </c>
      <c r="X30" s="21" t="n">
        <f aca="false">X28/Depr_Life</f>
        <v>130921899.881455</v>
      </c>
      <c r="Y30" s="21" t="n">
        <f aca="false">Y28/Depr_Life</f>
        <v>132885728.379677</v>
      </c>
      <c r="Z30" s="21" t="n">
        <f aca="false">Z28/Depr_Life</f>
        <v>134879014.305372</v>
      </c>
      <c r="AA30" s="21" t="n">
        <f aca="false">AA28/Depr_Life</f>
        <v>136902199.519953</v>
      </c>
      <c r="AB30" s="21" t="n">
        <f aca="false">AB28/Depr_Life</f>
        <v>138955732.512752</v>
      </c>
      <c r="AC30" s="21" t="n">
        <f aca="false">AC28/Depr_Life</f>
        <v>141040068.500443</v>
      </c>
      <c r="AD30" s="21" t="n">
        <f aca="false">AD28/Depr_Life</f>
        <v>143155669.52795</v>
      </c>
      <c r="AE30" s="21" t="n">
        <f aca="false">AE28/Depr_Life</f>
        <v>145303004.570869</v>
      </c>
      <c r="AF30" s="21" t="n">
        <f aca="false">AF28/Depr_Life</f>
        <v>147482549.639432</v>
      </c>
      <c r="AG30" s="21" t="n">
        <f aca="false">AG28/Depr_Life</f>
        <v>149694787.884024</v>
      </c>
      <c r="AH30" s="21" t="n">
        <f aca="false">AH28/Depr_Life</f>
        <v>151940209.702284</v>
      </c>
      <c r="AI30" s="21" t="n">
        <f aca="false">AI28/Depr_Life</f>
        <v>154219312.847818</v>
      </c>
      <c r="AJ30" s="21" t="n">
        <f aca="false">AJ28/Depr_Life</f>
        <v>156532602.540535</v>
      </c>
    </row>
    <row r="31" customFormat="false" ht="15" hidden="false" customHeight="false" outlineLevel="0" collapsed="false">
      <c r="A31" s="6"/>
      <c r="B31" s="11" t="s">
        <v>269</v>
      </c>
      <c r="C31" s="21" t="n">
        <v>0</v>
      </c>
      <c r="D31" s="21" t="n">
        <v>0</v>
      </c>
      <c r="E31" s="21" t="n">
        <v>0</v>
      </c>
      <c r="F31" s="21" t="n">
        <v>0</v>
      </c>
      <c r="G31" s="21" t="n">
        <f aca="false">F32</f>
        <v>0</v>
      </c>
      <c r="H31" s="21" t="n">
        <f aca="false">G32</f>
        <v>101645833.333333</v>
      </c>
      <c r="I31" s="21" t="n">
        <f aca="false">H32</f>
        <v>204816354.166667</v>
      </c>
      <c r="J31" s="21" t="n">
        <f aca="false">I32</f>
        <v>309534432.8125</v>
      </c>
      <c r="K31" s="21" t="n">
        <f aca="false">J32</f>
        <v>415823282.638021</v>
      </c>
      <c r="L31" s="21" t="n">
        <f aca="false">K32</f>
        <v>523706465.210924</v>
      </c>
      <c r="M31" s="21" t="n">
        <f aca="false">L32</f>
        <v>633207895.522422</v>
      </c>
      <c r="N31" s="21" t="n">
        <f aca="false">M32</f>
        <v>744351847.288591</v>
      </c>
      <c r="O31" s="21" t="n">
        <f aca="false">N32</f>
        <v>857162958.331254</v>
      </c>
      <c r="P31" s="21" t="n">
        <f aca="false">O32</f>
        <v>971666236.039556</v>
      </c>
      <c r="Q31" s="21" t="n">
        <f aca="false">P32</f>
        <v>1087887062.91348</v>
      </c>
      <c r="R31" s="21" t="n">
        <f aca="false">Q32</f>
        <v>1205851202.19052</v>
      </c>
      <c r="S31" s="21" t="n">
        <f aca="false">R32</f>
        <v>1325584803.55671</v>
      </c>
      <c r="T31" s="21" t="n">
        <f aca="false">S32</f>
        <v>1447114408.94339</v>
      </c>
      <c r="U31" s="21" t="n">
        <f aca="false">T32</f>
        <v>1570466958.41088</v>
      </c>
      <c r="V31" s="21" t="n">
        <f aca="false">U32</f>
        <v>1695669796.12037</v>
      </c>
      <c r="W31" s="21" t="n">
        <f aca="false">V32</f>
        <v>1822750676.39551</v>
      </c>
      <c r="X31" s="21" t="n">
        <f aca="false">W32</f>
        <v>1951737769.87478</v>
      </c>
      <c r="Y31" s="21" t="n">
        <f aca="false">X32</f>
        <v>2082659669.75623</v>
      </c>
      <c r="Z31" s="21" t="n">
        <f aca="false">Y32</f>
        <v>2215545398.13591</v>
      </c>
      <c r="AA31" s="21" t="n">
        <f aca="false">Z32</f>
        <v>2350424412.44128</v>
      </c>
      <c r="AB31" s="21" t="n">
        <f aca="false">AA32</f>
        <v>2487326611.96124</v>
      </c>
      <c r="AC31" s="21" t="n">
        <f aca="false">AB32</f>
        <v>2626282344.47399</v>
      </c>
      <c r="AD31" s="21" t="n">
        <f aca="false">AC32</f>
        <v>2767322412.97443</v>
      </c>
      <c r="AE31" s="21" t="n">
        <f aca="false">AD32</f>
        <v>2910478082.50238</v>
      </c>
      <c r="AF31" s="21" t="n">
        <f aca="false">AE32</f>
        <v>3055781087.07325</v>
      </c>
      <c r="AG31" s="21" t="n">
        <f aca="false">AF32</f>
        <v>3203263636.71268</v>
      </c>
      <c r="AH31" s="21" t="n">
        <f aca="false">AG32</f>
        <v>3352958424.59671</v>
      </c>
      <c r="AI31" s="21" t="n">
        <f aca="false">AH32</f>
        <v>3504898634.29899</v>
      </c>
      <c r="AJ31" s="21" t="n">
        <f aca="false">AI32</f>
        <v>3659117947.14681</v>
      </c>
    </row>
    <row r="32" customFormat="false" ht="15" hidden="false" customHeight="false" outlineLevel="0" collapsed="false">
      <c r="A32" s="6"/>
      <c r="B32" s="11" t="s">
        <v>270</v>
      </c>
      <c r="C32" s="21" t="n">
        <v>0</v>
      </c>
      <c r="D32" s="21" t="n">
        <v>0</v>
      </c>
      <c r="E32" s="21" t="n">
        <v>0</v>
      </c>
      <c r="F32" s="21" t="n">
        <v>0</v>
      </c>
      <c r="G32" s="21" t="n">
        <f aca="false">G31+G30</f>
        <v>101645833.333333</v>
      </c>
      <c r="H32" s="21" t="n">
        <f aca="false">H31+H30</f>
        <v>204816354.166667</v>
      </c>
      <c r="I32" s="21" t="n">
        <f aca="false">I31+I30</f>
        <v>309534432.8125</v>
      </c>
      <c r="J32" s="21" t="n">
        <f aca="false">J31+J30</f>
        <v>415823282.638021</v>
      </c>
      <c r="K32" s="21" t="n">
        <f aca="false">K31+K30</f>
        <v>523706465.210924</v>
      </c>
      <c r="L32" s="21" t="n">
        <f aca="false">L31+L30</f>
        <v>633207895.522422</v>
      </c>
      <c r="M32" s="21" t="n">
        <f aca="false">M31+M30</f>
        <v>744351847.288591</v>
      </c>
      <c r="N32" s="21" t="n">
        <f aca="false">N31+N30</f>
        <v>857162958.331254</v>
      </c>
      <c r="O32" s="21" t="n">
        <f aca="false">O31+O30</f>
        <v>971666236.039556</v>
      </c>
      <c r="P32" s="21" t="n">
        <f aca="false">P31+P30</f>
        <v>1087887062.91348</v>
      </c>
      <c r="Q32" s="21" t="n">
        <f aca="false">Q31+Q30</f>
        <v>1205851202.19052</v>
      </c>
      <c r="R32" s="21" t="n">
        <f aca="false">R31+R30</f>
        <v>1325584803.55671</v>
      </c>
      <c r="S32" s="21" t="n">
        <f aca="false">S31+S30</f>
        <v>1447114408.94339</v>
      </c>
      <c r="T32" s="21" t="n">
        <f aca="false">T31+T30</f>
        <v>1570466958.41088</v>
      </c>
      <c r="U32" s="21" t="n">
        <f aca="false">U31+U30</f>
        <v>1695669796.12037</v>
      </c>
      <c r="V32" s="21" t="n">
        <f aca="false">V31+V30</f>
        <v>1822750676.39551</v>
      </c>
      <c r="W32" s="21" t="n">
        <f aca="false">W31+W30</f>
        <v>1951737769.87478</v>
      </c>
      <c r="X32" s="21" t="n">
        <f aca="false">X31+X30</f>
        <v>2082659669.75623</v>
      </c>
      <c r="Y32" s="21" t="n">
        <f aca="false">Y31+Y30</f>
        <v>2215545398.13591</v>
      </c>
      <c r="Z32" s="21" t="n">
        <f aca="false">Z31+Z30</f>
        <v>2350424412.44128</v>
      </c>
      <c r="AA32" s="21" t="n">
        <f aca="false">AA31+AA30</f>
        <v>2487326611.96124</v>
      </c>
      <c r="AB32" s="21" t="n">
        <f aca="false">AB31+AB30</f>
        <v>2626282344.47399</v>
      </c>
      <c r="AC32" s="21" t="n">
        <f aca="false">AC31+AC30</f>
        <v>2767322412.97443</v>
      </c>
      <c r="AD32" s="21" t="n">
        <f aca="false">AD31+AD30</f>
        <v>2910478082.50238</v>
      </c>
      <c r="AE32" s="21" t="n">
        <f aca="false">AE31+AE30</f>
        <v>3055781087.07325</v>
      </c>
      <c r="AF32" s="21" t="n">
        <f aca="false">AF31+AF30</f>
        <v>3203263636.71268</v>
      </c>
      <c r="AG32" s="21" t="n">
        <f aca="false">AG31+AG30</f>
        <v>3352958424.59671</v>
      </c>
      <c r="AH32" s="21" t="n">
        <f aca="false">AH31+AH30</f>
        <v>3504898634.29899</v>
      </c>
      <c r="AI32" s="21" t="n">
        <f aca="false">AI31+AI30</f>
        <v>3659117947.14681</v>
      </c>
      <c r="AJ32" s="21" t="n">
        <f aca="false">AJ31+AJ30</f>
        <v>3815650549.68734</v>
      </c>
    </row>
    <row r="33" customFormat="false" ht="15" hidden="false" customHeight="false" outlineLevel="0" collapsed="false">
      <c r="A33" s="6"/>
      <c r="B33" s="28" t="s">
        <v>271</v>
      </c>
      <c r="C33" s="29" t="n">
        <f aca="false">C29</f>
        <v>420000000</v>
      </c>
      <c r="D33" s="29" t="n">
        <f aca="false">D29</f>
        <v>1260000000</v>
      </c>
      <c r="E33" s="29" t="n">
        <f aca="false">E29</f>
        <v>2240000000</v>
      </c>
      <c r="F33" s="29" t="n">
        <f aca="false">F29</f>
        <v>3049375000</v>
      </c>
      <c r="G33" s="29" t="n">
        <f aca="false">G29-G32</f>
        <v>2993469791.66667</v>
      </c>
      <c r="H33" s="29" t="n">
        <f aca="false">H29-H32</f>
        <v>2936726005.20833</v>
      </c>
      <c r="I33" s="29" t="n">
        <f aca="false">I29-I32</f>
        <v>2879131061.95313</v>
      </c>
      <c r="J33" s="29" t="n">
        <f aca="false">J29-J32</f>
        <v>2820672194.54909</v>
      </c>
      <c r="K33" s="29" t="n">
        <f aca="false">K29-K32</f>
        <v>2761336444.13399</v>
      </c>
      <c r="L33" s="29" t="n">
        <f aca="false">L29-L32</f>
        <v>2701110657.46267</v>
      </c>
      <c r="M33" s="29" t="n">
        <f aca="false">M29-M32</f>
        <v>2639981483.99128</v>
      </c>
      <c r="N33" s="29" t="n">
        <f aca="false">N29-N32</f>
        <v>2577935372.91781</v>
      </c>
      <c r="O33" s="29" t="n">
        <f aca="false">O29-O32</f>
        <v>2514958570.17825</v>
      </c>
      <c r="P33" s="29" t="n">
        <f aca="false">P29-P32</f>
        <v>2451037115.39759</v>
      </c>
      <c r="Q33" s="29" t="n">
        <f aca="false">Q29-Q32</f>
        <v>2386156838.79522</v>
      </c>
      <c r="R33" s="29" t="n">
        <f aca="false">R29-R32</f>
        <v>2320303358.04381</v>
      </c>
      <c r="S33" s="29" t="n">
        <f aca="false">S29-S32</f>
        <v>2253462075.08114</v>
      </c>
      <c r="T33" s="29" t="n">
        <f aca="false">T29-T32</f>
        <v>2185618172.87402</v>
      </c>
      <c r="U33" s="29" t="n">
        <f aca="false">U29-U32</f>
        <v>2116756612.1338</v>
      </c>
      <c r="V33" s="29" t="n">
        <f aca="false">V29-V32</f>
        <v>2046862127.98247</v>
      </c>
      <c r="W33" s="29" t="n">
        <f aca="false">W29-W32</f>
        <v>1975919226.56887</v>
      </c>
      <c r="X33" s="29" t="n">
        <f aca="false">X29-X32</f>
        <v>1903912181.63407</v>
      </c>
      <c r="Y33" s="29" t="n">
        <f aca="false">Y29-Y32</f>
        <v>1830825031.02525</v>
      </c>
      <c r="Z33" s="29" t="n">
        <f aca="false">Z29-Z32</f>
        <v>1756641573.1573</v>
      </c>
      <c r="AA33" s="29" t="n">
        <f aca="false">AA29-AA32</f>
        <v>1681345363.42132</v>
      </c>
      <c r="AB33" s="29" t="n">
        <f aca="false">AB29-AB32</f>
        <v>1604919710.53931</v>
      </c>
      <c r="AC33" s="29" t="n">
        <f aca="false">AC29-AC32</f>
        <v>1527347672.86406</v>
      </c>
      <c r="AD33" s="29" t="n">
        <f aca="false">AD29-AD32</f>
        <v>1448612054.62369</v>
      </c>
      <c r="AE33" s="29" t="n">
        <f aca="false">AE29-AE32</f>
        <v>1368695402.10971</v>
      </c>
      <c r="AF33" s="29" t="n">
        <f aca="false">AF29-AF32</f>
        <v>1287579999.80803</v>
      </c>
      <c r="AG33" s="29" t="n">
        <f aca="false">AG29-AG32</f>
        <v>1205247866.47181</v>
      </c>
      <c r="AH33" s="29" t="n">
        <f aca="false">AH29-AH32</f>
        <v>1121680751.13556</v>
      </c>
      <c r="AI33" s="29" t="n">
        <f aca="false">AI29-AI32</f>
        <v>1036860129.06926</v>
      </c>
      <c r="AJ33" s="29" t="n">
        <f aca="false">AJ29-AJ32</f>
        <v>950767197.671962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J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272</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273</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274</v>
      </c>
      <c r="C8" s="21" t="n">
        <v>0</v>
      </c>
      <c r="D8" s="21" t="n">
        <v>0</v>
      </c>
      <c r="E8" s="21" t="n">
        <v>0</v>
      </c>
      <c r="F8" s="21" t="n">
        <f aca="false">Capex_Depr!F23</f>
        <v>3049375000</v>
      </c>
      <c r="G8" s="21" t="n">
        <f aca="false">Capex_Depr!F23</f>
        <v>3049375000</v>
      </c>
      <c r="H8" s="21" t="n">
        <f aca="false">Capex_Depr!F23</f>
        <v>3049375000</v>
      </c>
      <c r="I8" s="21" t="n">
        <f aca="false">Capex_Depr!F23</f>
        <v>3049375000</v>
      </c>
      <c r="J8" s="21" t="n">
        <f aca="false">Capex_Depr!F23</f>
        <v>3049375000</v>
      </c>
      <c r="K8" s="21" t="n">
        <f aca="false">Capex_Depr!F23</f>
        <v>3049375000</v>
      </c>
      <c r="L8" s="21" t="n">
        <f aca="false">Capex_Depr!F23</f>
        <v>3049375000</v>
      </c>
      <c r="M8" s="21" t="n">
        <f aca="false">Capex_Depr!F23</f>
        <v>3049375000</v>
      </c>
      <c r="N8" s="21" t="n">
        <f aca="false">Capex_Depr!F23</f>
        <v>3049375000</v>
      </c>
      <c r="O8" s="21" t="n">
        <f aca="false">Capex_Depr!F23</f>
        <v>3049375000</v>
      </c>
      <c r="P8" s="21" t="n">
        <f aca="false">Capex_Depr!F23</f>
        <v>3049375000</v>
      </c>
      <c r="Q8" s="21" t="n">
        <f aca="false">Capex_Depr!F23</f>
        <v>3049375000</v>
      </c>
      <c r="R8" s="21" t="n">
        <f aca="false">Capex_Depr!F23</f>
        <v>3049375000</v>
      </c>
      <c r="S8" s="21" t="n">
        <f aca="false">Capex_Depr!F23</f>
        <v>3049375000</v>
      </c>
      <c r="T8" s="21" t="n">
        <f aca="false">Capex_Depr!F23</f>
        <v>3049375000</v>
      </c>
      <c r="U8" s="21" t="n">
        <f aca="false">Capex_Depr!F23</f>
        <v>3049375000</v>
      </c>
      <c r="V8" s="21" t="n">
        <f aca="false">Capex_Depr!F23</f>
        <v>3049375000</v>
      </c>
      <c r="W8" s="21" t="n">
        <f aca="false">Capex_Depr!F23</f>
        <v>3049375000</v>
      </c>
      <c r="X8" s="21" t="n">
        <f aca="false">Capex_Depr!F23</f>
        <v>3049375000</v>
      </c>
      <c r="Y8" s="21" t="n">
        <f aca="false">Capex_Depr!F23</f>
        <v>3049375000</v>
      </c>
      <c r="Z8" s="21" t="n">
        <f aca="false">Capex_Depr!F23</f>
        <v>3049375000</v>
      </c>
      <c r="AA8" s="21" t="n">
        <f aca="false">Capex_Depr!F23</f>
        <v>3049375000</v>
      </c>
      <c r="AB8" s="21" t="n">
        <f aca="false">Capex_Depr!F23</f>
        <v>3049375000</v>
      </c>
      <c r="AC8" s="21" t="n">
        <f aca="false">Capex_Depr!F23</f>
        <v>3049375000</v>
      </c>
      <c r="AD8" s="21" t="n">
        <f aca="false">Capex_Depr!F23</f>
        <v>3049375000</v>
      </c>
      <c r="AE8" s="21" t="n">
        <f aca="false">Capex_Depr!F23</f>
        <v>3049375000</v>
      </c>
      <c r="AF8" s="21" t="n">
        <f aca="false">Capex_Depr!F23</f>
        <v>3049375000</v>
      </c>
      <c r="AG8" s="21" t="n">
        <f aca="false">Capex_Depr!F23</f>
        <v>3049375000</v>
      </c>
      <c r="AH8" s="21" t="n">
        <f aca="false">Capex_Depr!F23</f>
        <v>3049375000</v>
      </c>
      <c r="AI8" s="21" t="n">
        <f aca="false">Capex_Depr!F23</f>
        <v>3049375000</v>
      </c>
      <c r="AJ8" s="21" t="n">
        <f aca="false">Capex_Depr!F23</f>
        <v>3049375000</v>
      </c>
    </row>
    <row r="9" customFormat="false" ht="15" hidden="false" customHeight="false" outlineLevel="0" collapsed="false">
      <c r="A9" s="6"/>
      <c r="B9" s="11" t="s">
        <v>275</v>
      </c>
      <c r="C9" s="21" t="n">
        <f aca="false">Capex_Depr!C18*(1-Gearing)</f>
        <v>105000000</v>
      </c>
      <c r="D9" s="21" t="n">
        <f aca="false">Capex_Depr!D18*(1-Gearing)</f>
        <v>210000000</v>
      </c>
      <c r="E9" s="21" t="n">
        <f aca="false">Capex_Depr!E18*(1-Gearing)</f>
        <v>245000000</v>
      </c>
      <c r="F9" s="21" t="n">
        <f aca="false">Capex_Depr!F18*(1-Gearing)+F27</f>
        <v>234086148.053738</v>
      </c>
      <c r="G9" s="21" t="n">
        <v>0</v>
      </c>
      <c r="H9" s="21" t="n">
        <v>0</v>
      </c>
      <c r="I9" s="21" t="n">
        <v>0</v>
      </c>
      <c r="J9" s="21" t="n">
        <v>0</v>
      </c>
      <c r="K9" s="21" t="n">
        <v>0</v>
      </c>
      <c r="L9" s="21" t="n">
        <v>0</v>
      </c>
      <c r="M9" s="21" t="n">
        <v>0</v>
      </c>
      <c r="N9" s="21" t="n">
        <v>0</v>
      </c>
      <c r="O9" s="21" t="n">
        <v>0</v>
      </c>
      <c r="P9" s="21" t="n">
        <v>0</v>
      </c>
      <c r="Q9" s="21" t="n">
        <v>0</v>
      </c>
      <c r="R9" s="21" t="n">
        <v>0</v>
      </c>
      <c r="S9" s="21" t="n">
        <v>0</v>
      </c>
      <c r="T9" s="21" t="n">
        <v>0</v>
      </c>
      <c r="U9" s="21" t="n">
        <v>0</v>
      </c>
      <c r="V9" s="21" t="n">
        <v>0</v>
      </c>
      <c r="W9" s="21" t="n">
        <v>0</v>
      </c>
      <c r="X9" s="21" t="n">
        <v>0</v>
      </c>
      <c r="Y9" s="21" t="n">
        <v>0</v>
      </c>
      <c r="Z9" s="21" t="n">
        <v>0</v>
      </c>
      <c r="AA9" s="21" t="n">
        <v>0</v>
      </c>
      <c r="AB9" s="21" t="n">
        <v>0</v>
      </c>
      <c r="AC9" s="21" t="n">
        <v>0</v>
      </c>
      <c r="AD9" s="21" t="n">
        <v>0</v>
      </c>
      <c r="AE9" s="21" t="n">
        <v>0</v>
      </c>
      <c r="AF9" s="21" t="n">
        <v>0</v>
      </c>
      <c r="AG9" s="21" t="n">
        <v>0</v>
      </c>
      <c r="AH9" s="21" t="n">
        <v>0</v>
      </c>
      <c r="AI9" s="21" t="n">
        <v>0</v>
      </c>
      <c r="AJ9" s="21" t="n">
        <v>0</v>
      </c>
    </row>
    <row r="10" customFormat="false" ht="15" hidden="false" customHeight="false" outlineLevel="0" collapsed="false">
      <c r="A10" s="6"/>
      <c r="B10" s="11" t="s">
        <v>276</v>
      </c>
      <c r="C10" s="21" t="n">
        <f aca="false">Capex_Depr!C18*Gearing+Capex_Depr!C21</f>
        <v>324843750</v>
      </c>
      <c r="D10" s="21" t="n">
        <f aca="false">Capex_Depr!D18*Gearing+Capex_Depr!D21</f>
        <v>669375000</v>
      </c>
      <c r="E10" s="21" t="n">
        <f aca="false">Capex_Depr!E18*Gearing+Capex_Depr!E21</f>
        <v>817031250</v>
      </c>
      <c r="F10" s="21" t="n">
        <f aca="false">Capex_Depr!F18*Gearing+Capex_Depr!F21</f>
        <v>538125000</v>
      </c>
      <c r="G10" s="21" t="n">
        <v>0</v>
      </c>
      <c r="H10" s="21" t="n">
        <v>0</v>
      </c>
      <c r="I10" s="21" t="n">
        <v>0</v>
      </c>
      <c r="J10" s="21" t="n">
        <v>0</v>
      </c>
      <c r="K10" s="21" t="n">
        <v>0</v>
      </c>
      <c r="L10" s="21" t="n">
        <v>0</v>
      </c>
      <c r="M10" s="21" t="n">
        <v>0</v>
      </c>
      <c r="N10" s="21" t="n">
        <v>0</v>
      </c>
      <c r="O10" s="21" t="n">
        <v>0</v>
      </c>
      <c r="P10" s="21" t="n">
        <v>0</v>
      </c>
      <c r="Q10" s="21" t="n">
        <v>0</v>
      </c>
      <c r="R10" s="21" t="n">
        <v>0</v>
      </c>
      <c r="S10" s="21" t="n">
        <v>0</v>
      </c>
      <c r="T10" s="21" t="n">
        <v>0</v>
      </c>
      <c r="U10" s="21" t="n">
        <v>0</v>
      </c>
      <c r="V10" s="21" t="n">
        <v>0</v>
      </c>
      <c r="W10" s="21" t="n">
        <v>0</v>
      </c>
      <c r="X10" s="21" t="n">
        <v>0</v>
      </c>
      <c r="Y10" s="21" t="n">
        <v>0</v>
      </c>
      <c r="Z10" s="21" t="n">
        <v>0</v>
      </c>
      <c r="AA10" s="21" t="n">
        <v>0</v>
      </c>
      <c r="AB10" s="21" t="n">
        <v>0</v>
      </c>
      <c r="AC10" s="21" t="n">
        <v>0</v>
      </c>
      <c r="AD10" s="21" t="n">
        <v>0</v>
      </c>
      <c r="AE10" s="21" t="n">
        <v>0</v>
      </c>
      <c r="AF10" s="21" t="n">
        <v>0</v>
      </c>
      <c r="AG10" s="21" t="n">
        <v>0</v>
      </c>
      <c r="AH10" s="21" t="n">
        <v>0</v>
      </c>
      <c r="AI10" s="21" t="n">
        <v>0</v>
      </c>
      <c r="AJ10" s="21" t="n">
        <v>0</v>
      </c>
    </row>
    <row r="11" customFormat="false" ht="15" hidden="false" customHeight="false" outlineLevel="0" collapsed="false">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customFormat="false" ht="15" hidden="false" customHeight="false" outlineLevel="0" collapsed="false">
      <c r="A12" s="6"/>
      <c r="B12" s="8" t="s">
        <v>277</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customFormat="false" ht="15" hidden="false" customHeight="false" outlineLevel="0" collapsed="false">
      <c r="A14" s="6"/>
      <c r="B14" s="11" t="s">
        <v>278</v>
      </c>
      <c r="C14" s="21" t="n">
        <v>0</v>
      </c>
      <c r="D14" s="21" t="n">
        <f aca="false">C15</f>
        <v>324843750</v>
      </c>
      <c r="E14" s="21" t="n">
        <f aca="false">D15</f>
        <v>994218750</v>
      </c>
      <c r="F14" s="21" t="n">
        <f aca="false">E15</f>
        <v>1811250000</v>
      </c>
      <c r="G14" s="21" t="n">
        <f aca="false">F15</f>
        <v>2349375000</v>
      </c>
      <c r="H14" s="21" t="n">
        <f aca="false">G15</f>
        <v>2308038641.39252</v>
      </c>
      <c r="I14" s="21" t="n">
        <f aca="false">H15</f>
        <v>2264118760.37208</v>
      </c>
      <c r="J14" s="21" t="n">
        <f aca="false">I15</f>
        <v>2217453886.78786</v>
      </c>
      <c r="K14" s="21" t="n">
        <f aca="false">J15</f>
        <v>2167872458.60462</v>
      </c>
      <c r="L14" s="21" t="n">
        <f aca="false">K15</f>
        <v>2115192191.15994</v>
      </c>
      <c r="M14" s="21" t="n">
        <f aca="false">L15</f>
        <v>2059219406.99996</v>
      </c>
      <c r="N14" s="21" t="n">
        <f aca="false">M15</f>
        <v>1999748323.82998</v>
      </c>
      <c r="O14" s="21" t="n">
        <f aca="false">N15</f>
        <v>1936560297.96187</v>
      </c>
      <c r="P14" s="21" t="n">
        <f aca="false">O15</f>
        <v>1869423020.47702</v>
      </c>
      <c r="Q14" s="21" t="n">
        <f aca="false">P15</f>
        <v>1798089663.14935</v>
      </c>
      <c r="R14" s="21" t="n">
        <f aca="false">Q15</f>
        <v>1722297970.98871</v>
      </c>
      <c r="S14" s="21" t="n">
        <f aca="false">R15</f>
        <v>1641769298.06803</v>
      </c>
      <c r="T14" s="21" t="n">
        <f aca="false">S15</f>
        <v>1556207583.0898</v>
      </c>
      <c r="U14" s="21" t="n">
        <f aca="false">T15</f>
        <v>1465298260.92544</v>
      </c>
      <c r="V14" s="21" t="n">
        <f aca="false">U15</f>
        <v>1368707106.1258</v>
      </c>
      <c r="W14" s="21" t="n">
        <f aca="false">V15</f>
        <v>1266079004.15119</v>
      </c>
      <c r="X14" s="21" t="n">
        <f aca="false">W15</f>
        <v>1157036645.80316</v>
      </c>
      <c r="Y14" s="21" t="n">
        <f aca="false">X15</f>
        <v>1041179140.05839</v>
      </c>
      <c r="Z14" s="21" t="n">
        <f aca="false">Y15</f>
        <v>918080540.204558</v>
      </c>
      <c r="AA14" s="21" t="n">
        <f aca="false">Z15</f>
        <v>787288277.859867</v>
      </c>
      <c r="AB14" s="21" t="n">
        <f aca="false">AA15</f>
        <v>648321499.118632</v>
      </c>
      <c r="AC14" s="21" t="n">
        <f aca="false">AB15</f>
        <v>500669296.70607</v>
      </c>
      <c r="AD14" s="21" t="n">
        <f aca="false">AC15</f>
        <v>343788831.642723</v>
      </c>
      <c r="AE14" s="21" t="n">
        <f aca="false">AD15</f>
        <v>177103337.512917</v>
      </c>
      <c r="AF14" s="21" t="n">
        <f aca="false">AE15</f>
        <v>-1.51991844177246E-006</v>
      </c>
      <c r="AG14" s="21" t="n">
        <f aca="false">AF15</f>
        <v>-1.51991844177246E-006</v>
      </c>
      <c r="AH14" s="21" t="n">
        <f aca="false">AG15</f>
        <v>-1.51991844177246E-006</v>
      </c>
      <c r="AI14" s="21" t="n">
        <f aca="false">AH15</f>
        <v>-1.51991844177246E-006</v>
      </c>
      <c r="AJ14" s="21" t="n">
        <f aca="false">AI15</f>
        <v>-1.51991844177246E-006</v>
      </c>
    </row>
    <row r="15" customFormat="false" ht="15" hidden="false" customHeight="false" outlineLevel="0" collapsed="false">
      <c r="A15" s="6"/>
      <c r="B15" s="28" t="s">
        <v>279</v>
      </c>
      <c r="C15" s="29" t="n">
        <f aca="false">C14+C10</f>
        <v>324843750</v>
      </c>
      <c r="D15" s="29" t="n">
        <f aca="false">D14+D10</f>
        <v>994218750</v>
      </c>
      <c r="E15" s="29" t="n">
        <f aca="false">E14+E10</f>
        <v>1811250000</v>
      </c>
      <c r="F15" s="29" t="n">
        <f aca="false">F14+F10</f>
        <v>2349375000</v>
      </c>
      <c r="G15" s="29" t="n">
        <f aca="false">G14-G22</f>
        <v>2308038641.39252</v>
      </c>
      <c r="H15" s="29" t="n">
        <f aca="false">H14-H22</f>
        <v>2264118760.37208</v>
      </c>
      <c r="I15" s="29" t="n">
        <f aca="false">I14-I22</f>
        <v>2217453886.78786</v>
      </c>
      <c r="J15" s="29" t="n">
        <f aca="false">J14-J22</f>
        <v>2167872458.60462</v>
      </c>
      <c r="K15" s="29" t="n">
        <f aca="false">K14-K22</f>
        <v>2115192191.15994</v>
      </c>
      <c r="L15" s="29" t="n">
        <f aca="false">L14-L22</f>
        <v>2059219406.99996</v>
      </c>
      <c r="M15" s="29" t="n">
        <f aca="false">M14-M22</f>
        <v>1999748323.82998</v>
      </c>
      <c r="N15" s="29" t="n">
        <f aca="false">N14-N22</f>
        <v>1936560297.96187</v>
      </c>
      <c r="O15" s="29" t="n">
        <f aca="false">O14-O22</f>
        <v>1869423020.47702</v>
      </c>
      <c r="P15" s="29" t="n">
        <f aca="false">P14-P22</f>
        <v>1798089663.14935</v>
      </c>
      <c r="Q15" s="29" t="n">
        <f aca="false">Q14-Q22</f>
        <v>1722297970.98871</v>
      </c>
      <c r="R15" s="29" t="n">
        <f aca="false">R14-R22</f>
        <v>1641769298.06803</v>
      </c>
      <c r="S15" s="29" t="n">
        <f aca="false">S14-S22</f>
        <v>1556207583.0898</v>
      </c>
      <c r="T15" s="29" t="n">
        <f aca="false">T14-T22</f>
        <v>1465298260.92544</v>
      </c>
      <c r="U15" s="29" t="n">
        <f aca="false">U14-U22</f>
        <v>1368707106.1258</v>
      </c>
      <c r="V15" s="29" t="n">
        <f aca="false">V14-V22</f>
        <v>1266079004.15119</v>
      </c>
      <c r="W15" s="29" t="n">
        <f aca="false">W14-W22</f>
        <v>1157036645.80316</v>
      </c>
      <c r="X15" s="29" t="n">
        <f aca="false">X14-X22</f>
        <v>1041179140.05839</v>
      </c>
      <c r="Y15" s="29" t="n">
        <f aca="false">Y14-Y22</f>
        <v>918080540.204558</v>
      </c>
      <c r="Z15" s="29" t="n">
        <f aca="false">Z14-Z22</f>
        <v>787288277.859867</v>
      </c>
      <c r="AA15" s="29" t="n">
        <f aca="false">AA14-AA22</f>
        <v>648321499.118632</v>
      </c>
      <c r="AB15" s="29" t="n">
        <f aca="false">AB14-AB22</f>
        <v>500669296.70607</v>
      </c>
      <c r="AC15" s="29" t="n">
        <f aca="false">AC14-AC22</f>
        <v>343788831.642723</v>
      </c>
      <c r="AD15" s="29" t="n">
        <f aca="false">AD14-AD22</f>
        <v>177103337.512917</v>
      </c>
      <c r="AE15" s="29" t="n">
        <f aca="false">AE14-AE22</f>
        <v>-1.51991844177246E-006</v>
      </c>
      <c r="AF15" s="29" t="n">
        <f aca="false">AF14-AF22</f>
        <v>-1.51991844177246E-006</v>
      </c>
      <c r="AG15" s="29" t="n">
        <f aca="false">AG14-AG22</f>
        <v>-1.51991844177246E-006</v>
      </c>
      <c r="AH15" s="29" t="n">
        <f aca="false">AH14-AH22</f>
        <v>-1.51991844177246E-006</v>
      </c>
      <c r="AI15" s="29" t="n">
        <f aca="false">AI14-AI22</f>
        <v>-1.51991844177246E-006</v>
      </c>
      <c r="AJ15" s="29" t="n">
        <f aca="false">AJ14-AJ22</f>
        <v>-1.51991844177246E-006</v>
      </c>
    </row>
    <row r="16" customFormat="false" ht="15" hidden="false" customHeight="false" outlineLevel="0" collapsed="false">
      <c r="A16" s="6"/>
      <c r="B16" s="11" t="s">
        <v>280</v>
      </c>
      <c r="C16" s="21" t="n">
        <v>0</v>
      </c>
      <c r="D16" s="21" t="n">
        <v>0</v>
      </c>
      <c r="E16" s="21" t="n">
        <v>0</v>
      </c>
      <c r="F16" s="21" t="n">
        <f aca="false">F15</f>
        <v>2349375000</v>
      </c>
      <c r="G16" s="21" t="n">
        <f aca="false">F15</f>
        <v>2349375000</v>
      </c>
      <c r="H16" s="21" t="n">
        <f aca="false">F15</f>
        <v>2349375000</v>
      </c>
      <c r="I16" s="21" t="n">
        <f aca="false">F15</f>
        <v>2349375000</v>
      </c>
      <c r="J16" s="21" t="n">
        <f aca="false">F15</f>
        <v>2349375000</v>
      </c>
      <c r="K16" s="21" t="n">
        <f aca="false">F15</f>
        <v>2349375000</v>
      </c>
      <c r="L16" s="21" t="n">
        <f aca="false">F15</f>
        <v>2349375000</v>
      </c>
      <c r="M16" s="21" t="n">
        <f aca="false">F15</f>
        <v>2349375000</v>
      </c>
      <c r="N16" s="21" t="n">
        <f aca="false">F15</f>
        <v>2349375000</v>
      </c>
      <c r="O16" s="21" t="n">
        <f aca="false">F15</f>
        <v>2349375000</v>
      </c>
      <c r="P16" s="21" t="n">
        <f aca="false">F15</f>
        <v>2349375000</v>
      </c>
      <c r="Q16" s="21" t="n">
        <f aca="false">F15</f>
        <v>2349375000</v>
      </c>
      <c r="R16" s="21" t="n">
        <f aca="false">F15</f>
        <v>2349375000</v>
      </c>
      <c r="S16" s="21" t="n">
        <f aca="false">F15</f>
        <v>2349375000</v>
      </c>
      <c r="T16" s="21" t="n">
        <f aca="false">F15</f>
        <v>2349375000</v>
      </c>
      <c r="U16" s="21" t="n">
        <f aca="false">F15</f>
        <v>2349375000</v>
      </c>
      <c r="V16" s="21" t="n">
        <f aca="false">F15</f>
        <v>2349375000</v>
      </c>
      <c r="W16" s="21" t="n">
        <f aca="false">F15</f>
        <v>2349375000</v>
      </c>
      <c r="X16" s="21" t="n">
        <f aca="false">F15</f>
        <v>2349375000</v>
      </c>
      <c r="Y16" s="21" t="n">
        <f aca="false">F15</f>
        <v>2349375000</v>
      </c>
      <c r="Z16" s="21" t="n">
        <f aca="false">F15</f>
        <v>2349375000</v>
      </c>
      <c r="AA16" s="21" t="n">
        <f aca="false">F15</f>
        <v>2349375000</v>
      </c>
      <c r="AB16" s="21" t="n">
        <f aca="false">F15</f>
        <v>2349375000</v>
      </c>
      <c r="AC16" s="21" t="n">
        <f aca="false">F15</f>
        <v>2349375000</v>
      </c>
      <c r="AD16" s="21" t="n">
        <f aca="false">F15</f>
        <v>2349375000</v>
      </c>
      <c r="AE16" s="21" t="n">
        <f aca="false">F15</f>
        <v>2349375000</v>
      </c>
      <c r="AF16" s="21" t="n">
        <f aca="false">F15</f>
        <v>2349375000</v>
      </c>
      <c r="AG16" s="21" t="n">
        <f aca="false">F15</f>
        <v>2349375000</v>
      </c>
      <c r="AH16" s="21" t="n">
        <f aca="false">F15</f>
        <v>2349375000</v>
      </c>
      <c r="AI16" s="21" t="n">
        <f aca="false">F15</f>
        <v>2349375000</v>
      </c>
      <c r="AJ16" s="21" t="n">
        <f aca="false">F15</f>
        <v>2349375000</v>
      </c>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customFormat="false" ht="15" hidden="false" customHeight="false" outlineLevel="0" collapsed="false">
      <c r="A18" s="6"/>
      <c r="B18" s="8" t="s">
        <v>281</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customFormat="false" ht="15" hidden="false" customHeight="false" outlineLevel="0" collapsed="false">
      <c r="A20" s="6"/>
      <c r="B20" s="11" t="s">
        <v>282</v>
      </c>
      <c r="C20" s="21" t="n">
        <v>0</v>
      </c>
      <c r="D20" s="21" t="n">
        <v>0</v>
      </c>
      <c r="E20" s="21" t="n">
        <v>0</v>
      </c>
      <c r="F20" s="21" t="n">
        <v>0</v>
      </c>
      <c r="G20" s="21" t="n">
        <f aca="false">-PMT(All_In_Rate,Debt_Tenor,F15)</f>
        <v>188172296.107476</v>
      </c>
      <c r="H20" s="21" t="n">
        <f aca="false">$G$20</f>
        <v>188172296.107476</v>
      </c>
      <c r="I20" s="21" t="n">
        <f aca="false">$G$20</f>
        <v>188172296.107476</v>
      </c>
      <c r="J20" s="21" t="n">
        <f aca="false">$G$20</f>
        <v>188172296.107476</v>
      </c>
      <c r="K20" s="21" t="n">
        <f aca="false">$G$20</f>
        <v>188172296.107476</v>
      </c>
      <c r="L20" s="21" t="n">
        <f aca="false">$G$20</f>
        <v>188172296.107476</v>
      </c>
      <c r="M20" s="21" t="n">
        <f aca="false">$G$20</f>
        <v>188172296.107476</v>
      </c>
      <c r="N20" s="21" t="n">
        <f aca="false">$G$20</f>
        <v>188172296.107476</v>
      </c>
      <c r="O20" s="21" t="n">
        <f aca="false">$G$20</f>
        <v>188172296.107476</v>
      </c>
      <c r="P20" s="21" t="n">
        <f aca="false">$G$20</f>
        <v>188172296.107476</v>
      </c>
      <c r="Q20" s="21" t="n">
        <f aca="false">$G$20</f>
        <v>188172296.107476</v>
      </c>
      <c r="R20" s="21" t="n">
        <f aca="false">$G$20</f>
        <v>188172296.107476</v>
      </c>
      <c r="S20" s="21" t="n">
        <f aca="false">$G$20</f>
        <v>188172296.107476</v>
      </c>
      <c r="T20" s="21" t="n">
        <f aca="false">$G$20</f>
        <v>188172296.107476</v>
      </c>
      <c r="U20" s="21" t="n">
        <f aca="false">$G$20</f>
        <v>188172296.107476</v>
      </c>
      <c r="V20" s="21" t="n">
        <f aca="false">$G$20</f>
        <v>188172296.107476</v>
      </c>
      <c r="W20" s="21" t="n">
        <f aca="false">$G$20</f>
        <v>188172296.107476</v>
      </c>
      <c r="X20" s="21" t="n">
        <f aca="false">$G$20</f>
        <v>188172296.107476</v>
      </c>
      <c r="Y20" s="21" t="n">
        <f aca="false">$G$20</f>
        <v>188172296.107476</v>
      </c>
      <c r="Z20" s="21" t="n">
        <f aca="false">$G$20</f>
        <v>188172296.107476</v>
      </c>
      <c r="AA20" s="21" t="n">
        <f aca="false">$G$20</f>
        <v>188172296.107476</v>
      </c>
      <c r="AB20" s="21" t="n">
        <f aca="false">$G$20</f>
        <v>188172296.107476</v>
      </c>
      <c r="AC20" s="21" t="n">
        <f aca="false">$G$20</f>
        <v>188172296.107476</v>
      </c>
      <c r="AD20" s="21" t="n">
        <f aca="false">$G$20</f>
        <v>188172296.107476</v>
      </c>
      <c r="AE20" s="21" t="n">
        <f aca="false">$G$20</f>
        <v>188172296.107476</v>
      </c>
      <c r="AF20" s="21" t="n">
        <v>0</v>
      </c>
      <c r="AG20" s="21" t="n">
        <v>0</v>
      </c>
      <c r="AH20" s="21" t="n">
        <v>0</v>
      </c>
      <c r="AI20" s="21" t="n">
        <v>0</v>
      </c>
      <c r="AJ20" s="21" t="n">
        <v>0</v>
      </c>
    </row>
    <row r="21" customFormat="false" ht="15" hidden="false" customHeight="false" outlineLevel="0" collapsed="false">
      <c r="A21" s="6"/>
      <c r="B21" s="11" t="s">
        <v>283</v>
      </c>
      <c r="C21" s="21" t="n">
        <v>0</v>
      </c>
      <c r="D21" s="21" t="n">
        <v>0</v>
      </c>
      <c r="E21" s="21" t="n">
        <v>0</v>
      </c>
      <c r="F21" s="21" t="n">
        <v>0</v>
      </c>
      <c r="G21" s="21" t="n">
        <f aca="false">G14*All_In_Rate</f>
        <v>146835937.5</v>
      </c>
      <c r="H21" s="21" t="n">
        <f aca="false">H14*All_In_Rate</f>
        <v>144252415.087033</v>
      </c>
      <c r="I21" s="21" t="n">
        <f aca="false">I14*All_In_Rate</f>
        <v>141507422.523255</v>
      </c>
      <c r="J21" s="21" t="n">
        <f aca="false">J14*All_In_Rate</f>
        <v>138590867.924241</v>
      </c>
      <c r="K21" s="21" t="n">
        <f aca="false">K14*All_In_Rate</f>
        <v>135492028.662789</v>
      </c>
      <c r="L21" s="21" t="n">
        <f aca="false">L14*All_In_Rate</f>
        <v>132199511.947496</v>
      </c>
      <c r="M21" s="21" t="n">
        <f aca="false">M14*All_In_Rate</f>
        <v>128701212.937497</v>
      </c>
      <c r="N21" s="21" t="n">
        <f aca="false">N14*All_In_Rate</f>
        <v>124984270.239374</v>
      </c>
      <c r="O21" s="21" t="n">
        <f aca="false">O14*All_In_Rate</f>
        <v>121035018.622617</v>
      </c>
      <c r="P21" s="21" t="n">
        <f aca="false">P14*All_In_Rate</f>
        <v>116838938.779813</v>
      </c>
      <c r="Q21" s="21" t="n">
        <f aca="false">Q14*All_In_Rate</f>
        <v>112380603.946835</v>
      </c>
      <c r="R21" s="21" t="n">
        <f aca="false">R14*All_In_Rate</f>
        <v>107643623.186794</v>
      </c>
      <c r="S21" s="21" t="n">
        <f aca="false">S14*All_In_Rate</f>
        <v>102610581.129252</v>
      </c>
      <c r="T21" s="21" t="n">
        <f aca="false">T14*All_In_Rate</f>
        <v>97262973.9431128</v>
      </c>
      <c r="U21" s="21" t="n">
        <f aca="false">U14*All_In_Rate</f>
        <v>91581141.30784</v>
      </c>
      <c r="V21" s="21" t="n">
        <f aca="false">V14*All_In_Rate</f>
        <v>85544194.1328628</v>
      </c>
      <c r="W21" s="21" t="n">
        <f aca="false">W14*All_In_Rate</f>
        <v>79129937.7594494</v>
      </c>
      <c r="X21" s="21" t="n">
        <f aca="false">X14*All_In_Rate</f>
        <v>72314790.3626977</v>
      </c>
      <c r="Y21" s="21" t="n">
        <f aca="false">Y14*All_In_Rate</f>
        <v>65073696.2536491</v>
      </c>
      <c r="Z21" s="21" t="n">
        <f aca="false">Z14*All_In_Rate</f>
        <v>57380033.7627849</v>
      </c>
      <c r="AA21" s="21" t="n">
        <f aca="false">AA14*All_In_Rate</f>
        <v>49205517.3662417</v>
      </c>
      <c r="AB21" s="21" t="n">
        <f aca="false">AB14*All_In_Rate</f>
        <v>40520093.6949145</v>
      </c>
      <c r="AC21" s="21" t="n">
        <f aca="false">AC14*All_In_Rate</f>
        <v>31291831.0441294</v>
      </c>
      <c r="AD21" s="21" t="n">
        <f aca="false">AD14*All_In_Rate</f>
        <v>21486801.9776702</v>
      </c>
      <c r="AE21" s="21" t="n">
        <f aca="false">AE14*All_In_Rate</f>
        <v>11068958.5945573</v>
      </c>
      <c r="AF21" s="21" t="n">
        <v>0</v>
      </c>
      <c r="AG21" s="21" t="n">
        <v>0</v>
      </c>
      <c r="AH21" s="21" t="n">
        <v>0</v>
      </c>
      <c r="AI21" s="21" t="n">
        <v>0</v>
      </c>
      <c r="AJ21" s="21" t="n">
        <v>0</v>
      </c>
    </row>
    <row r="22" customFormat="false" ht="15" hidden="false" customHeight="false" outlineLevel="0" collapsed="false">
      <c r="A22" s="6"/>
      <c r="B22" s="11" t="s">
        <v>284</v>
      </c>
      <c r="C22" s="21" t="n">
        <v>0</v>
      </c>
      <c r="D22" s="21" t="n">
        <v>0</v>
      </c>
      <c r="E22" s="21" t="n">
        <v>0</v>
      </c>
      <c r="F22" s="21" t="n">
        <v>0</v>
      </c>
      <c r="G22" s="21" t="n">
        <f aca="false">G20-G21</f>
        <v>41336358.6074763</v>
      </c>
      <c r="H22" s="21" t="n">
        <f aca="false">H20-H21</f>
        <v>43919881.0204435</v>
      </c>
      <c r="I22" s="21" t="n">
        <f aca="false">I20-I21</f>
        <v>46664873.5842212</v>
      </c>
      <c r="J22" s="21" t="n">
        <f aca="false">J20-J21</f>
        <v>49581428.1832351</v>
      </c>
      <c r="K22" s="21" t="n">
        <f aca="false">K20-K21</f>
        <v>52680267.4446873</v>
      </c>
      <c r="L22" s="21" t="n">
        <f aca="false">L20-L21</f>
        <v>55972784.1599802</v>
      </c>
      <c r="M22" s="21" t="n">
        <f aca="false">M20-M21</f>
        <v>59471083.169979</v>
      </c>
      <c r="N22" s="21" t="n">
        <f aca="false">N20-N21</f>
        <v>63188025.8681027</v>
      </c>
      <c r="O22" s="21" t="n">
        <f aca="false">O20-O21</f>
        <v>67137277.4848591</v>
      </c>
      <c r="P22" s="21" t="n">
        <f aca="false">P20-P21</f>
        <v>71333357.3276628</v>
      </c>
      <c r="Q22" s="21" t="n">
        <f aca="false">Q20-Q21</f>
        <v>75791692.1606418</v>
      </c>
      <c r="R22" s="21" t="n">
        <f aca="false">R20-R21</f>
        <v>80528672.9206819</v>
      </c>
      <c r="S22" s="21" t="n">
        <f aca="false">S20-S21</f>
        <v>85561714.9782245</v>
      </c>
      <c r="T22" s="21" t="n">
        <f aca="false">T20-T21</f>
        <v>90909322.1643635</v>
      </c>
      <c r="U22" s="21" t="n">
        <f aca="false">U20-U21</f>
        <v>96591154.7996362</v>
      </c>
      <c r="V22" s="21" t="n">
        <f aca="false">V20-V21</f>
        <v>102628101.974614</v>
      </c>
      <c r="W22" s="21" t="n">
        <f aca="false">W20-W21</f>
        <v>109042358.348027</v>
      </c>
      <c r="X22" s="21" t="n">
        <f aca="false">X20-X21</f>
        <v>115857505.744779</v>
      </c>
      <c r="Y22" s="21" t="n">
        <f aca="false">Y20-Y21</f>
        <v>123098599.853827</v>
      </c>
      <c r="Z22" s="21" t="n">
        <f aca="false">Z20-Z21</f>
        <v>130792262.344691</v>
      </c>
      <c r="AA22" s="21" t="n">
        <f aca="false">AA20-AA21</f>
        <v>138966778.741235</v>
      </c>
      <c r="AB22" s="21" t="n">
        <f aca="false">AB20-AB21</f>
        <v>147652202.412562</v>
      </c>
      <c r="AC22" s="21" t="n">
        <f aca="false">AC20-AC21</f>
        <v>156880465.063347</v>
      </c>
      <c r="AD22" s="21" t="n">
        <f aca="false">AD20-AD21</f>
        <v>166685494.129806</v>
      </c>
      <c r="AE22" s="21" t="n">
        <f aca="false">AE20-AE21</f>
        <v>177103337.512919</v>
      </c>
      <c r="AF22" s="21" t="n">
        <v>0</v>
      </c>
      <c r="AG22" s="21" t="n">
        <v>0</v>
      </c>
      <c r="AH22" s="21" t="n">
        <v>0</v>
      </c>
      <c r="AI22" s="21" t="n">
        <v>0</v>
      </c>
      <c r="AJ22" s="21" t="n">
        <v>0</v>
      </c>
    </row>
    <row r="23" customFormat="false" ht="15" hidden="false" customHeight="false" outlineLevel="0" collapsed="false">
      <c r="A23" s="6"/>
      <c r="B23" s="11" t="s">
        <v>285</v>
      </c>
      <c r="C23" s="39" t="n">
        <v>0</v>
      </c>
      <c r="D23" s="39" t="n">
        <v>0</v>
      </c>
      <c r="E23" s="39" t="n">
        <v>0</v>
      </c>
      <c r="F23" s="39" t="n">
        <v>0</v>
      </c>
      <c r="G23" s="39" t="n">
        <f aca="false">Cash_Flow!G12/G20</f>
        <v>1.22135370949469</v>
      </c>
      <c r="H23" s="39" t="n">
        <f aca="false">Cash_Flow!H12/H20</f>
        <v>1.32448605838382</v>
      </c>
      <c r="I23" s="39" t="n">
        <f aca="false">Cash_Flow!I12/I20</f>
        <v>1.37030336961313</v>
      </c>
      <c r="J23" s="39" t="n">
        <f aca="false">Cash_Flow!J12/J20</f>
        <v>1.44729013346367</v>
      </c>
      <c r="K23" s="39" t="n">
        <f aca="false">Cash_Flow!K12/K20</f>
        <v>1.52938591837816</v>
      </c>
      <c r="L23" s="39" t="n">
        <f aca="false">Cash_Flow!L12/L20</f>
        <v>1.61619536887004</v>
      </c>
      <c r="M23" s="39" t="n">
        <f aca="false">Cash_Flow!M12/M20</f>
        <v>1.70797700080034</v>
      </c>
      <c r="N23" s="39" t="n">
        <f aca="false">Cash_Flow!N12/N20</f>
        <v>1.80500349655494</v>
      </c>
      <c r="O23" s="39" t="n">
        <f aca="false">Cash_Flow!O12/O20</f>
        <v>1.90756249952287</v>
      </c>
      <c r="P23" s="39" t="n">
        <f aca="false">Cash_Flow!P12/P20</f>
        <v>2.01595745497113</v>
      </c>
      <c r="Q23" s="39" t="n">
        <f aca="false">Cash_Flow!Q12/Q20</f>
        <v>2.13050850017712</v>
      </c>
      <c r="R23" s="39" t="n">
        <f aca="false">Cash_Flow!R12/R20</f>
        <v>2.25155340686757</v>
      </c>
      <c r="S23" s="39" t="n">
        <f aca="false">Cash_Flow!S12/S20</f>
        <v>2.37944857921419</v>
      </c>
      <c r="T23" s="39" t="n">
        <f aca="false">Cash_Flow!T12/T20</f>
        <v>2.51457011085154</v>
      </c>
      <c r="U23" s="39" t="n">
        <f aca="false">Cash_Flow!U12/U20</f>
        <v>2.65731490461336</v>
      </c>
      <c r="V23" s="39" t="n">
        <f aca="false">Cash_Flow!V12/V20</f>
        <v>2.80810185893039</v>
      </c>
      <c r="W23" s="39" t="n">
        <f aca="false">Cash_Flow!W12/W20</f>
        <v>2.96737312509734</v>
      </c>
      <c r="X23" s="39" t="n">
        <f aca="false">Cash_Flow!X12/X20</f>
        <v>3.0796630181947</v>
      </c>
      <c r="Y23" s="39" t="n">
        <f aca="false">Cash_Flow!Y12/Y20</f>
        <v>3.14931194335237</v>
      </c>
      <c r="Z23" s="39" t="n">
        <f aca="false">Cash_Flow!Z12/Z20</f>
        <v>3.21961156424786</v>
      </c>
      <c r="AA23" s="39" t="n">
        <f aca="false">Cash_Flow!AA12/AA20</f>
        <v>3.29160336151118</v>
      </c>
      <c r="AB23" s="39" t="n">
        <f aca="false">Cash_Flow!AB12/AB20</f>
        <v>3.36532360889452</v>
      </c>
      <c r="AC23" s="39" t="n">
        <f aca="false">Cash_Flow!AC12/AC20</f>
        <v>3.44080895764585</v>
      </c>
      <c r="AD23" s="39" t="n">
        <f aca="false">Cash_Flow!AD12/AD20</f>
        <v>3.5180964058906</v>
      </c>
      <c r="AE23" s="39" t="n">
        <f aca="false">Cash_Flow!AE12/AE20</f>
        <v>3.59722326445932</v>
      </c>
      <c r="AF23" s="39" t="n">
        <v>0</v>
      </c>
      <c r="AG23" s="39" t="n">
        <v>0</v>
      </c>
      <c r="AH23" s="39" t="n">
        <v>0</v>
      </c>
      <c r="AI23" s="39" t="n">
        <v>0</v>
      </c>
      <c r="AJ23" s="39" t="n">
        <v>0</v>
      </c>
    </row>
    <row r="24" customFormat="false" ht="15" hidden="false" customHeight="fals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customFormat="false" ht="15" hidden="false" customHeight="false" outlineLevel="0" collapsed="false">
      <c r="A25" s="6"/>
      <c r="B25" s="8" t="s">
        <v>286</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customFormat="false" ht="15" hidden="false" customHeight="fals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row>
    <row r="27" customFormat="false" ht="15" hidden="false" customHeight="false" outlineLevel="0" collapsed="false">
      <c r="A27" s="6"/>
      <c r="B27" s="11" t="s">
        <v>287</v>
      </c>
      <c r="C27" s="21" t="n">
        <v>0</v>
      </c>
      <c r="D27" s="21" t="n">
        <v>0</v>
      </c>
      <c r="E27" s="21" t="n">
        <v>0</v>
      </c>
      <c r="F27" s="21" t="n">
        <f aca="false">G20*DSRA_Months/12</f>
        <v>94086148.0537381</v>
      </c>
      <c r="G27" s="21" t="n">
        <f aca="false">$G$20*DSRA_Months/12</f>
        <v>94086148.0537381</v>
      </c>
      <c r="H27" s="21" t="n">
        <f aca="false">$G$20*DSRA_Months/12</f>
        <v>94086148.0537381</v>
      </c>
      <c r="I27" s="21" t="n">
        <f aca="false">$G$20*DSRA_Months/12</f>
        <v>94086148.0537381</v>
      </c>
      <c r="J27" s="21" t="n">
        <f aca="false">$G$20*DSRA_Months/12</f>
        <v>94086148.0537381</v>
      </c>
      <c r="K27" s="21" t="n">
        <f aca="false">$G$20*DSRA_Months/12</f>
        <v>94086148.0537381</v>
      </c>
      <c r="L27" s="21" t="n">
        <f aca="false">$G$20*DSRA_Months/12</f>
        <v>94086148.0537381</v>
      </c>
      <c r="M27" s="21" t="n">
        <f aca="false">$G$20*DSRA_Months/12</f>
        <v>94086148.0537381</v>
      </c>
      <c r="N27" s="21" t="n">
        <f aca="false">$G$20*DSRA_Months/12</f>
        <v>94086148.0537381</v>
      </c>
      <c r="O27" s="21" t="n">
        <f aca="false">$G$20*DSRA_Months/12</f>
        <v>94086148.0537381</v>
      </c>
      <c r="P27" s="21" t="n">
        <f aca="false">$G$20*DSRA_Months/12</f>
        <v>94086148.0537381</v>
      </c>
      <c r="Q27" s="21" t="n">
        <f aca="false">$G$20*DSRA_Months/12</f>
        <v>94086148.0537381</v>
      </c>
      <c r="R27" s="21" t="n">
        <f aca="false">$G$20*DSRA_Months/12</f>
        <v>94086148.0537381</v>
      </c>
      <c r="S27" s="21" t="n">
        <f aca="false">$G$20*DSRA_Months/12</f>
        <v>94086148.0537381</v>
      </c>
      <c r="T27" s="21" t="n">
        <f aca="false">$G$20*DSRA_Months/12</f>
        <v>94086148.0537381</v>
      </c>
      <c r="U27" s="21" t="n">
        <f aca="false">$G$20*DSRA_Months/12</f>
        <v>94086148.0537381</v>
      </c>
      <c r="V27" s="21" t="n">
        <f aca="false">$G$20*DSRA_Months/12</f>
        <v>94086148.0537381</v>
      </c>
      <c r="W27" s="21" t="n">
        <f aca="false">$G$20*DSRA_Months/12</f>
        <v>94086148.0537381</v>
      </c>
      <c r="X27" s="21" t="n">
        <f aca="false">$G$20*DSRA_Months/12</f>
        <v>94086148.0537381</v>
      </c>
      <c r="Y27" s="21" t="n">
        <f aca="false">$G$20*DSRA_Months/12</f>
        <v>94086148.0537381</v>
      </c>
      <c r="Z27" s="21" t="n">
        <f aca="false">$G$20*DSRA_Months/12</f>
        <v>94086148.0537381</v>
      </c>
      <c r="AA27" s="21" t="n">
        <f aca="false">$G$20*DSRA_Months/12</f>
        <v>94086148.0537381</v>
      </c>
      <c r="AB27" s="21" t="n">
        <f aca="false">$G$20*DSRA_Months/12</f>
        <v>94086148.0537381</v>
      </c>
      <c r="AC27" s="21" t="n">
        <f aca="false">$G$20*DSRA_Months/12</f>
        <v>94086148.0537381</v>
      </c>
      <c r="AD27" s="21" t="n">
        <f aca="false">$G$20*DSRA_Months/12</f>
        <v>94086148.0537381</v>
      </c>
      <c r="AE27" s="21" t="n">
        <v>0</v>
      </c>
      <c r="AF27" s="21" t="n">
        <v>0</v>
      </c>
      <c r="AG27" s="21" t="n">
        <v>0</v>
      </c>
      <c r="AH27" s="21" t="n">
        <v>0</v>
      </c>
      <c r="AI27" s="21" t="n">
        <v>0</v>
      </c>
      <c r="AJ27" s="21" t="n">
        <v>0</v>
      </c>
    </row>
    <row r="28" customFormat="false" ht="15" hidden="false" customHeight="false" outlineLevel="0" collapsed="false">
      <c r="A28" s="6"/>
      <c r="B28" s="11" t="s">
        <v>288</v>
      </c>
      <c r="C28" s="21" t="n">
        <v>0</v>
      </c>
      <c r="D28" s="21" t="n">
        <v>0</v>
      </c>
      <c r="E28" s="21" t="n">
        <v>0</v>
      </c>
      <c r="F28" s="21" t="n">
        <v>0</v>
      </c>
      <c r="G28" s="21" t="n">
        <f aca="false">F29</f>
        <v>94086148.0537381</v>
      </c>
      <c r="H28" s="21" t="n">
        <f aca="false">G29</f>
        <v>94086148.0537381</v>
      </c>
      <c r="I28" s="21" t="n">
        <f aca="false">H29</f>
        <v>94086148.0537381</v>
      </c>
      <c r="J28" s="21" t="n">
        <f aca="false">I29</f>
        <v>94086148.0537381</v>
      </c>
      <c r="K28" s="21" t="n">
        <f aca="false">J29</f>
        <v>94086148.0537381</v>
      </c>
      <c r="L28" s="21" t="n">
        <f aca="false">K29</f>
        <v>94086148.0537381</v>
      </c>
      <c r="M28" s="21" t="n">
        <f aca="false">L29</f>
        <v>94086148.0537381</v>
      </c>
      <c r="N28" s="21" t="n">
        <f aca="false">M29</f>
        <v>94086148.0537381</v>
      </c>
      <c r="O28" s="21" t="n">
        <f aca="false">N29</f>
        <v>94086148.0537381</v>
      </c>
      <c r="P28" s="21" t="n">
        <f aca="false">O29</f>
        <v>94086148.0537381</v>
      </c>
      <c r="Q28" s="21" t="n">
        <f aca="false">P29</f>
        <v>94086148.0537381</v>
      </c>
      <c r="R28" s="21" t="n">
        <f aca="false">Q29</f>
        <v>94086148.0537381</v>
      </c>
      <c r="S28" s="21" t="n">
        <f aca="false">R29</f>
        <v>94086148.0537381</v>
      </c>
      <c r="T28" s="21" t="n">
        <f aca="false">S29</f>
        <v>94086148.0537381</v>
      </c>
      <c r="U28" s="21" t="n">
        <f aca="false">T29</f>
        <v>94086148.0537381</v>
      </c>
      <c r="V28" s="21" t="n">
        <f aca="false">U29</f>
        <v>94086148.0537381</v>
      </c>
      <c r="W28" s="21" t="n">
        <f aca="false">V29</f>
        <v>94086148.0537381</v>
      </c>
      <c r="X28" s="21" t="n">
        <f aca="false">W29</f>
        <v>94086148.0537381</v>
      </c>
      <c r="Y28" s="21" t="n">
        <f aca="false">X29</f>
        <v>94086148.0537381</v>
      </c>
      <c r="Z28" s="21" t="n">
        <f aca="false">Y29</f>
        <v>94086148.0537381</v>
      </c>
      <c r="AA28" s="21" t="n">
        <f aca="false">Z29</f>
        <v>94086148.0537381</v>
      </c>
      <c r="AB28" s="21" t="n">
        <f aca="false">AA29</f>
        <v>94086148.0537381</v>
      </c>
      <c r="AC28" s="21" t="n">
        <f aca="false">AB29</f>
        <v>94086148.0537381</v>
      </c>
      <c r="AD28" s="21" t="n">
        <f aca="false">AC29</f>
        <v>94086148.0537381</v>
      </c>
      <c r="AE28" s="21" t="n">
        <f aca="false">AD29</f>
        <v>94086148.0537381</v>
      </c>
      <c r="AF28" s="21" t="n">
        <f aca="false">AE29</f>
        <v>0</v>
      </c>
      <c r="AG28" s="21" t="n">
        <f aca="false">AF29</f>
        <v>0</v>
      </c>
      <c r="AH28" s="21" t="n">
        <f aca="false">AG29</f>
        <v>0</v>
      </c>
      <c r="AI28" s="21" t="n">
        <f aca="false">AH29</f>
        <v>0</v>
      </c>
      <c r="AJ28" s="21" t="n">
        <f aca="false">AI29</f>
        <v>0</v>
      </c>
    </row>
    <row r="29" customFormat="false" ht="15" hidden="false" customHeight="false" outlineLevel="0" collapsed="false">
      <c r="A29" s="6"/>
      <c r="B29" s="28" t="s">
        <v>289</v>
      </c>
      <c r="C29" s="29" t="n">
        <v>0</v>
      </c>
      <c r="D29" s="29" t="n">
        <v>0</v>
      </c>
      <c r="E29" s="29" t="n">
        <v>0</v>
      </c>
      <c r="F29" s="29" t="n">
        <f aca="false">F27</f>
        <v>94086148.0537381</v>
      </c>
      <c r="G29" s="29" t="n">
        <f aca="false">G27</f>
        <v>94086148.0537381</v>
      </c>
      <c r="H29" s="29" t="n">
        <f aca="false">H27</f>
        <v>94086148.0537381</v>
      </c>
      <c r="I29" s="29" t="n">
        <f aca="false">I27</f>
        <v>94086148.0537381</v>
      </c>
      <c r="J29" s="29" t="n">
        <f aca="false">J27</f>
        <v>94086148.0537381</v>
      </c>
      <c r="K29" s="29" t="n">
        <f aca="false">K27</f>
        <v>94086148.0537381</v>
      </c>
      <c r="L29" s="29" t="n">
        <f aca="false">L27</f>
        <v>94086148.0537381</v>
      </c>
      <c r="M29" s="29" t="n">
        <f aca="false">M27</f>
        <v>94086148.0537381</v>
      </c>
      <c r="N29" s="29" t="n">
        <f aca="false">N27</f>
        <v>94086148.0537381</v>
      </c>
      <c r="O29" s="29" t="n">
        <f aca="false">O27</f>
        <v>94086148.0537381</v>
      </c>
      <c r="P29" s="29" t="n">
        <f aca="false">P27</f>
        <v>94086148.0537381</v>
      </c>
      <c r="Q29" s="29" t="n">
        <f aca="false">Q27</f>
        <v>94086148.0537381</v>
      </c>
      <c r="R29" s="29" t="n">
        <f aca="false">R27</f>
        <v>94086148.0537381</v>
      </c>
      <c r="S29" s="29" t="n">
        <f aca="false">S27</f>
        <v>94086148.0537381</v>
      </c>
      <c r="T29" s="29" t="n">
        <f aca="false">T27</f>
        <v>94086148.0537381</v>
      </c>
      <c r="U29" s="29" t="n">
        <f aca="false">U27</f>
        <v>94086148.0537381</v>
      </c>
      <c r="V29" s="29" t="n">
        <f aca="false">V27</f>
        <v>94086148.0537381</v>
      </c>
      <c r="W29" s="29" t="n">
        <f aca="false">W27</f>
        <v>94086148.0537381</v>
      </c>
      <c r="X29" s="29" t="n">
        <f aca="false">X27</f>
        <v>94086148.0537381</v>
      </c>
      <c r="Y29" s="29" t="n">
        <f aca="false">Y27</f>
        <v>94086148.0537381</v>
      </c>
      <c r="Z29" s="29" t="n">
        <f aca="false">Z27</f>
        <v>94086148.0537381</v>
      </c>
      <c r="AA29" s="29" t="n">
        <f aca="false">AA27</f>
        <v>94086148.0537381</v>
      </c>
      <c r="AB29" s="29" t="n">
        <f aca="false">AB27</f>
        <v>94086148.0537381</v>
      </c>
      <c r="AC29" s="29" t="n">
        <f aca="false">AC27</f>
        <v>94086148.0537381</v>
      </c>
      <c r="AD29" s="29" t="n">
        <f aca="false">AD27</f>
        <v>94086148.0537381</v>
      </c>
      <c r="AE29" s="29" t="n">
        <v>0</v>
      </c>
      <c r="AF29" s="29" t="n">
        <v>0</v>
      </c>
      <c r="AG29" s="29" t="n">
        <v>0</v>
      </c>
      <c r="AH29" s="29" t="n">
        <v>0</v>
      </c>
      <c r="AI29" s="29" t="n">
        <v>0</v>
      </c>
      <c r="AJ29" s="29" t="n">
        <v>0</v>
      </c>
    </row>
    <row r="30" customFormat="false" ht="15" hidden="false" customHeight="false" outlineLevel="0" collapsed="false">
      <c r="A30" s="6"/>
      <c r="B30" s="11" t="s">
        <v>290</v>
      </c>
      <c r="C30" s="21" t="n">
        <v>0</v>
      </c>
      <c r="D30" s="21" t="n">
        <v>0</v>
      </c>
      <c r="E30" s="21" t="n">
        <v>0</v>
      </c>
      <c r="F30" s="21" t="n">
        <f aca="false">F29-F28</f>
        <v>94086148.0537381</v>
      </c>
      <c r="G30" s="21" t="n">
        <f aca="false">G29-G28</f>
        <v>0</v>
      </c>
      <c r="H30" s="21" t="n">
        <f aca="false">H29-H28</f>
        <v>0</v>
      </c>
      <c r="I30" s="21" t="n">
        <f aca="false">I29-I28</f>
        <v>0</v>
      </c>
      <c r="J30" s="21" t="n">
        <f aca="false">J29-J28</f>
        <v>0</v>
      </c>
      <c r="K30" s="21" t="n">
        <f aca="false">K29-K28</f>
        <v>0</v>
      </c>
      <c r="L30" s="21" t="n">
        <f aca="false">L29-L28</f>
        <v>0</v>
      </c>
      <c r="M30" s="21" t="n">
        <f aca="false">M29-M28</f>
        <v>0</v>
      </c>
      <c r="N30" s="21" t="n">
        <f aca="false">N29-N28</f>
        <v>0</v>
      </c>
      <c r="O30" s="21" t="n">
        <f aca="false">O29-O28</f>
        <v>0</v>
      </c>
      <c r="P30" s="21" t="n">
        <f aca="false">P29-P28</f>
        <v>0</v>
      </c>
      <c r="Q30" s="21" t="n">
        <f aca="false">Q29-Q28</f>
        <v>0</v>
      </c>
      <c r="R30" s="21" t="n">
        <f aca="false">R29-R28</f>
        <v>0</v>
      </c>
      <c r="S30" s="21" t="n">
        <f aca="false">S29-S28</f>
        <v>0</v>
      </c>
      <c r="T30" s="21" t="n">
        <f aca="false">T29-T28</f>
        <v>0</v>
      </c>
      <c r="U30" s="21" t="n">
        <f aca="false">U29-U28</f>
        <v>0</v>
      </c>
      <c r="V30" s="21" t="n">
        <f aca="false">V29-V28</f>
        <v>0</v>
      </c>
      <c r="W30" s="21" t="n">
        <f aca="false">W29-W28</f>
        <v>0</v>
      </c>
      <c r="X30" s="21" t="n">
        <f aca="false">X29-X28</f>
        <v>0</v>
      </c>
      <c r="Y30" s="21" t="n">
        <f aca="false">Y29-Y28</f>
        <v>0</v>
      </c>
      <c r="Z30" s="21" t="n">
        <f aca="false">Z29-Z28</f>
        <v>0</v>
      </c>
      <c r="AA30" s="21" t="n">
        <f aca="false">AA29-AA28</f>
        <v>0</v>
      </c>
      <c r="AB30" s="21" t="n">
        <f aca="false">AB29-AB28</f>
        <v>0</v>
      </c>
      <c r="AC30" s="21" t="n">
        <f aca="false">AC29-AC28</f>
        <v>0</v>
      </c>
      <c r="AD30" s="21" t="n">
        <f aca="false">AD29-AD28</f>
        <v>0</v>
      </c>
      <c r="AE30" s="21" t="n">
        <f aca="false">AE29-AE28</f>
        <v>-94086148.0537381</v>
      </c>
      <c r="AF30" s="21" t="n">
        <f aca="false">AF29-AF28</f>
        <v>0</v>
      </c>
      <c r="AG30" s="21" t="n">
        <f aca="false">AG29-AG28</f>
        <v>0</v>
      </c>
      <c r="AH30" s="21" t="n">
        <f aca="false">AH29-AH28</f>
        <v>0</v>
      </c>
      <c r="AI30" s="21" t="n">
        <f aca="false">AI29-AI28</f>
        <v>0</v>
      </c>
      <c r="AJ30" s="21" t="n">
        <f aca="false">AJ29-AJ28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BFBF"/>
    <pageSetUpPr fitToPage="false"/>
  </sheetPr>
  <dimension ref="A1:AJ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291</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292</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242</v>
      </c>
      <c r="C8" s="21" t="n">
        <v>0</v>
      </c>
      <c r="D8" s="21" t="n">
        <v>0</v>
      </c>
      <c r="E8" s="21" t="n">
        <v>0</v>
      </c>
      <c r="F8" s="21" t="n">
        <v>0</v>
      </c>
      <c r="G8" s="21" t="n">
        <f aca="false">Opex!G31</f>
        <v>295164006.666667</v>
      </c>
      <c r="H8" s="21" t="n">
        <f aca="false">Opex!H31</f>
        <v>312221046.032</v>
      </c>
      <c r="I8" s="21" t="n">
        <f aca="false">Opex!I31</f>
        <v>324947599.947662</v>
      </c>
      <c r="J8" s="21" t="n">
        <f aca="false">Opex!J31</f>
        <v>345843113.33646</v>
      </c>
      <c r="K8" s="21" t="n">
        <f aca="false">Opex!K31</f>
        <v>367928283.951515</v>
      </c>
      <c r="L8" s="21" t="n">
        <f aca="false">Opex!L31</f>
        <v>391268576.88049</v>
      </c>
      <c r="M8" s="21" t="n">
        <f aca="false">Opex!M31</f>
        <v>415933066.286077</v>
      </c>
      <c r="N8" s="21" t="n">
        <f aca="false">Opex!N31</f>
        <v>441994638.877212</v>
      </c>
      <c r="O8" s="21" t="n">
        <f aca="false">Opex!O31</f>
        <v>469530209.290008</v>
      </c>
      <c r="P8" s="21" t="n">
        <f aca="false">Opex!P31</f>
        <v>498620948.111084</v>
      </c>
      <c r="Q8" s="21" t="n">
        <f aca="false">Opex!Q31</f>
        <v>529352523.323708</v>
      </c>
      <c r="R8" s="21" t="n">
        <f aca="false">Opex!R31</f>
        <v>561815356.008287</v>
      </c>
      <c r="S8" s="21" t="n">
        <f aca="false">Opex!S31</f>
        <v>596104891.183384</v>
      </c>
      <c r="T8" s="21" t="n">
        <f aca="false">Opex!T31</f>
        <v>632321884.731873</v>
      </c>
      <c r="U8" s="21" t="n">
        <f aca="false">Opex!U31</f>
        <v>670572707.419441</v>
      </c>
      <c r="V8" s="21" t="n">
        <f aca="false">Opex!V31</f>
        <v>710969667.079602</v>
      </c>
      <c r="W8" s="21" t="n">
        <f aca="false">Opex!W31</f>
        <v>753631350.111061</v>
      </c>
      <c r="X8" s="21" t="n">
        <f aca="false">Opex!X31</f>
        <v>784322547.760996</v>
      </c>
      <c r="Y8" s="21" t="n">
        <f aca="false">Opex!Y31</f>
        <v>804498325.78359</v>
      </c>
      <c r="Z8" s="21" t="n">
        <f aca="false">Opex!Z31</f>
        <v>825248862.006375</v>
      </c>
      <c r="AA8" s="21" t="n">
        <f aca="false">Opex!AA31</f>
        <v>846592718.943763</v>
      </c>
      <c r="AB8" s="21" t="n">
        <f aca="false">Opex!AB31</f>
        <v>868549152.405577</v>
      </c>
      <c r="AC8" s="21" t="n">
        <f aca="false">Opex!AC31</f>
        <v>891138141.530718</v>
      </c>
      <c r="AD8" s="21" t="n">
        <f aca="false">Opex!AD31</f>
        <v>914380420.297549</v>
      </c>
      <c r="AE8" s="21" t="n">
        <f aca="false">Opex!AE31</f>
        <v>938297510.590471</v>
      </c>
      <c r="AF8" s="21" t="n">
        <f aca="false">Opex!AF31</f>
        <v>962911756.906691</v>
      </c>
      <c r="AG8" s="21" t="n">
        <f aca="false">Opex!AG31</f>
        <v>988246362.791963</v>
      </c>
      <c r="AH8" s="21" t="n">
        <f aca="false">Opex!AH31</f>
        <v>1014325429.09918</v>
      </c>
      <c r="AI8" s="21" t="n">
        <f aca="false">Opex!AI31</f>
        <v>1041173994.16899</v>
      </c>
      <c r="AJ8" s="21" t="n">
        <f aca="false">Opex!AJ31</f>
        <v>1068818076.03747</v>
      </c>
    </row>
    <row r="9" customFormat="false" ht="15" hidden="false" customHeight="false" outlineLevel="0" collapsed="false">
      <c r="A9" s="6"/>
      <c r="B9" s="11" t="s">
        <v>293</v>
      </c>
      <c r="C9" s="21" t="n">
        <v>0</v>
      </c>
      <c r="D9" s="21" t="n">
        <v>0</v>
      </c>
      <c r="E9" s="21" t="n">
        <v>0</v>
      </c>
      <c r="F9" s="21" t="n">
        <v>0</v>
      </c>
      <c r="G9" s="21" t="n">
        <f aca="false">Capex_Depr!G30</f>
        <v>101645833.333333</v>
      </c>
      <c r="H9" s="21" t="n">
        <f aca="false">Capex_Depr!H30</f>
        <v>103170520.833333</v>
      </c>
      <c r="I9" s="21" t="n">
        <f aca="false">Capex_Depr!I30</f>
        <v>104718078.645833</v>
      </c>
      <c r="J9" s="21" t="n">
        <f aca="false">Capex_Depr!J30</f>
        <v>106288849.825521</v>
      </c>
      <c r="K9" s="21" t="n">
        <f aca="false">Capex_Depr!K30</f>
        <v>107883182.572904</v>
      </c>
      <c r="L9" s="21" t="n">
        <f aca="false">Capex_Depr!L30</f>
        <v>109501430.311497</v>
      </c>
      <c r="M9" s="21" t="n">
        <f aca="false">Capex_Depr!M30</f>
        <v>111143951.76617</v>
      </c>
      <c r="N9" s="21" t="n">
        <f aca="false">Capex_Depr!N30</f>
        <v>112811111.042662</v>
      </c>
      <c r="O9" s="21" t="n">
        <f aca="false">Capex_Depr!O30</f>
        <v>114503277.708302</v>
      </c>
      <c r="P9" s="21" t="n">
        <f aca="false">Capex_Depr!P30</f>
        <v>116220826.873927</v>
      </c>
      <c r="Q9" s="21" t="n">
        <f aca="false">Capex_Depr!Q30</f>
        <v>117964139.277036</v>
      </c>
      <c r="R9" s="21" t="n">
        <f aca="false">Capex_Depr!R30</f>
        <v>119733601.366191</v>
      </c>
      <c r="S9" s="21" t="n">
        <f aca="false">Capex_Depr!S30</f>
        <v>121529605.386684</v>
      </c>
      <c r="T9" s="21" t="n">
        <f aca="false">Capex_Depr!T30</f>
        <v>123352549.467484</v>
      </c>
      <c r="U9" s="21" t="n">
        <f aca="false">Capex_Depr!U30</f>
        <v>125202837.709497</v>
      </c>
      <c r="V9" s="21" t="n">
        <f aca="false">Capex_Depr!V30</f>
        <v>127080880.275139</v>
      </c>
      <c r="W9" s="21" t="n">
        <f aca="false">Capex_Depr!W30</f>
        <v>128987093.479266</v>
      </c>
      <c r="X9" s="21" t="n">
        <f aca="false">Capex_Depr!X30</f>
        <v>130921899.881455</v>
      </c>
      <c r="Y9" s="21" t="n">
        <f aca="false">Capex_Depr!Y30</f>
        <v>132885728.379677</v>
      </c>
      <c r="Z9" s="21" t="n">
        <f aca="false">Capex_Depr!Z30</f>
        <v>134879014.305372</v>
      </c>
      <c r="AA9" s="21" t="n">
        <f aca="false">Capex_Depr!AA30</f>
        <v>136902199.519953</v>
      </c>
      <c r="AB9" s="21" t="n">
        <f aca="false">Capex_Depr!AB30</f>
        <v>138955732.512752</v>
      </c>
      <c r="AC9" s="21" t="n">
        <f aca="false">Capex_Depr!AC30</f>
        <v>141040068.500443</v>
      </c>
      <c r="AD9" s="21" t="n">
        <f aca="false">Capex_Depr!AD30</f>
        <v>143155669.52795</v>
      </c>
      <c r="AE9" s="21" t="n">
        <f aca="false">Capex_Depr!AE30</f>
        <v>145303004.570869</v>
      </c>
      <c r="AF9" s="21" t="n">
        <f aca="false">Capex_Depr!AF30</f>
        <v>147482549.639432</v>
      </c>
      <c r="AG9" s="21" t="n">
        <f aca="false">Capex_Depr!AG30</f>
        <v>149694787.884024</v>
      </c>
      <c r="AH9" s="21" t="n">
        <f aca="false">Capex_Depr!AH30</f>
        <v>151940209.702284</v>
      </c>
      <c r="AI9" s="21" t="n">
        <f aca="false">Capex_Depr!AI30</f>
        <v>154219312.847818</v>
      </c>
      <c r="AJ9" s="21" t="n">
        <f aca="false">Capex_Depr!AJ30</f>
        <v>156532602.540535</v>
      </c>
    </row>
    <row r="10" customFormat="false" ht="15" hidden="false" customHeight="false" outlineLevel="0" collapsed="false">
      <c r="A10" s="6"/>
      <c r="B10" s="11" t="s">
        <v>294</v>
      </c>
      <c r="C10" s="21" t="n">
        <v>0</v>
      </c>
      <c r="D10" s="21" t="n">
        <v>0</v>
      </c>
      <c r="E10" s="21" t="n">
        <v>0</v>
      </c>
      <c r="F10" s="21" t="n">
        <v>0</v>
      </c>
      <c r="G10" s="21" t="n">
        <f aca="false">Debt!G21</f>
        <v>146835937.5</v>
      </c>
      <c r="H10" s="21" t="n">
        <f aca="false">Debt!H21</f>
        <v>144252415.087033</v>
      </c>
      <c r="I10" s="21" t="n">
        <f aca="false">Debt!I21</f>
        <v>141507422.523255</v>
      </c>
      <c r="J10" s="21" t="n">
        <f aca="false">Debt!J21</f>
        <v>138590867.924241</v>
      </c>
      <c r="K10" s="21" t="n">
        <f aca="false">Debt!K21</f>
        <v>135492028.662789</v>
      </c>
      <c r="L10" s="21" t="n">
        <f aca="false">Debt!L21</f>
        <v>132199511.947496</v>
      </c>
      <c r="M10" s="21" t="n">
        <f aca="false">Debt!M21</f>
        <v>128701212.937497</v>
      </c>
      <c r="N10" s="21" t="n">
        <f aca="false">Debt!N21</f>
        <v>124984270.239374</v>
      </c>
      <c r="O10" s="21" t="n">
        <f aca="false">Debt!O21</f>
        <v>121035018.622617</v>
      </c>
      <c r="P10" s="21" t="n">
        <f aca="false">Debt!P21</f>
        <v>116838938.779813</v>
      </c>
      <c r="Q10" s="21" t="n">
        <f aca="false">Debt!Q21</f>
        <v>112380603.946835</v>
      </c>
      <c r="R10" s="21" t="n">
        <f aca="false">Debt!R21</f>
        <v>107643623.186794</v>
      </c>
      <c r="S10" s="21" t="n">
        <f aca="false">Debt!S21</f>
        <v>102610581.129252</v>
      </c>
      <c r="T10" s="21" t="n">
        <f aca="false">Debt!T21</f>
        <v>97262973.9431128</v>
      </c>
      <c r="U10" s="21" t="n">
        <f aca="false">Debt!U21</f>
        <v>91581141.30784</v>
      </c>
      <c r="V10" s="21" t="n">
        <f aca="false">Debt!V21</f>
        <v>85544194.1328628</v>
      </c>
      <c r="W10" s="21" t="n">
        <f aca="false">Debt!W21</f>
        <v>79129937.7594494</v>
      </c>
      <c r="X10" s="21" t="n">
        <f aca="false">Debt!X21</f>
        <v>72314790.3626977</v>
      </c>
      <c r="Y10" s="21" t="n">
        <f aca="false">Debt!Y21</f>
        <v>65073696.2536491</v>
      </c>
      <c r="Z10" s="21" t="n">
        <f aca="false">Debt!Z21</f>
        <v>57380033.7627849</v>
      </c>
      <c r="AA10" s="21" t="n">
        <f aca="false">Debt!AA21</f>
        <v>49205517.3662417</v>
      </c>
      <c r="AB10" s="21" t="n">
        <f aca="false">Debt!AB21</f>
        <v>40520093.6949145</v>
      </c>
      <c r="AC10" s="21" t="n">
        <f aca="false">Debt!AC21</f>
        <v>31291831.0441294</v>
      </c>
      <c r="AD10" s="21" t="n">
        <f aca="false">Debt!AD21</f>
        <v>21486801.9776702</v>
      </c>
      <c r="AE10" s="21" t="n">
        <f aca="false">Debt!AE21</f>
        <v>11068958.5945573</v>
      </c>
      <c r="AF10" s="21" t="n">
        <f aca="false">Debt!AF21</f>
        <v>0</v>
      </c>
      <c r="AG10" s="21" t="n">
        <f aca="false">Debt!AG21</f>
        <v>0</v>
      </c>
      <c r="AH10" s="21" t="n">
        <f aca="false">Debt!AH21</f>
        <v>0</v>
      </c>
      <c r="AI10" s="21" t="n">
        <f aca="false">Debt!AI21</f>
        <v>0</v>
      </c>
      <c r="AJ10" s="21" t="n">
        <f aca="false">Debt!AJ21</f>
        <v>0</v>
      </c>
    </row>
    <row r="11" customFormat="false" ht="15" hidden="false" customHeight="false" outlineLevel="0" collapsed="false">
      <c r="A11" s="6"/>
      <c r="B11" s="28" t="s">
        <v>295</v>
      </c>
      <c r="C11" s="29" t="n">
        <v>0</v>
      </c>
      <c r="D11" s="29" t="n">
        <v>0</v>
      </c>
      <c r="E11" s="29" t="n">
        <v>0</v>
      </c>
      <c r="F11" s="29" t="n">
        <v>0</v>
      </c>
      <c r="G11" s="29" t="n">
        <f aca="false">G8-G9-G10</f>
        <v>46682235.8333334</v>
      </c>
      <c r="H11" s="29" t="n">
        <f aca="false">H8-H9-H10</f>
        <v>64798110.111634</v>
      </c>
      <c r="I11" s="29" t="n">
        <f aca="false">I8-I9-I10</f>
        <v>78722098.7785739</v>
      </c>
      <c r="J11" s="29" t="n">
        <f aca="false">J8-J9-J10</f>
        <v>100963395.586698</v>
      </c>
      <c r="K11" s="29" t="n">
        <f aca="false">K8-K9-K10</f>
        <v>124553072.715822</v>
      </c>
      <c r="L11" s="29" t="n">
        <f aca="false">L8-L9-L10</f>
        <v>149567634.621496</v>
      </c>
      <c r="M11" s="29" t="n">
        <f aca="false">M8-M9-M10</f>
        <v>176087901.58241</v>
      </c>
      <c r="N11" s="29" t="n">
        <f aca="false">N8-N9-N10</f>
        <v>204199257.595176</v>
      </c>
      <c r="O11" s="29" t="n">
        <f aca="false">O8-O9-O10</f>
        <v>233991912.959089</v>
      </c>
      <c r="P11" s="29" t="n">
        <f aca="false">P8-P9-P10</f>
        <v>265561182.457344</v>
      </c>
      <c r="Q11" s="29" t="n">
        <f aca="false">Q8-Q9-Q10</f>
        <v>299007780.099838</v>
      </c>
      <c r="R11" s="29" t="n">
        <f aca="false">R8-R9-R10</f>
        <v>334438131.455302</v>
      </c>
      <c r="S11" s="29" t="n">
        <f aca="false">S8-S9-S10</f>
        <v>371964704.667448</v>
      </c>
      <c r="T11" s="29" t="n">
        <f aca="false">T8-T9-T10</f>
        <v>411706361.321276</v>
      </c>
      <c r="U11" s="29" t="n">
        <f aca="false">U8-U9-U10</f>
        <v>453788728.402105</v>
      </c>
      <c r="V11" s="29" t="n">
        <f aca="false">V8-V9-V10</f>
        <v>498344592.671601</v>
      </c>
      <c r="W11" s="29" t="n">
        <f aca="false">W8-W9-W10</f>
        <v>545514318.872345</v>
      </c>
      <c r="X11" s="29" t="n">
        <f aca="false">X8-X9-X10</f>
        <v>581085857.516844</v>
      </c>
      <c r="Y11" s="29" t="n">
        <f aca="false">Y8-Y9-Y10</f>
        <v>606538901.150264</v>
      </c>
      <c r="Z11" s="29" t="n">
        <f aca="false">Z8-Z9-Z10</f>
        <v>632989813.938218</v>
      </c>
      <c r="AA11" s="29" t="n">
        <f aca="false">AA8-AA9-AA10</f>
        <v>660485002.057568</v>
      </c>
      <c r="AB11" s="29" t="n">
        <f aca="false">AB8-AB9-AB10</f>
        <v>689073326.19791</v>
      </c>
      <c r="AC11" s="29" t="n">
        <f aca="false">AC8-AC9-AC10</f>
        <v>718806241.986145</v>
      </c>
      <c r="AD11" s="29" t="n">
        <f aca="false">AD8-AD9-AD10</f>
        <v>749737948.791929</v>
      </c>
      <c r="AE11" s="29" t="n">
        <f aca="false">AE8-AE9-AE10</f>
        <v>781925547.425045</v>
      </c>
      <c r="AF11" s="29" t="n">
        <f aca="false">AF8-AF9-AF10</f>
        <v>815429207.267258</v>
      </c>
      <c r="AG11" s="29" t="n">
        <f aca="false">AG8-AG9-AG10</f>
        <v>838551574.907939</v>
      </c>
      <c r="AH11" s="29" t="n">
        <f aca="false">AH8-AH9-AH10</f>
        <v>862385219.396892</v>
      </c>
      <c r="AI11" s="29" t="n">
        <f aca="false">AI8-AI9-AI10</f>
        <v>886954681.321175</v>
      </c>
      <c r="AJ11" s="29" t="n">
        <f aca="false">AJ8-AJ9-AJ10</f>
        <v>912285473.496935</v>
      </c>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row>
    <row r="13" customFormat="false" ht="15" hidden="false" customHeight="false" outlineLevel="0" collapsed="false">
      <c r="A13" s="6"/>
      <c r="B13" s="8" t="s">
        <v>296</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row>
    <row r="15" customFormat="false" ht="15" hidden="false" customHeight="false" outlineLevel="0" collapsed="false">
      <c r="A15" s="6"/>
      <c r="B15" s="11" t="s">
        <v>297</v>
      </c>
      <c r="C15" s="21" t="n">
        <v>0</v>
      </c>
      <c r="D15" s="21" t="n">
        <v>0</v>
      </c>
      <c r="E15" s="21" t="n">
        <v>0</v>
      </c>
      <c r="F15" s="21" t="n">
        <v>0</v>
      </c>
      <c r="G15" s="21" t="n">
        <f aca="false">F16</f>
        <v>0</v>
      </c>
      <c r="H15" s="21" t="n">
        <f aca="false">G16</f>
        <v>0</v>
      </c>
      <c r="I15" s="21" t="n">
        <f aca="false">H16</f>
        <v>0</v>
      </c>
      <c r="J15" s="21" t="n">
        <f aca="false">I16</f>
        <v>0</v>
      </c>
      <c r="K15" s="21" t="n">
        <f aca="false">J16</f>
        <v>0</v>
      </c>
      <c r="L15" s="21" t="n">
        <f aca="false">K16</f>
        <v>0</v>
      </c>
      <c r="M15" s="21" t="n">
        <f aca="false">L16</f>
        <v>0</v>
      </c>
      <c r="N15" s="21" t="n">
        <f aca="false">M16</f>
        <v>0</v>
      </c>
      <c r="O15" s="21" t="n">
        <f aca="false">N16</f>
        <v>0</v>
      </c>
      <c r="P15" s="21" t="n">
        <f aca="false">O16</f>
        <v>0</v>
      </c>
      <c r="Q15" s="21" t="n">
        <f aca="false">P16</f>
        <v>0</v>
      </c>
      <c r="R15" s="21" t="n">
        <f aca="false">Q16</f>
        <v>0</v>
      </c>
      <c r="S15" s="21" t="n">
        <f aca="false">R16</f>
        <v>0</v>
      </c>
      <c r="T15" s="21" t="n">
        <f aca="false">S16</f>
        <v>0</v>
      </c>
      <c r="U15" s="21" t="n">
        <f aca="false">T16</f>
        <v>0</v>
      </c>
      <c r="V15" s="21" t="n">
        <f aca="false">U16</f>
        <v>0</v>
      </c>
      <c r="W15" s="21" t="n">
        <f aca="false">V16</f>
        <v>0</v>
      </c>
      <c r="X15" s="21" t="n">
        <f aca="false">W16</f>
        <v>0</v>
      </c>
      <c r="Y15" s="21" t="n">
        <f aca="false">X16</f>
        <v>0</v>
      </c>
      <c r="Z15" s="21" t="n">
        <f aca="false">Y16</f>
        <v>0</v>
      </c>
      <c r="AA15" s="21" t="n">
        <f aca="false">Z16</f>
        <v>0</v>
      </c>
      <c r="AB15" s="21" t="n">
        <f aca="false">AA16</f>
        <v>0</v>
      </c>
      <c r="AC15" s="21" t="n">
        <f aca="false">AB16</f>
        <v>0</v>
      </c>
      <c r="AD15" s="21" t="n">
        <f aca="false">AC16</f>
        <v>0</v>
      </c>
      <c r="AE15" s="21" t="n">
        <f aca="false">AD16</f>
        <v>0</v>
      </c>
      <c r="AF15" s="21" t="n">
        <f aca="false">AE16</f>
        <v>0</v>
      </c>
      <c r="AG15" s="21" t="n">
        <f aca="false">AF16</f>
        <v>0</v>
      </c>
      <c r="AH15" s="21" t="n">
        <f aca="false">AG16</f>
        <v>0</v>
      </c>
      <c r="AI15" s="21" t="n">
        <f aca="false">AH16</f>
        <v>0</v>
      </c>
      <c r="AJ15" s="21" t="n">
        <f aca="false">AI16</f>
        <v>0</v>
      </c>
    </row>
    <row r="16" customFormat="false" ht="15" hidden="false" customHeight="false" outlineLevel="0" collapsed="false">
      <c r="A16" s="6"/>
      <c r="B16" s="11" t="s">
        <v>298</v>
      </c>
      <c r="C16" s="21" t="n">
        <v>0</v>
      </c>
      <c r="D16" s="21" t="n">
        <v>0</v>
      </c>
      <c r="E16" s="21" t="n">
        <v>0</v>
      </c>
      <c r="F16" s="21" t="n">
        <v>0</v>
      </c>
      <c r="G16" s="21" t="n">
        <f aca="false">MAX(0,G15-G11)</f>
        <v>0</v>
      </c>
      <c r="H16" s="21" t="n">
        <f aca="false">MAX(0,H15-H11)</f>
        <v>0</v>
      </c>
      <c r="I16" s="21" t="n">
        <f aca="false">MAX(0,I15-I11)</f>
        <v>0</v>
      </c>
      <c r="J16" s="21" t="n">
        <f aca="false">MAX(0,J15-J11)</f>
        <v>0</v>
      </c>
      <c r="K16" s="21" t="n">
        <f aca="false">MAX(0,K15-K11)</f>
        <v>0</v>
      </c>
      <c r="L16" s="21" t="n">
        <f aca="false">MAX(0,L15-L11)</f>
        <v>0</v>
      </c>
      <c r="M16" s="21" t="n">
        <f aca="false">MAX(0,M15-M11)</f>
        <v>0</v>
      </c>
      <c r="N16" s="21" t="n">
        <f aca="false">MAX(0,N15-N11)</f>
        <v>0</v>
      </c>
      <c r="O16" s="21" t="n">
        <f aca="false">MAX(0,O15-O11)</f>
        <v>0</v>
      </c>
      <c r="P16" s="21" t="n">
        <f aca="false">MAX(0,P15-P11)</f>
        <v>0</v>
      </c>
      <c r="Q16" s="21" t="n">
        <f aca="false">MAX(0,Q15-Q11)</f>
        <v>0</v>
      </c>
      <c r="R16" s="21" t="n">
        <f aca="false">MAX(0,R15-R11)</f>
        <v>0</v>
      </c>
      <c r="S16" s="21" t="n">
        <f aca="false">MAX(0,S15-S11)</f>
        <v>0</v>
      </c>
      <c r="T16" s="21" t="n">
        <f aca="false">MAX(0,T15-T11)</f>
        <v>0</v>
      </c>
      <c r="U16" s="21" t="n">
        <f aca="false">MAX(0,U15-U11)</f>
        <v>0</v>
      </c>
      <c r="V16" s="21" t="n">
        <f aca="false">MAX(0,V15-V11)</f>
        <v>0</v>
      </c>
      <c r="W16" s="21" t="n">
        <f aca="false">MAX(0,W15-W11)</f>
        <v>0</v>
      </c>
      <c r="X16" s="21" t="n">
        <f aca="false">MAX(0,X15-X11)</f>
        <v>0</v>
      </c>
      <c r="Y16" s="21" t="n">
        <f aca="false">MAX(0,Y15-Y11)</f>
        <v>0</v>
      </c>
      <c r="Z16" s="21" t="n">
        <f aca="false">MAX(0,Z15-Z11)</f>
        <v>0</v>
      </c>
      <c r="AA16" s="21" t="n">
        <f aca="false">MAX(0,AA15-AA11)</f>
        <v>0</v>
      </c>
      <c r="AB16" s="21" t="n">
        <f aca="false">MAX(0,AB15-AB11)</f>
        <v>0</v>
      </c>
      <c r="AC16" s="21" t="n">
        <f aca="false">MAX(0,AC15-AC11)</f>
        <v>0</v>
      </c>
      <c r="AD16" s="21" t="n">
        <f aca="false">MAX(0,AD15-AD11)</f>
        <v>0</v>
      </c>
      <c r="AE16" s="21" t="n">
        <f aca="false">MAX(0,AE15-AE11)</f>
        <v>0</v>
      </c>
      <c r="AF16" s="21" t="n">
        <f aca="false">MAX(0,AF15-AF11)</f>
        <v>0</v>
      </c>
      <c r="AG16" s="21" t="n">
        <f aca="false">MAX(0,AG15-AG11)</f>
        <v>0</v>
      </c>
      <c r="AH16" s="21" t="n">
        <f aca="false">MAX(0,AH15-AH11)</f>
        <v>0</v>
      </c>
      <c r="AI16" s="21" t="n">
        <f aca="false">MAX(0,AI15-AI11)</f>
        <v>0</v>
      </c>
      <c r="AJ16" s="21" t="n">
        <f aca="false">MAX(0,AJ15-AJ11)</f>
        <v>0</v>
      </c>
    </row>
    <row r="17" customFormat="false" ht="15" hidden="false" customHeight="false" outlineLevel="0" collapsed="false">
      <c r="A17" s="6"/>
      <c r="B17" s="11" t="s">
        <v>299</v>
      </c>
      <c r="C17" s="21" t="n">
        <v>0</v>
      </c>
      <c r="D17" s="21" t="n">
        <v>0</v>
      </c>
      <c r="E17" s="21" t="n">
        <v>0</v>
      </c>
      <c r="F17" s="21" t="n">
        <v>0</v>
      </c>
      <c r="G17" s="21" t="n">
        <f aca="false">MAX(0,G11-G15)</f>
        <v>46682235.8333334</v>
      </c>
      <c r="H17" s="21" t="n">
        <f aca="false">MAX(0,H11-H15)</f>
        <v>64798110.111634</v>
      </c>
      <c r="I17" s="21" t="n">
        <f aca="false">MAX(0,I11-I15)</f>
        <v>78722098.7785739</v>
      </c>
      <c r="J17" s="21" t="n">
        <f aca="false">MAX(0,J11-J15)</f>
        <v>100963395.586698</v>
      </c>
      <c r="K17" s="21" t="n">
        <f aca="false">MAX(0,K11-K15)</f>
        <v>124553072.715822</v>
      </c>
      <c r="L17" s="21" t="n">
        <f aca="false">MAX(0,L11-L15)</f>
        <v>149567634.621496</v>
      </c>
      <c r="M17" s="21" t="n">
        <f aca="false">MAX(0,M11-M15)</f>
        <v>176087901.58241</v>
      </c>
      <c r="N17" s="21" t="n">
        <f aca="false">MAX(0,N11-N15)</f>
        <v>204199257.595176</v>
      </c>
      <c r="O17" s="21" t="n">
        <f aca="false">MAX(0,O11-O15)</f>
        <v>233991912.959089</v>
      </c>
      <c r="P17" s="21" t="n">
        <f aca="false">MAX(0,P11-P15)</f>
        <v>265561182.457344</v>
      </c>
      <c r="Q17" s="21" t="n">
        <f aca="false">MAX(0,Q11-Q15)</f>
        <v>299007780.099838</v>
      </c>
      <c r="R17" s="21" t="n">
        <f aca="false">MAX(0,R11-R15)</f>
        <v>334438131.455302</v>
      </c>
      <c r="S17" s="21" t="n">
        <f aca="false">MAX(0,S11-S15)</f>
        <v>371964704.667448</v>
      </c>
      <c r="T17" s="21" t="n">
        <f aca="false">MAX(0,T11-T15)</f>
        <v>411706361.321276</v>
      </c>
      <c r="U17" s="21" t="n">
        <f aca="false">MAX(0,U11-U15)</f>
        <v>453788728.402105</v>
      </c>
      <c r="V17" s="21" t="n">
        <f aca="false">MAX(0,V11-V15)</f>
        <v>498344592.671601</v>
      </c>
      <c r="W17" s="21" t="n">
        <f aca="false">MAX(0,W11-W15)</f>
        <v>545514318.872345</v>
      </c>
      <c r="X17" s="21" t="n">
        <f aca="false">MAX(0,X11-X15)</f>
        <v>581085857.516844</v>
      </c>
      <c r="Y17" s="21" t="n">
        <f aca="false">MAX(0,Y11-Y15)</f>
        <v>606538901.150264</v>
      </c>
      <c r="Z17" s="21" t="n">
        <f aca="false">MAX(0,Z11-Z15)</f>
        <v>632989813.938218</v>
      </c>
      <c r="AA17" s="21" t="n">
        <f aca="false">MAX(0,AA11-AA15)</f>
        <v>660485002.057568</v>
      </c>
      <c r="AB17" s="21" t="n">
        <f aca="false">MAX(0,AB11-AB15)</f>
        <v>689073326.19791</v>
      </c>
      <c r="AC17" s="21" t="n">
        <f aca="false">MAX(0,AC11-AC15)</f>
        <v>718806241.986145</v>
      </c>
      <c r="AD17" s="21" t="n">
        <f aca="false">MAX(0,AD11-AD15)</f>
        <v>749737948.791929</v>
      </c>
      <c r="AE17" s="21" t="n">
        <f aca="false">MAX(0,AE11-AE15)</f>
        <v>781925547.425045</v>
      </c>
      <c r="AF17" s="21" t="n">
        <f aca="false">MAX(0,AF11-AF15)</f>
        <v>815429207.267258</v>
      </c>
      <c r="AG17" s="21" t="n">
        <f aca="false">MAX(0,AG11-AG15)</f>
        <v>838551574.907939</v>
      </c>
      <c r="AH17" s="21" t="n">
        <f aca="false">MAX(0,AH11-AH15)</f>
        <v>862385219.396892</v>
      </c>
      <c r="AI17" s="21" t="n">
        <f aca="false">MAX(0,AI11-AI15)</f>
        <v>886954681.321175</v>
      </c>
      <c r="AJ17" s="21" t="n">
        <f aca="false">MAX(0,AJ11-AJ15)</f>
        <v>912285473.496935</v>
      </c>
    </row>
    <row r="18" customFormat="false" ht="15" hidden="false" customHeight="false" outlineLevel="0" collapsed="false">
      <c r="A18" s="6"/>
      <c r="B18" s="32" t="s">
        <v>300</v>
      </c>
      <c r="C18" s="33" t="n">
        <v>0</v>
      </c>
      <c r="D18" s="33" t="n">
        <v>0</v>
      </c>
      <c r="E18" s="33" t="n">
        <v>0</v>
      </c>
      <c r="F18" s="33" t="n">
        <v>0</v>
      </c>
      <c r="G18" s="33" t="n">
        <f aca="false">G17*Tax_Rate</f>
        <v>11670558.9583333</v>
      </c>
      <c r="H18" s="33" t="n">
        <f aca="false">H17*Tax_Rate</f>
        <v>16199527.5279085</v>
      </c>
      <c r="I18" s="33" t="n">
        <f aca="false">I17*Tax_Rate</f>
        <v>19680524.6946435</v>
      </c>
      <c r="J18" s="33" t="n">
        <f aca="false">J17*Tax_Rate</f>
        <v>25240848.8966744</v>
      </c>
      <c r="K18" s="33" t="n">
        <f aca="false">K17*Tax_Rate</f>
        <v>31138268.1789556</v>
      </c>
      <c r="L18" s="33" t="n">
        <f aca="false">L17*Tax_Rate</f>
        <v>37391908.6553741</v>
      </c>
      <c r="M18" s="33" t="n">
        <f aca="false">M17*Tax_Rate</f>
        <v>44021975.3956025</v>
      </c>
      <c r="N18" s="33" t="n">
        <f aca="false">N17*Tax_Rate</f>
        <v>51049814.398794</v>
      </c>
      <c r="O18" s="33" t="n">
        <f aca="false">O17*Tax_Rate</f>
        <v>58497978.2397722</v>
      </c>
      <c r="P18" s="33" t="n">
        <f aca="false">P17*Tax_Rate</f>
        <v>66390295.6143361</v>
      </c>
      <c r="Q18" s="33" t="n">
        <f aca="false">Q17*Tax_Rate</f>
        <v>74751945.0249594</v>
      </c>
      <c r="R18" s="33" t="n">
        <f aca="false">R17*Tax_Rate</f>
        <v>83609532.8638254</v>
      </c>
      <c r="S18" s="33" t="n">
        <f aca="false">S17*Tax_Rate</f>
        <v>92991176.1668621</v>
      </c>
      <c r="T18" s="33" t="n">
        <f aca="false">T17*Tax_Rate</f>
        <v>102926590.330319</v>
      </c>
      <c r="U18" s="33" t="n">
        <f aca="false">U17*Tax_Rate</f>
        <v>113447182.100526</v>
      </c>
      <c r="V18" s="33" t="n">
        <f aca="false">V17*Tax_Rate</f>
        <v>124586148.1679</v>
      </c>
      <c r="W18" s="33" t="n">
        <f aca="false">W17*Tax_Rate</f>
        <v>136378579.718086</v>
      </c>
      <c r="X18" s="33" t="n">
        <f aca="false">X17*Tax_Rate</f>
        <v>145271464.379211</v>
      </c>
      <c r="Y18" s="33" t="n">
        <f aca="false">Y17*Tax_Rate</f>
        <v>151634725.287566</v>
      </c>
      <c r="Z18" s="33" t="n">
        <f aca="false">Z17*Tax_Rate</f>
        <v>158247453.484554</v>
      </c>
      <c r="AA18" s="33" t="n">
        <f aca="false">AA17*Tax_Rate</f>
        <v>165121250.514392</v>
      </c>
      <c r="AB18" s="33" t="n">
        <f aca="false">AB17*Tax_Rate</f>
        <v>172268331.549478</v>
      </c>
      <c r="AC18" s="33" t="n">
        <f aca="false">AC17*Tax_Rate</f>
        <v>179701560.496536</v>
      </c>
      <c r="AD18" s="33" t="n">
        <f aca="false">AD17*Tax_Rate</f>
        <v>187434487.197982</v>
      </c>
      <c r="AE18" s="33" t="n">
        <f aca="false">AE17*Tax_Rate</f>
        <v>195481386.856261</v>
      </c>
      <c r="AF18" s="33" t="n">
        <f aca="false">AF17*Tax_Rate</f>
        <v>203857301.816815</v>
      </c>
      <c r="AG18" s="33" t="n">
        <f aca="false">AG17*Tax_Rate</f>
        <v>209637893.726985</v>
      </c>
      <c r="AH18" s="33" t="n">
        <f aca="false">AH17*Tax_Rate</f>
        <v>215596304.849223</v>
      </c>
      <c r="AI18" s="33" t="n">
        <f aca="false">AI17*Tax_Rate</f>
        <v>221738670.330294</v>
      </c>
      <c r="AJ18" s="33" t="n">
        <f aca="false">AJ17*Tax_Rate</f>
        <v>228071368.374234</v>
      </c>
    </row>
    <row r="19" customFormat="false" ht="15" hidden="false" customHeight="false" outlineLevel="0" collapsed="false">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customFormat="false" ht="15" hidden="false" customHeight="false" outlineLevel="0" collapsed="false">
      <c r="A20" s="6"/>
      <c r="B20" s="8" t="s">
        <v>301</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customFormat="false" ht="15" hidden="false" customHeight="false" outlineLevel="0" collapsed="false">
      <c r="A22" s="6"/>
      <c r="B22" s="11" t="s">
        <v>302</v>
      </c>
      <c r="C22" s="21" t="n">
        <v>0</v>
      </c>
      <c r="D22" s="21" t="n">
        <v>0</v>
      </c>
      <c r="E22" s="21" t="n">
        <v>0</v>
      </c>
      <c r="F22" s="21" t="n">
        <v>0</v>
      </c>
      <c r="G22" s="21" t="n">
        <f aca="false">G8-G9</f>
        <v>193518173.333333</v>
      </c>
      <c r="H22" s="21" t="n">
        <f aca="false">H8-H9</f>
        <v>209050525.198667</v>
      </c>
      <c r="I22" s="21" t="n">
        <f aca="false">I8-I9</f>
        <v>220229521.301829</v>
      </c>
      <c r="J22" s="21" t="n">
        <f aca="false">J8-J9</f>
        <v>239554263.510939</v>
      </c>
      <c r="K22" s="21" t="n">
        <f aca="false">K8-K9</f>
        <v>260045101.378611</v>
      </c>
      <c r="L22" s="21" t="n">
        <f aca="false">L8-L9</f>
        <v>281767146.568993</v>
      </c>
      <c r="M22" s="21" t="n">
        <f aca="false">M8-M9</f>
        <v>304789114.519907</v>
      </c>
      <c r="N22" s="21" t="n">
        <f aca="false">N8-N9</f>
        <v>329183527.83455</v>
      </c>
      <c r="O22" s="21" t="n">
        <f aca="false">O8-O9</f>
        <v>355026931.581706</v>
      </c>
      <c r="P22" s="21" t="n">
        <f aca="false">P8-P9</f>
        <v>382400121.237158</v>
      </c>
      <c r="Q22" s="21" t="n">
        <f aca="false">Q8-Q9</f>
        <v>411388384.046672</v>
      </c>
      <c r="R22" s="21" t="n">
        <f aca="false">R8-R9</f>
        <v>442081754.642096</v>
      </c>
      <c r="S22" s="21" t="n">
        <f aca="false">S8-S9</f>
        <v>474575285.7967</v>
      </c>
      <c r="T22" s="21" t="n">
        <f aca="false">T8-T9</f>
        <v>508969335.264388</v>
      </c>
      <c r="U22" s="21" t="n">
        <f aca="false">U8-U9</f>
        <v>545369869.709945</v>
      </c>
      <c r="V22" s="21" t="n">
        <f aca="false">V8-V9</f>
        <v>583888786.804463</v>
      </c>
      <c r="W22" s="21" t="n">
        <f aca="false">W8-W9</f>
        <v>624644256.631795</v>
      </c>
      <c r="X22" s="21" t="n">
        <f aca="false">X8-X9</f>
        <v>653400647.879541</v>
      </c>
      <c r="Y22" s="21" t="n">
        <f aca="false">Y8-Y9</f>
        <v>671612597.403913</v>
      </c>
      <c r="Z22" s="21" t="n">
        <f aca="false">Z8-Z9</f>
        <v>690369847.701003</v>
      </c>
      <c r="AA22" s="21" t="n">
        <f aca="false">AA8-AA9</f>
        <v>709690519.42381</v>
      </c>
      <c r="AB22" s="21" t="n">
        <f aca="false">AB8-AB9</f>
        <v>729593419.892825</v>
      </c>
      <c r="AC22" s="21" t="n">
        <f aca="false">AC8-AC9</f>
        <v>750098073.030274</v>
      </c>
      <c r="AD22" s="21" t="n">
        <f aca="false">AD8-AD9</f>
        <v>771224750.769599</v>
      </c>
      <c r="AE22" s="21" t="n">
        <f aca="false">AE8-AE9</f>
        <v>792994506.019602</v>
      </c>
      <c r="AF22" s="21" t="n">
        <f aca="false">AF8-AF9</f>
        <v>815429207.267258</v>
      </c>
      <c r="AG22" s="21" t="n">
        <f aca="false">AG8-AG9</f>
        <v>838551574.907939</v>
      </c>
      <c r="AH22" s="21" t="n">
        <f aca="false">AH8-AH9</f>
        <v>862385219.396892</v>
      </c>
      <c r="AI22" s="21" t="n">
        <f aca="false">AI8-AI9</f>
        <v>886954681.321175</v>
      </c>
      <c r="AJ22" s="21" t="n">
        <f aca="false">AJ8-AJ9</f>
        <v>912285473.496935</v>
      </c>
    </row>
    <row r="23" customFormat="false" ht="15" hidden="false" customHeight="false" outlineLevel="0" collapsed="false">
      <c r="A23" s="6"/>
      <c r="B23" s="11" t="s">
        <v>303</v>
      </c>
      <c r="C23" s="21" t="n">
        <v>0</v>
      </c>
      <c r="D23" s="21" t="n">
        <v>0</v>
      </c>
      <c r="E23" s="21" t="n">
        <v>0</v>
      </c>
      <c r="F23" s="21" t="n">
        <v>0</v>
      </c>
      <c r="G23" s="21" t="n">
        <f aca="false">F24</f>
        <v>0</v>
      </c>
      <c r="H23" s="21" t="n">
        <f aca="false">G24</f>
        <v>0</v>
      </c>
      <c r="I23" s="21" t="n">
        <f aca="false">H24</f>
        <v>0</v>
      </c>
      <c r="J23" s="21" t="n">
        <f aca="false">I24</f>
        <v>0</v>
      </c>
      <c r="K23" s="21" t="n">
        <f aca="false">J24</f>
        <v>0</v>
      </c>
      <c r="L23" s="21" t="n">
        <f aca="false">K24</f>
        <v>0</v>
      </c>
      <c r="M23" s="21" t="n">
        <f aca="false">L24</f>
        <v>0</v>
      </c>
      <c r="N23" s="21" t="n">
        <f aca="false">M24</f>
        <v>0</v>
      </c>
      <c r="O23" s="21" t="n">
        <f aca="false">N24</f>
        <v>0</v>
      </c>
      <c r="P23" s="21" t="n">
        <f aca="false">O24</f>
        <v>0</v>
      </c>
      <c r="Q23" s="21" t="n">
        <f aca="false">P24</f>
        <v>0</v>
      </c>
      <c r="R23" s="21" t="n">
        <f aca="false">Q24</f>
        <v>0</v>
      </c>
      <c r="S23" s="21" t="n">
        <f aca="false">R24</f>
        <v>0</v>
      </c>
      <c r="T23" s="21" t="n">
        <f aca="false">S24</f>
        <v>0</v>
      </c>
      <c r="U23" s="21" t="n">
        <f aca="false">T24</f>
        <v>0</v>
      </c>
      <c r="V23" s="21" t="n">
        <f aca="false">U24</f>
        <v>0</v>
      </c>
      <c r="W23" s="21" t="n">
        <f aca="false">V24</f>
        <v>0</v>
      </c>
      <c r="X23" s="21" t="n">
        <f aca="false">W24</f>
        <v>0</v>
      </c>
      <c r="Y23" s="21" t="n">
        <f aca="false">X24</f>
        <v>0</v>
      </c>
      <c r="Z23" s="21" t="n">
        <f aca="false">Y24</f>
        <v>0</v>
      </c>
      <c r="AA23" s="21" t="n">
        <f aca="false">Z24</f>
        <v>0</v>
      </c>
      <c r="AB23" s="21" t="n">
        <f aca="false">AA24</f>
        <v>0</v>
      </c>
      <c r="AC23" s="21" t="n">
        <f aca="false">AB24</f>
        <v>0</v>
      </c>
      <c r="AD23" s="21" t="n">
        <f aca="false">AC24</f>
        <v>0</v>
      </c>
      <c r="AE23" s="21" t="n">
        <f aca="false">AD24</f>
        <v>0</v>
      </c>
      <c r="AF23" s="21" t="n">
        <f aca="false">AE24</f>
        <v>0</v>
      </c>
      <c r="AG23" s="21" t="n">
        <f aca="false">AF24</f>
        <v>0</v>
      </c>
      <c r="AH23" s="21" t="n">
        <f aca="false">AG24</f>
        <v>0</v>
      </c>
      <c r="AI23" s="21" t="n">
        <f aca="false">AH24</f>
        <v>0</v>
      </c>
      <c r="AJ23" s="21" t="n">
        <f aca="false">AI24</f>
        <v>0</v>
      </c>
    </row>
    <row r="24" customFormat="false" ht="15" hidden="false" customHeight="false" outlineLevel="0" collapsed="false">
      <c r="A24" s="6"/>
      <c r="B24" s="11" t="s">
        <v>304</v>
      </c>
      <c r="C24" s="21" t="n">
        <v>0</v>
      </c>
      <c r="D24" s="21" t="n">
        <v>0</v>
      </c>
      <c r="E24" s="21" t="n">
        <v>0</v>
      </c>
      <c r="F24" s="21" t="n">
        <v>0</v>
      </c>
      <c r="G24" s="21" t="n">
        <f aca="false">MAX(0,G23-G22)</f>
        <v>0</v>
      </c>
      <c r="H24" s="21" t="n">
        <f aca="false">MAX(0,H23-H22)</f>
        <v>0</v>
      </c>
      <c r="I24" s="21" t="n">
        <f aca="false">MAX(0,I23-I22)</f>
        <v>0</v>
      </c>
      <c r="J24" s="21" t="n">
        <f aca="false">MAX(0,J23-J22)</f>
        <v>0</v>
      </c>
      <c r="K24" s="21" t="n">
        <f aca="false">MAX(0,K23-K22)</f>
        <v>0</v>
      </c>
      <c r="L24" s="21" t="n">
        <f aca="false">MAX(0,L23-L22)</f>
        <v>0</v>
      </c>
      <c r="M24" s="21" t="n">
        <f aca="false">MAX(0,M23-M22)</f>
        <v>0</v>
      </c>
      <c r="N24" s="21" t="n">
        <f aca="false">MAX(0,N23-N22)</f>
        <v>0</v>
      </c>
      <c r="O24" s="21" t="n">
        <f aca="false">MAX(0,O23-O22)</f>
        <v>0</v>
      </c>
      <c r="P24" s="21" t="n">
        <f aca="false">MAX(0,P23-P22)</f>
        <v>0</v>
      </c>
      <c r="Q24" s="21" t="n">
        <f aca="false">MAX(0,Q23-Q22)</f>
        <v>0</v>
      </c>
      <c r="R24" s="21" t="n">
        <f aca="false">MAX(0,R23-R22)</f>
        <v>0</v>
      </c>
      <c r="S24" s="21" t="n">
        <f aca="false">MAX(0,S23-S22)</f>
        <v>0</v>
      </c>
      <c r="T24" s="21" t="n">
        <f aca="false">MAX(0,T23-T22)</f>
        <v>0</v>
      </c>
      <c r="U24" s="21" t="n">
        <f aca="false">MAX(0,U23-U22)</f>
        <v>0</v>
      </c>
      <c r="V24" s="21" t="n">
        <f aca="false">MAX(0,V23-V22)</f>
        <v>0</v>
      </c>
      <c r="W24" s="21" t="n">
        <f aca="false">MAX(0,W23-W22)</f>
        <v>0</v>
      </c>
      <c r="X24" s="21" t="n">
        <f aca="false">MAX(0,X23-X22)</f>
        <v>0</v>
      </c>
      <c r="Y24" s="21" t="n">
        <f aca="false">MAX(0,Y23-Y22)</f>
        <v>0</v>
      </c>
      <c r="Z24" s="21" t="n">
        <f aca="false">MAX(0,Z23-Z22)</f>
        <v>0</v>
      </c>
      <c r="AA24" s="21" t="n">
        <f aca="false">MAX(0,AA23-AA22)</f>
        <v>0</v>
      </c>
      <c r="AB24" s="21" t="n">
        <f aca="false">MAX(0,AB23-AB22)</f>
        <v>0</v>
      </c>
      <c r="AC24" s="21" t="n">
        <f aca="false">MAX(0,AC23-AC22)</f>
        <v>0</v>
      </c>
      <c r="AD24" s="21" t="n">
        <f aca="false">MAX(0,AD23-AD22)</f>
        <v>0</v>
      </c>
      <c r="AE24" s="21" t="n">
        <f aca="false">MAX(0,AE23-AE22)</f>
        <v>0</v>
      </c>
      <c r="AF24" s="21" t="n">
        <f aca="false">MAX(0,AF23-AF22)</f>
        <v>0</v>
      </c>
      <c r="AG24" s="21" t="n">
        <f aca="false">MAX(0,AG23-AG22)</f>
        <v>0</v>
      </c>
      <c r="AH24" s="21" t="n">
        <f aca="false">MAX(0,AH23-AH22)</f>
        <v>0</v>
      </c>
      <c r="AI24" s="21" t="n">
        <f aca="false">MAX(0,AI23-AI22)</f>
        <v>0</v>
      </c>
      <c r="AJ24" s="21" t="n">
        <f aca="false">MAX(0,AJ23-AJ22)</f>
        <v>0</v>
      </c>
    </row>
    <row r="25" customFormat="false" ht="15" hidden="false" customHeight="false" outlineLevel="0" collapsed="false">
      <c r="A25" s="6"/>
      <c r="B25" s="11" t="s">
        <v>305</v>
      </c>
      <c r="C25" s="21" t="n">
        <v>0</v>
      </c>
      <c r="D25" s="21" t="n">
        <v>0</v>
      </c>
      <c r="E25" s="21" t="n">
        <v>0</v>
      </c>
      <c r="F25" s="21" t="n">
        <v>0</v>
      </c>
      <c r="G25" s="21" t="n">
        <f aca="false">MAX(0,G22-G23)</f>
        <v>193518173.333333</v>
      </c>
      <c r="H25" s="21" t="n">
        <f aca="false">MAX(0,H22-H23)</f>
        <v>209050525.198667</v>
      </c>
      <c r="I25" s="21" t="n">
        <f aca="false">MAX(0,I22-I23)</f>
        <v>220229521.301829</v>
      </c>
      <c r="J25" s="21" t="n">
        <f aca="false">MAX(0,J22-J23)</f>
        <v>239554263.510939</v>
      </c>
      <c r="K25" s="21" t="n">
        <f aca="false">MAX(0,K22-K23)</f>
        <v>260045101.378611</v>
      </c>
      <c r="L25" s="21" t="n">
        <f aca="false">MAX(0,L22-L23)</f>
        <v>281767146.568993</v>
      </c>
      <c r="M25" s="21" t="n">
        <f aca="false">MAX(0,M22-M23)</f>
        <v>304789114.519907</v>
      </c>
      <c r="N25" s="21" t="n">
        <f aca="false">MAX(0,N22-N23)</f>
        <v>329183527.83455</v>
      </c>
      <c r="O25" s="21" t="n">
        <f aca="false">MAX(0,O22-O23)</f>
        <v>355026931.581706</v>
      </c>
      <c r="P25" s="21" t="n">
        <f aca="false">MAX(0,P22-P23)</f>
        <v>382400121.237158</v>
      </c>
      <c r="Q25" s="21" t="n">
        <f aca="false">MAX(0,Q22-Q23)</f>
        <v>411388384.046672</v>
      </c>
      <c r="R25" s="21" t="n">
        <f aca="false">MAX(0,R22-R23)</f>
        <v>442081754.642096</v>
      </c>
      <c r="S25" s="21" t="n">
        <f aca="false">MAX(0,S22-S23)</f>
        <v>474575285.7967</v>
      </c>
      <c r="T25" s="21" t="n">
        <f aca="false">MAX(0,T22-T23)</f>
        <v>508969335.264388</v>
      </c>
      <c r="U25" s="21" t="n">
        <f aca="false">MAX(0,U22-U23)</f>
        <v>545369869.709945</v>
      </c>
      <c r="V25" s="21" t="n">
        <f aca="false">MAX(0,V22-V23)</f>
        <v>583888786.804463</v>
      </c>
      <c r="W25" s="21" t="n">
        <f aca="false">MAX(0,W22-W23)</f>
        <v>624644256.631795</v>
      </c>
      <c r="X25" s="21" t="n">
        <f aca="false">MAX(0,X22-X23)</f>
        <v>653400647.879541</v>
      </c>
      <c r="Y25" s="21" t="n">
        <f aca="false">MAX(0,Y22-Y23)</f>
        <v>671612597.403913</v>
      </c>
      <c r="Z25" s="21" t="n">
        <f aca="false">MAX(0,Z22-Z23)</f>
        <v>690369847.701003</v>
      </c>
      <c r="AA25" s="21" t="n">
        <f aca="false">MAX(0,AA22-AA23)</f>
        <v>709690519.42381</v>
      </c>
      <c r="AB25" s="21" t="n">
        <f aca="false">MAX(0,AB22-AB23)</f>
        <v>729593419.892825</v>
      </c>
      <c r="AC25" s="21" t="n">
        <f aca="false">MAX(0,AC22-AC23)</f>
        <v>750098073.030274</v>
      </c>
      <c r="AD25" s="21" t="n">
        <f aca="false">MAX(0,AD22-AD23)</f>
        <v>771224750.769599</v>
      </c>
      <c r="AE25" s="21" t="n">
        <f aca="false">MAX(0,AE22-AE23)</f>
        <v>792994506.019602</v>
      </c>
      <c r="AF25" s="21" t="n">
        <f aca="false">MAX(0,AF22-AF23)</f>
        <v>815429207.267258</v>
      </c>
      <c r="AG25" s="21" t="n">
        <f aca="false">MAX(0,AG22-AG23)</f>
        <v>838551574.907939</v>
      </c>
      <c r="AH25" s="21" t="n">
        <f aca="false">MAX(0,AH22-AH23)</f>
        <v>862385219.396892</v>
      </c>
      <c r="AI25" s="21" t="n">
        <f aca="false">MAX(0,AI22-AI23)</f>
        <v>886954681.321175</v>
      </c>
      <c r="AJ25" s="21" t="n">
        <f aca="false">MAX(0,AJ22-AJ23)</f>
        <v>912285473.496935</v>
      </c>
    </row>
    <row r="26" customFormat="false" ht="15" hidden="false" customHeight="false" outlineLevel="0" collapsed="false">
      <c r="A26" s="6"/>
      <c r="B26" s="32" t="s">
        <v>306</v>
      </c>
      <c r="C26" s="33" t="n">
        <v>0</v>
      </c>
      <c r="D26" s="33" t="n">
        <v>0</v>
      </c>
      <c r="E26" s="33" t="n">
        <v>0</v>
      </c>
      <c r="F26" s="33" t="n">
        <v>0</v>
      </c>
      <c r="G26" s="33" t="n">
        <f aca="false">G25*Tax_Rate</f>
        <v>48379543.3333333</v>
      </c>
      <c r="H26" s="33" t="n">
        <f aca="false">H25*Tax_Rate</f>
        <v>52262631.2996667</v>
      </c>
      <c r="I26" s="33" t="n">
        <f aca="false">I25*Tax_Rate</f>
        <v>55057380.3254572</v>
      </c>
      <c r="J26" s="33" t="n">
        <f aca="false">J25*Tax_Rate</f>
        <v>59888565.8777347</v>
      </c>
      <c r="K26" s="33" t="n">
        <f aca="false">K25*Tax_Rate</f>
        <v>65011275.3446528</v>
      </c>
      <c r="L26" s="33" t="n">
        <f aca="false">L25*Tax_Rate</f>
        <v>70441786.6422481</v>
      </c>
      <c r="M26" s="33" t="n">
        <f aca="false">M25*Tax_Rate</f>
        <v>76197278.6299769</v>
      </c>
      <c r="N26" s="33" t="n">
        <f aca="false">N25*Tax_Rate</f>
        <v>82295881.9586374</v>
      </c>
      <c r="O26" s="33" t="n">
        <f aca="false">O25*Tax_Rate</f>
        <v>88756732.8954265</v>
      </c>
      <c r="P26" s="33" t="n">
        <f aca="false">P25*Tax_Rate</f>
        <v>95600030.3092894</v>
      </c>
      <c r="Q26" s="33" t="n">
        <f aca="false">Q25*Tax_Rate</f>
        <v>102847096.011668</v>
      </c>
      <c r="R26" s="33" t="n">
        <f aca="false">R25*Tax_Rate</f>
        <v>110520438.660524</v>
      </c>
      <c r="S26" s="33" t="n">
        <f aca="false">S25*Tax_Rate</f>
        <v>118643821.449175</v>
      </c>
      <c r="T26" s="33" t="n">
        <f aca="false">T25*Tax_Rate</f>
        <v>127242333.816097</v>
      </c>
      <c r="U26" s="33" t="n">
        <f aca="false">U25*Tax_Rate</f>
        <v>136342467.427486</v>
      </c>
      <c r="V26" s="33" t="n">
        <f aca="false">V25*Tax_Rate</f>
        <v>145972196.701116</v>
      </c>
      <c r="W26" s="33" t="n">
        <f aca="false">W25*Tax_Rate</f>
        <v>156161064.157949</v>
      </c>
      <c r="X26" s="33" t="n">
        <f aca="false">X25*Tax_Rate</f>
        <v>163350161.969885</v>
      </c>
      <c r="Y26" s="33" t="n">
        <f aca="false">Y25*Tax_Rate</f>
        <v>167903149.350978</v>
      </c>
      <c r="Z26" s="33" t="n">
        <f aca="false">Z25*Tax_Rate</f>
        <v>172592461.925251</v>
      </c>
      <c r="AA26" s="33" t="n">
        <f aca="false">AA25*Tax_Rate</f>
        <v>177422629.855953</v>
      </c>
      <c r="AB26" s="33" t="n">
        <f aca="false">AB25*Tax_Rate</f>
        <v>182398354.973206</v>
      </c>
      <c r="AC26" s="33" t="n">
        <f aca="false">AC25*Tax_Rate</f>
        <v>187524518.257569</v>
      </c>
      <c r="AD26" s="33" t="n">
        <f aca="false">AD25*Tax_Rate</f>
        <v>192806187.6924</v>
      </c>
      <c r="AE26" s="33" t="n">
        <f aca="false">AE25*Tax_Rate</f>
        <v>198248626.504901</v>
      </c>
      <c r="AF26" s="33" t="n">
        <f aca="false">AF25*Tax_Rate</f>
        <v>203857301.816815</v>
      </c>
      <c r="AG26" s="33" t="n">
        <f aca="false">AG25*Tax_Rate</f>
        <v>209637893.726985</v>
      </c>
      <c r="AH26" s="33" t="n">
        <f aca="false">AH25*Tax_Rate</f>
        <v>215596304.849223</v>
      </c>
      <c r="AI26" s="33" t="n">
        <f aca="false">AI25*Tax_Rate</f>
        <v>221738670.330294</v>
      </c>
      <c r="AJ26" s="33" t="n">
        <f aca="false">AJ25*Tax_Rate</f>
        <v>228071368.374234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BFBF"/>
    <pageSetUpPr fitToPage="false"/>
  </sheetPr>
  <dimension ref="A1:AJ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40"/>
    <col collapsed="false" customWidth="true" hidden="false" outlineLevel="0" max="36"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6"/>
      <c r="AF1" s="6"/>
      <c r="AG1" s="6"/>
      <c r="AH1" s="6"/>
      <c r="AI1" s="6"/>
      <c r="AJ1" s="6"/>
    </row>
    <row r="2" customFormat="false" ht="21.75" hidden="false" customHeight="true" outlineLevel="0" collapsed="false">
      <c r="A2" s="1"/>
      <c r="B2" s="3" t="s">
        <v>307</v>
      </c>
      <c r="C2" s="1"/>
      <c r="D2" s="1"/>
      <c r="E2" s="1"/>
      <c r="F2" s="1"/>
      <c r="G2" s="1"/>
      <c r="H2" s="1"/>
      <c r="I2" s="1"/>
      <c r="J2" s="1"/>
      <c r="K2" s="1"/>
      <c r="L2" s="1"/>
      <c r="M2" s="1"/>
      <c r="N2" s="1"/>
      <c r="O2" s="1"/>
      <c r="P2" s="1"/>
      <c r="Q2" s="1"/>
      <c r="R2" s="1"/>
      <c r="S2" s="1"/>
      <c r="T2" s="1"/>
      <c r="U2" s="1"/>
      <c r="V2" s="1"/>
      <c r="W2" s="1"/>
      <c r="X2" s="1"/>
      <c r="Y2" s="1"/>
      <c r="Z2" s="1"/>
      <c r="AA2" s="1"/>
      <c r="AB2" s="1"/>
      <c r="AC2" s="1"/>
      <c r="AD2" s="1"/>
      <c r="AE2" s="6"/>
      <c r="AF2" s="6"/>
      <c r="AG2" s="6"/>
      <c r="AH2" s="6"/>
      <c r="AI2" s="6"/>
      <c r="AJ2" s="6"/>
    </row>
    <row r="3" customFormat="false" ht="15" hidden="false" customHeight="false" outlineLevel="0" collapsed="false">
      <c r="A3" s="1"/>
      <c r="B3" s="25" t="s">
        <v>175</v>
      </c>
      <c r="C3" s="26" t="n">
        <v>1</v>
      </c>
      <c r="D3" s="26" t="n">
        <v>2</v>
      </c>
      <c r="E3" s="26" t="n">
        <v>3</v>
      </c>
      <c r="F3" s="26" t="n">
        <v>4</v>
      </c>
      <c r="G3" s="26" t="n">
        <v>5</v>
      </c>
      <c r="H3" s="26" t="n">
        <v>6</v>
      </c>
      <c r="I3" s="26" t="n">
        <v>7</v>
      </c>
      <c r="J3" s="26" t="n">
        <v>8</v>
      </c>
      <c r="K3" s="26" t="n">
        <v>9</v>
      </c>
      <c r="L3" s="26" t="n">
        <v>10</v>
      </c>
      <c r="M3" s="26" t="n">
        <v>11</v>
      </c>
      <c r="N3" s="26" t="n">
        <v>12</v>
      </c>
      <c r="O3" s="26" t="n">
        <v>13</v>
      </c>
      <c r="P3" s="26" t="n">
        <v>14</v>
      </c>
      <c r="Q3" s="26" t="n">
        <v>15</v>
      </c>
      <c r="R3" s="26" t="n">
        <v>16</v>
      </c>
      <c r="S3" s="26" t="n">
        <v>17</v>
      </c>
      <c r="T3" s="26" t="n">
        <v>18</v>
      </c>
      <c r="U3" s="26" t="n">
        <v>19</v>
      </c>
      <c r="V3" s="26" t="n">
        <v>20</v>
      </c>
      <c r="W3" s="26" t="n">
        <v>21</v>
      </c>
      <c r="X3" s="26" t="n">
        <v>22</v>
      </c>
      <c r="Y3" s="26" t="n">
        <v>23</v>
      </c>
      <c r="Z3" s="26" t="n">
        <v>24</v>
      </c>
      <c r="AA3" s="26" t="n">
        <v>25</v>
      </c>
      <c r="AB3" s="26" t="n">
        <v>26</v>
      </c>
      <c r="AC3" s="26" t="n">
        <v>27</v>
      </c>
      <c r="AD3" s="26" t="n">
        <v>28</v>
      </c>
      <c r="AE3" s="26" t="n">
        <v>29</v>
      </c>
      <c r="AF3" s="26" t="n">
        <v>30</v>
      </c>
      <c r="AG3" s="26" t="n">
        <v>31</v>
      </c>
      <c r="AH3" s="26" t="n">
        <v>32</v>
      </c>
      <c r="AI3" s="26" t="n">
        <v>33</v>
      </c>
      <c r="AJ3" s="26" t="n">
        <v>34</v>
      </c>
    </row>
    <row r="4" customFormat="false" ht="15" hidden="false" customHeight="false" outlineLevel="0" collapsed="false">
      <c r="A4" s="6"/>
      <c r="B4" s="11" t="s">
        <v>176</v>
      </c>
      <c r="C4" s="27" t="s">
        <v>177</v>
      </c>
      <c r="D4" s="27" t="s">
        <v>177</v>
      </c>
      <c r="E4" s="27" t="s">
        <v>177</v>
      </c>
      <c r="F4" s="27" t="s">
        <v>177</v>
      </c>
      <c r="G4" s="27" t="s">
        <v>178</v>
      </c>
      <c r="H4" s="27" t="s">
        <v>178</v>
      </c>
      <c r="I4" s="27" t="s">
        <v>178</v>
      </c>
      <c r="J4" s="27" t="s">
        <v>178</v>
      </c>
      <c r="K4" s="27" t="s">
        <v>178</v>
      </c>
      <c r="L4" s="27" t="s">
        <v>178</v>
      </c>
      <c r="M4" s="27" t="s">
        <v>178</v>
      </c>
      <c r="N4" s="27" t="s">
        <v>178</v>
      </c>
      <c r="O4" s="27" t="s">
        <v>178</v>
      </c>
      <c r="P4" s="27" t="s">
        <v>178</v>
      </c>
      <c r="Q4" s="27" t="s">
        <v>178</v>
      </c>
      <c r="R4" s="27" t="s">
        <v>178</v>
      </c>
      <c r="S4" s="27" t="s">
        <v>178</v>
      </c>
      <c r="T4" s="27" t="s">
        <v>178</v>
      </c>
      <c r="U4" s="27" t="s">
        <v>178</v>
      </c>
      <c r="V4" s="27" t="s">
        <v>178</v>
      </c>
      <c r="W4" s="27" t="s">
        <v>178</v>
      </c>
      <c r="X4" s="27" t="s">
        <v>178</v>
      </c>
      <c r="Y4" s="27" t="s">
        <v>178</v>
      </c>
      <c r="Z4" s="27" t="s">
        <v>178</v>
      </c>
      <c r="AA4" s="27" t="s">
        <v>178</v>
      </c>
      <c r="AB4" s="27" t="s">
        <v>178</v>
      </c>
      <c r="AC4" s="27" t="s">
        <v>178</v>
      </c>
      <c r="AD4" s="27" t="s">
        <v>178</v>
      </c>
      <c r="AE4" s="27" t="s">
        <v>178</v>
      </c>
      <c r="AF4" s="27" t="s">
        <v>178</v>
      </c>
      <c r="AG4" s="27" t="s">
        <v>178</v>
      </c>
      <c r="AH4" s="27" t="s">
        <v>178</v>
      </c>
      <c r="AI4" s="27" t="s">
        <v>178</v>
      </c>
      <c r="AJ4" s="27" t="s">
        <v>178</v>
      </c>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row>
    <row r="6" customFormat="false" ht="15" hidden="false" customHeight="false" outlineLevel="0" collapsed="false">
      <c r="A6" s="6"/>
      <c r="B6" s="8" t="s">
        <v>308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row>
    <row r="8" customFormat="false" ht="15" hidden="false" customHeight="false" outlineLevel="0" collapsed="false">
      <c r="A8" s="6"/>
      <c r="B8" s="11" t="s">
        <v>242</v>
      </c>
      <c r="C8" s="21" t="n">
        <v>0</v>
      </c>
      <c r="D8" s="21" t="n">
        <v>0</v>
      </c>
      <c r="E8" s="21" t="n">
        <v>0</v>
      </c>
      <c r="F8" s="21" t="n">
        <v>0</v>
      </c>
      <c r="G8" s="21" t="n">
        <f aca="false">Opex!G31</f>
        <v>295164006.666667</v>
      </c>
      <c r="H8" s="21" t="n">
        <f aca="false">Opex!H31</f>
        <v>312221046.032</v>
      </c>
      <c r="I8" s="21" t="n">
        <f aca="false">Opex!I31</f>
        <v>324947599.947662</v>
      </c>
      <c r="J8" s="21" t="n">
        <f aca="false">Opex!J31</f>
        <v>345843113.33646</v>
      </c>
      <c r="K8" s="21" t="n">
        <f aca="false">Opex!K31</f>
        <v>367928283.951515</v>
      </c>
      <c r="L8" s="21" t="n">
        <f aca="false">Opex!L31</f>
        <v>391268576.88049</v>
      </c>
      <c r="M8" s="21" t="n">
        <f aca="false">Opex!M31</f>
        <v>415933066.286077</v>
      </c>
      <c r="N8" s="21" t="n">
        <f aca="false">Opex!N31</f>
        <v>441994638.877212</v>
      </c>
      <c r="O8" s="21" t="n">
        <f aca="false">Opex!O31</f>
        <v>469530209.290008</v>
      </c>
      <c r="P8" s="21" t="n">
        <f aca="false">Opex!P31</f>
        <v>498620948.111084</v>
      </c>
      <c r="Q8" s="21" t="n">
        <f aca="false">Opex!Q31</f>
        <v>529352523.323708</v>
      </c>
      <c r="R8" s="21" t="n">
        <f aca="false">Opex!R31</f>
        <v>561815356.008287</v>
      </c>
      <c r="S8" s="21" t="n">
        <f aca="false">Opex!S31</f>
        <v>596104891.183384</v>
      </c>
      <c r="T8" s="21" t="n">
        <f aca="false">Opex!T31</f>
        <v>632321884.731873</v>
      </c>
      <c r="U8" s="21" t="n">
        <f aca="false">Opex!U31</f>
        <v>670572707.419441</v>
      </c>
      <c r="V8" s="21" t="n">
        <f aca="false">Opex!V31</f>
        <v>710969667.079602</v>
      </c>
      <c r="W8" s="21" t="n">
        <f aca="false">Opex!W31</f>
        <v>753631350.111061</v>
      </c>
      <c r="X8" s="21" t="n">
        <f aca="false">Opex!X31</f>
        <v>784322547.760996</v>
      </c>
      <c r="Y8" s="21" t="n">
        <f aca="false">Opex!Y31</f>
        <v>804498325.78359</v>
      </c>
      <c r="Z8" s="21" t="n">
        <f aca="false">Opex!Z31</f>
        <v>825248862.006375</v>
      </c>
      <c r="AA8" s="21" t="n">
        <f aca="false">Opex!AA31</f>
        <v>846592718.943763</v>
      </c>
      <c r="AB8" s="21" t="n">
        <f aca="false">Opex!AB31</f>
        <v>868549152.405577</v>
      </c>
      <c r="AC8" s="21" t="n">
        <f aca="false">Opex!AC31</f>
        <v>891138141.530718</v>
      </c>
      <c r="AD8" s="21" t="n">
        <f aca="false">Opex!AD31</f>
        <v>914380420.297549</v>
      </c>
      <c r="AE8" s="21" t="n">
        <f aca="false">Opex!AE31</f>
        <v>938297510.590471</v>
      </c>
      <c r="AF8" s="21" t="n">
        <f aca="false">Opex!AF31</f>
        <v>962911756.906691</v>
      </c>
      <c r="AG8" s="21" t="n">
        <f aca="false">Opex!AG31</f>
        <v>988246362.791963</v>
      </c>
      <c r="AH8" s="21" t="n">
        <f aca="false">Opex!AH31</f>
        <v>1014325429.09918</v>
      </c>
      <c r="AI8" s="21" t="n">
        <f aca="false">Opex!AI31</f>
        <v>1041173994.16899</v>
      </c>
      <c r="AJ8" s="21" t="n">
        <f aca="false">Opex!AJ31</f>
        <v>1068818076.03747</v>
      </c>
    </row>
    <row r="9" customFormat="false" ht="15" hidden="false" customHeight="false" outlineLevel="0" collapsed="false">
      <c r="A9" s="6"/>
      <c r="B9" s="11" t="s">
        <v>309</v>
      </c>
      <c r="C9" s="21" t="n">
        <v>0</v>
      </c>
      <c r="D9" s="21" t="n">
        <v>0</v>
      </c>
      <c r="E9" s="21" t="n">
        <v>0</v>
      </c>
      <c r="F9" s="21" t="n">
        <v>0</v>
      </c>
      <c r="G9" s="21" t="n">
        <f aca="false">-Capex_Depr!G26</f>
        <v>-45740625</v>
      </c>
      <c r="H9" s="21" t="n">
        <f aca="false">-Capex_Depr!H26</f>
        <v>-46426734.375</v>
      </c>
      <c r="I9" s="21" t="n">
        <f aca="false">-Capex_Depr!I26</f>
        <v>-47123135.390625</v>
      </c>
      <c r="J9" s="21" t="n">
        <f aca="false">-Capex_Depr!J26</f>
        <v>-47829982.4214844</v>
      </c>
      <c r="K9" s="21" t="n">
        <f aca="false">-Capex_Depr!K26</f>
        <v>-48547432.1578066</v>
      </c>
      <c r="L9" s="21" t="n">
        <f aca="false">-Capex_Depr!L26</f>
        <v>-49275643.6401737</v>
      </c>
      <c r="M9" s="21" t="n">
        <f aca="false">-Capex_Depr!M26</f>
        <v>-50014778.2947764</v>
      </c>
      <c r="N9" s="21" t="n">
        <f aca="false">-Capex_Depr!N26</f>
        <v>-50764999.969198</v>
      </c>
      <c r="O9" s="21" t="n">
        <f aca="false">-Capex_Depr!O26</f>
        <v>-51526474.968736</v>
      </c>
      <c r="P9" s="21" t="n">
        <f aca="false">-Capex_Depr!P26</f>
        <v>-52299372.093267</v>
      </c>
      <c r="Q9" s="21" t="n">
        <f aca="false">-Capex_Depr!Q26</f>
        <v>-53083862.674666</v>
      </c>
      <c r="R9" s="21" t="n">
        <f aca="false">-Capex_Depr!R26</f>
        <v>-53880120.614786</v>
      </c>
      <c r="S9" s="21" t="n">
        <f aca="false">-Capex_Depr!S26</f>
        <v>-54688322.4240078</v>
      </c>
      <c r="T9" s="21" t="n">
        <f aca="false">-Capex_Depr!T26</f>
        <v>-55508647.2603679</v>
      </c>
      <c r="U9" s="21" t="n">
        <f aca="false">-Capex_Depr!U26</f>
        <v>-56341276.9692734</v>
      </c>
      <c r="V9" s="21" t="n">
        <f aca="false">-Capex_Depr!V26</f>
        <v>-57186396.1238125</v>
      </c>
      <c r="W9" s="21" t="n">
        <f aca="false">-Capex_Depr!W26</f>
        <v>-58044192.0656697</v>
      </c>
      <c r="X9" s="21" t="n">
        <f aca="false">-Capex_Depr!X26</f>
        <v>-58914854.9466548</v>
      </c>
      <c r="Y9" s="21" t="n">
        <f aca="false">-Capex_Depr!Y26</f>
        <v>-59798577.7708546</v>
      </c>
      <c r="Z9" s="21" t="n">
        <f aca="false">-Capex_Depr!Z26</f>
        <v>-60695556.4374174</v>
      </c>
      <c r="AA9" s="21" t="n">
        <f aca="false">-Capex_Depr!AA26</f>
        <v>-61605989.7839787</v>
      </c>
      <c r="AB9" s="21" t="n">
        <f aca="false">-Capex_Depr!AB26</f>
        <v>-62530079.6307384</v>
      </c>
      <c r="AC9" s="21" t="n">
        <f aca="false">-Capex_Depr!AC26</f>
        <v>-63468030.8251994</v>
      </c>
      <c r="AD9" s="21" t="n">
        <f aca="false">-Capex_Depr!AD26</f>
        <v>-64420051.2875774</v>
      </c>
      <c r="AE9" s="21" t="n">
        <f aca="false">-Capex_Depr!AE26</f>
        <v>-65386352.0568911</v>
      </c>
      <c r="AF9" s="21" t="n">
        <f aca="false">-Capex_Depr!AF26</f>
        <v>-66367147.3377444</v>
      </c>
      <c r="AG9" s="21" t="n">
        <f aca="false">-Capex_Depr!AG26</f>
        <v>-67362654.5478106</v>
      </c>
      <c r="AH9" s="21" t="n">
        <f aca="false">-Capex_Depr!AH26</f>
        <v>-68373094.3660278</v>
      </c>
      <c r="AI9" s="21" t="n">
        <f aca="false">-Capex_Depr!AI26</f>
        <v>-69398690.7815182</v>
      </c>
      <c r="AJ9" s="21" t="n">
        <f aca="false">-Capex_Depr!AJ26</f>
        <v>-70439671.143241</v>
      </c>
    </row>
    <row r="10" customFormat="false" ht="15" hidden="false" customHeight="false" outlineLevel="0" collapsed="false">
      <c r="A10" s="6"/>
      <c r="B10" s="11" t="s">
        <v>310</v>
      </c>
      <c r="C10" s="21" t="n">
        <v>0</v>
      </c>
      <c r="D10" s="21" t="n">
        <v>0</v>
      </c>
      <c r="E10" s="21" t="n">
        <v>0</v>
      </c>
      <c r="F10" s="21" t="n">
        <v>0</v>
      </c>
      <c r="G10" s="21" t="n">
        <f aca="false">-Tax!G18</f>
        <v>-11670558.9583333</v>
      </c>
      <c r="H10" s="21" t="n">
        <f aca="false">-Tax!H18</f>
        <v>-16199527.5279085</v>
      </c>
      <c r="I10" s="21" t="n">
        <f aca="false">-Tax!I18</f>
        <v>-19680524.6946435</v>
      </c>
      <c r="J10" s="21" t="n">
        <f aca="false">-Tax!J18</f>
        <v>-25240848.8966744</v>
      </c>
      <c r="K10" s="21" t="n">
        <f aca="false">-Tax!K18</f>
        <v>-31138268.1789556</v>
      </c>
      <c r="L10" s="21" t="n">
        <f aca="false">-Tax!L18</f>
        <v>-37391908.6553741</v>
      </c>
      <c r="M10" s="21" t="n">
        <f aca="false">-Tax!M18</f>
        <v>-44021975.3956025</v>
      </c>
      <c r="N10" s="21" t="n">
        <f aca="false">-Tax!N18</f>
        <v>-51049814.398794</v>
      </c>
      <c r="O10" s="21" t="n">
        <f aca="false">-Tax!O18</f>
        <v>-58497978.2397722</v>
      </c>
      <c r="P10" s="21" t="n">
        <f aca="false">-Tax!P18</f>
        <v>-66390295.6143361</v>
      </c>
      <c r="Q10" s="21" t="n">
        <f aca="false">-Tax!Q18</f>
        <v>-74751945.0249594</v>
      </c>
      <c r="R10" s="21" t="n">
        <f aca="false">-Tax!R18</f>
        <v>-83609532.8638254</v>
      </c>
      <c r="S10" s="21" t="n">
        <f aca="false">-Tax!S18</f>
        <v>-92991176.1668621</v>
      </c>
      <c r="T10" s="21" t="n">
        <f aca="false">-Tax!T18</f>
        <v>-102926590.330319</v>
      </c>
      <c r="U10" s="21" t="n">
        <f aca="false">-Tax!U18</f>
        <v>-113447182.100526</v>
      </c>
      <c r="V10" s="21" t="n">
        <f aca="false">-Tax!V18</f>
        <v>-124586148.1679</v>
      </c>
      <c r="W10" s="21" t="n">
        <f aca="false">-Tax!W18</f>
        <v>-136378579.718086</v>
      </c>
      <c r="X10" s="21" t="n">
        <f aca="false">-Tax!X18</f>
        <v>-145271464.379211</v>
      </c>
      <c r="Y10" s="21" t="n">
        <f aca="false">-Tax!Y18</f>
        <v>-151634725.287566</v>
      </c>
      <c r="Z10" s="21" t="n">
        <f aca="false">-Tax!Z18</f>
        <v>-158247453.484554</v>
      </c>
      <c r="AA10" s="21" t="n">
        <f aca="false">-Tax!AA18</f>
        <v>-165121250.514392</v>
      </c>
      <c r="AB10" s="21" t="n">
        <f aca="false">-Tax!AB18</f>
        <v>-172268331.549478</v>
      </c>
      <c r="AC10" s="21" t="n">
        <f aca="false">-Tax!AC18</f>
        <v>-179701560.496536</v>
      </c>
      <c r="AD10" s="21" t="n">
        <f aca="false">-Tax!AD18</f>
        <v>-187434487.197982</v>
      </c>
      <c r="AE10" s="21" t="n">
        <f aca="false">-Tax!AE18</f>
        <v>-195481386.856261</v>
      </c>
      <c r="AF10" s="21" t="n">
        <f aca="false">-Tax!AF18</f>
        <v>-203857301.816815</v>
      </c>
      <c r="AG10" s="21" t="n">
        <f aca="false">-Tax!AG18</f>
        <v>-209637893.726985</v>
      </c>
      <c r="AH10" s="21" t="n">
        <f aca="false">-Tax!AH18</f>
        <v>-215596304.849223</v>
      </c>
      <c r="AI10" s="21" t="n">
        <f aca="false">-Tax!AI18</f>
        <v>-221738670.330294</v>
      </c>
      <c r="AJ10" s="21" t="n">
        <f aca="false">-Tax!AJ18</f>
        <v>-228071368.374234</v>
      </c>
    </row>
    <row r="11" customFormat="false" ht="15" hidden="false" customHeight="false" outlineLevel="0" collapsed="false">
      <c r="A11" s="6"/>
      <c r="B11" s="11" t="s">
        <v>311</v>
      </c>
      <c r="C11" s="21" t="n">
        <v>0</v>
      </c>
      <c r="D11" s="21" t="n">
        <v>0</v>
      </c>
      <c r="E11" s="21" t="n">
        <v>0</v>
      </c>
      <c r="F11" s="21" t="n">
        <v>0</v>
      </c>
      <c r="G11" s="21" t="n">
        <f aca="false">-Revenue!G30*WC_PerRev_Pct</f>
        <v>-7927890.83333333</v>
      </c>
      <c r="H11" s="21" t="n">
        <f aca="false">-(Revenue!H30*WC_PerRev_Pct-Revenue!G30*WC_PerRev_Pct)</f>
        <v>-363201.360666667</v>
      </c>
      <c r="I11" s="21" t="n">
        <f aca="false">-(Revenue!I30*WC_PerRev_Pct-Revenue!H30*WC_PerRev_Pct)</f>
        <v>-290808.438479999</v>
      </c>
      <c r="J11" s="21" t="n">
        <f aca="false">-(Revenue!J30*WC_PerRev_Pct-Revenue!I30*WC_PerRev_Pct)</f>
        <v>-432374.470746154</v>
      </c>
      <c r="K11" s="21" t="n">
        <f aca="false">-(Revenue!K30*WC_PerRev_Pct-Revenue!J30*WC_PerRev_Pct)</f>
        <v>-454523.719092263</v>
      </c>
      <c r="L11" s="21" t="n">
        <f aca="false">-(Revenue!L30*WC_PerRev_Pct-Revenue!K30*WC_PerRev_Pct)</f>
        <v>-477831.066396678</v>
      </c>
      <c r="M11" s="21" t="n">
        <f aca="false">-(Revenue!M30*WC_PerRev_Pct-Revenue!L30*WC_PerRev_Pct)</f>
        <v>-502358.656337462</v>
      </c>
      <c r="N11" s="21" t="n">
        <f aca="false">-(Revenue!N30*WC_PerRev_Pct-Revenue!M30*WC_PerRev_Pct)</f>
        <v>-528172.080452994</v>
      </c>
      <c r="O11" s="21" t="n">
        <f aca="false">-(Revenue!O30*WC_PerRev_Pct-Revenue!N30*WC_PerRev_Pct)</f>
        <v>-555340.577764899</v>
      </c>
      <c r="P11" s="21" t="n">
        <f aca="false">-(Revenue!P30*WC_PerRev_Pct-Revenue!O30*WC_PerRev_Pct)</f>
        <v>-583937.246579638</v>
      </c>
      <c r="Q11" s="21" t="n">
        <f aca="false">-(Revenue!Q30*WC_PerRev_Pct-Revenue!P30*WC_PerRev_Pct)</f>
        <v>-614039.269257657</v>
      </c>
      <c r="R11" s="21" t="n">
        <f aca="false">-(Revenue!R30*WC_PerRev_Pct-Revenue!Q30*WC_PerRev_Pct)</f>
        <v>-645728.15079347</v>
      </c>
      <c r="S11" s="21" t="n">
        <f aca="false">-(Revenue!S30*WC_PerRev_Pct-Revenue!R30*WC_PerRev_Pct)</f>
        <v>-679089.972108545</v>
      </c>
      <c r="T11" s="21" t="n">
        <f aca="false">-(Revenue!T30*WC_PerRev_Pct-Revenue!S30*WC_PerRev_Pct)</f>
        <v>-714215.659021331</v>
      </c>
      <c r="U11" s="21" t="n">
        <f aca="false">-(Revenue!U30*WC_PerRev_Pct-Revenue!T30*WC_PerRev_Pct)</f>
        <v>-751201.267926365</v>
      </c>
      <c r="V11" s="21" t="n">
        <f aca="false">-(Revenue!V30*WC_PerRev_Pct-Revenue!U30*WC_PerRev_Pct)</f>
        <v>-790148.289286466</v>
      </c>
      <c r="W11" s="21" t="n">
        <f aca="false">-(Revenue!W30*WC_PerRev_Pct-Revenue!V30*WC_PerRev_Pct)</f>
        <v>-831163.970119814</v>
      </c>
      <c r="X11" s="21" t="n">
        <f aca="false">-(Revenue!X30*WC_PerRev_Pct-Revenue!W30*WC_PerRev_Pct)</f>
        <v>-628967.064152822</v>
      </c>
      <c r="Y11" s="21" t="n">
        <f aca="false">-(Revenue!Y30*WC_PerRev_Pct-Revenue!X30*WC_PerRev_Pct)</f>
        <v>-451763.185854621</v>
      </c>
      <c r="Z11" s="21" t="n">
        <f aca="false">-(Revenue!Z30*WC_PerRev_Pct-Revenue!Y30*WC_PerRev_Pct)</f>
        <v>-464151.465699136</v>
      </c>
      <c r="AA11" s="21" t="n">
        <f aca="false">-(Revenue!AA30*WC_PerRev_Pct-Revenue!Z30*WC_PerRev_Pct)</f>
        <v>-476916.23474545</v>
      </c>
      <c r="AB11" s="21" t="n">
        <f aca="false">-(Revenue!AB30*WC_PerRev_Pct-Revenue!AA30*WC_PerRev_Pct)</f>
        <v>-490070.594979506</v>
      </c>
      <c r="AC11" s="21" t="n">
        <f aca="false">-(Revenue!AC30*WC_PerRev_Pct-Revenue!AB30*WC_PerRev_Pct)</f>
        <v>-503628.181591038</v>
      </c>
      <c r="AD11" s="21" t="n">
        <f aca="false">-(Revenue!AD30*WC_PerRev_Pct-Revenue!AC30*WC_PerRev_Pct)</f>
        <v>-517603.18809567</v>
      </c>
      <c r="AE11" s="21" t="n">
        <f aca="false">-(Revenue!AE30*WC_PerRev_Pct-Revenue!AD30*WC_PerRev_Pct)</f>
        <v>-532010.392777599</v>
      </c>
      <c r="AF11" s="21" t="n">
        <f aca="false">-(Revenue!AF30*WC_PerRev_Pct-Revenue!AE30*WC_PerRev_Pct)</f>
        <v>-546865.186527252</v>
      </c>
      <c r="AG11" s="21" t="n">
        <f aca="false">-(Revenue!AG30*WC_PerRev_Pct-Revenue!AF30*WC_PerRev_Pct)</f>
        <v>-562183.602152605</v>
      </c>
      <c r="AH11" s="21" t="n">
        <f aca="false">-(Revenue!AH30*WC_PerRev_Pct-Revenue!AG30*WC_PerRev_Pct)</f>
        <v>-577982.345247343</v>
      </c>
      <c r="AI11" s="21" t="n">
        <f aca="false">-(Revenue!AI30*WC_PerRev_Pct-Revenue!AH30*WC_PerRev_Pct)</f>
        <v>-594278.826704215</v>
      </c>
      <c r="AJ11" s="21" t="n">
        <f aca="false">-(Revenue!AJ30*WC_PerRev_Pct-Revenue!AI30*WC_PerRev_Pct)</f>
        <v>-611091.196966685</v>
      </c>
    </row>
    <row r="12" customFormat="false" ht="15" hidden="false" customHeight="false" outlineLevel="0" collapsed="false">
      <c r="A12" s="6"/>
      <c r="B12" s="28" t="s">
        <v>312</v>
      </c>
      <c r="C12" s="29" t="n">
        <v>0</v>
      </c>
      <c r="D12" s="29" t="n">
        <v>0</v>
      </c>
      <c r="E12" s="29" t="n">
        <v>0</v>
      </c>
      <c r="F12" s="29" t="n">
        <v>0</v>
      </c>
      <c r="G12" s="29" t="n">
        <f aca="false">G8+G9+G10+G11</f>
        <v>229824931.875</v>
      </c>
      <c r="H12" s="29" t="n">
        <f aca="false">H8+H9+H10+H11</f>
        <v>249231582.768425</v>
      </c>
      <c r="I12" s="29" t="n">
        <f aca="false">I8+I9+I10+I11</f>
        <v>257853131.423914</v>
      </c>
      <c r="J12" s="29" t="n">
        <f aca="false">J8+J9+J10+J11</f>
        <v>272339907.547555</v>
      </c>
      <c r="K12" s="29" t="n">
        <f aca="false">K8+K9+K10+K11</f>
        <v>287788059.89566</v>
      </c>
      <c r="L12" s="29" t="n">
        <f aca="false">L8+L9+L10+L11</f>
        <v>304123193.518545</v>
      </c>
      <c r="M12" s="29" t="n">
        <f aca="false">M8+M9+M10+M11</f>
        <v>321393953.939361</v>
      </c>
      <c r="N12" s="29" t="n">
        <f aca="false">N8+N9+N10+N11</f>
        <v>339651652.428767</v>
      </c>
      <c r="O12" s="29" t="n">
        <f aca="false">O8+O9+O10+O11</f>
        <v>358950415.503735</v>
      </c>
      <c r="P12" s="29" t="n">
        <f aca="false">P8+P9+P10+P11</f>
        <v>379347343.156902</v>
      </c>
      <c r="Q12" s="29" t="n">
        <f aca="false">Q8+Q9+Q10+Q11</f>
        <v>400902676.354825</v>
      </c>
      <c r="R12" s="29" t="n">
        <f aca="false">R8+R9+R10+R11</f>
        <v>423679974.378882</v>
      </c>
      <c r="S12" s="29" t="n">
        <f aca="false">S8+S9+S10+S11</f>
        <v>447746302.620406</v>
      </c>
      <c r="T12" s="29" t="n">
        <f aca="false">T8+T9+T10+T11</f>
        <v>473172431.482164</v>
      </c>
      <c r="U12" s="29" t="n">
        <f aca="false">U8+U9+U10+U11</f>
        <v>500033047.081715</v>
      </c>
      <c r="V12" s="29" t="n">
        <f aca="false">V8+V9+V10+V11</f>
        <v>528406974.498603</v>
      </c>
      <c r="W12" s="29" t="n">
        <f aca="false">W8+W9+W10+W11</f>
        <v>558377414.357185</v>
      </c>
      <c r="X12" s="29" t="n">
        <f aca="false">X8+X9+X10+X11</f>
        <v>579507261.370978</v>
      </c>
      <c r="Y12" s="29" t="n">
        <f aca="false">Y8+Y9+Y10+Y11</f>
        <v>592613259.539315</v>
      </c>
      <c r="Z12" s="29" t="n">
        <f aca="false">Z8+Z9+Z10+Z11</f>
        <v>605841700.618704</v>
      </c>
      <c r="AA12" s="29" t="n">
        <f aca="false">AA8+AA9+AA10+AA11</f>
        <v>619388562.410646</v>
      </c>
      <c r="AB12" s="29" t="n">
        <f aca="false">AB8+AB9+AB10+AB11</f>
        <v>633260670.630381</v>
      </c>
      <c r="AC12" s="29" t="n">
        <f aca="false">AC8+AC9+AC10+AC11</f>
        <v>647464922.027391</v>
      </c>
      <c r="AD12" s="29" t="n">
        <f aca="false">AD8+AD9+AD10+AD11</f>
        <v>662008278.623894</v>
      </c>
      <c r="AE12" s="29" t="n">
        <f aca="false">AE8+AE9+AE10+AE11</f>
        <v>676897761.284541</v>
      </c>
      <c r="AF12" s="29" t="n">
        <f aca="false">AF8+AF9+AF10+AF11</f>
        <v>692140442.565604</v>
      </c>
      <c r="AG12" s="29" t="n">
        <f aca="false">AG8+AG9+AG10+AG11</f>
        <v>710683630.915015</v>
      </c>
      <c r="AH12" s="29" t="n">
        <f aca="false">AH8+AH9+AH10+AH11</f>
        <v>729778047.538678</v>
      </c>
      <c r="AI12" s="29" t="n">
        <f aca="false">AI8+AI9+AI10+AI11</f>
        <v>749442354.230477</v>
      </c>
      <c r="AJ12" s="29" t="n">
        <f aca="false">AJ8+AJ9+AJ10+AJ11</f>
        <v>769695945.323029</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customFormat="false" ht="15" hidden="false" customHeight="false" outlineLevel="0" collapsed="false">
      <c r="A14" s="6"/>
      <c r="B14" s="8" t="s">
        <v>313</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row>
    <row r="15" customFormat="false" ht="15" hidden="false" customHeight="false" outlineLevel="0" collapsed="false">
      <c r="A15" s="6"/>
      <c r="B15" s="11" t="s">
        <v>314</v>
      </c>
      <c r="C15" s="21" t="n">
        <v>0</v>
      </c>
      <c r="D15" s="21" t="n">
        <v>0</v>
      </c>
      <c r="E15" s="21" t="n">
        <v>0</v>
      </c>
      <c r="F15" s="21" t="n">
        <v>0</v>
      </c>
      <c r="G15" s="21" t="n">
        <f aca="false">-Debt!G20</f>
        <v>-188172296.107476</v>
      </c>
      <c r="H15" s="21" t="n">
        <f aca="false">-Debt!H20</f>
        <v>-188172296.107476</v>
      </c>
      <c r="I15" s="21" t="n">
        <f aca="false">-Debt!I20</f>
        <v>-188172296.107476</v>
      </c>
      <c r="J15" s="21" t="n">
        <f aca="false">-Debt!J20</f>
        <v>-188172296.107476</v>
      </c>
      <c r="K15" s="21" t="n">
        <f aca="false">-Debt!K20</f>
        <v>-188172296.107476</v>
      </c>
      <c r="L15" s="21" t="n">
        <f aca="false">-Debt!L20</f>
        <v>-188172296.107476</v>
      </c>
      <c r="M15" s="21" t="n">
        <f aca="false">-Debt!M20</f>
        <v>-188172296.107476</v>
      </c>
      <c r="N15" s="21" t="n">
        <f aca="false">-Debt!N20</f>
        <v>-188172296.107476</v>
      </c>
      <c r="O15" s="21" t="n">
        <f aca="false">-Debt!O20</f>
        <v>-188172296.107476</v>
      </c>
      <c r="P15" s="21" t="n">
        <f aca="false">-Debt!P20</f>
        <v>-188172296.107476</v>
      </c>
      <c r="Q15" s="21" t="n">
        <f aca="false">-Debt!Q20</f>
        <v>-188172296.107476</v>
      </c>
      <c r="R15" s="21" t="n">
        <f aca="false">-Debt!R20</f>
        <v>-188172296.107476</v>
      </c>
      <c r="S15" s="21" t="n">
        <f aca="false">-Debt!S20</f>
        <v>-188172296.107476</v>
      </c>
      <c r="T15" s="21" t="n">
        <f aca="false">-Debt!T20</f>
        <v>-188172296.107476</v>
      </c>
      <c r="U15" s="21" t="n">
        <f aca="false">-Debt!U20</f>
        <v>-188172296.107476</v>
      </c>
      <c r="V15" s="21" t="n">
        <f aca="false">-Debt!V20</f>
        <v>-188172296.107476</v>
      </c>
      <c r="W15" s="21" t="n">
        <f aca="false">-Debt!W20</f>
        <v>-188172296.107476</v>
      </c>
      <c r="X15" s="21" t="n">
        <f aca="false">-Debt!X20</f>
        <v>-188172296.107476</v>
      </c>
      <c r="Y15" s="21" t="n">
        <f aca="false">-Debt!Y20</f>
        <v>-188172296.107476</v>
      </c>
      <c r="Z15" s="21" t="n">
        <f aca="false">-Debt!Z20</f>
        <v>-188172296.107476</v>
      </c>
      <c r="AA15" s="21" t="n">
        <f aca="false">-Debt!AA20</f>
        <v>-188172296.107476</v>
      </c>
      <c r="AB15" s="21" t="n">
        <f aca="false">-Debt!AB20</f>
        <v>-188172296.107476</v>
      </c>
      <c r="AC15" s="21" t="n">
        <f aca="false">-Debt!AC20</f>
        <v>-188172296.107476</v>
      </c>
      <c r="AD15" s="21" t="n">
        <f aca="false">-Debt!AD20</f>
        <v>-188172296.107476</v>
      </c>
      <c r="AE15" s="21" t="n">
        <f aca="false">-Debt!AE20</f>
        <v>-188172296.107476</v>
      </c>
      <c r="AF15" s="21" t="n">
        <f aca="false">-Debt!AF20</f>
        <v>-0</v>
      </c>
      <c r="AG15" s="21" t="n">
        <f aca="false">-Debt!AG20</f>
        <v>-0</v>
      </c>
      <c r="AH15" s="21" t="n">
        <f aca="false">-Debt!AH20</f>
        <v>-0</v>
      </c>
      <c r="AI15" s="21" t="n">
        <f aca="false">-Debt!AI20</f>
        <v>-0</v>
      </c>
      <c r="AJ15" s="21" t="n">
        <f aca="false">-Debt!AJ20</f>
        <v>-0</v>
      </c>
    </row>
    <row r="16" customFormat="false" ht="15" hidden="false" customHeight="false" outlineLevel="0" collapsed="false">
      <c r="A16" s="6"/>
      <c r="B16" s="11" t="s">
        <v>315</v>
      </c>
      <c r="C16" s="21" t="n">
        <v>0</v>
      </c>
      <c r="D16" s="21" t="n">
        <v>0</v>
      </c>
      <c r="E16" s="21" t="n">
        <v>0</v>
      </c>
      <c r="F16" s="21" t="n">
        <f aca="false">-Debt!F30</f>
        <v>-94086148.0537381</v>
      </c>
      <c r="G16" s="21" t="n">
        <f aca="false">-Debt!G30</f>
        <v>-0</v>
      </c>
      <c r="H16" s="21" t="n">
        <f aca="false">-Debt!H30</f>
        <v>-0</v>
      </c>
      <c r="I16" s="21" t="n">
        <f aca="false">-Debt!I30</f>
        <v>-0</v>
      </c>
      <c r="J16" s="21" t="n">
        <f aca="false">-Debt!J30</f>
        <v>-0</v>
      </c>
      <c r="K16" s="21" t="n">
        <f aca="false">-Debt!K30</f>
        <v>-0</v>
      </c>
      <c r="L16" s="21" t="n">
        <f aca="false">-Debt!L30</f>
        <v>-0</v>
      </c>
      <c r="M16" s="21" t="n">
        <f aca="false">-Debt!M30</f>
        <v>-0</v>
      </c>
      <c r="N16" s="21" t="n">
        <f aca="false">-Debt!N30</f>
        <v>-0</v>
      </c>
      <c r="O16" s="21" t="n">
        <f aca="false">-Debt!O30</f>
        <v>-0</v>
      </c>
      <c r="P16" s="21" t="n">
        <f aca="false">-Debt!P30</f>
        <v>-0</v>
      </c>
      <c r="Q16" s="21" t="n">
        <f aca="false">-Debt!Q30</f>
        <v>-0</v>
      </c>
      <c r="R16" s="21" t="n">
        <f aca="false">-Debt!R30</f>
        <v>-0</v>
      </c>
      <c r="S16" s="21" t="n">
        <f aca="false">-Debt!S30</f>
        <v>-0</v>
      </c>
      <c r="T16" s="21" t="n">
        <f aca="false">-Debt!T30</f>
        <v>-0</v>
      </c>
      <c r="U16" s="21" t="n">
        <f aca="false">-Debt!U30</f>
        <v>-0</v>
      </c>
      <c r="V16" s="21" t="n">
        <f aca="false">-Debt!V30</f>
        <v>-0</v>
      </c>
      <c r="W16" s="21" t="n">
        <f aca="false">-Debt!W30</f>
        <v>-0</v>
      </c>
      <c r="X16" s="21" t="n">
        <f aca="false">-Debt!X30</f>
        <v>-0</v>
      </c>
      <c r="Y16" s="21" t="n">
        <f aca="false">-Debt!Y30</f>
        <v>-0</v>
      </c>
      <c r="Z16" s="21" t="n">
        <f aca="false">-Debt!Z30</f>
        <v>-0</v>
      </c>
      <c r="AA16" s="21" t="n">
        <f aca="false">-Debt!AA30</f>
        <v>-0</v>
      </c>
      <c r="AB16" s="21" t="n">
        <f aca="false">-Debt!AB30</f>
        <v>-0</v>
      </c>
      <c r="AC16" s="21" t="n">
        <f aca="false">-Debt!AC30</f>
        <v>-0</v>
      </c>
      <c r="AD16" s="21" t="n">
        <f aca="false">-Debt!AD30</f>
        <v>-0</v>
      </c>
      <c r="AE16" s="21" t="n">
        <f aca="false">-Debt!AE30</f>
        <v>94086148.0537381</v>
      </c>
      <c r="AF16" s="21" t="n">
        <f aca="false">-Debt!AF30</f>
        <v>-0</v>
      </c>
      <c r="AG16" s="21" t="n">
        <f aca="false">-Debt!AG30</f>
        <v>-0</v>
      </c>
      <c r="AH16" s="21" t="n">
        <f aca="false">-Debt!AH30</f>
        <v>-0</v>
      </c>
      <c r="AI16" s="21" t="n">
        <f aca="false">-Debt!AI30</f>
        <v>-0</v>
      </c>
      <c r="AJ16" s="21" t="n">
        <f aca="false">-Debt!AJ30</f>
        <v>-0</v>
      </c>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row>
    <row r="18" customFormat="false" ht="15" hidden="false" customHeight="false" outlineLevel="0" collapsed="false">
      <c r="A18" s="6"/>
      <c r="B18" s="8" t="s">
        <v>316</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row>
    <row r="19" customFormat="false" ht="15" hidden="false" customHeight="false" outlineLevel="0" collapsed="false">
      <c r="A19" s="6"/>
      <c r="B19" s="11" t="s">
        <v>317</v>
      </c>
      <c r="C19" s="21" t="n">
        <v>0</v>
      </c>
      <c r="D19" s="21" t="n">
        <v>0</v>
      </c>
      <c r="E19" s="21" t="n">
        <v>0</v>
      </c>
      <c r="F19" s="21" t="n">
        <v>0</v>
      </c>
      <c r="G19" s="21" t="n">
        <f aca="false">IF(7&gt;=37-Handback_Years,-Capex_Depr!$AJ$27*Handback_Pct/Handback_Years,0)</f>
        <v>0</v>
      </c>
      <c r="H19" s="21" t="n">
        <f aca="false">IF(8&gt;=37-Handback_Years,-Capex_Depr!$AJ$27*Handback_Pct/Handback_Years,0)</f>
        <v>0</v>
      </c>
      <c r="I19" s="21" t="n">
        <f aca="false">IF(9&gt;=37-Handback_Years,-Capex_Depr!$AJ$27*Handback_Pct/Handback_Years,0)</f>
        <v>0</v>
      </c>
      <c r="J19" s="21" t="n">
        <f aca="false">IF(10&gt;=37-Handback_Years,-Capex_Depr!$AJ$27*Handback_Pct/Handback_Years,0)</f>
        <v>0</v>
      </c>
      <c r="K19" s="21" t="n">
        <f aca="false">IF(11&gt;=37-Handback_Years,-Capex_Depr!$AJ$27*Handback_Pct/Handback_Years,0)</f>
        <v>0</v>
      </c>
      <c r="L19" s="21" t="n">
        <f aca="false">IF(12&gt;=37-Handback_Years,-Capex_Depr!$AJ$27*Handback_Pct/Handback_Years,0)</f>
        <v>0</v>
      </c>
      <c r="M19" s="21" t="n">
        <f aca="false">IF(13&gt;=37-Handback_Years,-Capex_Depr!$AJ$27*Handback_Pct/Handback_Years,0)</f>
        <v>0</v>
      </c>
      <c r="N19" s="21" t="n">
        <f aca="false">IF(14&gt;=37-Handback_Years,-Capex_Depr!$AJ$27*Handback_Pct/Handback_Years,0)</f>
        <v>0</v>
      </c>
      <c r="O19" s="21" t="n">
        <f aca="false">IF(15&gt;=37-Handback_Years,-Capex_Depr!$AJ$27*Handback_Pct/Handback_Years,0)</f>
        <v>0</v>
      </c>
      <c r="P19" s="21" t="n">
        <f aca="false">IF(16&gt;=37-Handback_Years,-Capex_Depr!$AJ$27*Handback_Pct/Handback_Years,0)</f>
        <v>0</v>
      </c>
      <c r="Q19" s="21" t="n">
        <f aca="false">IF(17&gt;=37-Handback_Years,-Capex_Depr!$AJ$27*Handback_Pct/Handback_Years,0)</f>
        <v>0</v>
      </c>
      <c r="R19" s="21" t="n">
        <f aca="false">IF(18&gt;=37-Handback_Years,-Capex_Depr!$AJ$27*Handback_Pct/Handback_Years,0)</f>
        <v>0</v>
      </c>
      <c r="S19" s="21" t="n">
        <f aca="false">IF(19&gt;=37-Handback_Years,-Capex_Depr!$AJ$27*Handback_Pct/Handback_Years,0)</f>
        <v>0</v>
      </c>
      <c r="T19" s="21" t="n">
        <f aca="false">IF(20&gt;=37-Handback_Years,-Capex_Depr!$AJ$27*Handback_Pct/Handback_Years,0)</f>
        <v>0</v>
      </c>
      <c r="U19" s="21" t="n">
        <f aca="false">IF(21&gt;=37-Handback_Years,-Capex_Depr!$AJ$27*Handback_Pct/Handback_Years,0)</f>
        <v>0</v>
      </c>
      <c r="V19" s="21" t="n">
        <f aca="false">IF(22&gt;=37-Handback_Years,-Capex_Depr!$AJ$27*Handback_Pct/Handback_Years,0)</f>
        <v>0</v>
      </c>
      <c r="W19" s="21" t="n">
        <f aca="false">IF(23&gt;=37-Handback_Years,-Capex_Depr!$AJ$27*Handback_Pct/Handback_Years,0)</f>
        <v>0</v>
      </c>
      <c r="X19" s="21" t="n">
        <f aca="false">IF(24&gt;=37-Handback_Years,-Capex_Depr!$AJ$27*Handback_Pct/Handback_Years,0)</f>
        <v>0</v>
      </c>
      <c r="Y19" s="21" t="n">
        <f aca="false">IF(25&gt;=37-Handback_Years,-Capex_Depr!$AJ$27*Handback_Pct/Handback_Years,0)</f>
        <v>0</v>
      </c>
      <c r="Z19" s="21" t="n">
        <f aca="false">IF(26&gt;=37-Handback_Years,-Capex_Depr!$AJ$27*Handback_Pct/Handback_Years,0)</f>
        <v>0</v>
      </c>
      <c r="AA19" s="21" t="n">
        <f aca="false">IF(27&gt;=37-Handback_Years,-Capex_Depr!$AJ$27*Handback_Pct/Handback_Years,0)</f>
        <v>0</v>
      </c>
      <c r="AB19" s="21" t="n">
        <f aca="false">IF(28&gt;=37-Handback_Years,-Capex_Depr!$AJ$27*Handback_Pct/Handback_Years,0)</f>
        <v>0</v>
      </c>
      <c r="AC19" s="21" t="n">
        <f aca="false">IF(29&gt;=37-Handback_Years,-Capex_Depr!$AJ$27*Handback_Pct/Handback_Years,0)</f>
        <v>0</v>
      </c>
      <c r="AD19" s="21" t="n">
        <f aca="false">IF(30&gt;=37-Handback_Years,-Capex_Depr!$AJ$27*Handback_Pct/Handback_Years,0)</f>
        <v>0</v>
      </c>
      <c r="AE19" s="21" t="n">
        <f aca="false">IF(31&gt;=37-Handback_Years,-Capex_Depr!$AJ$27*Handback_Pct/Handback_Years,0)</f>
        <v>0</v>
      </c>
      <c r="AF19" s="21" t="n">
        <f aca="false">IF(32&gt;=37-Handback_Years,-Capex_Depr!$AJ$27*Handback_Pct/Handback_Years,0)</f>
        <v>-17170427.473593</v>
      </c>
      <c r="AG19" s="21" t="n">
        <f aca="false">IF(33&gt;=37-Handback_Years,-Capex_Depr!$AJ$27*Handback_Pct/Handback_Years,0)</f>
        <v>-17170427.473593</v>
      </c>
      <c r="AH19" s="21" t="n">
        <f aca="false">IF(34&gt;=37-Handback_Years,-Capex_Depr!$AJ$27*Handback_Pct/Handback_Years,0)</f>
        <v>-17170427.473593</v>
      </c>
      <c r="AI19" s="21" t="n">
        <f aca="false">IF(35&gt;=37-Handback_Years,-Capex_Depr!$AJ$27*Handback_Pct/Handback_Years,0)</f>
        <v>-17170427.473593</v>
      </c>
      <c r="AJ19" s="21" t="n">
        <f aca="false">IF(36&gt;=37-Handback_Years,-Capex_Depr!$AJ$27*Handback_Pct/Handback_Years,0)</f>
        <v>-17170427.473593</v>
      </c>
    </row>
    <row r="20" customFormat="false" ht="15" hidden="false" customHeight="false" outlineLevel="0" collapsed="false">
      <c r="A20" s="6"/>
      <c r="B20" s="11" t="s">
        <v>318</v>
      </c>
      <c r="C20" s="21" t="n">
        <v>0</v>
      </c>
      <c r="D20" s="21" t="n">
        <v>0</v>
      </c>
      <c r="E20" s="21" t="n">
        <v>0</v>
      </c>
      <c r="F20" s="21" t="n">
        <v>0</v>
      </c>
      <c r="G20" s="21" t="n">
        <f aca="false">-G19</f>
        <v>-0</v>
      </c>
      <c r="H20" s="21" t="n">
        <f aca="false">G20-H19</f>
        <v>-0</v>
      </c>
      <c r="I20" s="21" t="n">
        <f aca="false">H20-I19</f>
        <v>-0</v>
      </c>
      <c r="J20" s="21" t="n">
        <f aca="false">I20-J19</f>
        <v>-0</v>
      </c>
      <c r="K20" s="21" t="n">
        <f aca="false">J20-K19</f>
        <v>-0</v>
      </c>
      <c r="L20" s="21" t="n">
        <f aca="false">K20-L19</f>
        <v>-0</v>
      </c>
      <c r="M20" s="21" t="n">
        <f aca="false">L20-M19</f>
        <v>-0</v>
      </c>
      <c r="N20" s="21" t="n">
        <f aca="false">M20-N19</f>
        <v>-0</v>
      </c>
      <c r="O20" s="21" t="n">
        <f aca="false">N20-O19</f>
        <v>-0</v>
      </c>
      <c r="P20" s="21" t="n">
        <f aca="false">O20-P19</f>
        <v>-0</v>
      </c>
      <c r="Q20" s="21" t="n">
        <f aca="false">P20-Q19</f>
        <v>-0</v>
      </c>
      <c r="R20" s="21" t="n">
        <f aca="false">Q20-R19</f>
        <v>-0</v>
      </c>
      <c r="S20" s="21" t="n">
        <f aca="false">R20-S19</f>
        <v>-0</v>
      </c>
      <c r="T20" s="21" t="n">
        <f aca="false">S20-T19</f>
        <v>-0</v>
      </c>
      <c r="U20" s="21" t="n">
        <f aca="false">T20-U19</f>
        <v>-0</v>
      </c>
      <c r="V20" s="21" t="n">
        <f aca="false">U20-V19</f>
        <v>-0</v>
      </c>
      <c r="W20" s="21" t="n">
        <f aca="false">V20-W19</f>
        <v>-0</v>
      </c>
      <c r="X20" s="21" t="n">
        <f aca="false">W20-X19</f>
        <v>-0</v>
      </c>
      <c r="Y20" s="21" t="n">
        <f aca="false">X20-Y19</f>
        <v>-0</v>
      </c>
      <c r="Z20" s="21" t="n">
        <f aca="false">Y20-Z19</f>
        <v>-0</v>
      </c>
      <c r="AA20" s="21" t="n">
        <f aca="false">Z20-AA19</f>
        <v>-0</v>
      </c>
      <c r="AB20" s="21" t="n">
        <f aca="false">AA20-AB19</f>
        <v>-0</v>
      </c>
      <c r="AC20" s="21" t="n">
        <f aca="false">AB20-AC19</f>
        <v>-0</v>
      </c>
      <c r="AD20" s="21" t="n">
        <f aca="false">AC20-AD19</f>
        <v>-0</v>
      </c>
      <c r="AE20" s="21" t="n">
        <f aca="false">AD20-AE19</f>
        <v>-0</v>
      </c>
      <c r="AF20" s="21" t="n">
        <f aca="false">AE20-AF19</f>
        <v>17170427.473593</v>
      </c>
      <c r="AG20" s="21" t="n">
        <f aca="false">AF20-AG19</f>
        <v>34340854.9471861</v>
      </c>
      <c r="AH20" s="21" t="n">
        <f aca="false">AG20-AH19</f>
        <v>51511282.4207791</v>
      </c>
      <c r="AI20" s="21" t="n">
        <f aca="false">AH20-AI19</f>
        <v>68681709.8943722</v>
      </c>
      <c r="AJ20" s="21" t="n">
        <f aca="false">AI20-AJ19</f>
        <v>85852137.3679652</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customFormat="false" ht="15" hidden="false" customHeight="false" outlineLevel="0" collapsed="false">
      <c r="A22" s="6"/>
      <c r="B22" s="8" t="s">
        <v>319</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row>
    <row r="23" customFormat="false" ht="15" hidden="false" customHeight="false" outlineLevel="0" collapsed="false">
      <c r="A23" s="6"/>
      <c r="B23" s="32" t="s">
        <v>320</v>
      </c>
      <c r="C23" s="33" t="n">
        <v>0</v>
      </c>
      <c r="D23" s="33" t="n">
        <v>0</v>
      </c>
      <c r="E23" s="33" t="n">
        <v>0</v>
      </c>
      <c r="F23" s="33" t="n">
        <v>0</v>
      </c>
      <c r="G23" s="33" t="n">
        <f aca="false">G12+G15+G16+G19</f>
        <v>41652635.7675237</v>
      </c>
      <c r="H23" s="33" t="n">
        <f aca="false">H12+H15+H16+H19</f>
        <v>61059286.6609486</v>
      </c>
      <c r="I23" s="33" t="n">
        <f aca="false">I12+I15+I16+I19</f>
        <v>69680835.3164375</v>
      </c>
      <c r="J23" s="33" t="n">
        <f aca="false">J12+J15+J16+J19</f>
        <v>84167611.4400785</v>
      </c>
      <c r="K23" s="33" t="n">
        <f aca="false">K12+K15+K16+K19</f>
        <v>99615763.7881841</v>
      </c>
      <c r="L23" s="33" t="n">
        <f aca="false">L12+L15+L16+L19</f>
        <v>115950897.411069</v>
      </c>
      <c r="M23" s="33" t="n">
        <f aca="false">M12+M15+M16+M19</f>
        <v>133221657.831884</v>
      </c>
      <c r="N23" s="33" t="n">
        <f aca="false">N12+N15+N16+N19</f>
        <v>151479356.32129</v>
      </c>
      <c r="O23" s="33" t="n">
        <f aca="false">O12+O15+O16+O19</f>
        <v>170778119.396259</v>
      </c>
      <c r="P23" s="33" t="n">
        <f aca="false">P12+P15+P16+P19</f>
        <v>191175047.049425</v>
      </c>
      <c r="Q23" s="33" t="n">
        <f aca="false">Q12+Q15+Q16+Q19</f>
        <v>212730380.247348</v>
      </c>
      <c r="R23" s="33" t="n">
        <f aca="false">R12+R15+R16+R19</f>
        <v>235507678.271406</v>
      </c>
      <c r="S23" s="33" t="n">
        <f aca="false">S12+S15+S16+S19</f>
        <v>259574006.512929</v>
      </c>
      <c r="T23" s="33" t="n">
        <f aca="false">T12+T15+T16+T19</f>
        <v>285000135.374688</v>
      </c>
      <c r="U23" s="33" t="n">
        <f aca="false">U12+U15+U16+U19</f>
        <v>311860750.974239</v>
      </c>
      <c r="V23" s="33" t="n">
        <f aca="false">V12+V15+V16+V19</f>
        <v>340234678.391127</v>
      </c>
      <c r="W23" s="33" t="n">
        <f aca="false">W12+W15+W16+W19</f>
        <v>370205118.249709</v>
      </c>
      <c r="X23" s="33" t="n">
        <f aca="false">X12+X15+X16+X19</f>
        <v>391334965.263502</v>
      </c>
      <c r="Y23" s="33" t="n">
        <f aca="false">Y12+Y15+Y16+Y19</f>
        <v>404440963.431838</v>
      </c>
      <c r="Z23" s="33" t="n">
        <f aca="false">Z12+Z15+Z16+Z19</f>
        <v>417669404.511227</v>
      </c>
      <c r="AA23" s="33" t="n">
        <f aca="false">AA12+AA15+AA16+AA19</f>
        <v>431216266.30317</v>
      </c>
      <c r="AB23" s="33" t="n">
        <f aca="false">AB12+AB15+AB16+AB19</f>
        <v>445088374.522905</v>
      </c>
      <c r="AC23" s="33" t="n">
        <f aca="false">AC12+AC15+AC16+AC19</f>
        <v>459292625.919915</v>
      </c>
      <c r="AD23" s="33" t="n">
        <f aca="false">AD12+AD15+AD16+AD19</f>
        <v>473835982.516417</v>
      </c>
      <c r="AE23" s="33" t="n">
        <f aca="false">AE12+AE15+AE16+AE19</f>
        <v>582811613.230803</v>
      </c>
      <c r="AF23" s="33" t="n">
        <f aca="false">AF12+AF15+AF16+AF19</f>
        <v>674970015.092011</v>
      </c>
      <c r="AG23" s="33" t="n">
        <f aca="false">AG12+AG15+AG16+AG19</f>
        <v>693513203.441422</v>
      </c>
      <c r="AH23" s="33" t="n">
        <f aca="false">AH12+AH15+AH16+AH19</f>
        <v>712607620.065085</v>
      </c>
      <c r="AI23" s="33" t="n">
        <f aca="false">AI12+AI15+AI16+AI19</f>
        <v>732271926.756884</v>
      </c>
      <c r="AJ23" s="33" t="n">
        <f aca="false">AJ12+AJ15+AJ16+AJ19</f>
        <v>752525517.849436</v>
      </c>
    </row>
    <row r="24" customFormat="false" ht="15" hidden="false" customHeight="false" outlineLevel="0" collapsed="false">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row>
    <row r="25" customFormat="false" ht="15" hidden="false" customHeight="false" outlineLevel="0" collapsed="false">
      <c r="A25" s="6"/>
      <c r="B25" s="8" t="s">
        <v>321</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customFormat="false" ht="15" hidden="false" customHeight="false" outlineLevel="0" collapsed="false">
      <c r="A26" s="6"/>
      <c r="B26" s="11" t="s">
        <v>322</v>
      </c>
      <c r="C26" s="21" t="n">
        <f aca="false">Debt!C9</f>
        <v>105000000</v>
      </c>
      <c r="D26" s="21" t="n">
        <f aca="false">Debt!D9</f>
        <v>210000000</v>
      </c>
      <c r="E26" s="21" t="n">
        <f aca="false">Debt!E9</f>
        <v>245000000</v>
      </c>
      <c r="F26" s="21" t="n">
        <f aca="false">Debt!F9</f>
        <v>234086148.053738</v>
      </c>
      <c r="G26" s="21" t="n">
        <v>0</v>
      </c>
      <c r="H26" s="21" t="n">
        <v>0</v>
      </c>
      <c r="I26" s="21" t="n">
        <v>0</v>
      </c>
      <c r="J26" s="21" t="n">
        <v>0</v>
      </c>
      <c r="K26" s="21" t="n">
        <v>0</v>
      </c>
      <c r="L26" s="21" t="n">
        <v>0</v>
      </c>
      <c r="M26" s="21" t="n">
        <v>0</v>
      </c>
      <c r="N26" s="21" t="n">
        <v>0</v>
      </c>
      <c r="O26" s="21" t="n">
        <v>0</v>
      </c>
      <c r="P26" s="21" t="n">
        <v>0</v>
      </c>
      <c r="Q26" s="21" t="n">
        <v>0</v>
      </c>
      <c r="R26" s="21" t="n">
        <v>0</v>
      </c>
      <c r="S26" s="21" t="n">
        <v>0</v>
      </c>
      <c r="T26" s="21" t="n">
        <v>0</v>
      </c>
      <c r="U26" s="21" t="n">
        <v>0</v>
      </c>
      <c r="V26" s="21" t="n">
        <v>0</v>
      </c>
      <c r="W26" s="21" t="n">
        <v>0</v>
      </c>
      <c r="X26" s="21" t="n">
        <v>0</v>
      </c>
      <c r="Y26" s="21" t="n">
        <v>0</v>
      </c>
      <c r="Z26" s="21" t="n">
        <v>0</v>
      </c>
      <c r="AA26" s="21" t="n">
        <v>0</v>
      </c>
      <c r="AB26" s="21" t="n">
        <v>0</v>
      </c>
      <c r="AC26" s="21" t="n">
        <v>0</v>
      </c>
      <c r="AD26" s="21" t="n">
        <v>0</v>
      </c>
      <c r="AE26" s="21" t="n">
        <v>0</v>
      </c>
      <c r="AF26" s="21" t="n">
        <v>0</v>
      </c>
      <c r="AG26" s="21" t="n">
        <v>0</v>
      </c>
      <c r="AH26" s="21" t="n">
        <v>0</v>
      </c>
      <c r="AI26" s="21" t="n">
        <v>0</v>
      </c>
      <c r="AJ26" s="21" t="n">
        <v>0</v>
      </c>
    </row>
    <row r="27" customFormat="false" ht="15" hidden="false" customHeight="false" outlineLevel="0" collapsed="false">
      <c r="A27" s="6"/>
      <c r="B27" s="11" t="s">
        <v>323</v>
      </c>
      <c r="C27" s="21" t="n">
        <f aca="false">Debt!C10</f>
        <v>324843750</v>
      </c>
      <c r="D27" s="21" t="n">
        <f aca="false">Debt!D10</f>
        <v>669375000</v>
      </c>
      <c r="E27" s="21" t="n">
        <f aca="false">Debt!E10</f>
        <v>817031250</v>
      </c>
      <c r="F27" s="21" t="n">
        <f aca="false">Debt!F10</f>
        <v>538125000</v>
      </c>
      <c r="G27" s="21" t="n">
        <v>0</v>
      </c>
      <c r="H27" s="21" t="n">
        <v>0</v>
      </c>
      <c r="I27" s="21" t="n">
        <v>0</v>
      </c>
      <c r="J27" s="21" t="n">
        <v>0</v>
      </c>
      <c r="K27" s="21" t="n">
        <v>0</v>
      </c>
      <c r="L27" s="21" t="n">
        <v>0</v>
      </c>
      <c r="M27" s="21" t="n">
        <v>0</v>
      </c>
      <c r="N27" s="21" t="n">
        <v>0</v>
      </c>
      <c r="O27" s="21" t="n">
        <v>0</v>
      </c>
      <c r="P27" s="21" t="n">
        <v>0</v>
      </c>
      <c r="Q27" s="21" t="n">
        <v>0</v>
      </c>
      <c r="R27" s="21" t="n">
        <v>0</v>
      </c>
      <c r="S27" s="21" t="n">
        <v>0</v>
      </c>
      <c r="T27" s="21" t="n">
        <v>0</v>
      </c>
      <c r="U27" s="21" t="n">
        <v>0</v>
      </c>
      <c r="V27" s="21" t="n">
        <v>0</v>
      </c>
      <c r="W27" s="21" t="n">
        <v>0</v>
      </c>
      <c r="X27" s="21" t="n">
        <v>0</v>
      </c>
      <c r="Y27" s="21" t="n">
        <v>0</v>
      </c>
      <c r="Z27" s="21" t="n">
        <v>0</v>
      </c>
      <c r="AA27" s="21" t="n">
        <v>0</v>
      </c>
      <c r="AB27" s="21" t="n">
        <v>0</v>
      </c>
      <c r="AC27" s="21" t="n">
        <v>0</v>
      </c>
      <c r="AD27" s="21" t="n">
        <v>0</v>
      </c>
      <c r="AE27" s="21" t="n">
        <v>0</v>
      </c>
      <c r="AF27" s="21" t="n">
        <v>0</v>
      </c>
      <c r="AG27" s="21" t="n">
        <v>0</v>
      </c>
      <c r="AH27" s="21" t="n">
        <v>0</v>
      </c>
      <c r="AI27" s="21" t="n">
        <v>0</v>
      </c>
      <c r="AJ27" s="21" t="n">
        <v>0</v>
      </c>
    </row>
    <row r="28" customFormat="false" ht="15" hidden="false" customHeight="false" outlineLevel="0" collapsed="false">
      <c r="A28" s="6"/>
      <c r="B28" s="11" t="s">
        <v>324</v>
      </c>
      <c r="C28" s="21" t="n">
        <f aca="false">Capex_Depr!C18</f>
        <v>420000000</v>
      </c>
      <c r="D28" s="21" t="n">
        <f aca="false">Capex_Depr!D18</f>
        <v>840000000</v>
      </c>
      <c r="E28" s="21" t="n">
        <f aca="false">Capex_Depr!E18</f>
        <v>980000000</v>
      </c>
      <c r="F28" s="21" t="n">
        <f aca="false">Capex_Depr!F18</f>
        <v>560000000</v>
      </c>
      <c r="G28" s="21" t="n">
        <v>0</v>
      </c>
      <c r="H28" s="21" t="n">
        <v>0</v>
      </c>
      <c r="I28" s="21" t="n">
        <v>0</v>
      </c>
      <c r="J28" s="21" t="n">
        <v>0</v>
      </c>
      <c r="K28" s="21" t="n">
        <v>0</v>
      </c>
      <c r="L28" s="21" t="n">
        <v>0</v>
      </c>
      <c r="M28" s="21" t="n">
        <v>0</v>
      </c>
      <c r="N28" s="21" t="n">
        <v>0</v>
      </c>
      <c r="O28" s="21" t="n">
        <v>0</v>
      </c>
      <c r="P28" s="21" t="n">
        <v>0</v>
      </c>
      <c r="Q28" s="21" t="n">
        <v>0</v>
      </c>
      <c r="R28" s="21" t="n">
        <v>0</v>
      </c>
      <c r="S28" s="21" t="n">
        <v>0</v>
      </c>
      <c r="T28" s="21" t="n">
        <v>0</v>
      </c>
      <c r="U28" s="21" t="n">
        <v>0</v>
      </c>
      <c r="V28" s="21" t="n">
        <v>0</v>
      </c>
      <c r="W28" s="21" t="n">
        <v>0</v>
      </c>
      <c r="X28" s="21" t="n">
        <v>0</v>
      </c>
      <c r="Y28" s="21" t="n">
        <v>0</v>
      </c>
      <c r="Z28" s="21" t="n">
        <v>0</v>
      </c>
      <c r="AA28" s="21" t="n">
        <v>0</v>
      </c>
      <c r="AB28" s="21" t="n">
        <v>0</v>
      </c>
      <c r="AC28" s="21" t="n">
        <v>0</v>
      </c>
      <c r="AD28" s="21" t="n">
        <v>0</v>
      </c>
      <c r="AE28" s="21" t="n">
        <v>0</v>
      </c>
      <c r="AF28" s="21" t="n">
        <v>0</v>
      </c>
      <c r="AG28" s="21" t="n">
        <v>0</v>
      </c>
      <c r="AH28" s="21" t="n">
        <v>0</v>
      </c>
      <c r="AI28" s="21" t="n">
        <v>0</v>
      </c>
      <c r="AJ28" s="21" t="n">
        <v>0</v>
      </c>
    </row>
    <row r="29" customFormat="false" ht="15" hidden="false" customHeight="false" outlineLevel="0" collapsed="false">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customFormat="false" ht="15" hidden="false" customHeight="false" outlineLevel="0" collapsed="false">
      <c r="A30" s="6"/>
      <c r="B30" s="8" t="s">
        <v>325</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row>
    <row r="31" customFormat="false" ht="15" hidden="false" customHeight="false" outlineLevel="0" collapsed="false">
      <c r="A31" s="6"/>
      <c r="B31" s="28" t="s">
        <v>326</v>
      </c>
      <c r="C31" s="29" t="n">
        <f aca="false">-C26</f>
        <v>-105000000</v>
      </c>
      <c r="D31" s="29" t="n">
        <f aca="false">-D26</f>
        <v>-210000000</v>
      </c>
      <c r="E31" s="29" t="n">
        <f aca="false">-E26</f>
        <v>-245000000</v>
      </c>
      <c r="F31" s="29" t="n">
        <f aca="false">-F26</f>
        <v>-234086148.053738</v>
      </c>
      <c r="G31" s="29" t="n">
        <f aca="false">G23</f>
        <v>41652635.7675237</v>
      </c>
      <c r="H31" s="29" t="n">
        <f aca="false">H23</f>
        <v>61059286.6609486</v>
      </c>
      <c r="I31" s="29" t="n">
        <f aca="false">I23</f>
        <v>69680835.3164375</v>
      </c>
      <c r="J31" s="29" t="n">
        <f aca="false">J23</f>
        <v>84167611.4400785</v>
      </c>
      <c r="K31" s="29" t="n">
        <f aca="false">K23</f>
        <v>99615763.7881841</v>
      </c>
      <c r="L31" s="29" t="n">
        <f aca="false">L23</f>
        <v>115950897.411069</v>
      </c>
      <c r="M31" s="29" t="n">
        <f aca="false">M23</f>
        <v>133221657.831884</v>
      </c>
      <c r="N31" s="29" t="n">
        <f aca="false">N23</f>
        <v>151479356.32129</v>
      </c>
      <c r="O31" s="29" t="n">
        <f aca="false">O23</f>
        <v>170778119.396259</v>
      </c>
      <c r="P31" s="29" t="n">
        <f aca="false">P23</f>
        <v>191175047.049425</v>
      </c>
      <c r="Q31" s="29" t="n">
        <f aca="false">Q23</f>
        <v>212730380.247348</v>
      </c>
      <c r="R31" s="29" t="n">
        <f aca="false">R23</f>
        <v>235507678.271406</v>
      </c>
      <c r="S31" s="29" t="n">
        <f aca="false">S23</f>
        <v>259574006.512929</v>
      </c>
      <c r="T31" s="29" t="n">
        <f aca="false">T23</f>
        <v>285000135.374688</v>
      </c>
      <c r="U31" s="29" t="n">
        <f aca="false">U23</f>
        <v>311860750.974239</v>
      </c>
      <c r="V31" s="29" t="n">
        <f aca="false">V23</f>
        <v>340234678.391127</v>
      </c>
      <c r="W31" s="29" t="n">
        <f aca="false">W23</f>
        <v>370205118.249709</v>
      </c>
      <c r="X31" s="29" t="n">
        <f aca="false">X23</f>
        <v>391334965.263502</v>
      </c>
      <c r="Y31" s="29" t="n">
        <f aca="false">Y23</f>
        <v>404440963.431838</v>
      </c>
      <c r="Z31" s="29" t="n">
        <f aca="false">Z23</f>
        <v>417669404.511227</v>
      </c>
      <c r="AA31" s="29" t="n">
        <f aca="false">AA23</f>
        <v>431216266.30317</v>
      </c>
      <c r="AB31" s="29" t="n">
        <f aca="false">AB23</f>
        <v>445088374.522905</v>
      </c>
      <c r="AC31" s="29" t="n">
        <f aca="false">AC23</f>
        <v>459292625.919915</v>
      </c>
      <c r="AD31" s="29" t="n">
        <f aca="false">AD23</f>
        <v>473835982.516417</v>
      </c>
      <c r="AE31" s="29" t="n">
        <f aca="false">AE23</f>
        <v>582811613.230803</v>
      </c>
      <c r="AF31" s="29" t="n">
        <f aca="false">AF23</f>
        <v>674970015.092011</v>
      </c>
      <c r="AG31" s="29" t="n">
        <f aca="false">AG23</f>
        <v>693513203.441422</v>
      </c>
      <c r="AH31" s="29" t="n">
        <f aca="false">AH23</f>
        <v>712607620.065085</v>
      </c>
      <c r="AI31" s="29" t="n">
        <f aca="false">AI23</f>
        <v>732271926.756884</v>
      </c>
      <c r="AJ31" s="29" t="n">
        <f aca="false">AJ23</f>
        <v>752525517.849436</v>
      </c>
    </row>
    <row r="32" customFormat="false" ht="15" hidden="false" customHeight="false" outlineLevel="0" collapsed="false">
      <c r="A32" s="6"/>
      <c r="B32" s="28" t="s">
        <v>327</v>
      </c>
      <c r="C32" s="29" t="n">
        <f aca="false">-C28</f>
        <v>-420000000</v>
      </c>
      <c r="D32" s="29" t="n">
        <f aca="false">-D28</f>
        <v>-840000000</v>
      </c>
      <c r="E32" s="29" t="n">
        <f aca="false">-E28</f>
        <v>-980000000</v>
      </c>
      <c r="F32" s="29" t="n">
        <f aca="false">-F28</f>
        <v>-560000000</v>
      </c>
      <c r="G32" s="29" t="n">
        <f aca="false">G8+G9-Tax!G26</f>
        <v>201043838.333333</v>
      </c>
      <c r="H32" s="29" t="n">
        <f aca="false">H8+H9-Tax!H26</f>
        <v>213531680.357333</v>
      </c>
      <c r="I32" s="29" t="n">
        <f aca="false">I8+I9-Tax!I26</f>
        <v>222767084.23158</v>
      </c>
      <c r="J32" s="29" t="n">
        <f aca="false">J8+J9-Tax!J26</f>
        <v>238124565.037241</v>
      </c>
      <c r="K32" s="29" t="n">
        <f aca="false">K8+K9-Tax!K26</f>
        <v>254369576.449055</v>
      </c>
      <c r="L32" s="29" t="n">
        <f aca="false">L8+L9-Tax!L26</f>
        <v>271551146.598068</v>
      </c>
      <c r="M32" s="29" t="n">
        <f aca="false">M8+M9-Tax!M26</f>
        <v>289721009.361324</v>
      </c>
      <c r="N32" s="29" t="n">
        <f aca="false">N8+N9-Tax!N26</f>
        <v>308933756.949376</v>
      </c>
      <c r="O32" s="29" t="n">
        <f aca="false">O8+O9-Tax!O26</f>
        <v>329247001.425846</v>
      </c>
      <c r="P32" s="29" t="n">
        <f aca="false">P8+P9-Tax!P26</f>
        <v>350721545.708528</v>
      </c>
      <c r="Q32" s="29" t="n">
        <f aca="false">Q8+Q9-Tax!Q26</f>
        <v>373421564.637374</v>
      </c>
      <c r="R32" s="29" t="n">
        <f aca="false">R8+R9-Tax!R26</f>
        <v>397414796.732977</v>
      </c>
      <c r="S32" s="29" t="n">
        <f aca="false">S8+S9-Tax!S26</f>
        <v>422772747.310201</v>
      </c>
      <c r="T32" s="29" t="n">
        <f aca="false">T8+T9-Tax!T26</f>
        <v>449570903.655408</v>
      </c>
      <c r="U32" s="29" t="n">
        <f aca="false">U8+U9-Tax!U26</f>
        <v>477888963.022682</v>
      </c>
      <c r="V32" s="29" t="n">
        <f aca="false">V8+V9-Tax!V26</f>
        <v>507811074.254674</v>
      </c>
      <c r="W32" s="29" t="n">
        <f aca="false">W8+W9-Tax!W26</f>
        <v>539426093.887442</v>
      </c>
      <c r="X32" s="29" t="n">
        <f aca="false">X8+X9-Tax!X26</f>
        <v>562057530.844456</v>
      </c>
      <c r="Y32" s="29" t="n">
        <f aca="false">Y8+Y9-Tax!Y26</f>
        <v>576796598.661757</v>
      </c>
      <c r="Z32" s="29" t="n">
        <f aca="false">Z8+Z9-Tax!Z26</f>
        <v>591960843.643707</v>
      </c>
      <c r="AA32" s="29" t="n">
        <f aca="false">AA8+AA9-Tax!AA26</f>
        <v>607564099.303832</v>
      </c>
      <c r="AB32" s="29" t="n">
        <f aca="false">AB8+AB9-Tax!AB26</f>
        <v>623620717.801632</v>
      </c>
      <c r="AC32" s="29" t="n">
        <f aca="false">AC8+AC9-Tax!AC26</f>
        <v>640145592.447949</v>
      </c>
      <c r="AD32" s="29" t="n">
        <f aca="false">AD8+AD9-Tax!AD26</f>
        <v>657154181.317572</v>
      </c>
      <c r="AE32" s="29" t="n">
        <f aca="false">AE8+AE9-Tax!AE26</f>
        <v>674662532.02868</v>
      </c>
      <c r="AF32" s="29" t="n">
        <f aca="false">AF8+AF9-Tax!AF26</f>
        <v>692687307.752132</v>
      </c>
      <c r="AG32" s="29" t="n">
        <f aca="false">AG8+AG9-Tax!AG26</f>
        <v>711245814.517168</v>
      </c>
      <c r="AH32" s="29" t="n">
        <f aca="false">AH8+AH9-Tax!AH26</f>
        <v>730356029.883925</v>
      </c>
      <c r="AI32" s="29" t="n">
        <f aca="false">AI8+AI9-Tax!AI26</f>
        <v>750036633.057181</v>
      </c>
      <c r="AJ32" s="29" t="n">
        <f aca="false">AJ8+AJ9-Tax!AJ26</f>
        <v>770307036.519996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2026-05-15T18:52:45Z</dcterms:created>
  <dc:creator>openpyxl</dc:creator>
  <dc:description/>
  <dc:language>en-GB</dc:language>
  <cp:lastModifiedBy/>
  <dcterms:modified xsi:type="dcterms:W3CDTF">2026-05-15T18:52:45Z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