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1.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ashboard" sheetId="2" state="visible" r:id="rId4"/>
    <sheet name="Assumptions" sheetId="3" state="visible" r:id="rId5"/>
    <sheet name="Allocation_Strategy" sheetId="4" state="visible" r:id="rId6"/>
    <sheet name="Capital_Activity" sheetId="5" state="visible" r:id="rId7"/>
    <sheet name="Portfolio_NAV" sheetId="6" state="visible" r:id="rId8"/>
    <sheet name="Fee_Analysis" sheetId="7" state="visible" r:id="rId9"/>
    <sheet name="Returns" sheetId="8" state="visible" r:id="rId10"/>
    <sheet name="Liquidity" sheetId="9" state="visible" r:id="rId11"/>
    <sheet name="Checks" sheetId="10" state="visible" r:id="rId12"/>
    <sheet name="Disclaimer" sheetId="11" state="visible" r:id="rId13"/>
  </sheets>
  <definedNames>
    <definedName function="false" hidden="false" name="Alloc_HF" vbProcedure="false">Assumptions!$C$27</definedName>
    <definedName function="false" hidden="false" name="Alloc_Infra" vbProcedure="false">Assumptions!$C$29</definedName>
    <definedName function="false" hidden="false" name="Alloc_Liq" vbProcedure="false">Assumptions!$C$31</definedName>
    <definedName function="false" hidden="false" name="Alloc_PC" vbProcedure="false">Assumptions!$C$30</definedName>
    <definedName function="false" hidden="false" name="Alloc_PE" vbProcedure="false">Assumptions!$C$25</definedName>
    <definedName function="false" hidden="false" name="Alloc_RE" vbProcedure="false">Assumptions!$C$28</definedName>
    <definedName function="false" hidden="false" name="Alloc_VC" vbProcedure="false">Assumptions!$C$26</definedName>
    <definedName function="false" hidden="false" name="Cash_Buffer" vbProcedure="false">Assumptions!$C$18</definedName>
    <definedName function="false" hidden="false" name="Credit_Rate" vbProcedure="false">Assumptions!$C$17</definedName>
    <definedName function="false" hidden="false" name="Credit_Size" vbProcedure="false">Assumptions!$C$16</definedName>
    <definedName function="false" hidden="false" name="DistStart_HF" vbProcedure="false">Assumptions!$C$99</definedName>
    <definedName function="false" hidden="false" name="DistStart_Infra" vbProcedure="false">Assumptions!$C$101</definedName>
    <definedName function="false" hidden="false" name="DistStart_Liq" vbProcedure="false">Assumptions!$C$103</definedName>
    <definedName function="false" hidden="false" name="DistStart_PC" vbProcedure="false">Assumptions!$C$102</definedName>
    <definedName function="false" hidden="false" name="DistStart_PE" vbProcedure="false">Assumptions!$C$97</definedName>
    <definedName function="false" hidden="false" name="DistStart_RE" vbProcedure="false">Assumptions!$C$100</definedName>
    <definedName function="false" hidden="false" name="DistStart_VC" vbProcedure="false">Assumptions!$C$98</definedName>
    <definedName function="false" hidden="false" name="Dist_HF" vbProcedure="false">Assumptions!$C$90</definedName>
    <definedName function="false" hidden="false" name="Dist_Infra" vbProcedure="false">Assumptions!$C$92</definedName>
    <definedName function="false" hidden="false" name="Dist_Liq" vbProcedure="false">Assumptions!$C$94</definedName>
    <definedName function="false" hidden="false" name="Dist_PC" vbProcedure="false">Assumptions!$C$93</definedName>
    <definedName function="false" hidden="false" name="Dist_PE" vbProcedure="false">Assumptions!$C$88</definedName>
    <definedName function="false" hidden="false" name="Dist_RE" vbProcedure="false">Assumptions!$C$91</definedName>
    <definedName function="false" hidden="false" name="Dist_VC" vbProcedure="false">Assumptions!$C$89</definedName>
    <definedName function="false" hidden="false" name="Draw_HF" vbProcedure="false">Assumptions!$C$81</definedName>
    <definedName function="false" hidden="false" name="Draw_Infra" vbProcedure="false">Assumptions!$C$83</definedName>
    <definedName function="false" hidden="false" name="Draw_Liq" vbProcedure="false">Assumptions!$C$85</definedName>
    <definedName function="false" hidden="false" name="Draw_PC" vbProcedure="false">Assumptions!$C$84</definedName>
    <definedName function="false" hidden="false" name="Draw_PE" vbProcedure="false">Assumptions!$C$79</definedName>
    <definedName function="false" hidden="false" name="Draw_RE" vbProcedure="false">Assumptions!$C$82</definedName>
    <definedName function="false" hidden="false" name="Draw_VC" vbProcedure="false">Assumptions!$C$80</definedName>
    <definedName function="false" hidden="false" name="FeeBasis_HF" vbProcedure="false">Assumptions!$C$117</definedName>
    <definedName function="false" hidden="false" name="FeeBasis_Infra" vbProcedure="false">Assumptions!$C$119</definedName>
    <definedName function="false" hidden="false" name="FeeBasis_Liq" vbProcedure="false">Assumptions!$C$121</definedName>
    <definedName function="false" hidden="false" name="FeeBasis_PC" vbProcedure="false">Assumptions!$C$120</definedName>
    <definedName function="false" hidden="false" name="FeeBasis_PE" vbProcedure="false">Assumptions!$C$115</definedName>
    <definedName function="false" hidden="false" name="FeeBasis_RE" vbProcedure="false">Assumptions!$C$118</definedName>
    <definedName function="false" hidden="false" name="FeeBasis_VC" vbProcedure="false">Assumptions!$C$116</definedName>
    <definedName function="false" hidden="false" name="Hurdle_HF" vbProcedure="false">Assumptions!$C$72</definedName>
    <definedName function="false" hidden="false" name="Hurdle_Infra" vbProcedure="false">Assumptions!$C$74</definedName>
    <definedName function="false" hidden="false" name="Hurdle_Liq" vbProcedure="false">Assumptions!$C$76</definedName>
    <definedName function="false" hidden="false" name="Hurdle_PC" vbProcedure="false">Assumptions!$C$75</definedName>
    <definedName function="false" hidden="false" name="Hurdle_PE" vbProcedure="false">Assumptions!$C$70</definedName>
    <definedName function="false" hidden="false" name="Hurdle_RE" vbProcedure="false">Assumptions!$C$73</definedName>
    <definedName function="false" hidden="false" name="Hurdle_VC" vbProcedure="false">Assumptions!$C$71</definedName>
    <definedName function="false" hidden="false" name="Initial_Cash_Pct" vbProcedure="false">Assumptions!$C$10</definedName>
    <definedName function="false" hidden="false" name="Internal_Cost_Pct" vbProcedure="false">Assumptions!$C$12</definedName>
    <definedName function="false" hidden="false" name="InvestPeriod_HF" vbProcedure="false">Assumptions!$C$108</definedName>
    <definedName function="false" hidden="false" name="InvestPeriod_Infra" vbProcedure="false">Assumptions!$C$110</definedName>
    <definedName function="false" hidden="false" name="InvestPeriod_Liq" vbProcedure="false">Assumptions!$C$112</definedName>
    <definedName function="false" hidden="false" name="InvestPeriod_PC" vbProcedure="false">Assumptions!$C$111</definedName>
    <definedName function="false" hidden="false" name="InvestPeriod_PE" vbProcedure="false">Assumptions!$C$106</definedName>
    <definedName function="false" hidden="false" name="InvestPeriod_RE" vbProcedure="false">Assumptions!$C$109</definedName>
    <definedName function="false" hidden="false" name="InvestPeriod_VC" vbProcedure="false">Assumptions!$C$107</definedName>
    <definedName function="false" hidden="false" name="Mgmt_HF" vbProcedure="false">Assumptions!$C$54</definedName>
    <definedName function="false" hidden="false" name="Mgmt_Infra" vbProcedure="false">Assumptions!$C$56</definedName>
    <definedName function="false" hidden="false" name="Mgmt_Liq" vbProcedure="false">Assumptions!$C$58</definedName>
    <definedName function="false" hidden="false" name="Mgmt_PC" vbProcedure="false">Assumptions!$C$57</definedName>
    <definedName function="false" hidden="false" name="Mgmt_PE" vbProcedure="false">Assumptions!$C$52</definedName>
    <definedName function="false" hidden="false" name="Mgmt_RE" vbProcedure="false">Assumptions!$C$55</definedName>
    <definedName function="false" hidden="false" name="Mgmt_VC" vbProcedure="false">Assumptions!$C$53</definedName>
    <definedName function="false" hidden="false" name="OpenNAV_HF" vbProcedure="false">Assumptions!$C$36</definedName>
    <definedName function="false" hidden="false" name="OpenNAV_Infra" vbProcedure="false">Assumptions!$C$38</definedName>
    <definedName function="false" hidden="false" name="OpenNAV_Liq" vbProcedure="false">Assumptions!$C$40</definedName>
    <definedName function="false" hidden="false" name="OpenNAV_PC" vbProcedure="false">Assumptions!$C$39</definedName>
    <definedName function="false" hidden="false" name="OpenNAV_PE" vbProcedure="false">Assumptions!$C$34</definedName>
    <definedName function="false" hidden="false" name="OpenNAV_RE" vbProcedure="false">Assumptions!$C$37</definedName>
    <definedName function="false" hidden="false" name="OpenNAV_VC" vbProcedure="false">Assumptions!$C$35</definedName>
    <definedName function="false" hidden="false" name="Over_Commit_Ratio" vbProcedure="false">Assumptions!$C$11</definedName>
    <definedName function="false" hidden="false" name="PerfBasis_HF" vbProcedure="false">Assumptions!$C$126</definedName>
    <definedName function="false" hidden="false" name="PerfBasis_Infra" vbProcedure="false">Assumptions!$C$128</definedName>
    <definedName function="false" hidden="false" name="PerfBasis_Liq" vbProcedure="false">Assumptions!$C$130</definedName>
    <definedName function="false" hidden="false" name="PerfBasis_PC" vbProcedure="false">Assumptions!$C$129</definedName>
    <definedName function="false" hidden="false" name="PerfBasis_PE" vbProcedure="false">Assumptions!$C$124</definedName>
    <definedName function="false" hidden="false" name="PerfBasis_RE" vbProcedure="false">Assumptions!$C$127</definedName>
    <definedName function="false" hidden="false" name="PerfBasis_VC" vbProcedure="false">Assumptions!$C$125</definedName>
    <definedName function="false" hidden="false" name="Perf_HF" vbProcedure="false">Assumptions!$C$63</definedName>
    <definedName function="false" hidden="false" name="Perf_Infra" vbProcedure="false">Assumptions!$C$65</definedName>
    <definedName function="false" hidden="false" name="Perf_Liq" vbProcedure="false">Assumptions!$C$67</definedName>
    <definedName function="false" hidden="false" name="Perf_PC" vbProcedure="false">Assumptions!$C$66</definedName>
    <definedName function="false" hidden="false" name="Perf_PE" vbProcedure="false">Assumptions!$C$61</definedName>
    <definedName function="false" hidden="false" name="Perf_RE" vbProcedure="false">Assumptions!$C$64</definedName>
    <definedName function="false" hidden="false" name="Perf_VC" vbProcedure="false">Assumptions!$C$62</definedName>
    <definedName function="false" hidden="false" name="Recycle_Pct" vbProcedure="false">Assumptions!$C$13</definedName>
    <definedName function="false" hidden="false" name="RetVec_HF" vbProcedure="false">Assumptions!$C$45:$L$45</definedName>
    <definedName function="false" hidden="false" name="RetVec_Infra" vbProcedure="false">Assumptions!$C$47:$L$47</definedName>
    <definedName function="false" hidden="false" name="RetVec_Liq" vbProcedure="false">Assumptions!$C$49:$L$49</definedName>
    <definedName function="false" hidden="false" name="RetVec_PC" vbProcedure="false">Assumptions!$C$48:$L$48</definedName>
    <definedName function="false" hidden="false" name="RetVec_PE" vbProcedure="false">Assumptions!$C$43:$L$43</definedName>
    <definedName function="false" hidden="false" name="RetVec_RE" vbProcedure="false">Assumptions!$C$46:$L$46</definedName>
    <definedName function="false" hidden="false" name="RetVec_VC" vbProcedure="false">Assumptions!$C$44:$L$44</definedName>
    <definedName function="false" hidden="false" name="Stress_Calls" vbProcedure="false">Assumptions!$C$22</definedName>
    <definedName function="false" hidden="false" name="Stress_Dist" vbProcedure="false">Assumptions!$C$21</definedName>
    <definedName function="false" hidden="false" name="Total_New_Commit" vbProcedure="false">Assumptions!$C$140</definedName>
    <definedName function="false" hidden="false" name="Total_Portfolio" vbProcedure="false">Assumptions!$C$9</definedName>
    <definedName function="false" hidden="false" name="VintagePace_1" vbProcedure="false">Assumptions!$C$133</definedName>
    <definedName function="false" hidden="false" name="VintagePace_2" vbProcedure="false">Assumptions!$C$134</definedName>
    <definedName function="false" hidden="false" name="VintagePace_3" vbProcedure="false">Assumptions!$C$135</definedName>
    <definedName function="false" hidden="false" name="VintagePace_4" vbProcedure="false">Assumptions!$C$136</definedName>
    <definedName function="false" hidden="false" name="VintagePace_5" vbProcedure="false">Assumptions!$C$137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<sst xmlns="http://schemas.openxmlformats.org/spreadsheetml/2006/main" count="713" uniqueCount="277">
  <si>
    <t xml:space="preserve">Alternatives Allocation Model</t>
  </si>
  <si>
    <t xml:space="preserve">FINAMODEL.com</t>
  </si>
  <si>
    <t xml:space="preserve">Institutional LP portfolio: PE, VC, HF, RE, Infra, Credit, Liquid Alts</t>
  </si>
  <si>
    <t xml:space="preserve">Sheet</t>
  </si>
  <si>
    <t xml:space="preserve">Description</t>
  </si>
  <si>
    <t xml:space="preserve">Tab Colour</t>
  </si>
  <si>
    <t xml:space="preserve">Cover</t>
  </si>
  <si>
    <t xml:space="preserve">Title and navigation</t>
  </si>
  <si>
    <t xml:space="preserve">Dark Blue</t>
  </si>
  <si>
    <t xml:space="preserve">Dashboard</t>
  </si>
  <si>
    <t xml:space="preserve">Summary: allocations, cash flow, liquidity status</t>
  </si>
  <si>
    <t xml:space="preserve">Amber</t>
  </si>
  <si>
    <t xml:space="preserve">Assumptions</t>
  </si>
  <si>
    <t xml:space="preserve">Portfolio parameters, fees, pacing, stress test</t>
  </si>
  <si>
    <t xml:space="preserve">Light Blue</t>
  </si>
  <si>
    <t xml:space="preserve">Allocation_Strategy</t>
  </si>
  <si>
    <t xml:space="preserve">Targets, vintage pacing, commitments, drift</t>
  </si>
  <si>
    <t xml:space="preserve">Green</t>
  </si>
  <si>
    <t xml:space="preserve">Capital_Activity</t>
  </si>
  <si>
    <t xml:space="preserve">Capital calls and distributions by class</t>
  </si>
  <si>
    <t xml:space="preserve">Portfolio_NAV</t>
  </si>
  <si>
    <t xml:space="preserve">NAV build-up by asset class with HWM and step-down</t>
  </si>
  <si>
    <t xml:space="preserve">Orange</t>
  </si>
  <si>
    <t xml:space="preserve">Fee_Analysis</t>
  </si>
  <si>
    <t xml:space="preserve">Management and performance fee breakdown</t>
  </si>
  <si>
    <t xml:space="preserve">Red</t>
  </si>
  <si>
    <t xml:space="preserve">Returns</t>
  </si>
  <si>
    <t xml:space="preserve">Gross/net returns, TVPI/DPI/RVPI, weighted portfolio</t>
  </si>
  <si>
    <t xml:space="preserve">Grey</t>
  </si>
  <si>
    <t xml:space="preserve">Liquidity</t>
  </si>
  <si>
    <t xml:space="preserve">Cash, credit facility, coverage, stress</t>
  </si>
  <si>
    <t xml:space="preserve">Checks</t>
  </si>
  <si>
    <t xml:space="preserve">Validation and reconciliation</t>
  </si>
  <si>
    <t xml:space="preserve">About this model</t>
  </si>
  <si>
    <t xml:space="preserve">An alternatives allocation model projects capital flows, net asset value (NAV), and risk-adjusted returns across an institutional investor's portfolio of private equity, hedge funds, real estate, infrastructure, and private credit commitments to optimise allocation, manage the J-curve drawdown profile, and forecast dividend capacity. The model answers how much capital must be committed and drawn over time to maintain target allocations, when distributions from successful exits will arrive, and what net-of-fee blended return the portfolio will achieve.
Each asset class is modelled with distinct capital call and distribution pacing: private equity and venture capital exhibit a deep J-curve (negative returns in years 1â3 as capital is called and deployed, then positive returns years 4â8 from exits), while hedge funds and private credit generate steadier quarterly/annual cash flows. Fee structures vary by asset class (PE: 1.5â2.0% management fee plus 20% carry over 8% hurdle; hedge funds: 1â1.5% plus 15â20% performance fee; infrastructure: 1â1.5% plus 15â20% promote). The model tracks cumulative capital calls against available liquidity, management fees charged against committed capital or NAV depending on the asset class, and performance fees (carry) calculated on excess returns above hurdle rates.
Endowments, pension funds, sovereign wealth funds, and family offices use alternatives allocation models to stress-test liquidity (can we meet capital calls without forced asset sales?), benchmark fee drag, project blended portfolio return including the impact of manager underperformance, and determine optimal rebalancing across asset classes to maintain strategic targets.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</si>
  <si>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</si>
  <si>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</si>
  <si>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</si>
  <si>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</si>
  <si>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Headline metrics, allocations, cash flow strip, liquidity status</t>
  </si>
  <si>
    <t xml:space="preserve">Headline Metrics</t>
  </si>
  <si>
    <t xml:space="preserve">Total Portfolio NAV (Y10)</t>
  </si>
  <si>
    <t xml:space="preserve">Portfolio TVPI (Y10)</t>
  </si>
  <si>
    <t xml:space="preserve">Portfolio DPI (Y10)</t>
  </si>
  <si>
    <t xml:space="preserve">Avg Net Return % (10-yr)</t>
  </si>
  <si>
    <t xml:space="preserve">Trough Closing Cash</t>
  </si>
  <si>
    <t xml:space="preserve">Peak Credit Drawn</t>
  </si>
  <si>
    <t xml:space="preserve">Year</t>
  </si>
  <si>
    <t xml:space="preserve">Actual Allocation % by Year</t>
  </si>
  <si>
    <t xml:space="preserve">Private Equity</t>
  </si>
  <si>
    <t xml:space="preserve">Venture Capital</t>
  </si>
  <si>
    <t xml:space="preserve">Hedge Funds</t>
  </si>
  <si>
    <t xml:space="preserve">Real Estate</t>
  </si>
  <si>
    <t xml:space="preserve">Infrastructure</t>
  </si>
  <si>
    <t xml:space="preserve">Private Credit</t>
  </si>
  <si>
    <t xml:space="preserve">Liquid Alternatives</t>
  </si>
  <si>
    <t xml:space="preserve">Total Portfolio Net Cash Flow ($M)</t>
  </si>
  <si>
    <t xml:space="preserve">Distributions In</t>
  </si>
  <si>
    <t xml:space="preserve">Capital Calls Out</t>
  </si>
  <si>
    <t xml:space="preserve">Net Cash Flow</t>
  </si>
  <si>
    <t xml:space="preserve">NAV Bridge (Total Portfolio)</t>
  </si>
  <si>
    <t xml:space="preserve">Opening NAV</t>
  </si>
  <si>
    <t xml:space="preserve">+ Capital Called</t>
  </si>
  <si>
    <t xml:space="preserve">+ Gross Return</t>
  </si>
  <si>
    <t xml:space="preserve">- Mgmt Fees</t>
  </si>
  <si>
    <t xml:space="preserve">- Perf Fees</t>
  </si>
  <si>
    <t xml:space="preserve">- Distributions</t>
  </si>
  <si>
    <t xml:space="preserve">Closing NAV</t>
  </si>
  <si>
    <t xml:space="preserve">Liquidity Status</t>
  </si>
  <si>
    <t xml:space="preserve">Closing Cash</t>
  </si>
  <si>
    <t xml:space="preserve">Credit Drawn Balance</t>
  </si>
  <si>
    <t xml:space="preserve">Coverage Ratio</t>
  </si>
  <si>
    <t xml:space="preserve">Status</t>
  </si>
  <si>
    <t xml:space="preserve">Inputs for portfolio, fees, pacing, stress</t>
  </si>
  <si>
    <t xml:space="preserve">Parameter</t>
  </si>
  <si>
    <t xml:space="preserve">Value</t>
  </si>
  <si>
    <t xml:space="preserve">Unit</t>
  </si>
  <si>
    <t xml:space="preserve">Notes</t>
  </si>
  <si>
    <t xml:space="preserve">Portfolio</t>
  </si>
  <si>
    <t xml:space="preserve">Total Portfolio (AUM)</t>
  </si>
  <si>
    <t xml:space="preserve">$M</t>
  </si>
  <si>
    <t xml:space="preserve">Starting AUM</t>
  </si>
  <si>
    <t xml:space="preserve">Initial Cash %</t>
  </si>
  <si>
    <t xml:space="preserve">%</t>
  </si>
  <si>
    <t xml:space="preserve">Cash held at t=0 (% of AUM)</t>
  </si>
  <si>
    <t xml:space="preserve">Over-Commitment Ratio</t>
  </si>
  <si>
    <t xml:space="preserve">x</t>
  </si>
  <si>
    <t xml:space="preserve">Applied to illiquid classes</t>
  </si>
  <si>
    <t xml:space="preserve">Internal Cost % of NAV</t>
  </si>
  <si>
    <t xml:space="preserve">Scales with closing NAV</t>
  </si>
  <si>
    <t xml:space="preserve">Recycle % of Distributions</t>
  </si>
  <si>
    <t xml:space="preserve">% of distributions re-committed (kept at 0 for v1)</t>
  </si>
  <si>
    <t xml:space="preserve">Credit Facility</t>
  </si>
  <si>
    <t xml:space="preserve">Facility Size</t>
  </si>
  <si>
    <t xml:space="preserve">Maximum drawable amount</t>
  </si>
  <si>
    <t xml:space="preserve">Facility Interest Rate</t>
  </si>
  <si>
    <t xml:space="preserve">Annual cost on drawn balance</t>
  </si>
  <si>
    <t xml:space="preserve">Min Cash Buffer</t>
  </si>
  <si>
    <t xml:space="preserve">Trigger for credit draw (close cash below this)</t>
  </si>
  <si>
    <t xml:space="preserve">Liquidity Stress Test</t>
  </si>
  <si>
    <t xml:space="preserve">Distribution Slowdown %</t>
  </si>
  <si>
    <t xml:space="preserve">Set positive to slow distributions (0% = no stress)</t>
  </si>
  <si>
    <t xml:space="preserve">Call Acceleration %</t>
  </si>
  <si>
    <t xml:space="preserve">Set positive to accelerate calls (0% = no stress)</t>
  </si>
  <si>
    <t xml:space="preserve">Target Allocation %</t>
  </si>
  <si>
    <t xml:space="preserve">  Private Equity</t>
  </si>
  <si>
    <t xml:space="preserve">Yale-style target for Private Equity</t>
  </si>
  <si>
    <t xml:space="preserve">  Venture Capital</t>
  </si>
  <si>
    <t xml:space="preserve">Yale-style target for Venture Capital</t>
  </si>
  <si>
    <t xml:space="preserve">  Hedge Funds</t>
  </si>
  <si>
    <t xml:space="preserve">Yale-style target for Hedge Funds</t>
  </si>
  <si>
    <t xml:space="preserve">  Real Estate</t>
  </si>
  <si>
    <t xml:space="preserve">Yale-style target for Real Estate</t>
  </si>
  <si>
    <t xml:space="preserve">  Infrastructure</t>
  </si>
  <si>
    <t xml:space="preserve">Yale-style target for Infrastructure</t>
  </si>
  <si>
    <t xml:space="preserve">  Private Credit</t>
  </si>
  <si>
    <t xml:space="preserve">Yale-style target for Private Credit</t>
  </si>
  <si>
    <t xml:space="preserve">  Liquid Alternatives</t>
  </si>
  <si>
    <t xml:space="preserve">Yale-style target for Liquid Alternatives</t>
  </si>
  <si>
    <t xml:space="preserve">Opening NAV at t=0</t>
  </si>
  <si>
    <t xml:space="preserve">Already-deployed NAV at model start</t>
  </si>
  <si>
    <t xml:space="preserve">Gross Return % (10-year vector)</t>
  </si>
  <si>
    <t xml:space="preserve">Annual gross return per period</t>
  </si>
  <si>
    <t xml:space="preserve">Management Fee Rate</t>
  </si>
  <si>
    <t xml:space="preserve">On committed during invest period, on NAV after</t>
  </si>
  <si>
    <t xml:space="preserve">On NAV (HWM applies)</t>
  </si>
  <si>
    <t xml:space="preserve">On NAV</t>
  </si>
  <si>
    <t xml:space="preserve">Performance Fee / Carry Rate</t>
  </si>
  <si>
    <t xml:space="preserve">Hurdle Rate</t>
  </si>
  <si>
    <t xml:space="preserve">Drawdown Pacing % per Year</t>
  </si>
  <si>
    <t xml:space="preserve">Of remaining unfunded, per year</t>
  </si>
  <si>
    <t xml:space="preserve">Distribution Pacing % per Year</t>
  </si>
  <si>
    <t xml:space="preserve">Of opening NAV, once distributions start</t>
  </si>
  <si>
    <t xml:space="preserve">Distribution Start Year</t>
  </si>
  <si>
    <t xml:space="preserve">year</t>
  </si>
  <si>
    <t xml:space="preserve">First year distributions appear</t>
  </si>
  <si>
    <t xml:space="preserve">Investment Period (years)</t>
  </si>
  <si>
    <t xml:space="preserve">years</t>
  </si>
  <si>
    <t xml:space="preserve">Mgmt fee on committed during this period, NAV after</t>
  </si>
  <si>
    <t xml:space="preserve">Fee Basis Flag (1=Committed, 2=NAV)</t>
  </si>
  <si>
    <t xml:space="preserve">Mgmt fee basis: 1=committed, 2=NAV</t>
  </si>
  <si>
    <t xml:space="preserve">Perf Fee Basis (1=Gross, 2=Realised)</t>
  </si>
  <si>
    <t xml:space="preserve">1=on gross return; 2=on realised distributions</t>
  </si>
  <si>
    <t xml:space="preserve">Vintage Pacing % (5-year new commitments)</t>
  </si>
  <si>
    <t xml:space="preserve">  Vintage 1</t>
  </si>
  <si>
    <t xml:space="preserve">% of total new commitments deployed in this vintage</t>
  </si>
  <si>
    <t xml:space="preserve">  Vintage 2</t>
  </si>
  <si>
    <t xml:space="preserve">  Vintage 3</t>
  </si>
  <si>
    <t xml:space="preserve">  Vintage 4</t>
  </si>
  <si>
    <t xml:space="preserve">  Vintage 5</t>
  </si>
  <si>
    <t xml:space="preserve">New Commitment Plan</t>
  </si>
  <si>
    <t xml:space="preserve">  Total New Commitments</t>
  </si>
  <si>
    <t xml:space="preserve">Total dollars to commit over 5 vintages, split per allocation</t>
  </si>
  <si>
    <t xml:space="preserve">Allocation Strategy</t>
  </si>
  <si>
    <t xml:space="preserve">Target Allocation ($M)</t>
  </si>
  <si>
    <t xml:space="preserve">Total Target</t>
  </si>
  <si>
    <t xml:space="preserve">New Commitments by Vintage ($M)</t>
  </si>
  <si>
    <t xml:space="preserve">Total New Commitments</t>
  </si>
  <si>
    <t xml:space="preserve">Cumulative Commitments ($M)</t>
  </si>
  <si>
    <t xml:space="preserve">Total Cumulative Commitments</t>
  </si>
  <si>
    <t xml:space="preserve">Unfunded Commitments ($M)</t>
  </si>
  <si>
    <t xml:space="preserve">Total Unfunded</t>
  </si>
  <si>
    <t xml:space="preserve">Actual Allocation % (Drift vs Target)</t>
  </si>
  <si>
    <t xml:space="preserve">Allocation Drift (Actual - Target)</t>
  </si>
  <si>
    <t xml:space="preserve">Vintage Exposure - New Commitments / Total NAV</t>
  </si>
  <si>
    <t xml:space="preserve">Vintage Exposure %</t>
  </si>
  <si>
    <t xml:space="preserve">Capital Activity</t>
  </si>
  <si>
    <t xml:space="preserve">Capital calls and distributions per asset class</t>
  </si>
  <si>
    <t xml:space="preserve">Capital Calls ($M)</t>
  </si>
  <si>
    <t xml:space="preserve">Total Calls</t>
  </si>
  <si>
    <t xml:space="preserve">Total Cumulative Calls</t>
  </si>
  <si>
    <t xml:space="preserve">Total Distributions</t>
  </si>
  <si>
    <t xml:space="preserve">Total Cumulative Distributions</t>
  </si>
  <si>
    <t xml:space="preserve">Total Net Cash Flow</t>
  </si>
  <si>
    <t xml:space="preserve">Portfolio NAV</t>
  </si>
  <si>
    <t xml:space="preserve">NAV build-up by asset class with HWM and fee step-down</t>
  </si>
  <si>
    <t xml:space="preserve">Capital Called</t>
  </si>
  <si>
    <t xml:space="preserve">Peak NAV (HWM)</t>
  </si>
  <si>
    <t xml:space="preserve">Gross Return</t>
  </si>
  <si>
    <t xml:space="preserve">Management Fee</t>
  </si>
  <si>
    <t xml:space="preserve">Performance Fee</t>
  </si>
  <si>
    <t xml:space="preserve">Distributions</t>
  </si>
  <si>
    <t xml:space="preserve">Portfolio Total</t>
  </si>
  <si>
    <t xml:space="preserve">Management Fees</t>
  </si>
  <si>
    <t xml:space="preserve">Performance Fees</t>
  </si>
  <si>
    <t xml:space="preserve">Average NAV</t>
  </si>
  <si>
    <t xml:space="preserve">Fee Analysis</t>
  </si>
  <si>
    <t xml:space="preserve">Management Fees ($M)</t>
  </si>
  <si>
    <t xml:space="preserve">Total Mgmt Fees</t>
  </si>
  <si>
    <t xml:space="preserve">Performance Fees ($M)</t>
  </si>
  <si>
    <t xml:space="preserve">Total Perf Fees</t>
  </si>
  <si>
    <t xml:space="preserve">Total Fees ($M)</t>
  </si>
  <si>
    <t xml:space="preserve">Total All Fees</t>
  </si>
  <si>
    <t xml:space="preserve">Fee Drag (% of avg NAV)</t>
  </si>
  <si>
    <t xml:space="preserve">Gross/net returns + TVPI/DPI/RVPI multiples</t>
  </si>
  <si>
    <t xml:space="preserve">Gross Return ($M)</t>
  </si>
  <si>
    <t xml:space="preserve">Total Gross Return</t>
  </si>
  <si>
    <t xml:space="preserve">Net Return ($M)</t>
  </si>
  <si>
    <t xml:space="preserve">Total Net Return</t>
  </si>
  <si>
    <t xml:space="preserve">Gross Return % (on avg NAV)</t>
  </si>
  <si>
    <t xml:space="preserve">Portfolio Gross Return %</t>
  </si>
  <si>
    <t xml:space="preserve">Net Return % (on avg NAV)</t>
  </si>
  <si>
    <t xml:space="preserve">Portfolio Net Return %</t>
  </si>
  <si>
    <t xml:space="preserve">Commitment-Weighted Net Return %</t>
  </si>
  <si>
    <t xml:space="preserve">TVPI (Total Value to Paid-In)</t>
  </si>
  <si>
    <t xml:space="preserve">Portfolio TVPI</t>
  </si>
  <si>
    <t xml:space="preserve">DPI (Distributions to Paid-In)</t>
  </si>
  <si>
    <t xml:space="preserve">Portfolio DPI</t>
  </si>
  <si>
    <t xml:space="preserve">RVPI (Residual Value to Paid-In)</t>
  </si>
  <si>
    <t xml:space="preserve">Portfolio RVPI</t>
  </si>
  <si>
    <t xml:space="preserve">Cash, credit facility, and coverage</t>
  </si>
  <si>
    <t xml:space="preserve">Cash Flow ($M)</t>
  </si>
  <si>
    <t xml:space="preserve">Opening Cash</t>
  </si>
  <si>
    <t xml:space="preserve">Internal Costs</t>
  </si>
  <si>
    <t xml:space="preserve">Credit Facility Interest</t>
  </si>
  <si>
    <t xml:space="preserve">Net Cash Flow (before credit)</t>
  </si>
  <si>
    <t xml:space="preserve">Credit Facility Draw</t>
  </si>
  <si>
    <t xml:space="preserve">Credit Facility Repay</t>
  </si>
  <si>
    <t xml:space="preserve">Net Cash Flow (after credit)</t>
  </si>
  <si>
    <t xml:space="preserve">Credit Facility ($M)</t>
  </si>
  <si>
    <t xml:space="preserve">Credit Facility Balance</t>
  </si>
  <si>
    <t xml:space="preserve">Coverage Ratios</t>
  </si>
  <si>
    <t xml:space="preserve">Unfunded Commitments</t>
  </si>
  <si>
    <t xml:space="preserve">Cash / Unfunded</t>
  </si>
  <si>
    <t xml:space="preserve">Liquid Asset NAV</t>
  </si>
  <si>
    <t xml:space="preserve">Total Liquid (cash floored at 0)</t>
  </si>
  <si>
    <t xml:space="preserve">Validation Checks</t>
  </si>
  <si>
    <t xml:space="preserve">Model integrity</t>
  </si>
  <si>
    <t xml:space="preserve">Allocation Checks</t>
  </si>
  <si>
    <t xml:space="preserve">Alloc Sum = 100%</t>
  </si>
  <si>
    <t xml:space="preserve">NAV Reconciliation</t>
  </si>
  <si>
    <t xml:space="preserve">Private Equity NAV</t>
  </si>
  <si>
    <t xml:space="preserve">Venture Capital NAV</t>
  </si>
  <si>
    <t xml:space="preserve">Hedge Funds NAV</t>
  </si>
  <si>
    <t xml:space="preserve">Real Estate NAV</t>
  </si>
  <si>
    <t xml:space="preserve">Infrastructure NAV</t>
  </si>
  <si>
    <t xml:space="preserve">Private Credit NAV</t>
  </si>
  <si>
    <t xml:space="preserve">Liquid Alternatives NAV</t>
  </si>
  <si>
    <t xml:space="preserve">NAV Positive</t>
  </si>
  <si>
    <t xml:space="preserve">Private Equity NAV &gt;= 0</t>
  </si>
  <si>
    <t xml:space="preserve">Venture Capital NAV &gt;= 0</t>
  </si>
  <si>
    <t xml:space="preserve">Hedge Funds NAV &gt;= 0</t>
  </si>
  <si>
    <t xml:space="preserve">Real Estate NAV &gt;= 0</t>
  </si>
  <si>
    <t xml:space="preserve">Infrastructure NAV &gt;= 0</t>
  </si>
  <si>
    <t xml:space="preserve">Private Credit NAV &gt;= 0</t>
  </si>
  <si>
    <t xml:space="preserve">Liquid Alternatives NAV &gt;= 0</t>
  </si>
  <si>
    <t xml:space="preserve">Cash &amp; Liquidity</t>
  </si>
  <si>
    <t xml:space="preserve">Cash &gt;= 0</t>
  </si>
  <si>
    <t xml:space="preserve">Coverage &gt; 0.5x</t>
  </si>
  <si>
    <t xml:space="preserve">Unfunded Non-Negative</t>
  </si>
  <si>
    <t xml:space="preserve">Private Equity Unfunded &gt;= 0</t>
  </si>
  <si>
    <t xml:space="preserve">Venture Capital Unfunded &gt;= 0</t>
  </si>
  <si>
    <t xml:space="preserve">Hedge Funds Unfunded &gt;= 0</t>
  </si>
  <si>
    <t xml:space="preserve">Real Estate Unfunded &gt;= 0</t>
  </si>
  <si>
    <t xml:space="preserve">Infrastructure Unfunded &gt;= 0</t>
  </si>
  <si>
    <t xml:space="preserve">Private Credit Unfunded &gt;= 0</t>
  </si>
  <si>
    <t xml:space="preserve">Liquid Alternatives Unfunded &gt;= 0</t>
  </si>
  <si>
    <t xml:space="preserve">Fee Checks</t>
  </si>
  <si>
    <t xml:space="preserve">Fee Drag &lt; 5%</t>
  </si>
  <si>
    <t xml:space="preserve">Net &lt;= Gross Return</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</si>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</sst>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0.0;\(#,##0.0\);\-"/>
    <numFmt numFmtId="166" formatCode="0.00\x"/>
    <numFmt numFmtId="167" formatCode="0.00%"/>
    <numFmt numFmtId="168" formatCode="0"/>
    <numFmt numFmtId="169" formatCode="@"/>
  </numFmts>
  <fonts count="28">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color theme="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rgb="FF000000"/>
      <name val="Arial"/>
      <family val="0"/>
      <charset val="1"/>
    </font>
    <font>
      <b val="true"/>
      <sz val="11"/>
      <name val="Arial"/>
      <family val="0"/>
      <charset val="1"/>
    </font>
    <font>
      <sz val="11"/>
      <color rgb="FF000000"/>
      <name val="Arial"/>
      <family val="0"/>
      <charset val="1"/>
    </font>
    <font>
      <sz val="11"/>
      <color theme="3"/>
      <name val="Arial"/>
      <family val="0"/>
      <charset val="1"/>
    </font>
    <font>
      <i val="true"/>
      <sz val="11"/>
      <color rgb="FF808080"/>
      <name val="Arial"/>
      <family val="0"/>
      <charset val="1"/>
    </font>
    <font>
      <sz val="11"/>
      <color rgb="FF548235"/>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7">
    <fill>
      <patternFill patternType="none"/>
    </fill>
    <fill>
      <patternFill patternType="gray125"/>
    </fill>
    <fill>
      <patternFill patternType="solid">
        <fgColor theme="3"/>
        <bgColor rgb="FF1F4E79"/>
      </patternFill>
    </fill>
    <fill>
      <patternFill patternType="solid">
        <fgColor rgb="FFD6E4F0"/>
        <bgColor rgb="FFE8F0FE"/>
      </patternFill>
    </fill>
    <fill>
      <patternFill patternType="solid">
        <fgColor rgb="FFF2F2F2"/>
        <bgColor rgb="FFE8F0FE"/>
      </patternFill>
    </fill>
    <fill>
      <patternFill patternType="solid">
        <fgColor rgb="FFE8F0FE"/>
        <bgColor rgb="FFF2F2F2"/>
      </patternFill>
    </fill>
    <fill>
      <patternFill patternType="solid">
        <fgColor rgb="FF1F4E79"/>
        <bgColor rgb="FF1F497D"/>
      </patternFill>
    </fill>
  </fills>
  <borders count="4">
    <border diagonalUp="false" diagonalDown="false">
      <left/>
      <right/>
      <top/>
      <bottom/>
      <diagonal/>
    </border>
    <border diagonalUp="false" diagonalDown="false">
      <left/>
      <right/>
      <top style="double"/>
      <bottom/>
      <diagonal/>
    </border>
    <border diagonalUp="false" diagonalDown="false">
      <left/>
      <right/>
      <top style="thin"/>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1" fillId="3" borderId="0" xfId="0" applyFont="true" applyBorder="false" applyAlignment="true" applyProtection="false">
      <alignment horizontal="left" vertical="center" textRotation="0" wrapText="false" indent="0" shrinkToFit="false"/>
      <protection locked="true" hidden="false"/>
    </xf>
    <xf numFmtId="164" fontId="12" fillId="3"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top" textRotation="0" wrapText="tru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6" fillId="4"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5" fontId="17" fillId="0" borderId="0" xfId="0" applyFont="true" applyBorder="false" applyAlignment="false" applyProtection="false">
      <alignment horizontal="general" vertical="bottom" textRotation="0" wrapText="false" indent="0" shrinkToFit="false"/>
      <protection locked="true" hidden="false"/>
    </xf>
    <xf numFmtId="166" fontId="17" fillId="0" borderId="0" xfId="0" applyFont="true" applyBorder="false" applyAlignment="false" applyProtection="false">
      <alignment horizontal="general" vertical="bottom" textRotation="0" wrapText="false" indent="0" shrinkToFit="false"/>
      <protection locked="true" hidden="false"/>
    </xf>
    <xf numFmtId="167" fontId="17" fillId="0" borderId="0" xfId="0" applyFont="true" applyBorder="false" applyAlignment="false" applyProtection="false">
      <alignment horizontal="general" vertical="bottom" textRotation="0" wrapText="false" indent="0" shrinkToFit="false"/>
      <protection locked="true" hidden="false"/>
    </xf>
    <xf numFmtId="168" fontId="10" fillId="2"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7" fontId="18" fillId="0" borderId="0" xfId="0" applyFont="true" applyBorder="false" applyAlignment="true" applyProtection="false">
      <alignment horizontal="right" vertical="bottom" textRotation="0" wrapText="false" indent="0" shrinkToFit="false"/>
      <protection locked="true" hidden="false"/>
    </xf>
    <xf numFmtId="165" fontId="18" fillId="0" borderId="0" xfId="0" applyFont="true" applyBorder="false" applyAlignment="true" applyProtection="false">
      <alignment horizontal="right" vertical="bottom" textRotation="0" wrapText="false" indent="0" shrinkToFit="false"/>
      <protection locked="true" hidden="false"/>
    </xf>
    <xf numFmtId="164" fontId="17" fillId="0" borderId="1" xfId="0" applyFont="true" applyBorder="true" applyAlignment="true" applyProtection="false">
      <alignment horizontal="left" vertical="bottom" textRotation="0" wrapText="false" indent="0" shrinkToFit="false"/>
      <protection locked="true" hidden="false"/>
    </xf>
    <xf numFmtId="165" fontId="17" fillId="0" borderId="1" xfId="0" applyFont="true" applyBorder="true" applyAlignment="true" applyProtection="false">
      <alignment horizontal="right" vertical="bottom" textRotation="0" wrapText="false" indent="0" shrinkToFit="false"/>
      <protection locked="true" hidden="false"/>
    </xf>
    <xf numFmtId="166" fontId="18" fillId="0"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false" applyAlignment="true" applyProtection="false">
      <alignment horizontal="left" vertical="bottom" textRotation="0" wrapText="false" indent="0" shrinkToFit="false"/>
      <protection locked="true" hidden="false"/>
    </xf>
    <xf numFmtId="169" fontId="17" fillId="0" borderId="0" xfId="0" applyFont="true" applyBorder="false" applyAlignment="true" applyProtection="false">
      <alignment horizontal="right" vertical="bottom" textRotation="0" wrapText="false" indent="0" shrinkToFit="false"/>
      <protection locked="true" hidden="false"/>
    </xf>
    <xf numFmtId="164" fontId="10"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false" applyAlignment="false" applyProtection="false">
      <alignment horizontal="general" vertical="bottom" textRotation="0" wrapText="false" indent="0" shrinkToFit="false"/>
      <protection locked="true" hidden="false"/>
    </xf>
    <xf numFmtId="165" fontId="19" fillId="5" borderId="0" xfId="0" applyFont="true" applyBorder="false" applyAlignment="true" applyProtection="false">
      <alignment horizontal="right"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7" fontId="19" fillId="5" borderId="0" xfId="0" applyFont="true" applyBorder="false" applyAlignment="true" applyProtection="false">
      <alignment horizontal="right" vertical="bottom" textRotation="0" wrapText="false" indent="0" shrinkToFit="false"/>
      <protection locked="true" hidden="false"/>
    </xf>
    <xf numFmtId="166" fontId="19" fillId="5" borderId="0" xfId="0" applyFont="true" applyBorder="false" applyAlignment="true" applyProtection="false">
      <alignment horizontal="right" vertical="bottom" textRotation="0" wrapText="false" indent="0" shrinkToFit="false"/>
      <protection locked="true" hidden="false"/>
    </xf>
    <xf numFmtId="168" fontId="19" fillId="5" borderId="0" xfId="0" applyFont="true" applyBorder="false" applyAlignment="true" applyProtection="false">
      <alignment horizontal="right" vertical="bottom" textRotation="0" wrapText="false" indent="0" shrinkToFit="false"/>
      <protection locked="true" hidden="false"/>
    </xf>
    <xf numFmtId="167" fontId="17" fillId="0" borderId="0" xfId="0" applyFont="true" applyBorder="false" applyAlignment="true" applyProtection="false">
      <alignment horizontal="right" vertical="bottom" textRotation="0" wrapText="false" indent="0" shrinkToFit="false"/>
      <protection locked="true" hidden="false"/>
    </xf>
    <xf numFmtId="164" fontId="0" fillId="4" borderId="0" xfId="0" applyFont="true" applyBorder="false" applyAlignment="true" applyProtection="false">
      <alignment horizontal="left" vertical="bottom" textRotation="0" wrapText="false" indent="1" shrinkToFit="false"/>
      <protection locked="true" hidden="false"/>
    </xf>
    <xf numFmtId="165" fontId="18" fillId="4" borderId="0" xfId="0" applyFont="true" applyBorder="false" applyAlignment="true" applyProtection="false">
      <alignment horizontal="right" vertical="bottom" textRotation="0" wrapText="false" indent="0" shrinkToFit="false"/>
      <protection locked="true" hidden="false"/>
    </xf>
    <xf numFmtId="164" fontId="20" fillId="0" borderId="0" xfId="0" applyFont="true" applyBorder="false" applyAlignment="true" applyProtection="false">
      <alignment horizontal="left" vertical="bottom" textRotation="0" wrapText="false" indent="1" shrinkToFit="false"/>
      <protection locked="true" hidden="false"/>
    </xf>
    <xf numFmtId="165" fontId="20" fillId="0" borderId="0" xfId="0" applyFont="true" applyBorder="false" applyAlignment="true" applyProtection="false">
      <alignment horizontal="right" vertical="bottom" textRotation="0" wrapText="false" indent="0" shrinkToFit="false"/>
      <protection locked="true" hidden="false"/>
    </xf>
    <xf numFmtId="164" fontId="17" fillId="0" borderId="2" xfId="0" applyFont="true" applyBorder="true" applyAlignment="true" applyProtection="false">
      <alignment horizontal="left" vertical="bottom" textRotation="0" wrapText="false" indent="0" shrinkToFit="false"/>
      <protection locked="true" hidden="false"/>
    </xf>
    <xf numFmtId="165" fontId="17" fillId="0" borderId="2" xfId="0" applyFont="true" applyBorder="true" applyAlignment="true" applyProtection="false">
      <alignment horizontal="right" vertical="bottom" textRotation="0" wrapText="false" indent="0" shrinkToFit="false"/>
      <protection locked="true" hidden="false"/>
    </xf>
    <xf numFmtId="164" fontId="20" fillId="0" borderId="0" xfId="0" applyFont="true" applyBorder="false" applyAlignment="true" applyProtection="false">
      <alignment horizontal="left" vertical="bottom" textRotation="0" wrapText="false" indent="0" shrinkToFit="false"/>
      <protection locked="true" hidden="false"/>
    </xf>
    <xf numFmtId="167" fontId="17" fillId="0" borderId="1" xfId="0" applyFont="true" applyBorder="true" applyAlignment="true" applyProtection="false">
      <alignment horizontal="right" vertical="bottom" textRotation="0" wrapText="false" indent="0" shrinkToFit="false"/>
      <protection locked="true" hidden="false"/>
    </xf>
    <xf numFmtId="166" fontId="17" fillId="0" borderId="1" xfId="0" applyFont="true" applyBorder="true" applyAlignment="true" applyProtection="false">
      <alignment horizontal="right" vertical="bottom" textRotation="0" wrapText="false" indent="0" shrinkToFit="false"/>
      <protection locked="true" hidden="false"/>
    </xf>
    <xf numFmtId="164" fontId="17" fillId="0" borderId="1" xfId="0" applyFont="true" applyBorder="true" applyAlignment="false" applyProtection="false">
      <alignment horizontal="general" vertical="bottom" textRotation="0" wrapText="false" indent="0" shrinkToFit="false"/>
      <protection locked="true" hidden="false"/>
    </xf>
    <xf numFmtId="164" fontId="20" fillId="0" borderId="2" xfId="0" applyFont="true" applyBorder="true" applyAlignment="true" applyProtection="false">
      <alignment horizontal="left" vertical="bottom" textRotation="0" wrapText="false" indent="1" shrinkToFit="false"/>
      <protection locked="true" hidden="false"/>
    </xf>
    <xf numFmtId="165" fontId="20" fillId="0" borderId="2" xfId="0" applyFont="true" applyBorder="true" applyAlignment="true" applyProtection="false">
      <alignment horizontal="right" vertical="bottom" textRotation="0" wrapText="false" indent="0" shrinkToFit="false"/>
      <protection locked="true" hidden="false"/>
    </xf>
    <xf numFmtId="164" fontId="21" fillId="0" borderId="0" xfId="0" applyFont="true" applyBorder="false" applyAlignment="true" applyProtection="false">
      <alignment horizontal="left" vertical="bottom" textRotation="0" wrapText="false" indent="1" shrinkToFit="false"/>
      <protection locked="true" hidden="false"/>
    </xf>
    <xf numFmtId="165" fontId="21" fillId="0" borderId="0" xfId="0" applyFont="true" applyBorder="false" applyAlignment="true" applyProtection="false">
      <alignment horizontal="right" vertical="bottom" textRotation="0" wrapText="false" indent="0" shrinkToFit="false"/>
      <protection locked="true" hidden="false"/>
    </xf>
    <xf numFmtId="165" fontId="17" fillId="0" borderId="0" xfId="0" applyFont="true" applyBorder="false" applyAlignment="true" applyProtection="false">
      <alignment horizontal="right" vertical="bottom" textRotation="0" wrapText="false" indent="0" shrinkToFit="false"/>
      <protection locked="true" hidden="false"/>
    </xf>
    <xf numFmtId="166" fontId="17" fillId="0" borderId="0" xfId="0" applyFont="true" applyBorder="false" applyAlignment="true" applyProtection="false">
      <alignment horizontal="right" vertical="bottom" textRotation="0" wrapText="false" indent="0" shrinkToFit="false"/>
      <protection locked="true" hidden="false"/>
    </xf>
    <xf numFmtId="169" fontId="18" fillId="0" borderId="0" xfId="0" applyFont="true" applyBorder="false" applyAlignment="true" applyProtection="false">
      <alignment horizontal="right" vertical="bottom"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12" fillId="0" borderId="3" xfId="0" applyFont="true" applyBorder="true" applyAlignment="false" applyProtection="false">
      <alignment horizontal="general" vertical="bottom" textRotation="0" wrapText="false" indent="0" shrinkToFit="false"/>
      <protection locked="true" hidden="false"/>
    </xf>
    <xf numFmtId="164" fontId="23" fillId="6" borderId="0" xfId="0" applyFont="true" applyBorder="false" applyAlignment="true" applyProtection="false">
      <alignment horizontal="left" vertical="center" textRotation="0" wrapText="false" indent="1" shrinkToFit="false"/>
      <protection locked="true" hidden="false"/>
    </xf>
    <xf numFmtId="164" fontId="24" fillId="0"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26" fillId="4" borderId="0" xfId="0" applyFont="true" applyBorder="false" applyAlignment="true" applyProtection="false">
      <alignment horizontal="left" vertical="top" textRotation="0" wrapText="true" indent="1" shrinkToFit="false"/>
      <protection locked="true" hidden="false"/>
    </xf>
    <xf numFmtId="164" fontId="27"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00000"/>
      <rgbColor rgb="FF00FF00"/>
      <rgbColor rgb="FF0000FF"/>
      <rgbColor rgb="FFFFFF00"/>
      <rgbColor rgb="FFFF00FF"/>
      <rgbColor rgb="FF00FFFF"/>
      <rgbColor rgb="FF800000"/>
      <rgbColor rgb="FF008000"/>
      <rgbColor rgb="FF000080"/>
      <rgbColor rgb="FF548235"/>
      <rgbColor rgb="FF800080"/>
      <rgbColor rgb="FF008080"/>
      <rgbColor rgb="FFC0C0C0"/>
      <rgbColor rgb="FF808080"/>
      <rgbColor rgb="FF5B9BD5"/>
      <rgbColor rgb="FF993366"/>
      <rgbColor rgb="FFF2F2F2"/>
      <rgbColor rgb="FFE8F0FE"/>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4"/>
    <col collapsed="false" customWidth="true" hidden="false" outlineLevel="0" max="3" min="3" style="0" width="60"/>
    <col collapsed="false" customWidth="true" hidden="false" outlineLevel="0" max="4" min="4" style="0" width="14"/>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6"/>
      <c r="C5" s="6"/>
      <c r="D5" s="6"/>
    </row>
    <row r="6" customFormat="false" ht="15" hidden="false" customHeight="false" outlineLevel="0" collapsed="false">
      <c r="A6" s="6"/>
      <c r="B6" s="7" t="s">
        <v>3</v>
      </c>
      <c r="C6" s="7" t="s">
        <v>4</v>
      </c>
      <c r="D6" s="7" t="s">
        <v>5</v>
      </c>
    </row>
    <row r="7" customFormat="false" ht="15" hidden="false" customHeight="false" outlineLevel="0" collapsed="false">
      <c r="A7" s="6"/>
      <c r="B7" s="8" t="s">
        <v>6</v>
      </c>
      <c r="C7" s="8" t="s">
        <v>7</v>
      </c>
      <c r="D7" s="8" t="s">
        <v>8</v>
      </c>
    </row>
    <row r="8" customFormat="false" ht="15" hidden="false" customHeight="false" outlineLevel="0" collapsed="false">
      <c r="A8" s="6"/>
      <c r="B8" s="8" t="s">
        <v>9</v>
      </c>
      <c r="C8" s="8" t="s">
        <v>10</v>
      </c>
      <c r="D8" s="8" t="s">
        <v>11</v>
      </c>
    </row>
    <row r="9" customFormat="false" ht="15" hidden="false" customHeight="false" outlineLevel="0" collapsed="false">
      <c r="A9" s="6"/>
      <c r="B9" s="8" t="s">
        <v>12</v>
      </c>
      <c r="C9" s="8" t="s">
        <v>13</v>
      </c>
      <c r="D9" s="8" t="s">
        <v>14</v>
      </c>
    </row>
    <row r="10" customFormat="false" ht="15" hidden="false" customHeight="false" outlineLevel="0" collapsed="false">
      <c r="A10" s="6"/>
      <c r="B10" s="8" t="s">
        <v>15</v>
      </c>
      <c r="C10" s="8" t="s">
        <v>16</v>
      </c>
      <c r="D10" s="8" t="s">
        <v>17</v>
      </c>
    </row>
    <row r="11" customFormat="false" ht="15" hidden="false" customHeight="false" outlineLevel="0" collapsed="false">
      <c r="A11" s="6"/>
      <c r="B11" s="8" t="s">
        <v>18</v>
      </c>
      <c r="C11" s="8" t="s">
        <v>19</v>
      </c>
      <c r="D11" s="8" t="s">
        <v>17</v>
      </c>
    </row>
    <row r="12" customFormat="false" ht="15" hidden="false" customHeight="false" outlineLevel="0" collapsed="false">
      <c r="A12" s="6"/>
      <c r="B12" s="8" t="s">
        <v>20</v>
      </c>
      <c r="C12" s="8" t="s">
        <v>21</v>
      </c>
      <c r="D12" s="8" t="s">
        <v>22</v>
      </c>
    </row>
    <row r="13" customFormat="false" ht="15" hidden="false" customHeight="false" outlineLevel="0" collapsed="false">
      <c r="A13" s="6"/>
      <c r="B13" s="8" t="s">
        <v>23</v>
      </c>
      <c r="C13" s="8" t="s">
        <v>24</v>
      </c>
      <c r="D13" s="8" t="s">
        <v>25</v>
      </c>
    </row>
    <row r="14" customFormat="false" ht="15" hidden="false" customHeight="false" outlineLevel="0" collapsed="false">
      <c r="A14" s="6"/>
      <c r="B14" s="8" t="s">
        <v>26</v>
      </c>
      <c r="C14" s="8" t="s">
        <v>27</v>
      </c>
      <c r="D14" s="8" t="s">
        <v>28</v>
      </c>
    </row>
    <row r="15" customFormat="false" ht="15" hidden="false" customHeight="false" outlineLevel="0" collapsed="false">
      <c r="A15" s="6"/>
      <c r="B15" s="8" t="s">
        <v>29</v>
      </c>
      <c r="C15" s="8" t="s">
        <v>30</v>
      </c>
      <c r="D15" s="8" t="s">
        <v>28</v>
      </c>
    </row>
    <row r="16" customFormat="false" ht="15" hidden="false" customHeight="false" outlineLevel="0" collapsed="false">
      <c r="A16" s="6"/>
      <c r="B16" s="8" t="s">
        <v>31</v>
      </c>
      <c r="C16" s="8" t="s">
        <v>32</v>
      </c>
      <c r="D16" s="8" t="s">
        <v>25</v>
      </c>
    </row>
    <row r="19" customFormat="false" ht="19.5" hidden="false" customHeight="true" outlineLevel="0" collapsed="false">
      <c r="B19" s="9" t="s">
        <v>33</v>
      </c>
      <c r="C19" s="10"/>
      <c r="D19" s="10"/>
      <c r="E19" s="10"/>
      <c r="F19" s="10"/>
      <c r="G19" s="10"/>
    </row>
    <row r="20" customFormat="false" ht="258.75" hidden="false" customHeight="true" outlineLevel="0" collapsed="false">
      <c r="B20" s="11" t="s">
        <v>34</v>
      </c>
      <c r="C20" s="11"/>
      <c r="D20" s="11"/>
      <c r="E20" s="11"/>
      <c r="F20" s="11"/>
      <c r="G20" s="11"/>
    </row>
    <row r="22" customFormat="false" ht="19.5" hidden="false" customHeight="true" outlineLevel="0" collapsed="false">
      <c r="B22" s="9" t="s">
        <v>35</v>
      </c>
      <c r="C22" s="10"/>
      <c r="D22" s="10"/>
      <c r="E22" s="10"/>
      <c r="F22" s="10"/>
      <c r="G22" s="10"/>
    </row>
    <row r="23" customFormat="false" ht="57" hidden="false" customHeight="true" outlineLevel="0" collapsed="false">
      <c r="B23" s="11" t="s">
        <v>36</v>
      </c>
      <c r="C23" s="11"/>
      <c r="D23" s="11"/>
      <c r="E23" s="11"/>
      <c r="F23" s="11"/>
      <c r="G23" s="11"/>
    </row>
    <row r="24" customFormat="false" ht="15" hidden="false" customHeight="false" outlineLevel="0" collapsed="false">
      <c r="B24" s="12" t="s">
        <v>37</v>
      </c>
      <c r="C24" s="12"/>
      <c r="D24" s="12"/>
      <c r="E24" s="12"/>
      <c r="F24" s="12"/>
      <c r="G24" s="12"/>
    </row>
    <row r="25" customFormat="false" ht="15" hidden="false" customHeight="false" outlineLevel="0" collapsed="false">
      <c r="B25" s="13" t="s">
        <v>38</v>
      </c>
    </row>
  </sheetData>
  <mergeCells count="3">
    <mergeCell ref="B20:G20"/>
    <mergeCell ref="B23:G23"/>
    <mergeCell ref="B24:G24"/>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AD4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2" min="3" style="0" width="13"/>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226</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227</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c r="J4" s="6"/>
      <c r="K4" s="6"/>
      <c r="L4" s="6"/>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7" t="s">
        <v>47</v>
      </c>
      <c r="C6" s="19" t="n">
        <v>1</v>
      </c>
      <c r="D6" s="19" t="n">
        <v>2</v>
      </c>
      <c r="E6" s="19" t="n">
        <v>3</v>
      </c>
      <c r="F6" s="19" t="n">
        <v>4</v>
      </c>
      <c r="G6" s="19" t="n">
        <v>5</v>
      </c>
      <c r="H6" s="19" t="n">
        <v>6</v>
      </c>
      <c r="I6" s="19" t="n">
        <v>7</v>
      </c>
      <c r="J6" s="19" t="n">
        <v>8</v>
      </c>
      <c r="K6" s="19" t="n">
        <v>9</v>
      </c>
      <c r="L6" s="19" t="n">
        <v>10</v>
      </c>
    </row>
    <row r="7" customFormat="false" ht="15" hidden="false" customHeight="false" outlineLevel="0" collapsed="false">
      <c r="A7" s="6"/>
      <c r="B7" s="6"/>
      <c r="C7" s="6"/>
      <c r="D7" s="6"/>
      <c r="E7" s="6"/>
      <c r="F7" s="6"/>
      <c r="G7" s="6"/>
      <c r="H7" s="6"/>
      <c r="I7" s="6"/>
      <c r="J7" s="6"/>
      <c r="K7" s="6"/>
      <c r="L7" s="6"/>
    </row>
    <row r="8" customFormat="false" ht="15" hidden="false" customHeight="false" outlineLevel="0" collapsed="false">
      <c r="A8" s="6"/>
      <c r="B8" s="14" t="s">
        <v>228</v>
      </c>
      <c r="C8" s="15"/>
      <c r="D8" s="15"/>
      <c r="E8" s="15"/>
      <c r="F8" s="15"/>
      <c r="G8" s="15"/>
      <c r="H8" s="15"/>
      <c r="I8" s="15"/>
      <c r="J8" s="15"/>
      <c r="K8" s="15"/>
      <c r="L8" s="15"/>
    </row>
    <row r="9" customFormat="false" ht="15" hidden="false" customHeight="false" outlineLevel="0" collapsed="false">
      <c r="A9" s="6"/>
      <c r="B9" s="20" t="s">
        <v>229</v>
      </c>
      <c r="C9" s="52" t="str">
        <f aca="false">IF(ABS(Alloc_PE+Alloc_VC+Alloc_HF+Alloc_RE+Alloc_Infra+Alloc_PC+Alloc_Liq-1)&lt;0.001,"PASS","FAIL")</f>
        <v>PASS</v>
      </c>
      <c r="D9" s="52" t="str">
        <f aca="false">IF(ABS(Alloc_PE+Alloc_VC+Alloc_HF+Alloc_RE+Alloc_Infra+Alloc_PC+Alloc_Liq-1)&lt;0.001,"PASS","FAIL")</f>
        <v>PASS</v>
      </c>
      <c r="E9" s="52" t="str">
        <f aca="false">IF(ABS(Alloc_PE+Alloc_VC+Alloc_HF+Alloc_RE+Alloc_Infra+Alloc_PC+Alloc_Liq-1)&lt;0.001,"PASS","FAIL")</f>
        <v>PASS</v>
      </c>
      <c r="F9" s="52" t="str">
        <f aca="false">IF(ABS(Alloc_PE+Alloc_VC+Alloc_HF+Alloc_RE+Alloc_Infra+Alloc_PC+Alloc_Liq-1)&lt;0.001,"PASS","FAIL")</f>
        <v>PASS</v>
      </c>
      <c r="G9" s="52" t="str">
        <f aca="false">IF(ABS(Alloc_PE+Alloc_VC+Alloc_HF+Alloc_RE+Alloc_Infra+Alloc_PC+Alloc_Liq-1)&lt;0.001,"PASS","FAIL")</f>
        <v>PASS</v>
      </c>
      <c r="H9" s="52" t="str">
        <f aca="false">IF(ABS(Alloc_PE+Alloc_VC+Alloc_HF+Alloc_RE+Alloc_Infra+Alloc_PC+Alloc_Liq-1)&lt;0.001,"PASS","FAIL")</f>
        <v>PASS</v>
      </c>
      <c r="I9" s="52" t="str">
        <f aca="false">IF(ABS(Alloc_PE+Alloc_VC+Alloc_HF+Alloc_RE+Alloc_Infra+Alloc_PC+Alloc_Liq-1)&lt;0.001,"PASS","FAIL")</f>
        <v>PASS</v>
      </c>
      <c r="J9" s="52" t="str">
        <f aca="false">IF(ABS(Alloc_PE+Alloc_VC+Alloc_HF+Alloc_RE+Alloc_Infra+Alloc_PC+Alloc_Liq-1)&lt;0.001,"PASS","FAIL")</f>
        <v>PASS</v>
      </c>
      <c r="K9" s="52" t="str">
        <f aca="false">IF(ABS(Alloc_PE+Alloc_VC+Alloc_HF+Alloc_RE+Alloc_Infra+Alloc_PC+Alloc_Liq-1)&lt;0.001,"PASS","FAIL")</f>
        <v>PASS</v>
      </c>
      <c r="L9" s="52" t="str">
        <f aca="false">IF(ABS(Alloc_PE+Alloc_VC+Alloc_HF+Alloc_RE+Alloc_Infra+Alloc_PC+Alloc_Liq-1)&lt;0.001,"PASS","FAIL")</f>
        <v>PASS</v>
      </c>
    </row>
    <row r="10" customFormat="false" ht="15" hidden="false" customHeight="false" outlineLevel="0" collapsed="false">
      <c r="A10" s="6"/>
      <c r="B10" s="6"/>
      <c r="C10" s="6"/>
      <c r="D10" s="6"/>
      <c r="E10" s="6"/>
      <c r="F10" s="6"/>
      <c r="G10" s="6"/>
      <c r="H10" s="6"/>
      <c r="I10" s="6"/>
      <c r="J10" s="6"/>
      <c r="K10" s="6"/>
      <c r="L10" s="6"/>
    </row>
    <row r="11" customFormat="false" ht="15" hidden="false" customHeight="false" outlineLevel="0" collapsed="false">
      <c r="A11" s="6"/>
      <c r="B11" s="14" t="s">
        <v>230</v>
      </c>
      <c r="C11" s="15"/>
      <c r="D11" s="15"/>
      <c r="E11" s="15"/>
      <c r="F11" s="15"/>
      <c r="G11" s="15"/>
      <c r="H11" s="15"/>
      <c r="I11" s="15"/>
      <c r="J11" s="15"/>
      <c r="K11" s="15"/>
      <c r="L11" s="15"/>
    </row>
    <row r="12" customFormat="false" ht="15" hidden="false" customHeight="false" outlineLevel="0" collapsed="false">
      <c r="A12" s="6"/>
      <c r="B12" s="20" t="s">
        <v>231</v>
      </c>
      <c r="C12" s="52" t="str">
        <f aca="false">IF(ABS(Portfolio_NAV!C9+Portfolio_NAV!C10+Portfolio_NAV!C12-Portfolio_NAV!C13-Portfolio_NAV!C14-Portfolio_NAV!C15-Portfolio_NAV!C16)&lt;0.01,"PASS","FAIL")</f>
        <v>PASS</v>
      </c>
      <c r="D12" s="52" t="str">
        <f aca="false">IF(ABS(Portfolio_NAV!D9+Portfolio_NAV!D10+Portfolio_NAV!D12-Portfolio_NAV!D13-Portfolio_NAV!D14-Portfolio_NAV!D15-Portfolio_NAV!D16)&lt;0.01,"PASS","FAIL")</f>
        <v>PASS</v>
      </c>
      <c r="E12" s="52" t="str">
        <f aca="false">IF(ABS(Portfolio_NAV!E9+Portfolio_NAV!E10+Portfolio_NAV!E12-Portfolio_NAV!E13-Portfolio_NAV!E14-Portfolio_NAV!E15-Portfolio_NAV!E16)&lt;0.01,"PASS","FAIL")</f>
        <v>PASS</v>
      </c>
      <c r="F12" s="52" t="str">
        <f aca="false">IF(ABS(Portfolio_NAV!F9+Portfolio_NAV!F10+Portfolio_NAV!F12-Portfolio_NAV!F13-Portfolio_NAV!F14-Portfolio_NAV!F15-Portfolio_NAV!F16)&lt;0.01,"PASS","FAIL")</f>
        <v>PASS</v>
      </c>
      <c r="G12" s="52" t="str">
        <f aca="false">IF(ABS(Portfolio_NAV!G9+Portfolio_NAV!G10+Portfolio_NAV!G12-Portfolio_NAV!G13-Portfolio_NAV!G14-Portfolio_NAV!G15-Portfolio_NAV!G16)&lt;0.01,"PASS","FAIL")</f>
        <v>PASS</v>
      </c>
      <c r="H12" s="52" t="str">
        <f aca="false">IF(ABS(Portfolio_NAV!H9+Portfolio_NAV!H10+Portfolio_NAV!H12-Portfolio_NAV!H13-Portfolio_NAV!H14-Portfolio_NAV!H15-Portfolio_NAV!H16)&lt;0.01,"PASS","FAIL")</f>
        <v>PASS</v>
      </c>
      <c r="I12" s="52" t="str">
        <f aca="false">IF(ABS(Portfolio_NAV!I9+Portfolio_NAV!I10+Portfolio_NAV!I12-Portfolio_NAV!I13-Portfolio_NAV!I14-Portfolio_NAV!I15-Portfolio_NAV!I16)&lt;0.01,"PASS","FAIL")</f>
        <v>PASS</v>
      </c>
      <c r="J12" s="52" t="str">
        <f aca="false">IF(ABS(Portfolio_NAV!J9+Portfolio_NAV!J10+Portfolio_NAV!J12-Portfolio_NAV!J13-Portfolio_NAV!J14-Portfolio_NAV!J15-Portfolio_NAV!J16)&lt;0.01,"PASS","FAIL")</f>
        <v>PASS</v>
      </c>
      <c r="K12" s="52" t="str">
        <f aca="false">IF(ABS(Portfolio_NAV!K9+Portfolio_NAV!K10+Portfolio_NAV!K12-Portfolio_NAV!K13-Portfolio_NAV!K14-Portfolio_NAV!K15-Portfolio_NAV!K16)&lt;0.01,"PASS","FAIL")</f>
        <v>PASS</v>
      </c>
      <c r="L12" s="52" t="str">
        <f aca="false">IF(ABS(Portfolio_NAV!L9+Portfolio_NAV!L10+Portfolio_NAV!L12-Portfolio_NAV!L13-Portfolio_NAV!L14-Portfolio_NAV!L15-Portfolio_NAV!L16)&lt;0.01,"PASS","FAIL")</f>
        <v>PASS</v>
      </c>
    </row>
    <row r="13" customFormat="false" ht="15" hidden="false" customHeight="false" outlineLevel="0" collapsed="false">
      <c r="A13" s="6"/>
      <c r="B13" s="20" t="s">
        <v>232</v>
      </c>
      <c r="C13" s="52" t="str">
        <f aca="false">IF(ABS(Portfolio_NAV!C19+Portfolio_NAV!C20+Portfolio_NAV!C22-Portfolio_NAV!C23-Portfolio_NAV!C24-Portfolio_NAV!C25-Portfolio_NAV!C26)&lt;0.01,"PASS","FAIL")</f>
        <v>PASS</v>
      </c>
      <c r="D13" s="52" t="str">
        <f aca="false">IF(ABS(Portfolio_NAV!D19+Portfolio_NAV!D20+Portfolio_NAV!D22-Portfolio_NAV!D23-Portfolio_NAV!D24-Portfolio_NAV!D25-Portfolio_NAV!D26)&lt;0.01,"PASS","FAIL")</f>
        <v>PASS</v>
      </c>
      <c r="E13" s="52" t="str">
        <f aca="false">IF(ABS(Portfolio_NAV!E19+Portfolio_NAV!E20+Portfolio_NAV!E22-Portfolio_NAV!E23-Portfolio_NAV!E24-Portfolio_NAV!E25-Portfolio_NAV!E26)&lt;0.01,"PASS","FAIL")</f>
        <v>PASS</v>
      </c>
      <c r="F13" s="52" t="str">
        <f aca="false">IF(ABS(Portfolio_NAV!F19+Portfolio_NAV!F20+Portfolio_NAV!F22-Portfolio_NAV!F23-Portfolio_NAV!F24-Portfolio_NAV!F25-Portfolio_NAV!F26)&lt;0.01,"PASS","FAIL")</f>
        <v>PASS</v>
      </c>
      <c r="G13" s="52" t="str">
        <f aca="false">IF(ABS(Portfolio_NAV!G19+Portfolio_NAV!G20+Portfolio_NAV!G22-Portfolio_NAV!G23-Portfolio_NAV!G24-Portfolio_NAV!G25-Portfolio_NAV!G26)&lt;0.01,"PASS","FAIL")</f>
        <v>PASS</v>
      </c>
      <c r="H13" s="52" t="str">
        <f aca="false">IF(ABS(Portfolio_NAV!H19+Portfolio_NAV!H20+Portfolio_NAV!H22-Portfolio_NAV!H23-Portfolio_NAV!H24-Portfolio_NAV!H25-Portfolio_NAV!H26)&lt;0.01,"PASS","FAIL")</f>
        <v>PASS</v>
      </c>
      <c r="I13" s="52" t="str">
        <f aca="false">IF(ABS(Portfolio_NAV!I19+Portfolio_NAV!I20+Portfolio_NAV!I22-Portfolio_NAV!I23-Portfolio_NAV!I24-Portfolio_NAV!I25-Portfolio_NAV!I26)&lt;0.01,"PASS","FAIL")</f>
        <v>PASS</v>
      </c>
      <c r="J13" s="52" t="str">
        <f aca="false">IF(ABS(Portfolio_NAV!J19+Portfolio_NAV!J20+Portfolio_NAV!J22-Portfolio_NAV!J23-Portfolio_NAV!J24-Portfolio_NAV!J25-Portfolio_NAV!J26)&lt;0.01,"PASS","FAIL")</f>
        <v>PASS</v>
      </c>
      <c r="K13" s="52" t="str">
        <f aca="false">IF(ABS(Portfolio_NAV!K19+Portfolio_NAV!K20+Portfolio_NAV!K22-Portfolio_NAV!K23-Portfolio_NAV!K24-Portfolio_NAV!K25-Portfolio_NAV!K26)&lt;0.01,"PASS","FAIL")</f>
        <v>PASS</v>
      </c>
      <c r="L13" s="52" t="str">
        <f aca="false">IF(ABS(Portfolio_NAV!L19+Portfolio_NAV!L20+Portfolio_NAV!L22-Portfolio_NAV!L23-Portfolio_NAV!L24-Portfolio_NAV!L25-Portfolio_NAV!L26)&lt;0.01,"PASS","FAIL")</f>
        <v>PASS</v>
      </c>
    </row>
    <row r="14" customFormat="false" ht="15" hidden="false" customHeight="false" outlineLevel="0" collapsed="false">
      <c r="A14" s="6"/>
      <c r="B14" s="20" t="s">
        <v>233</v>
      </c>
      <c r="C14" s="52" t="str">
        <f aca="false">IF(ABS(Portfolio_NAV!C29+Portfolio_NAV!C30+Portfolio_NAV!C32-Portfolio_NAV!C33-Portfolio_NAV!C34-Portfolio_NAV!C35-Portfolio_NAV!C36)&lt;0.01,"PASS","FAIL")</f>
        <v>PASS</v>
      </c>
      <c r="D14" s="52" t="str">
        <f aca="false">IF(ABS(Portfolio_NAV!D29+Portfolio_NAV!D30+Portfolio_NAV!D32-Portfolio_NAV!D33-Portfolio_NAV!D34-Portfolio_NAV!D35-Portfolio_NAV!D36)&lt;0.01,"PASS","FAIL")</f>
        <v>PASS</v>
      </c>
      <c r="E14" s="52" t="str">
        <f aca="false">IF(ABS(Portfolio_NAV!E29+Portfolio_NAV!E30+Portfolio_NAV!E32-Portfolio_NAV!E33-Portfolio_NAV!E34-Portfolio_NAV!E35-Portfolio_NAV!E36)&lt;0.01,"PASS","FAIL")</f>
        <v>PASS</v>
      </c>
      <c r="F14" s="52" t="str">
        <f aca="false">IF(ABS(Portfolio_NAV!F29+Portfolio_NAV!F30+Portfolio_NAV!F32-Portfolio_NAV!F33-Portfolio_NAV!F34-Portfolio_NAV!F35-Portfolio_NAV!F36)&lt;0.01,"PASS","FAIL")</f>
        <v>PASS</v>
      </c>
      <c r="G14" s="52" t="str">
        <f aca="false">IF(ABS(Portfolio_NAV!G29+Portfolio_NAV!G30+Portfolio_NAV!G32-Portfolio_NAV!G33-Portfolio_NAV!G34-Portfolio_NAV!G35-Portfolio_NAV!G36)&lt;0.01,"PASS","FAIL")</f>
        <v>PASS</v>
      </c>
      <c r="H14" s="52" t="str">
        <f aca="false">IF(ABS(Portfolio_NAV!H29+Portfolio_NAV!H30+Portfolio_NAV!H32-Portfolio_NAV!H33-Portfolio_NAV!H34-Portfolio_NAV!H35-Portfolio_NAV!H36)&lt;0.01,"PASS","FAIL")</f>
        <v>PASS</v>
      </c>
      <c r="I14" s="52" t="str">
        <f aca="false">IF(ABS(Portfolio_NAV!I29+Portfolio_NAV!I30+Portfolio_NAV!I32-Portfolio_NAV!I33-Portfolio_NAV!I34-Portfolio_NAV!I35-Portfolio_NAV!I36)&lt;0.01,"PASS","FAIL")</f>
        <v>PASS</v>
      </c>
      <c r="J14" s="52" t="str">
        <f aca="false">IF(ABS(Portfolio_NAV!J29+Portfolio_NAV!J30+Portfolio_NAV!J32-Portfolio_NAV!J33-Portfolio_NAV!J34-Portfolio_NAV!J35-Portfolio_NAV!J36)&lt;0.01,"PASS","FAIL")</f>
        <v>PASS</v>
      </c>
      <c r="K14" s="52" t="str">
        <f aca="false">IF(ABS(Portfolio_NAV!K29+Portfolio_NAV!K30+Portfolio_NAV!K32-Portfolio_NAV!K33-Portfolio_NAV!K34-Portfolio_NAV!K35-Portfolio_NAV!K36)&lt;0.01,"PASS","FAIL")</f>
        <v>PASS</v>
      </c>
      <c r="L14" s="52" t="str">
        <f aca="false">IF(ABS(Portfolio_NAV!L29+Portfolio_NAV!L30+Portfolio_NAV!L32-Portfolio_NAV!L33-Portfolio_NAV!L34-Portfolio_NAV!L35-Portfolio_NAV!L36)&lt;0.01,"PASS","FAIL")</f>
        <v>PASS</v>
      </c>
    </row>
    <row r="15" customFormat="false" ht="15" hidden="false" customHeight="false" outlineLevel="0" collapsed="false">
      <c r="A15" s="6"/>
      <c r="B15" s="20" t="s">
        <v>234</v>
      </c>
      <c r="C15" s="52" t="str">
        <f aca="false">IF(ABS(Portfolio_NAV!C39+Portfolio_NAV!C40+Portfolio_NAV!C42-Portfolio_NAV!C43-Portfolio_NAV!C44-Portfolio_NAV!C45-Portfolio_NAV!C46)&lt;0.01,"PASS","FAIL")</f>
        <v>PASS</v>
      </c>
      <c r="D15" s="52" t="str">
        <f aca="false">IF(ABS(Portfolio_NAV!D39+Portfolio_NAV!D40+Portfolio_NAV!D42-Portfolio_NAV!D43-Portfolio_NAV!D44-Portfolio_NAV!D45-Portfolio_NAV!D46)&lt;0.01,"PASS","FAIL")</f>
        <v>PASS</v>
      </c>
      <c r="E15" s="52" t="str">
        <f aca="false">IF(ABS(Portfolio_NAV!E39+Portfolio_NAV!E40+Portfolio_NAV!E42-Portfolio_NAV!E43-Portfolio_NAV!E44-Portfolio_NAV!E45-Portfolio_NAV!E46)&lt;0.01,"PASS","FAIL")</f>
        <v>PASS</v>
      </c>
      <c r="F15" s="52" t="str">
        <f aca="false">IF(ABS(Portfolio_NAV!F39+Portfolio_NAV!F40+Portfolio_NAV!F42-Portfolio_NAV!F43-Portfolio_NAV!F44-Portfolio_NAV!F45-Portfolio_NAV!F46)&lt;0.01,"PASS","FAIL")</f>
        <v>PASS</v>
      </c>
      <c r="G15" s="52" t="str">
        <f aca="false">IF(ABS(Portfolio_NAV!G39+Portfolio_NAV!G40+Portfolio_NAV!G42-Portfolio_NAV!G43-Portfolio_NAV!G44-Portfolio_NAV!G45-Portfolio_NAV!G46)&lt;0.01,"PASS","FAIL")</f>
        <v>PASS</v>
      </c>
      <c r="H15" s="52" t="str">
        <f aca="false">IF(ABS(Portfolio_NAV!H39+Portfolio_NAV!H40+Portfolio_NAV!H42-Portfolio_NAV!H43-Portfolio_NAV!H44-Portfolio_NAV!H45-Portfolio_NAV!H46)&lt;0.01,"PASS","FAIL")</f>
        <v>PASS</v>
      </c>
      <c r="I15" s="52" t="str">
        <f aca="false">IF(ABS(Portfolio_NAV!I39+Portfolio_NAV!I40+Portfolio_NAV!I42-Portfolio_NAV!I43-Portfolio_NAV!I44-Portfolio_NAV!I45-Portfolio_NAV!I46)&lt;0.01,"PASS","FAIL")</f>
        <v>PASS</v>
      </c>
      <c r="J15" s="52" t="str">
        <f aca="false">IF(ABS(Portfolio_NAV!J39+Portfolio_NAV!J40+Portfolio_NAV!J42-Portfolio_NAV!J43-Portfolio_NAV!J44-Portfolio_NAV!J45-Portfolio_NAV!J46)&lt;0.01,"PASS","FAIL")</f>
        <v>PASS</v>
      </c>
      <c r="K15" s="52" t="str">
        <f aca="false">IF(ABS(Portfolio_NAV!K39+Portfolio_NAV!K40+Portfolio_NAV!K42-Portfolio_NAV!K43-Portfolio_NAV!K44-Portfolio_NAV!K45-Portfolio_NAV!K46)&lt;0.01,"PASS","FAIL")</f>
        <v>PASS</v>
      </c>
      <c r="L15" s="52" t="str">
        <f aca="false">IF(ABS(Portfolio_NAV!L39+Portfolio_NAV!L40+Portfolio_NAV!L42-Portfolio_NAV!L43-Portfolio_NAV!L44-Portfolio_NAV!L45-Portfolio_NAV!L46)&lt;0.01,"PASS","FAIL")</f>
        <v>PASS</v>
      </c>
    </row>
    <row r="16" customFormat="false" ht="15" hidden="false" customHeight="false" outlineLevel="0" collapsed="false">
      <c r="A16" s="6"/>
      <c r="B16" s="20" t="s">
        <v>235</v>
      </c>
      <c r="C16" s="52" t="str">
        <f aca="false">IF(ABS(Portfolio_NAV!C49+Portfolio_NAV!C50+Portfolio_NAV!C52-Portfolio_NAV!C53-Portfolio_NAV!C54-Portfolio_NAV!C55-Portfolio_NAV!C56)&lt;0.01,"PASS","FAIL")</f>
        <v>PASS</v>
      </c>
      <c r="D16" s="52" t="str">
        <f aca="false">IF(ABS(Portfolio_NAV!D49+Portfolio_NAV!D50+Portfolio_NAV!D52-Portfolio_NAV!D53-Portfolio_NAV!D54-Portfolio_NAV!D55-Portfolio_NAV!D56)&lt;0.01,"PASS","FAIL")</f>
        <v>PASS</v>
      </c>
      <c r="E16" s="52" t="str">
        <f aca="false">IF(ABS(Portfolio_NAV!E49+Portfolio_NAV!E50+Portfolio_NAV!E52-Portfolio_NAV!E53-Portfolio_NAV!E54-Portfolio_NAV!E55-Portfolio_NAV!E56)&lt;0.01,"PASS","FAIL")</f>
        <v>PASS</v>
      </c>
      <c r="F16" s="52" t="str">
        <f aca="false">IF(ABS(Portfolio_NAV!F49+Portfolio_NAV!F50+Portfolio_NAV!F52-Portfolio_NAV!F53-Portfolio_NAV!F54-Portfolio_NAV!F55-Portfolio_NAV!F56)&lt;0.01,"PASS","FAIL")</f>
        <v>PASS</v>
      </c>
      <c r="G16" s="52" t="str">
        <f aca="false">IF(ABS(Portfolio_NAV!G49+Portfolio_NAV!G50+Portfolio_NAV!G52-Portfolio_NAV!G53-Portfolio_NAV!G54-Portfolio_NAV!G55-Portfolio_NAV!G56)&lt;0.01,"PASS","FAIL")</f>
        <v>PASS</v>
      </c>
      <c r="H16" s="52" t="str">
        <f aca="false">IF(ABS(Portfolio_NAV!H49+Portfolio_NAV!H50+Portfolio_NAV!H52-Portfolio_NAV!H53-Portfolio_NAV!H54-Portfolio_NAV!H55-Portfolio_NAV!H56)&lt;0.01,"PASS","FAIL")</f>
        <v>PASS</v>
      </c>
      <c r="I16" s="52" t="str">
        <f aca="false">IF(ABS(Portfolio_NAV!I49+Portfolio_NAV!I50+Portfolio_NAV!I52-Portfolio_NAV!I53-Portfolio_NAV!I54-Portfolio_NAV!I55-Portfolio_NAV!I56)&lt;0.01,"PASS","FAIL")</f>
        <v>PASS</v>
      </c>
      <c r="J16" s="52" t="str">
        <f aca="false">IF(ABS(Portfolio_NAV!J49+Portfolio_NAV!J50+Portfolio_NAV!J52-Portfolio_NAV!J53-Portfolio_NAV!J54-Portfolio_NAV!J55-Portfolio_NAV!J56)&lt;0.01,"PASS","FAIL")</f>
        <v>PASS</v>
      </c>
      <c r="K16" s="52" t="str">
        <f aca="false">IF(ABS(Portfolio_NAV!K49+Portfolio_NAV!K50+Portfolio_NAV!K52-Portfolio_NAV!K53-Portfolio_NAV!K54-Portfolio_NAV!K55-Portfolio_NAV!K56)&lt;0.01,"PASS","FAIL")</f>
        <v>PASS</v>
      </c>
      <c r="L16" s="52" t="str">
        <f aca="false">IF(ABS(Portfolio_NAV!L49+Portfolio_NAV!L50+Portfolio_NAV!L52-Portfolio_NAV!L53-Portfolio_NAV!L54-Portfolio_NAV!L55-Portfolio_NAV!L56)&lt;0.01,"PASS","FAIL")</f>
        <v>PASS</v>
      </c>
    </row>
    <row r="17" customFormat="false" ht="15" hidden="false" customHeight="false" outlineLevel="0" collapsed="false">
      <c r="A17" s="6"/>
      <c r="B17" s="20" t="s">
        <v>236</v>
      </c>
      <c r="C17" s="52" t="str">
        <f aca="false">IF(ABS(Portfolio_NAV!C59+Portfolio_NAV!C60+Portfolio_NAV!C62-Portfolio_NAV!C63-Portfolio_NAV!C64-Portfolio_NAV!C65-Portfolio_NAV!C66)&lt;0.01,"PASS","FAIL")</f>
        <v>PASS</v>
      </c>
      <c r="D17" s="52" t="str">
        <f aca="false">IF(ABS(Portfolio_NAV!D59+Portfolio_NAV!D60+Portfolio_NAV!D62-Portfolio_NAV!D63-Portfolio_NAV!D64-Portfolio_NAV!D65-Portfolio_NAV!D66)&lt;0.01,"PASS","FAIL")</f>
        <v>PASS</v>
      </c>
      <c r="E17" s="52" t="str">
        <f aca="false">IF(ABS(Portfolio_NAV!E59+Portfolio_NAV!E60+Portfolio_NAV!E62-Portfolio_NAV!E63-Portfolio_NAV!E64-Portfolio_NAV!E65-Portfolio_NAV!E66)&lt;0.01,"PASS","FAIL")</f>
        <v>PASS</v>
      </c>
      <c r="F17" s="52" t="str">
        <f aca="false">IF(ABS(Portfolio_NAV!F59+Portfolio_NAV!F60+Portfolio_NAV!F62-Portfolio_NAV!F63-Portfolio_NAV!F64-Portfolio_NAV!F65-Portfolio_NAV!F66)&lt;0.01,"PASS","FAIL")</f>
        <v>PASS</v>
      </c>
      <c r="G17" s="52" t="str">
        <f aca="false">IF(ABS(Portfolio_NAV!G59+Portfolio_NAV!G60+Portfolio_NAV!G62-Portfolio_NAV!G63-Portfolio_NAV!G64-Portfolio_NAV!G65-Portfolio_NAV!G66)&lt;0.01,"PASS","FAIL")</f>
        <v>PASS</v>
      </c>
      <c r="H17" s="52" t="str">
        <f aca="false">IF(ABS(Portfolio_NAV!H59+Portfolio_NAV!H60+Portfolio_NAV!H62-Portfolio_NAV!H63-Portfolio_NAV!H64-Portfolio_NAV!H65-Portfolio_NAV!H66)&lt;0.01,"PASS","FAIL")</f>
        <v>PASS</v>
      </c>
      <c r="I17" s="52" t="str">
        <f aca="false">IF(ABS(Portfolio_NAV!I59+Portfolio_NAV!I60+Portfolio_NAV!I62-Portfolio_NAV!I63-Portfolio_NAV!I64-Portfolio_NAV!I65-Portfolio_NAV!I66)&lt;0.01,"PASS","FAIL")</f>
        <v>PASS</v>
      </c>
      <c r="J17" s="52" t="str">
        <f aca="false">IF(ABS(Portfolio_NAV!J59+Portfolio_NAV!J60+Portfolio_NAV!J62-Portfolio_NAV!J63-Portfolio_NAV!J64-Portfolio_NAV!J65-Portfolio_NAV!J66)&lt;0.01,"PASS","FAIL")</f>
        <v>PASS</v>
      </c>
      <c r="K17" s="52" t="str">
        <f aca="false">IF(ABS(Portfolio_NAV!K59+Portfolio_NAV!K60+Portfolio_NAV!K62-Portfolio_NAV!K63-Portfolio_NAV!K64-Portfolio_NAV!K65-Portfolio_NAV!K66)&lt;0.01,"PASS","FAIL")</f>
        <v>PASS</v>
      </c>
      <c r="L17" s="52" t="str">
        <f aca="false">IF(ABS(Portfolio_NAV!L59+Portfolio_NAV!L60+Portfolio_NAV!L62-Portfolio_NAV!L63-Portfolio_NAV!L64-Portfolio_NAV!L65-Portfolio_NAV!L66)&lt;0.01,"PASS","FAIL")</f>
        <v>PASS</v>
      </c>
    </row>
    <row r="18" customFormat="false" ht="15" hidden="false" customHeight="false" outlineLevel="0" collapsed="false">
      <c r="A18" s="6"/>
      <c r="B18" s="20" t="s">
        <v>237</v>
      </c>
      <c r="C18" s="52" t="str">
        <f aca="false">IF(ABS(Portfolio_NAV!C69+Portfolio_NAV!C70+Portfolio_NAV!C72-Portfolio_NAV!C73-Portfolio_NAV!C74-Portfolio_NAV!C75-Portfolio_NAV!C76)&lt;0.01,"PASS","FAIL")</f>
        <v>PASS</v>
      </c>
      <c r="D18" s="52" t="str">
        <f aca="false">IF(ABS(Portfolio_NAV!D69+Portfolio_NAV!D70+Portfolio_NAV!D72-Portfolio_NAV!D73-Portfolio_NAV!D74-Portfolio_NAV!D75-Portfolio_NAV!D76)&lt;0.01,"PASS","FAIL")</f>
        <v>PASS</v>
      </c>
      <c r="E18" s="52" t="str">
        <f aca="false">IF(ABS(Portfolio_NAV!E69+Portfolio_NAV!E70+Portfolio_NAV!E72-Portfolio_NAV!E73-Portfolio_NAV!E74-Portfolio_NAV!E75-Portfolio_NAV!E76)&lt;0.01,"PASS","FAIL")</f>
        <v>PASS</v>
      </c>
      <c r="F18" s="52" t="str">
        <f aca="false">IF(ABS(Portfolio_NAV!F69+Portfolio_NAV!F70+Portfolio_NAV!F72-Portfolio_NAV!F73-Portfolio_NAV!F74-Portfolio_NAV!F75-Portfolio_NAV!F76)&lt;0.01,"PASS","FAIL")</f>
        <v>PASS</v>
      </c>
      <c r="G18" s="52" t="str">
        <f aca="false">IF(ABS(Portfolio_NAV!G69+Portfolio_NAV!G70+Portfolio_NAV!G72-Portfolio_NAV!G73-Portfolio_NAV!G74-Portfolio_NAV!G75-Portfolio_NAV!G76)&lt;0.01,"PASS","FAIL")</f>
        <v>PASS</v>
      </c>
      <c r="H18" s="52" t="str">
        <f aca="false">IF(ABS(Portfolio_NAV!H69+Portfolio_NAV!H70+Portfolio_NAV!H72-Portfolio_NAV!H73-Portfolio_NAV!H74-Portfolio_NAV!H75-Portfolio_NAV!H76)&lt;0.01,"PASS","FAIL")</f>
        <v>PASS</v>
      </c>
      <c r="I18" s="52" t="str">
        <f aca="false">IF(ABS(Portfolio_NAV!I69+Portfolio_NAV!I70+Portfolio_NAV!I72-Portfolio_NAV!I73-Portfolio_NAV!I74-Portfolio_NAV!I75-Portfolio_NAV!I76)&lt;0.01,"PASS","FAIL")</f>
        <v>PASS</v>
      </c>
      <c r="J18" s="52" t="str">
        <f aca="false">IF(ABS(Portfolio_NAV!J69+Portfolio_NAV!J70+Portfolio_NAV!J72-Portfolio_NAV!J73-Portfolio_NAV!J74-Portfolio_NAV!J75-Portfolio_NAV!J76)&lt;0.01,"PASS","FAIL")</f>
        <v>PASS</v>
      </c>
      <c r="K18" s="52" t="str">
        <f aca="false">IF(ABS(Portfolio_NAV!K69+Portfolio_NAV!K70+Portfolio_NAV!K72-Portfolio_NAV!K73-Portfolio_NAV!K74-Portfolio_NAV!K75-Portfolio_NAV!K76)&lt;0.01,"PASS","FAIL")</f>
        <v>PASS</v>
      </c>
      <c r="L18" s="52" t="str">
        <f aca="false">IF(ABS(Portfolio_NAV!L69+Portfolio_NAV!L70+Portfolio_NAV!L72-Portfolio_NAV!L73-Portfolio_NAV!L74-Portfolio_NAV!L75-Portfolio_NAV!L76)&lt;0.01,"PASS","FAIL")</f>
        <v>PASS</v>
      </c>
    </row>
    <row r="19" customFormat="false" ht="15" hidden="false" customHeight="false" outlineLevel="0" collapsed="false">
      <c r="A19" s="6"/>
      <c r="B19" s="6"/>
      <c r="C19" s="6"/>
      <c r="D19" s="6"/>
      <c r="E19" s="6"/>
      <c r="F19" s="6"/>
      <c r="G19" s="6"/>
      <c r="H19" s="6"/>
      <c r="I19" s="6"/>
      <c r="J19" s="6"/>
      <c r="K19" s="6"/>
      <c r="L19" s="6"/>
    </row>
    <row r="20" customFormat="false" ht="15" hidden="false" customHeight="false" outlineLevel="0" collapsed="false">
      <c r="A20" s="6"/>
      <c r="B20" s="14" t="s">
        <v>238</v>
      </c>
      <c r="C20" s="15"/>
      <c r="D20" s="15"/>
      <c r="E20" s="15"/>
      <c r="F20" s="15"/>
      <c r="G20" s="15"/>
      <c r="H20" s="15"/>
      <c r="I20" s="15"/>
      <c r="J20" s="15"/>
      <c r="K20" s="15"/>
      <c r="L20" s="15"/>
    </row>
    <row r="21" customFormat="false" ht="15" hidden="false" customHeight="false" outlineLevel="0" collapsed="false">
      <c r="A21" s="6"/>
      <c r="B21" s="20" t="s">
        <v>239</v>
      </c>
      <c r="C21" s="52" t="str">
        <f aca="false">IF(Portfolio_NAV!C16&gt;=-0.01,"PASS","FAIL")</f>
        <v>PASS</v>
      </c>
      <c r="D21" s="52" t="str">
        <f aca="false">IF(Portfolio_NAV!D16&gt;=-0.01,"PASS","FAIL")</f>
        <v>PASS</v>
      </c>
      <c r="E21" s="52" t="str">
        <f aca="false">IF(Portfolio_NAV!E16&gt;=-0.01,"PASS","FAIL")</f>
        <v>PASS</v>
      </c>
      <c r="F21" s="52" t="str">
        <f aca="false">IF(Portfolio_NAV!F16&gt;=-0.01,"PASS","FAIL")</f>
        <v>PASS</v>
      </c>
      <c r="G21" s="52" t="str">
        <f aca="false">IF(Portfolio_NAV!G16&gt;=-0.01,"PASS","FAIL")</f>
        <v>PASS</v>
      </c>
      <c r="H21" s="52" t="str">
        <f aca="false">IF(Portfolio_NAV!H16&gt;=-0.01,"PASS","FAIL")</f>
        <v>PASS</v>
      </c>
      <c r="I21" s="52" t="str">
        <f aca="false">IF(Portfolio_NAV!I16&gt;=-0.01,"PASS","FAIL")</f>
        <v>PASS</v>
      </c>
      <c r="J21" s="52" t="str">
        <f aca="false">IF(Portfolio_NAV!J16&gt;=-0.01,"PASS","FAIL")</f>
        <v>PASS</v>
      </c>
      <c r="K21" s="52" t="str">
        <f aca="false">IF(Portfolio_NAV!K16&gt;=-0.01,"PASS","FAIL")</f>
        <v>PASS</v>
      </c>
      <c r="L21" s="52" t="str">
        <f aca="false">IF(Portfolio_NAV!L16&gt;=-0.01,"PASS","FAIL")</f>
        <v>PASS</v>
      </c>
    </row>
    <row r="22" customFormat="false" ht="15" hidden="false" customHeight="false" outlineLevel="0" collapsed="false">
      <c r="A22" s="6"/>
      <c r="B22" s="20" t="s">
        <v>240</v>
      </c>
      <c r="C22" s="52" t="str">
        <f aca="false">IF(Portfolio_NAV!C26&gt;=-0.01,"PASS","FAIL")</f>
        <v>PASS</v>
      </c>
      <c r="D22" s="52" t="str">
        <f aca="false">IF(Portfolio_NAV!D26&gt;=-0.01,"PASS","FAIL")</f>
        <v>PASS</v>
      </c>
      <c r="E22" s="52" t="str">
        <f aca="false">IF(Portfolio_NAV!E26&gt;=-0.01,"PASS","FAIL")</f>
        <v>PASS</v>
      </c>
      <c r="F22" s="52" t="str">
        <f aca="false">IF(Portfolio_NAV!F26&gt;=-0.01,"PASS","FAIL")</f>
        <v>PASS</v>
      </c>
      <c r="G22" s="52" t="str">
        <f aca="false">IF(Portfolio_NAV!G26&gt;=-0.01,"PASS","FAIL")</f>
        <v>PASS</v>
      </c>
      <c r="H22" s="52" t="str">
        <f aca="false">IF(Portfolio_NAV!H26&gt;=-0.01,"PASS","FAIL")</f>
        <v>PASS</v>
      </c>
      <c r="I22" s="52" t="str">
        <f aca="false">IF(Portfolio_NAV!I26&gt;=-0.01,"PASS","FAIL")</f>
        <v>PASS</v>
      </c>
      <c r="J22" s="52" t="str">
        <f aca="false">IF(Portfolio_NAV!J26&gt;=-0.01,"PASS","FAIL")</f>
        <v>PASS</v>
      </c>
      <c r="K22" s="52" t="str">
        <f aca="false">IF(Portfolio_NAV!K26&gt;=-0.01,"PASS","FAIL")</f>
        <v>PASS</v>
      </c>
      <c r="L22" s="52" t="str">
        <f aca="false">IF(Portfolio_NAV!L26&gt;=-0.01,"PASS","FAIL")</f>
        <v>PASS</v>
      </c>
    </row>
    <row r="23" customFormat="false" ht="15" hidden="false" customHeight="false" outlineLevel="0" collapsed="false">
      <c r="A23" s="6"/>
      <c r="B23" s="20" t="s">
        <v>241</v>
      </c>
      <c r="C23" s="52" t="str">
        <f aca="false">IF(Portfolio_NAV!C36&gt;=-0.01,"PASS","FAIL")</f>
        <v>PASS</v>
      </c>
      <c r="D23" s="52" t="str">
        <f aca="false">IF(Portfolio_NAV!D36&gt;=-0.01,"PASS","FAIL")</f>
        <v>PASS</v>
      </c>
      <c r="E23" s="52" t="str">
        <f aca="false">IF(Portfolio_NAV!E36&gt;=-0.01,"PASS","FAIL")</f>
        <v>PASS</v>
      </c>
      <c r="F23" s="52" t="str">
        <f aca="false">IF(Portfolio_NAV!F36&gt;=-0.01,"PASS","FAIL")</f>
        <v>PASS</v>
      </c>
      <c r="G23" s="52" t="str">
        <f aca="false">IF(Portfolio_NAV!G36&gt;=-0.01,"PASS","FAIL")</f>
        <v>PASS</v>
      </c>
      <c r="H23" s="52" t="str">
        <f aca="false">IF(Portfolio_NAV!H36&gt;=-0.01,"PASS","FAIL")</f>
        <v>PASS</v>
      </c>
      <c r="I23" s="52" t="str">
        <f aca="false">IF(Portfolio_NAV!I36&gt;=-0.01,"PASS","FAIL")</f>
        <v>PASS</v>
      </c>
      <c r="J23" s="52" t="str">
        <f aca="false">IF(Portfolio_NAV!J36&gt;=-0.01,"PASS","FAIL")</f>
        <v>PASS</v>
      </c>
      <c r="K23" s="52" t="str">
        <f aca="false">IF(Portfolio_NAV!K36&gt;=-0.01,"PASS","FAIL")</f>
        <v>PASS</v>
      </c>
      <c r="L23" s="52" t="str">
        <f aca="false">IF(Portfolio_NAV!L36&gt;=-0.01,"PASS","FAIL")</f>
        <v>PASS</v>
      </c>
    </row>
    <row r="24" customFormat="false" ht="15" hidden="false" customHeight="false" outlineLevel="0" collapsed="false">
      <c r="A24" s="6"/>
      <c r="B24" s="20" t="s">
        <v>242</v>
      </c>
      <c r="C24" s="52" t="str">
        <f aca="false">IF(Portfolio_NAV!C46&gt;=-0.01,"PASS","FAIL")</f>
        <v>PASS</v>
      </c>
      <c r="D24" s="52" t="str">
        <f aca="false">IF(Portfolio_NAV!D46&gt;=-0.01,"PASS","FAIL")</f>
        <v>PASS</v>
      </c>
      <c r="E24" s="52" t="str">
        <f aca="false">IF(Portfolio_NAV!E46&gt;=-0.01,"PASS","FAIL")</f>
        <v>PASS</v>
      </c>
      <c r="F24" s="52" t="str">
        <f aca="false">IF(Portfolio_NAV!F46&gt;=-0.01,"PASS","FAIL")</f>
        <v>PASS</v>
      </c>
      <c r="G24" s="52" t="str">
        <f aca="false">IF(Portfolio_NAV!G46&gt;=-0.01,"PASS","FAIL")</f>
        <v>PASS</v>
      </c>
      <c r="H24" s="52" t="str">
        <f aca="false">IF(Portfolio_NAV!H46&gt;=-0.01,"PASS","FAIL")</f>
        <v>PASS</v>
      </c>
      <c r="I24" s="52" t="str">
        <f aca="false">IF(Portfolio_NAV!I46&gt;=-0.01,"PASS","FAIL")</f>
        <v>PASS</v>
      </c>
      <c r="J24" s="52" t="str">
        <f aca="false">IF(Portfolio_NAV!J46&gt;=-0.01,"PASS","FAIL")</f>
        <v>PASS</v>
      </c>
      <c r="K24" s="52" t="str">
        <f aca="false">IF(Portfolio_NAV!K46&gt;=-0.01,"PASS","FAIL")</f>
        <v>PASS</v>
      </c>
      <c r="L24" s="52" t="str">
        <f aca="false">IF(Portfolio_NAV!L46&gt;=-0.01,"PASS","FAIL")</f>
        <v>PASS</v>
      </c>
    </row>
    <row r="25" customFormat="false" ht="15" hidden="false" customHeight="false" outlineLevel="0" collapsed="false">
      <c r="A25" s="6"/>
      <c r="B25" s="20" t="s">
        <v>243</v>
      </c>
      <c r="C25" s="52" t="str">
        <f aca="false">IF(Portfolio_NAV!C56&gt;=-0.01,"PASS","FAIL")</f>
        <v>PASS</v>
      </c>
      <c r="D25" s="52" t="str">
        <f aca="false">IF(Portfolio_NAV!D56&gt;=-0.01,"PASS","FAIL")</f>
        <v>PASS</v>
      </c>
      <c r="E25" s="52" t="str">
        <f aca="false">IF(Portfolio_NAV!E56&gt;=-0.01,"PASS","FAIL")</f>
        <v>PASS</v>
      </c>
      <c r="F25" s="52" t="str">
        <f aca="false">IF(Portfolio_NAV!F56&gt;=-0.01,"PASS","FAIL")</f>
        <v>PASS</v>
      </c>
      <c r="G25" s="52" t="str">
        <f aca="false">IF(Portfolio_NAV!G56&gt;=-0.01,"PASS","FAIL")</f>
        <v>PASS</v>
      </c>
      <c r="H25" s="52" t="str">
        <f aca="false">IF(Portfolio_NAV!H56&gt;=-0.01,"PASS","FAIL")</f>
        <v>PASS</v>
      </c>
      <c r="I25" s="52" t="str">
        <f aca="false">IF(Portfolio_NAV!I56&gt;=-0.01,"PASS","FAIL")</f>
        <v>PASS</v>
      </c>
      <c r="J25" s="52" t="str">
        <f aca="false">IF(Portfolio_NAV!J56&gt;=-0.01,"PASS","FAIL")</f>
        <v>PASS</v>
      </c>
      <c r="K25" s="52" t="str">
        <f aca="false">IF(Portfolio_NAV!K56&gt;=-0.01,"PASS","FAIL")</f>
        <v>PASS</v>
      </c>
      <c r="L25" s="52" t="str">
        <f aca="false">IF(Portfolio_NAV!L56&gt;=-0.01,"PASS","FAIL")</f>
        <v>PASS</v>
      </c>
    </row>
    <row r="26" customFormat="false" ht="15" hidden="false" customHeight="false" outlineLevel="0" collapsed="false">
      <c r="A26" s="6"/>
      <c r="B26" s="20" t="s">
        <v>244</v>
      </c>
      <c r="C26" s="52" t="str">
        <f aca="false">IF(Portfolio_NAV!C66&gt;=-0.01,"PASS","FAIL")</f>
        <v>PASS</v>
      </c>
      <c r="D26" s="52" t="str">
        <f aca="false">IF(Portfolio_NAV!D66&gt;=-0.01,"PASS","FAIL")</f>
        <v>PASS</v>
      </c>
      <c r="E26" s="52" t="str">
        <f aca="false">IF(Portfolio_NAV!E66&gt;=-0.01,"PASS","FAIL")</f>
        <v>PASS</v>
      </c>
      <c r="F26" s="52" t="str">
        <f aca="false">IF(Portfolio_NAV!F66&gt;=-0.01,"PASS","FAIL")</f>
        <v>PASS</v>
      </c>
      <c r="G26" s="52" t="str">
        <f aca="false">IF(Portfolio_NAV!G66&gt;=-0.01,"PASS","FAIL")</f>
        <v>PASS</v>
      </c>
      <c r="H26" s="52" t="str">
        <f aca="false">IF(Portfolio_NAV!H66&gt;=-0.01,"PASS","FAIL")</f>
        <v>PASS</v>
      </c>
      <c r="I26" s="52" t="str">
        <f aca="false">IF(Portfolio_NAV!I66&gt;=-0.01,"PASS","FAIL")</f>
        <v>PASS</v>
      </c>
      <c r="J26" s="52" t="str">
        <f aca="false">IF(Portfolio_NAV!J66&gt;=-0.01,"PASS","FAIL")</f>
        <v>PASS</v>
      </c>
      <c r="K26" s="52" t="str">
        <f aca="false">IF(Portfolio_NAV!K66&gt;=-0.01,"PASS","FAIL")</f>
        <v>PASS</v>
      </c>
      <c r="L26" s="52" t="str">
        <f aca="false">IF(Portfolio_NAV!L66&gt;=-0.01,"PASS","FAIL")</f>
        <v>PASS</v>
      </c>
    </row>
    <row r="27" customFormat="false" ht="15" hidden="false" customHeight="false" outlineLevel="0" collapsed="false">
      <c r="A27" s="6"/>
      <c r="B27" s="20" t="s">
        <v>245</v>
      </c>
      <c r="C27" s="52" t="str">
        <f aca="false">IF(Portfolio_NAV!C76&gt;=-0.01,"PASS","FAIL")</f>
        <v>PASS</v>
      </c>
      <c r="D27" s="52" t="str">
        <f aca="false">IF(Portfolio_NAV!D76&gt;=-0.01,"PASS","FAIL")</f>
        <v>PASS</v>
      </c>
      <c r="E27" s="52" t="str">
        <f aca="false">IF(Portfolio_NAV!E76&gt;=-0.01,"PASS","FAIL")</f>
        <v>PASS</v>
      </c>
      <c r="F27" s="52" t="str">
        <f aca="false">IF(Portfolio_NAV!F76&gt;=-0.01,"PASS","FAIL")</f>
        <v>PASS</v>
      </c>
      <c r="G27" s="52" t="str">
        <f aca="false">IF(Portfolio_NAV!G76&gt;=-0.01,"PASS","FAIL")</f>
        <v>PASS</v>
      </c>
      <c r="H27" s="52" t="str">
        <f aca="false">IF(Portfolio_NAV!H76&gt;=-0.01,"PASS","FAIL")</f>
        <v>PASS</v>
      </c>
      <c r="I27" s="52" t="str">
        <f aca="false">IF(Portfolio_NAV!I76&gt;=-0.01,"PASS","FAIL")</f>
        <v>PASS</v>
      </c>
      <c r="J27" s="52" t="str">
        <f aca="false">IF(Portfolio_NAV!J76&gt;=-0.01,"PASS","FAIL")</f>
        <v>PASS</v>
      </c>
      <c r="K27" s="52" t="str">
        <f aca="false">IF(Portfolio_NAV!K76&gt;=-0.01,"PASS","FAIL")</f>
        <v>PASS</v>
      </c>
      <c r="L27" s="52" t="str">
        <f aca="false">IF(Portfolio_NAV!L76&gt;=-0.01,"PASS","FAIL")</f>
        <v>PASS</v>
      </c>
    </row>
    <row r="28" customFormat="false" ht="15" hidden="false" customHeight="false" outlineLevel="0" collapsed="false">
      <c r="A28" s="6"/>
      <c r="B28" s="6"/>
      <c r="C28" s="6"/>
      <c r="D28" s="6"/>
      <c r="E28" s="6"/>
      <c r="F28" s="6"/>
      <c r="G28" s="6"/>
      <c r="H28" s="6"/>
      <c r="I28" s="6"/>
      <c r="J28" s="6"/>
      <c r="K28" s="6"/>
      <c r="L28" s="6"/>
    </row>
    <row r="29" customFormat="false" ht="15" hidden="false" customHeight="false" outlineLevel="0" collapsed="false">
      <c r="A29" s="6"/>
      <c r="B29" s="14" t="s">
        <v>246</v>
      </c>
      <c r="C29" s="15"/>
      <c r="D29" s="15"/>
      <c r="E29" s="15"/>
      <c r="F29" s="15"/>
      <c r="G29" s="15"/>
      <c r="H29" s="15"/>
      <c r="I29" s="15"/>
      <c r="J29" s="15"/>
      <c r="K29" s="15"/>
      <c r="L29" s="15"/>
    </row>
    <row r="30" customFormat="false" ht="15" hidden="false" customHeight="false" outlineLevel="0" collapsed="false">
      <c r="A30" s="6"/>
      <c r="B30" s="20" t="s">
        <v>247</v>
      </c>
      <c r="C30" s="52" t="str">
        <f aca="false">IF(Liquidity!C17&gt;=-0.01,"PASS","FAIL")</f>
        <v>PASS</v>
      </c>
      <c r="D30" s="52" t="str">
        <f aca="false">IF(Liquidity!D17&gt;=-0.01,"PASS","FAIL")</f>
        <v>PASS</v>
      </c>
      <c r="E30" s="52" t="str">
        <f aca="false">IF(Liquidity!E17&gt;=-0.01,"PASS","FAIL")</f>
        <v>PASS</v>
      </c>
      <c r="F30" s="52" t="str">
        <f aca="false">IF(Liquidity!F17&gt;=-0.01,"PASS","FAIL")</f>
        <v>PASS</v>
      </c>
      <c r="G30" s="52" t="str">
        <f aca="false">IF(Liquidity!G17&gt;=-0.01,"PASS","FAIL")</f>
        <v>PASS</v>
      </c>
      <c r="H30" s="52" t="str">
        <f aca="false">IF(Liquidity!H17&gt;=-0.01,"PASS","FAIL")</f>
        <v>PASS</v>
      </c>
      <c r="I30" s="52" t="str">
        <f aca="false">IF(Liquidity!I17&gt;=-0.01,"PASS","FAIL")</f>
        <v>PASS</v>
      </c>
      <c r="J30" s="52" t="str">
        <f aca="false">IF(Liquidity!J17&gt;=-0.01,"PASS","FAIL")</f>
        <v>PASS</v>
      </c>
      <c r="K30" s="52" t="str">
        <f aca="false">IF(Liquidity!K17&gt;=-0.01,"PASS","FAIL")</f>
        <v>PASS</v>
      </c>
      <c r="L30" s="52" t="str">
        <f aca="false">IF(Liquidity!L17&gt;=-0.01,"PASS","FAIL")</f>
        <v>PASS</v>
      </c>
    </row>
    <row r="31" customFormat="false" ht="15" hidden="false" customHeight="false" outlineLevel="0" collapsed="false">
      <c r="A31" s="6"/>
      <c r="B31" s="20" t="s">
        <v>248</v>
      </c>
      <c r="C31" s="52" t="str">
        <f aca="false">IF(Liquidity!C26&gt;0.5,"PASS","FAIL")</f>
        <v>PASS</v>
      </c>
      <c r="D31" s="52" t="str">
        <f aca="false">IF(Liquidity!D26&gt;0.5,"PASS","FAIL")</f>
        <v>PASS</v>
      </c>
      <c r="E31" s="52" t="str">
        <f aca="false">IF(Liquidity!E26&gt;0.5,"PASS","FAIL")</f>
        <v>PASS</v>
      </c>
      <c r="F31" s="52" t="str">
        <f aca="false">IF(Liquidity!F26&gt;0.5,"PASS","FAIL")</f>
        <v>PASS</v>
      </c>
      <c r="G31" s="52" t="str">
        <f aca="false">IF(Liquidity!G26&gt;0.5,"PASS","FAIL")</f>
        <v>PASS</v>
      </c>
      <c r="H31" s="52" t="str">
        <f aca="false">IF(Liquidity!H26&gt;0.5,"PASS","FAIL")</f>
        <v>PASS</v>
      </c>
      <c r="I31" s="52" t="str">
        <f aca="false">IF(Liquidity!I26&gt;0.5,"PASS","FAIL")</f>
        <v>PASS</v>
      </c>
      <c r="J31" s="52" t="str">
        <f aca="false">IF(Liquidity!J26&gt;0.5,"PASS","FAIL")</f>
        <v>PASS</v>
      </c>
      <c r="K31" s="52" t="str">
        <f aca="false">IF(Liquidity!K26&gt;0.5,"PASS","FAIL")</f>
        <v>PASS</v>
      </c>
      <c r="L31" s="52" t="str">
        <f aca="false">IF(Liquidity!L26&gt;0.5,"PASS","FAIL")</f>
        <v>PASS</v>
      </c>
    </row>
    <row r="32" customFormat="false" ht="15" hidden="false" customHeight="false" outlineLevel="0" collapsed="false">
      <c r="A32" s="6"/>
      <c r="B32" s="14" t="s">
        <v>249</v>
      </c>
      <c r="C32" s="15"/>
      <c r="D32" s="15"/>
      <c r="E32" s="15"/>
      <c r="F32" s="15"/>
      <c r="G32" s="15"/>
      <c r="H32" s="15"/>
      <c r="I32" s="15"/>
      <c r="J32" s="15"/>
      <c r="K32" s="15"/>
      <c r="L32" s="15"/>
    </row>
    <row r="33" customFormat="false" ht="15" hidden="false" customHeight="false" outlineLevel="0" collapsed="false">
      <c r="A33" s="6"/>
      <c r="B33" s="20" t="s">
        <v>250</v>
      </c>
      <c r="C33" s="52" t="str">
        <f aca="false">IF(Allocation_Strategy!C39&gt;=-0.01,"PASS","FAIL")</f>
        <v>PASS</v>
      </c>
      <c r="D33" s="52" t="str">
        <f aca="false">IF(Allocation_Strategy!D39&gt;=-0.01,"PASS","FAIL")</f>
        <v>PASS</v>
      </c>
      <c r="E33" s="52" t="str">
        <f aca="false">IF(Allocation_Strategy!E39&gt;=-0.01,"PASS","FAIL")</f>
        <v>PASS</v>
      </c>
      <c r="F33" s="52" t="str">
        <f aca="false">IF(Allocation_Strategy!F39&gt;=-0.01,"PASS","FAIL")</f>
        <v>PASS</v>
      </c>
      <c r="G33" s="52" t="str">
        <f aca="false">IF(Allocation_Strategy!G39&gt;=-0.01,"PASS","FAIL")</f>
        <v>PASS</v>
      </c>
      <c r="H33" s="52" t="str">
        <f aca="false">IF(Allocation_Strategy!H39&gt;=-0.01,"PASS","FAIL")</f>
        <v>PASS</v>
      </c>
      <c r="I33" s="52" t="str">
        <f aca="false">IF(Allocation_Strategy!I39&gt;=-0.01,"PASS","FAIL")</f>
        <v>PASS</v>
      </c>
      <c r="J33" s="52" t="str">
        <f aca="false">IF(Allocation_Strategy!J39&gt;=-0.01,"PASS","FAIL")</f>
        <v>PASS</v>
      </c>
      <c r="K33" s="52" t="str">
        <f aca="false">IF(Allocation_Strategy!K39&gt;=-0.01,"PASS","FAIL")</f>
        <v>PASS</v>
      </c>
      <c r="L33" s="52" t="str">
        <f aca="false">IF(Allocation_Strategy!L39&gt;=-0.01,"PASS","FAIL")</f>
        <v>PASS</v>
      </c>
    </row>
    <row r="34" customFormat="false" ht="15" hidden="false" customHeight="false" outlineLevel="0" collapsed="false">
      <c r="A34" s="6"/>
      <c r="B34" s="20" t="s">
        <v>251</v>
      </c>
      <c r="C34" s="52" t="str">
        <f aca="false">IF(Allocation_Strategy!C40&gt;=-0.01,"PASS","FAIL")</f>
        <v>PASS</v>
      </c>
      <c r="D34" s="52" t="str">
        <f aca="false">IF(Allocation_Strategy!D40&gt;=-0.01,"PASS","FAIL")</f>
        <v>PASS</v>
      </c>
      <c r="E34" s="52" t="str">
        <f aca="false">IF(Allocation_Strategy!E40&gt;=-0.01,"PASS","FAIL")</f>
        <v>PASS</v>
      </c>
      <c r="F34" s="52" t="str">
        <f aca="false">IF(Allocation_Strategy!F40&gt;=-0.01,"PASS","FAIL")</f>
        <v>PASS</v>
      </c>
      <c r="G34" s="52" t="str">
        <f aca="false">IF(Allocation_Strategy!G40&gt;=-0.01,"PASS","FAIL")</f>
        <v>PASS</v>
      </c>
      <c r="H34" s="52" t="str">
        <f aca="false">IF(Allocation_Strategy!H40&gt;=-0.01,"PASS","FAIL")</f>
        <v>PASS</v>
      </c>
      <c r="I34" s="52" t="str">
        <f aca="false">IF(Allocation_Strategy!I40&gt;=-0.01,"PASS","FAIL")</f>
        <v>PASS</v>
      </c>
      <c r="J34" s="52" t="str">
        <f aca="false">IF(Allocation_Strategy!J40&gt;=-0.01,"PASS","FAIL")</f>
        <v>PASS</v>
      </c>
      <c r="K34" s="52" t="str">
        <f aca="false">IF(Allocation_Strategy!K40&gt;=-0.01,"PASS","FAIL")</f>
        <v>PASS</v>
      </c>
      <c r="L34" s="52" t="str">
        <f aca="false">IF(Allocation_Strategy!L40&gt;=-0.01,"PASS","FAIL")</f>
        <v>PASS</v>
      </c>
    </row>
    <row r="35" customFormat="false" ht="15" hidden="false" customHeight="false" outlineLevel="0" collapsed="false">
      <c r="A35" s="6"/>
      <c r="B35" s="20" t="s">
        <v>252</v>
      </c>
      <c r="C35" s="52" t="str">
        <f aca="false">IF(Allocation_Strategy!C41&gt;=-0.01,"PASS","FAIL")</f>
        <v>PASS</v>
      </c>
      <c r="D35" s="52" t="str">
        <f aca="false">IF(Allocation_Strategy!D41&gt;=-0.01,"PASS","FAIL")</f>
        <v>PASS</v>
      </c>
      <c r="E35" s="52" t="str">
        <f aca="false">IF(Allocation_Strategy!E41&gt;=-0.01,"PASS","FAIL")</f>
        <v>PASS</v>
      </c>
      <c r="F35" s="52" t="str">
        <f aca="false">IF(Allocation_Strategy!F41&gt;=-0.01,"PASS","FAIL")</f>
        <v>PASS</v>
      </c>
      <c r="G35" s="52" t="str">
        <f aca="false">IF(Allocation_Strategy!G41&gt;=-0.01,"PASS","FAIL")</f>
        <v>PASS</v>
      </c>
      <c r="H35" s="52" t="str">
        <f aca="false">IF(Allocation_Strategy!H41&gt;=-0.01,"PASS","FAIL")</f>
        <v>PASS</v>
      </c>
      <c r="I35" s="52" t="str">
        <f aca="false">IF(Allocation_Strategy!I41&gt;=-0.01,"PASS","FAIL")</f>
        <v>PASS</v>
      </c>
      <c r="J35" s="52" t="str">
        <f aca="false">IF(Allocation_Strategy!J41&gt;=-0.01,"PASS","FAIL")</f>
        <v>PASS</v>
      </c>
      <c r="K35" s="52" t="str">
        <f aca="false">IF(Allocation_Strategy!K41&gt;=-0.01,"PASS","FAIL")</f>
        <v>PASS</v>
      </c>
      <c r="L35" s="52" t="str">
        <f aca="false">IF(Allocation_Strategy!L41&gt;=-0.01,"PASS","FAIL")</f>
        <v>PASS</v>
      </c>
    </row>
    <row r="36" customFormat="false" ht="15" hidden="false" customHeight="false" outlineLevel="0" collapsed="false">
      <c r="A36" s="6"/>
      <c r="B36" s="20" t="s">
        <v>253</v>
      </c>
      <c r="C36" s="52" t="str">
        <f aca="false">IF(Allocation_Strategy!C42&gt;=-0.01,"PASS","FAIL")</f>
        <v>PASS</v>
      </c>
      <c r="D36" s="52" t="str">
        <f aca="false">IF(Allocation_Strategy!D42&gt;=-0.01,"PASS","FAIL")</f>
        <v>PASS</v>
      </c>
      <c r="E36" s="52" t="str">
        <f aca="false">IF(Allocation_Strategy!E42&gt;=-0.01,"PASS","FAIL")</f>
        <v>PASS</v>
      </c>
      <c r="F36" s="52" t="str">
        <f aca="false">IF(Allocation_Strategy!F42&gt;=-0.01,"PASS","FAIL")</f>
        <v>PASS</v>
      </c>
      <c r="G36" s="52" t="str">
        <f aca="false">IF(Allocation_Strategy!G42&gt;=-0.01,"PASS","FAIL")</f>
        <v>PASS</v>
      </c>
      <c r="H36" s="52" t="str">
        <f aca="false">IF(Allocation_Strategy!H42&gt;=-0.01,"PASS","FAIL")</f>
        <v>PASS</v>
      </c>
      <c r="I36" s="52" t="str">
        <f aca="false">IF(Allocation_Strategy!I42&gt;=-0.01,"PASS","FAIL")</f>
        <v>PASS</v>
      </c>
      <c r="J36" s="52" t="str">
        <f aca="false">IF(Allocation_Strategy!J42&gt;=-0.01,"PASS","FAIL")</f>
        <v>PASS</v>
      </c>
      <c r="K36" s="52" t="str">
        <f aca="false">IF(Allocation_Strategy!K42&gt;=-0.01,"PASS","FAIL")</f>
        <v>PASS</v>
      </c>
      <c r="L36" s="52" t="str">
        <f aca="false">IF(Allocation_Strategy!L42&gt;=-0.01,"PASS","FAIL")</f>
        <v>PASS</v>
      </c>
    </row>
    <row r="37" customFormat="false" ht="15" hidden="false" customHeight="false" outlineLevel="0" collapsed="false">
      <c r="A37" s="6"/>
      <c r="B37" s="20" t="s">
        <v>254</v>
      </c>
      <c r="C37" s="52" t="str">
        <f aca="false">IF(Allocation_Strategy!C43&gt;=-0.01,"PASS","FAIL")</f>
        <v>PASS</v>
      </c>
      <c r="D37" s="52" t="str">
        <f aca="false">IF(Allocation_Strategy!D43&gt;=-0.01,"PASS","FAIL")</f>
        <v>PASS</v>
      </c>
      <c r="E37" s="52" t="str">
        <f aca="false">IF(Allocation_Strategy!E43&gt;=-0.01,"PASS","FAIL")</f>
        <v>PASS</v>
      </c>
      <c r="F37" s="52" t="str">
        <f aca="false">IF(Allocation_Strategy!F43&gt;=-0.01,"PASS","FAIL")</f>
        <v>PASS</v>
      </c>
      <c r="G37" s="52" t="str">
        <f aca="false">IF(Allocation_Strategy!G43&gt;=-0.01,"PASS","FAIL")</f>
        <v>PASS</v>
      </c>
      <c r="H37" s="52" t="str">
        <f aca="false">IF(Allocation_Strategy!H43&gt;=-0.01,"PASS","FAIL")</f>
        <v>PASS</v>
      </c>
      <c r="I37" s="52" t="str">
        <f aca="false">IF(Allocation_Strategy!I43&gt;=-0.01,"PASS","FAIL")</f>
        <v>PASS</v>
      </c>
      <c r="J37" s="52" t="str">
        <f aca="false">IF(Allocation_Strategy!J43&gt;=-0.01,"PASS","FAIL")</f>
        <v>PASS</v>
      </c>
      <c r="K37" s="52" t="str">
        <f aca="false">IF(Allocation_Strategy!K43&gt;=-0.01,"PASS","FAIL")</f>
        <v>PASS</v>
      </c>
      <c r="L37" s="52" t="str">
        <f aca="false">IF(Allocation_Strategy!L43&gt;=-0.01,"PASS","FAIL")</f>
        <v>PASS</v>
      </c>
    </row>
    <row r="38" customFormat="false" ht="15" hidden="false" customHeight="false" outlineLevel="0" collapsed="false">
      <c r="A38" s="6"/>
      <c r="B38" s="20" t="s">
        <v>255</v>
      </c>
      <c r="C38" s="52" t="str">
        <f aca="false">IF(Allocation_Strategy!C44&gt;=-0.01,"PASS","FAIL")</f>
        <v>PASS</v>
      </c>
      <c r="D38" s="52" t="str">
        <f aca="false">IF(Allocation_Strategy!D44&gt;=-0.01,"PASS","FAIL")</f>
        <v>PASS</v>
      </c>
      <c r="E38" s="52" t="str">
        <f aca="false">IF(Allocation_Strategy!E44&gt;=-0.01,"PASS","FAIL")</f>
        <v>PASS</v>
      </c>
      <c r="F38" s="52" t="str">
        <f aca="false">IF(Allocation_Strategy!F44&gt;=-0.01,"PASS","FAIL")</f>
        <v>PASS</v>
      </c>
      <c r="G38" s="52" t="str">
        <f aca="false">IF(Allocation_Strategy!G44&gt;=-0.01,"PASS","FAIL")</f>
        <v>PASS</v>
      </c>
      <c r="H38" s="52" t="str">
        <f aca="false">IF(Allocation_Strategy!H44&gt;=-0.01,"PASS","FAIL")</f>
        <v>PASS</v>
      </c>
      <c r="I38" s="52" t="str">
        <f aca="false">IF(Allocation_Strategy!I44&gt;=-0.01,"PASS","FAIL")</f>
        <v>PASS</v>
      </c>
      <c r="J38" s="52" t="str">
        <f aca="false">IF(Allocation_Strategy!J44&gt;=-0.01,"PASS","FAIL")</f>
        <v>PASS</v>
      </c>
      <c r="K38" s="52" t="str">
        <f aca="false">IF(Allocation_Strategy!K44&gt;=-0.01,"PASS","FAIL")</f>
        <v>PASS</v>
      </c>
      <c r="L38" s="52" t="str">
        <f aca="false">IF(Allocation_Strategy!L44&gt;=-0.01,"PASS","FAIL")</f>
        <v>PASS</v>
      </c>
    </row>
    <row r="39" customFormat="false" ht="15" hidden="false" customHeight="false" outlineLevel="0" collapsed="false">
      <c r="A39" s="6"/>
      <c r="B39" s="20" t="s">
        <v>256</v>
      </c>
      <c r="C39" s="52" t="str">
        <f aca="false">IF(Allocation_Strategy!C45&gt;=-0.01,"PASS","FAIL")</f>
        <v>PASS</v>
      </c>
      <c r="D39" s="52" t="str">
        <f aca="false">IF(Allocation_Strategy!D45&gt;=-0.01,"PASS","FAIL")</f>
        <v>PASS</v>
      </c>
      <c r="E39" s="52" t="str">
        <f aca="false">IF(Allocation_Strategy!E45&gt;=-0.01,"PASS","FAIL")</f>
        <v>PASS</v>
      </c>
      <c r="F39" s="52" t="str">
        <f aca="false">IF(Allocation_Strategy!F45&gt;=-0.01,"PASS","FAIL")</f>
        <v>PASS</v>
      </c>
      <c r="G39" s="52" t="str">
        <f aca="false">IF(Allocation_Strategy!G45&gt;=-0.01,"PASS","FAIL")</f>
        <v>PASS</v>
      </c>
      <c r="H39" s="52" t="str">
        <f aca="false">IF(Allocation_Strategy!H45&gt;=-0.01,"PASS","FAIL")</f>
        <v>PASS</v>
      </c>
      <c r="I39" s="52" t="str">
        <f aca="false">IF(Allocation_Strategy!I45&gt;=-0.01,"PASS","FAIL")</f>
        <v>PASS</v>
      </c>
      <c r="J39" s="52" t="str">
        <f aca="false">IF(Allocation_Strategy!J45&gt;=-0.01,"PASS","FAIL")</f>
        <v>PASS</v>
      </c>
      <c r="K39" s="52" t="str">
        <f aca="false">IF(Allocation_Strategy!K45&gt;=-0.01,"PASS","FAIL")</f>
        <v>PASS</v>
      </c>
      <c r="L39" s="52" t="str">
        <f aca="false">IF(Allocation_Strategy!L45&gt;=-0.01,"PASS","FAIL")</f>
        <v>PASS</v>
      </c>
    </row>
    <row r="40" customFormat="false" ht="15" hidden="false" customHeight="false" outlineLevel="0" collapsed="false">
      <c r="A40" s="6"/>
      <c r="B40" s="14" t="s">
        <v>257</v>
      </c>
      <c r="C40" s="15"/>
      <c r="D40" s="15"/>
      <c r="E40" s="15"/>
      <c r="F40" s="15"/>
      <c r="G40" s="15"/>
      <c r="H40" s="15"/>
      <c r="I40" s="15"/>
      <c r="J40" s="15"/>
      <c r="K40" s="15"/>
      <c r="L40" s="15"/>
    </row>
    <row r="41" customFormat="false" ht="15" hidden="false" customHeight="false" outlineLevel="0" collapsed="false">
      <c r="A41" s="6"/>
      <c r="B41" s="20" t="s">
        <v>258</v>
      </c>
      <c r="C41" s="52" t="str">
        <f aca="false">IF(Fee_Analysis!C35&lt;0.05,"PASS","FAIL")</f>
        <v>PASS</v>
      </c>
      <c r="D41" s="52" t="str">
        <f aca="false">IF(Fee_Analysis!D35&lt;0.05,"PASS","FAIL")</f>
        <v>PASS</v>
      </c>
      <c r="E41" s="52" t="str">
        <f aca="false">IF(Fee_Analysis!E35&lt;0.05,"PASS","FAIL")</f>
        <v>PASS</v>
      </c>
      <c r="F41" s="52" t="str">
        <f aca="false">IF(Fee_Analysis!F35&lt;0.05,"PASS","FAIL")</f>
        <v>PASS</v>
      </c>
      <c r="G41" s="52" t="str">
        <f aca="false">IF(Fee_Analysis!G35&lt;0.05,"PASS","FAIL")</f>
        <v>PASS</v>
      </c>
      <c r="H41" s="52" t="str">
        <f aca="false">IF(Fee_Analysis!H35&lt;0.05,"PASS","FAIL")</f>
        <v>PASS</v>
      </c>
      <c r="I41" s="52" t="str">
        <f aca="false">IF(Fee_Analysis!I35&lt;0.05,"PASS","FAIL")</f>
        <v>PASS</v>
      </c>
      <c r="J41" s="52" t="str">
        <f aca="false">IF(Fee_Analysis!J35&lt;0.05,"PASS","FAIL")</f>
        <v>PASS</v>
      </c>
      <c r="K41" s="52" t="str">
        <f aca="false">IF(Fee_Analysis!K35&lt;0.05,"PASS","FAIL")</f>
        <v>PASS</v>
      </c>
      <c r="L41" s="52" t="str">
        <f aca="false">IF(Fee_Analysis!L35&lt;0.05,"PASS","FAIL")</f>
        <v>PASS</v>
      </c>
    </row>
    <row r="42" customFormat="false" ht="15" hidden="false" customHeight="false" outlineLevel="0" collapsed="false">
      <c r="A42" s="6"/>
      <c r="B42" s="20" t="s">
        <v>259</v>
      </c>
      <c r="C42" s="52" t="str">
        <f aca="false">IF(Returns!C24&lt;=Returns!C15+0.01,"PASS","FAIL")</f>
        <v>PASS</v>
      </c>
      <c r="D42" s="52" t="str">
        <f aca="false">IF(Returns!D24&lt;=Returns!D15+0.01,"PASS","FAIL")</f>
        <v>PASS</v>
      </c>
      <c r="E42" s="52" t="str">
        <f aca="false">IF(Returns!E24&lt;=Returns!E15+0.01,"PASS","FAIL")</f>
        <v>PASS</v>
      </c>
      <c r="F42" s="52" t="str">
        <f aca="false">IF(Returns!F24&lt;=Returns!F15+0.01,"PASS","FAIL")</f>
        <v>PASS</v>
      </c>
      <c r="G42" s="52" t="str">
        <f aca="false">IF(Returns!G24&lt;=Returns!G15+0.01,"PASS","FAIL")</f>
        <v>PASS</v>
      </c>
      <c r="H42" s="52" t="str">
        <f aca="false">IF(Returns!H24&lt;=Returns!H15+0.01,"PASS","FAIL")</f>
        <v>PASS</v>
      </c>
      <c r="I42" s="52" t="str">
        <f aca="false">IF(Returns!I24&lt;=Returns!I15+0.01,"PASS","FAIL")</f>
        <v>PASS</v>
      </c>
      <c r="J42" s="52" t="str">
        <f aca="false">IF(Returns!J24&lt;=Returns!J15+0.01,"PASS","FAIL")</f>
        <v>PASS</v>
      </c>
      <c r="K42" s="52" t="str">
        <f aca="false">IF(Returns!K24&lt;=Returns!K15+0.01,"PASS","FAIL")</f>
        <v>PASS</v>
      </c>
      <c r="L42" s="52" t="str">
        <f aca="false">IF(Returns!L24&lt;=Returns!L15+0.01,"PASS","FAIL")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53" t="s">
        <v>260</v>
      </c>
    </row>
    <row r="3" customFormat="false" ht="3.75" hidden="false" customHeight="true" outlineLevel="0" collapsed="false">
      <c r="B3" s="54"/>
    </row>
    <row r="5" customFormat="false" ht="19.5" hidden="false" customHeight="true" outlineLevel="0" collapsed="false">
      <c r="B5" s="55" t="s">
        <v>261</v>
      </c>
    </row>
    <row r="6" customFormat="false" ht="48" hidden="false" customHeight="true" outlineLevel="0" collapsed="false">
      <c r="B6" s="56" t="s">
        <v>262</v>
      </c>
    </row>
    <row r="8" customFormat="false" ht="19.5" hidden="false" customHeight="true" outlineLevel="0" collapsed="false">
      <c r="B8" s="55" t="s">
        <v>263</v>
      </c>
    </row>
    <row r="9" customFormat="false" ht="61.5" hidden="false" customHeight="true" outlineLevel="0" collapsed="false">
      <c r="B9" s="56" t="s">
        <v>264</v>
      </c>
    </row>
    <row r="11" customFormat="false" ht="19.5" hidden="false" customHeight="true" outlineLevel="0" collapsed="false">
      <c r="B11" s="55" t="s">
        <v>265</v>
      </c>
    </row>
    <row r="12" customFormat="false" ht="75.75" hidden="false" customHeight="true" outlineLevel="0" collapsed="false">
      <c r="B12" s="56" t="s">
        <v>266</v>
      </c>
    </row>
    <row r="14" customFormat="false" ht="19.5" hidden="false" customHeight="true" outlineLevel="0" collapsed="false">
      <c r="B14" s="55" t="s">
        <v>267</v>
      </c>
    </row>
    <row r="15" customFormat="false" ht="61.5" hidden="false" customHeight="true" outlineLevel="0" collapsed="false">
      <c r="B15" s="56" t="s">
        <v>268</v>
      </c>
    </row>
    <row r="17" customFormat="false" ht="19.5" hidden="false" customHeight="true" outlineLevel="0" collapsed="false">
      <c r="B17" s="55" t="s">
        <v>269</v>
      </c>
    </row>
    <row r="18" customFormat="false" ht="33.75" hidden="false" customHeight="true" outlineLevel="0" collapsed="false">
      <c r="B18" s="56" t="s">
        <v>270</v>
      </c>
    </row>
    <row r="20" customFormat="false" ht="19.5" hidden="false" customHeight="true" outlineLevel="0" collapsed="false">
      <c r="B20" s="55" t="s">
        <v>271</v>
      </c>
    </row>
    <row r="21" customFormat="false" ht="33.75" hidden="false" customHeight="true" outlineLevel="0" collapsed="false">
      <c r="B21" s="56" t="s">
        <v>272</v>
      </c>
    </row>
    <row r="23" customFormat="false" ht="21.75" hidden="false" customHeight="true" outlineLevel="0" collapsed="false">
      <c r="B23" s="57" t="s">
        <v>273</v>
      </c>
    </row>
    <row r="25" customFormat="false" ht="18" hidden="false" customHeight="true" outlineLevel="0" collapsed="false">
      <c r="B25" s="58" t="s">
        <v>274</v>
      </c>
    </row>
    <row r="26" customFormat="false" ht="201.75" hidden="false" customHeight="true" outlineLevel="0" collapsed="false">
      <c r="B26" s="59" t="s">
        <v>275</v>
      </c>
    </row>
    <row r="28" customFormat="false" ht="18" hidden="false" customHeight="true" outlineLevel="0" collapsed="false">
      <c r="B28" s="60" t="s">
        <v>276</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4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2" min="3" style="0" width="13"/>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9</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39</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c r="J4" s="6"/>
      <c r="K4" s="6"/>
      <c r="L4" s="6"/>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6"/>
      <c r="C6" s="6"/>
      <c r="D6" s="6"/>
      <c r="E6" s="6"/>
      <c r="F6" s="6"/>
      <c r="G6" s="6"/>
      <c r="H6" s="6"/>
      <c r="I6" s="6"/>
      <c r="J6" s="6"/>
      <c r="K6" s="6"/>
      <c r="L6" s="6"/>
    </row>
    <row r="7" customFormat="false" ht="15" hidden="false" customHeight="false" outlineLevel="0" collapsed="false">
      <c r="A7" s="6"/>
      <c r="B7" s="14" t="s">
        <v>40</v>
      </c>
      <c r="C7" s="15"/>
      <c r="D7" s="15"/>
      <c r="E7" s="15"/>
      <c r="F7" s="15"/>
      <c r="G7" s="15"/>
      <c r="H7" s="15"/>
      <c r="I7" s="15"/>
      <c r="J7" s="15"/>
      <c r="K7" s="15"/>
      <c r="L7" s="15"/>
    </row>
    <row r="8" customFormat="false" ht="15" hidden="false" customHeight="false" outlineLevel="0" collapsed="false">
      <c r="A8" s="6"/>
      <c r="B8" s="8" t="s">
        <v>41</v>
      </c>
      <c r="C8" s="16" t="n">
        <f aca="false">Portfolio_NAV!L85</f>
        <v>715.010663564967</v>
      </c>
      <c r="D8" s="6"/>
      <c r="E8" s="6"/>
      <c r="F8" s="6"/>
      <c r="G8" s="6"/>
      <c r="H8" s="6"/>
      <c r="I8" s="6"/>
      <c r="J8" s="6"/>
      <c r="K8" s="6"/>
      <c r="L8" s="6"/>
    </row>
    <row r="9" customFormat="false" ht="15" hidden="false" customHeight="false" outlineLevel="0" collapsed="false">
      <c r="A9" s="6"/>
      <c r="B9" s="8" t="s">
        <v>42</v>
      </c>
      <c r="C9" s="17" t="n">
        <f aca="false">Returns!L53</f>
        <v>1.69123353852823</v>
      </c>
      <c r="D9" s="6"/>
      <c r="E9" s="6"/>
      <c r="F9" s="6"/>
      <c r="G9" s="6"/>
      <c r="H9" s="6"/>
      <c r="I9" s="6"/>
      <c r="J9" s="6"/>
      <c r="K9" s="6"/>
      <c r="L9" s="6"/>
    </row>
    <row r="10" customFormat="false" ht="15" hidden="false" customHeight="false" outlineLevel="0" collapsed="false">
      <c r="A10" s="6"/>
      <c r="B10" s="8" t="s">
        <v>43</v>
      </c>
      <c r="C10" s="17" t="n">
        <f aca="false">Returns!L62</f>
        <v>0.601823889843027</v>
      </c>
      <c r="D10" s="6"/>
      <c r="E10" s="6"/>
      <c r="F10" s="6"/>
      <c r="G10" s="6"/>
      <c r="H10" s="6"/>
      <c r="I10" s="6"/>
      <c r="J10" s="6"/>
      <c r="K10" s="6"/>
      <c r="L10" s="6"/>
    </row>
    <row r="11" customFormat="false" ht="15" hidden="false" customHeight="false" outlineLevel="0" collapsed="false">
      <c r="A11" s="6"/>
      <c r="B11" s="8" t="s">
        <v>44</v>
      </c>
      <c r="C11" s="18" t="n">
        <f aca="false">AVERAGE(Returns!C42:L42)</f>
        <v>0.0734214453312174</v>
      </c>
      <c r="D11" s="6"/>
      <c r="E11" s="6"/>
      <c r="F11" s="6"/>
      <c r="G11" s="6"/>
      <c r="H11" s="6"/>
      <c r="I11" s="6"/>
      <c r="J11" s="6"/>
      <c r="K11" s="6"/>
      <c r="L11" s="6"/>
    </row>
    <row r="12" customFormat="false" ht="15" hidden="false" customHeight="false" outlineLevel="0" collapsed="false">
      <c r="A12" s="6"/>
      <c r="B12" s="8" t="s">
        <v>45</v>
      </c>
      <c r="C12" s="16" t="n">
        <f aca="false">MIN(Liquidity!C17:L17)</f>
        <v>10</v>
      </c>
      <c r="D12" s="6"/>
      <c r="E12" s="6"/>
      <c r="F12" s="6"/>
      <c r="G12" s="6"/>
      <c r="H12" s="6"/>
      <c r="I12" s="6"/>
      <c r="J12" s="6"/>
      <c r="K12" s="6"/>
      <c r="L12" s="6"/>
    </row>
    <row r="13" customFormat="false" ht="15" hidden="false" customHeight="false" outlineLevel="0" collapsed="false">
      <c r="A13" s="6"/>
      <c r="B13" s="8" t="s">
        <v>46</v>
      </c>
      <c r="C13" s="16" t="n">
        <f aca="false">MAX(Liquidity!C19:L19)</f>
        <v>55.5566266648787</v>
      </c>
      <c r="D13" s="6"/>
      <c r="E13" s="6"/>
      <c r="F13" s="6"/>
      <c r="G13" s="6"/>
      <c r="H13" s="6"/>
      <c r="I13" s="6"/>
      <c r="J13" s="6"/>
      <c r="K13" s="6"/>
      <c r="L13" s="6"/>
    </row>
    <row r="14" customFormat="false" ht="15" hidden="false" customHeight="false" outlineLevel="0" collapsed="false">
      <c r="A14" s="6"/>
      <c r="B14" s="6"/>
      <c r="C14" s="6"/>
      <c r="D14" s="6"/>
      <c r="E14" s="6"/>
      <c r="F14" s="6"/>
      <c r="G14" s="6"/>
      <c r="H14" s="6"/>
      <c r="I14" s="6"/>
      <c r="J14" s="6"/>
      <c r="K14" s="6"/>
      <c r="L14" s="6"/>
    </row>
    <row r="15" customFormat="false" ht="15" hidden="false" customHeight="false" outlineLevel="0" collapsed="false">
      <c r="A15" s="6"/>
      <c r="B15" s="7" t="s">
        <v>47</v>
      </c>
      <c r="C15" s="19" t="n">
        <v>1</v>
      </c>
      <c r="D15" s="19" t="n">
        <v>2</v>
      </c>
      <c r="E15" s="19" t="n">
        <v>3</v>
      </c>
      <c r="F15" s="19" t="n">
        <v>4</v>
      </c>
      <c r="G15" s="19" t="n">
        <v>5</v>
      </c>
      <c r="H15" s="19" t="n">
        <v>6</v>
      </c>
      <c r="I15" s="19" t="n">
        <v>7</v>
      </c>
      <c r="J15" s="19" t="n">
        <v>8</v>
      </c>
      <c r="K15" s="19" t="n">
        <v>9</v>
      </c>
      <c r="L15" s="19" t="n">
        <v>10</v>
      </c>
    </row>
    <row r="16" customFormat="false" ht="15" hidden="false" customHeight="false" outlineLevel="0" collapsed="false">
      <c r="A16" s="6"/>
      <c r="B16" s="6"/>
      <c r="C16" s="6"/>
      <c r="D16" s="6"/>
      <c r="E16" s="6"/>
      <c r="F16" s="6"/>
      <c r="G16" s="6"/>
      <c r="H16" s="6"/>
      <c r="I16" s="6"/>
      <c r="J16" s="6"/>
      <c r="K16" s="6"/>
      <c r="L16" s="6"/>
    </row>
    <row r="17" customFormat="false" ht="15" hidden="false" customHeight="false" outlineLevel="0" collapsed="false">
      <c r="A17" s="6"/>
      <c r="B17" s="14" t="s">
        <v>48</v>
      </c>
      <c r="C17" s="15"/>
      <c r="D17" s="15"/>
      <c r="E17" s="15"/>
      <c r="F17" s="15"/>
      <c r="G17" s="15"/>
      <c r="H17" s="15"/>
      <c r="I17" s="15"/>
      <c r="J17" s="15"/>
      <c r="K17" s="15"/>
      <c r="L17" s="15"/>
    </row>
    <row r="18" customFormat="false" ht="15" hidden="false" customHeight="false" outlineLevel="0" collapsed="false">
      <c r="A18" s="6"/>
      <c r="B18" s="20" t="s">
        <v>49</v>
      </c>
      <c r="C18" s="21" t="n">
        <f aca="false">Allocation_Strategy!C49</f>
        <v>0.218880778503181</v>
      </c>
      <c r="D18" s="21" t="n">
        <f aca="false">Allocation_Strategy!D49</f>
        <v>0.211545117529306</v>
      </c>
      <c r="E18" s="21" t="n">
        <f aca="false">Allocation_Strategy!E49</f>
        <v>0.217986327608994</v>
      </c>
      <c r="F18" s="21" t="n">
        <f aca="false">Allocation_Strategy!F49</f>
        <v>0.211262347594106</v>
      </c>
      <c r="G18" s="21" t="n">
        <f aca="false">Allocation_Strategy!G49</f>
        <v>0.213696263764352</v>
      </c>
      <c r="H18" s="21" t="n">
        <f aca="false">Allocation_Strategy!H49</f>
        <v>0.214058710643126</v>
      </c>
      <c r="I18" s="21" t="n">
        <f aca="false">Allocation_Strategy!I49</f>
        <v>0.206018068512876</v>
      </c>
      <c r="J18" s="21" t="n">
        <f aca="false">Allocation_Strategy!J49</f>
        <v>0.195355249926857</v>
      </c>
      <c r="K18" s="21" t="n">
        <f aca="false">Allocation_Strategy!K49</f>
        <v>0.183270503754773</v>
      </c>
      <c r="L18" s="21" t="n">
        <f aca="false">Allocation_Strategy!L49</f>
        <v>0.170062869136592</v>
      </c>
    </row>
    <row r="19" customFormat="false" ht="15" hidden="false" customHeight="false" outlineLevel="0" collapsed="false">
      <c r="A19" s="6"/>
      <c r="B19" s="20" t="s">
        <v>50</v>
      </c>
      <c r="C19" s="21" t="n">
        <f aca="false">Allocation_Strategy!C50</f>
        <v>0.0915974712340931</v>
      </c>
      <c r="D19" s="21" t="n">
        <f aca="false">Allocation_Strategy!D50</f>
        <v>0.0861034613261794</v>
      </c>
      <c r="E19" s="21" t="n">
        <f aca="false">Allocation_Strategy!E50</f>
        <v>0.0844375198706855</v>
      </c>
      <c r="F19" s="21" t="n">
        <f aca="false">Allocation_Strategy!F50</f>
        <v>0.092115239899459</v>
      </c>
      <c r="G19" s="21" t="n">
        <f aca="false">Allocation_Strategy!G50</f>
        <v>0.103256912209845</v>
      </c>
      <c r="H19" s="21" t="n">
        <f aca="false">Allocation_Strategy!H50</f>
        <v>0.119667815609628</v>
      </c>
      <c r="I19" s="21" t="n">
        <f aca="false">Allocation_Strategy!I50</f>
        <v>0.133994307652429</v>
      </c>
      <c r="J19" s="21" t="n">
        <f aca="false">Allocation_Strategy!J50</f>
        <v>0.144323079836342</v>
      </c>
      <c r="K19" s="21" t="n">
        <f aca="false">Allocation_Strategy!K50</f>
        <v>0.147150711653038</v>
      </c>
      <c r="L19" s="21" t="n">
        <f aca="false">Allocation_Strategy!L50</f>
        <v>0.14439597353972</v>
      </c>
    </row>
    <row r="20" customFormat="false" ht="15" hidden="false" customHeight="false" outlineLevel="0" collapsed="false">
      <c r="A20" s="6"/>
      <c r="B20" s="20" t="s">
        <v>51</v>
      </c>
      <c r="C20" s="21" t="n">
        <f aca="false">Allocation_Strategy!C51</f>
        <v>0.137165293007132</v>
      </c>
      <c r="D20" s="21" t="n">
        <f aca="false">Allocation_Strategy!D51</f>
        <v>0.139295208614367</v>
      </c>
      <c r="E20" s="21" t="n">
        <f aca="false">Allocation_Strategy!E51</f>
        <v>0.134656454291706</v>
      </c>
      <c r="F20" s="21" t="n">
        <f aca="false">Allocation_Strategy!F51</f>
        <v>0.129766302792455</v>
      </c>
      <c r="G20" s="21" t="n">
        <f aca="false">Allocation_Strategy!G51</f>
        <v>0.122474680368761</v>
      </c>
      <c r="H20" s="21" t="n">
        <f aca="false">Allocation_Strategy!H51</f>
        <v>0.114434608781979</v>
      </c>
      <c r="I20" s="21" t="n">
        <f aca="false">Allocation_Strategy!I51</f>
        <v>0.109936697932044</v>
      </c>
      <c r="J20" s="21" t="n">
        <f aca="false">Allocation_Strategy!J51</f>
        <v>0.107474597272325</v>
      </c>
      <c r="K20" s="21" t="n">
        <f aca="false">Allocation_Strategy!K51</f>
        <v>0.107025842239236</v>
      </c>
      <c r="L20" s="21" t="n">
        <f aca="false">Allocation_Strategy!L51</f>
        <v>0.108341355319667</v>
      </c>
    </row>
    <row r="21" customFormat="false" ht="15" hidden="false" customHeight="false" outlineLevel="0" collapsed="false">
      <c r="A21" s="6"/>
      <c r="B21" s="20" t="s">
        <v>52</v>
      </c>
      <c r="C21" s="21" t="n">
        <f aca="false">Allocation_Strategy!C52</f>
        <v>0.136060503008147</v>
      </c>
      <c r="D21" s="21" t="n">
        <f aca="false">Allocation_Strategy!D52</f>
        <v>0.136252606151675</v>
      </c>
      <c r="E21" s="21" t="n">
        <f aca="false">Allocation_Strategy!E52</f>
        <v>0.136916093486237</v>
      </c>
      <c r="F21" s="21" t="n">
        <f aca="false">Allocation_Strategy!F52</f>
        <v>0.140170960733189</v>
      </c>
      <c r="G21" s="21" t="n">
        <f aca="false">Allocation_Strategy!G52</f>
        <v>0.141033035194484</v>
      </c>
      <c r="H21" s="21" t="n">
        <f aca="false">Allocation_Strategy!H52</f>
        <v>0.14069406597512</v>
      </c>
      <c r="I21" s="21" t="n">
        <f aca="false">Allocation_Strategy!I52</f>
        <v>0.14197797404054</v>
      </c>
      <c r="J21" s="21" t="n">
        <f aca="false">Allocation_Strategy!J52</f>
        <v>0.142996127909033</v>
      </c>
      <c r="K21" s="21" t="n">
        <f aca="false">Allocation_Strategy!K52</f>
        <v>0.145593825547999</v>
      </c>
      <c r="L21" s="21" t="n">
        <f aca="false">Allocation_Strategy!L52</f>
        <v>0.148410899902311</v>
      </c>
    </row>
    <row r="22" customFormat="false" ht="15" hidden="false" customHeight="false" outlineLevel="0" collapsed="false">
      <c r="A22" s="6"/>
      <c r="B22" s="20" t="s">
        <v>53</v>
      </c>
      <c r="C22" s="21" t="n">
        <f aca="false">Allocation_Strategy!C53</f>
        <v>0.0834586843578777</v>
      </c>
      <c r="D22" s="21" t="n">
        <f aca="false">Allocation_Strategy!D53</f>
        <v>0.0827229708771018</v>
      </c>
      <c r="E22" s="21" t="n">
        <f aca="false">Allocation_Strategy!E53</f>
        <v>0.0824962838298758</v>
      </c>
      <c r="F22" s="21" t="n">
        <f aca="false">Allocation_Strategy!F53</f>
        <v>0.0835003254243071</v>
      </c>
      <c r="G22" s="21" t="n">
        <f aca="false">Allocation_Strategy!G53</f>
        <v>0.0833904131804277</v>
      </c>
      <c r="H22" s="21" t="n">
        <f aca="false">Allocation_Strategy!H53</f>
        <v>0.0835251997352178</v>
      </c>
      <c r="I22" s="21" t="n">
        <f aca="false">Allocation_Strategy!I53</f>
        <v>0.0847127301394018</v>
      </c>
      <c r="J22" s="21" t="n">
        <f aca="false">Allocation_Strategy!J53</f>
        <v>0.0864738183919755</v>
      </c>
      <c r="K22" s="21" t="n">
        <f aca="false">Allocation_Strategy!K53</f>
        <v>0.0884564356472684</v>
      </c>
      <c r="L22" s="21" t="n">
        <f aca="false">Allocation_Strategy!L53</f>
        <v>0.0914404266308284</v>
      </c>
    </row>
    <row r="23" customFormat="false" ht="15" hidden="false" customHeight="false" outlineLevel="0" collapsed="false">
      <c r="A23" s="6"/>
      <c r="B23" s="20" t="s">
        <v>54</v>
      </c>
      <c r="C23" s="21" t="n">
        <f aca="false">Allocation_Strategy!C54</f>
        <v>0.121958597641703</v>
      </c>
      <c r="D23" s="21" t="n">
        <f aca="false">Allocation_Strategy!D54</f>
        <v>0.124913254420469</v>
      </c>
      <c r="E23" s="21" t="n">
        <f aca="false">Allocation_Strategy!E54</f>
        <v>0.126734126557374</v>
      </c>
      <c r="F23" s="21" t="n">
        <f aca="false">Allocation_Strategy!F54</f>
        <v>0.129341123738371</v>
      </c>
      <c r="G23" s="21" t="n">
        <f aca="false">Allocation_Strategy!G54</f>
        <v>0.129319673119664</v>
      </c>
      <c r="H23" s="21" t="n">
        <f aca="false">Allocation_Strategy!H54</f>
        <v>0.128797377612177</v>
      </c>
      <c r="I23" s="21" t="n">
        <f aca="false">Allocation_Strategy!I54</f>
        <v>0.126846631336377</v>
      </c>
      <c r="J23" s="21" t="n">
        <f aca="false">Allocation_Strategy!J54</f>
        <v>0.125726544605669</v>
      </c>
      <c r="K23" s="21" t="n">
        <f aca="false">Allocation_Strategy!K54</f>
        <v>0.126003489236541</v>
      </c>
      <c r="L23" s="21" t="n">
        <f aca="false">Allocation_Strategy!L54</f>
        <v>0.126451052220905</v>
      </c>
    </row>
    <row r="24" customFormat="false" ht="15" hidden="false" customHeight="false" outlineLevel="0" collapsed="false">
      <c r="A24" s="6"/>
      <c r="B24" s="20" t="s">
        <v>55</v>
      </c>
      <c r="C24" s="21" t="n">
        <f aca="false">Allocation_Strategy!C55</f>
        <v>0.210878672247867</v>
      </c>
      <c r="D24" s="21" t="n">
        <f aca="false">Allocation_Strategy!D55</f>
        <v>0.219167381080903</v>
      </c>
      <c r="E24" s="21" t="n">
        <f aca="false">Allocation_Strategy!E55</f>
        <v>0.216773194355127</v>
      </c>
      <c r="F24" s="21" t="n">
        <f aca="false">Allocation_Strategy!F55</f>
        <v>0.213843699818112</v>
      </c>
      <c r="G24" s="21" t="n">
        <f aca="false">Allocation_Strategy!G55</f>
        <v>0.206829022162467</v>
      </c>
      <c r="H24" s="21" t="n">
        <f aca="false">Allocation_Strategy!H55</f>
        <v>0.198822221642752</v>
      </c>
      <c r="I24" s="21" t="n">
        <f aca="false">Allocation_Strategy!I55</f>
        <v>0.196513590386332</v>
      </c>
      <c r="J24" s="21" t="n">
        <f aca="false">Allocation_Strategy!J55</f>
        <v>0.197650582057799</v>
      </c>
      <c r="K24" s="21" t="n">
        <f aca="false">Allocation_Strategy!K55</f>
        <v>0.202499191921144</v>
      </c>
      <c r="L24" s="21" t="n">
        <f aca="false">Allocation_Strategy!L55</f>
        <v>0.210897423249977</v>
      </c>
    </row>
    <row r="25" customFormat="false" ht="15" hidden="false" customHeight="false" outlineLevel="0" collapsed="false">
      <c r="A25" s="6"/>
      <c r="B25" s="6"/>
      <c r="C25" s="6"/>
      <c r="D25" s="6"/>
      <c r="E25" s="6"/>
      <c r="F25" s="6"/>
      <c r="G25" s="6"/>
      <c r="H25" s="6"/>
      <c r="I25" s="6"/>
      <c r="J25" s="6"/>
      <c r="K25" s="6"/>
      <c r="L25" s="6"/>
    </row>
    <row r="26" customFormat="false" ht="15" hidden="false" customHeight="false" outlineLevel="0" collapsed="false">
      <c r="A26" s="6"/>
      <c r="B26" s="14" t="s">
        <v>56</v>
      </c>
      <c r="C26" s="15"/>
      <c r="D26" s="15"/>
      <c r="E26" s="15"/>
      <c r="F26" s="15"/>
      <c r="G26" s="15"/>
      <c r="H26" s="15"/>
      <c r="I26" s="15"/>
      <c r="J26" s="15"/>
      <c r="K26" s="15"/>
      <c r="L26" s="15"/>
    </row>
    <row r="27" customFormat="false" ht="15" hidden="false" customHeight="false" outlineLevel="0" collapsed="false">
      <c r="A27" s="6"/>
      <c r="B27" s="20" t="s">
        <v>57</v>
      </c>
      <c r="C27" s="22" t="n">
        <f aca="false">Capital_Activity!C33</f>
        <v>13.5775</v>
      </c>
      <c r="D27" s="22" t="n">
        <f aca="false">Capital_Activity!D33</f>
        <v>14.960338375</v>
      </c>
      <c r="E27" s="22" t="n">
        <f aca="false">Capital_Activity!E33</f>
        <v>16.7809317445</v>
      </c>
      <c r="F27" s="22" t="n">
        <f aca="false">Capital_Activity!F33</f>
        <v>35.3181639581366</v>
      </c>
      <c r="G27" s="22" t="n">
        <f aca="false">Capital_Activity!G33</f>
        <v>43.6030745477818</v>
      </c>
      <c r="H27" s="22" t="n">
        <f aca="false">Capital_Activity!H33</f>
        <v>48.7121513143301</v>
      </c>
      <c r="I27" s="22" t="n">
        <f aca="false">Capital_Activity!I33</f>
        <v>53.1087357062816</v>
      </c>
      <c r="J27" s="22" t="n">
        <f aca="false">Capital_Activity!J33</f>
        <v>55.5693489589625</v>
      </c>
      <c r="K27" s="22" t="n">
        <f aca="false">Capital_Activity!K33</f>
        <v>56.7840313553117</v>
      </c>
      <c r="L27" s="22" t="n">
        <f aca="false">Capital_Activity!L33</f>
        <v>56.5799297044321</v>
      </c>
    </row>
    <row r="28" customFormat="false" ht="15" hidden="false" customHeight="false" outlineLevel="0" collapsed="false">
      <c r="A28" s="6"/>
      <c r="B28" s="20" t="s">
        <v>58</v>
      </c>
      <c r="C28" s="22" t="n">
        <f aca="false">-Capital_Activity!C15</f>
        <v>-36.5925</v>
      </c>
      <c r="D28" s="22" t="n">
        <f aca="false">-Capital_Activity!D15</f>
        <v>-43.9</v>
      </c>
      <c r="E28" s="22" t="n">
        <f aca="false">-Capital_Activity!E15</f>
        <v>-45.660075</v>
      </c>
      <c r="F28" s="22" t="n">
        <f aca="false">-Capital_Activity!F15</f>
        <v>-43.25876875</v>
      </c>
      <c r="G28" s="22" t="n">
        <f aca="false">-Capital_Activity!G15</f>
        <v>-37.7295658125</v>
      </c>
      <c r="H28" s="22" t="n">
        <f aca="false">-Capital_Activity!H15</f>
        <v>-23.745854234375</v>
      </c>
      <c r="I28" s="22" t="n">
        <f aca="false">-Capital_Activity!I15</f>
        <v>-17.9475365082813</v>
      </c>
      <c r="J28" s="22" t="n">
        <f aca="false">-Capital_Activity!J15</f>
        <v>-13.5916103999609</v>
      </c>
      <c r="K28" s="22" t="n">
        <f aca="false">-Capital_Activity!K15</f>
        <v>-10.3127831618957</v>
      </c>
      <c r="L28" s="22" t="n">
        <f aca="false">-Capital_Activity!L15</f>
        <v>-7.83986392380928</v>
      </c>
    </row>
    <row r="29" customFormat="false" ht="15" hidden="false" customHeight="false" outlineLevel="0" collapsed="false">
      <c r="A29" s="6"/>
      <c r="B29" s="23" t="s">
        <v>59</v>
      </c>
      <c r="C29" s="24" t="n">
        <f aca="false">C27+C28</f>
        <v>-23.015</v>
      </c>
      <c r="D29" s="24" t="n">
        <f aca="false">D27+D28</f>
        <v>-28.939661625</v>
      </c>
      <c r="E29" s="24" t="n">
        <f aca="false">E27+E28</f>
        <v>-28.8791432555</v>
      </c>
      <c r="F29" s="24" t="n">
        <f aca="false">F27+F28</f>
        <v>-7.94060479186338</v>
      </c>
      <c r="G29" s="24" t="n">
        <f aca="false">G27+G28</f>
        <v>5.87350873528183</v>
      </c>
      <c r="H29" s="24" t="n">
        <f aca="false">H27+H28</f>
        <v>24.9662970799551</v>
      </c>
      <c r="I29" s="24" t="n">
        <f aca="false">I27+I28</f>
        <v>35.1611991980004</v>
      </c>
      <c r="J29" s="24" t="n">
        <f aca="false">J27+J28</f>
        <v>41.9777385590016</v>
      </c>
      <c r="K29" s="24" t="n">
        <f aca="false">K27+K28</f>
        <v>46.471248193416</v>
      </c>
      <c r="L29" s="24" t="n">
        <f aca="false">L27+L28</f>
        <v>48.7400657806229</v>
      </c>
    </row>
    <row r="30" customFormat="false" ht="15" hidden="false" customHeight="false" outlineLevel="0" collapsed="false">
      <c r="A30" s="6"/>
      <c r="B30" s="6"/>
      <c r="C30" s="6"/>
      <c r="D30" s="6"/>
      <c r="E30" s="6"/>
      <c r="F30" s="6"/>
      <c r="G30" s="6"/>
      <c r="H30" s="6"/>
      <c r="I30" s="6"/>
      <c r="J30" s="6"/>
      <c r="K30" s="6"/>
      <c r="L30" s="6"/>
    </row>
    <row r="31" customFormat="false" ht="15" hidden="false" customHeight="false" outlineLevel="0" collapsed="false">
      <c r="A31" s="6"/>
      <c r="B31" s="14" t="s">
        <v>60</v>
      </c>
      <c r="C31" s="15"/>
      <c r="D31" s="15"/>
      <c r="E31" s="15"/>
      <c r="F31" s="15"/>
      <c r="G31" s="15"/>
      <c r="H31" s="15"/>
      <c r="I31" s="15"/>
      <c r="J31" s="15"/>
      <c r="K31" s="15"/>
      <c r="L31" s="15"/>
    </row>
    <row r="32" customFormat="false" ht="15" hidden="false" customHeight="false" outlineLevel="0" collapsed="false">
      <c r="A32" s="6"/>
      <c r="B32" s="20" t="s">
        <v>61</v>
      </c>
      <c r="C32" s="22" t="n">
        <f aca="false">Portfolio_NAV!C79</f>
        <v>375.75</v>
      </c>
      <c r="D32" s="22" t="n">
        <f aca="false">Portfolio_NAV!D79</f>
        <v>404.912925</v>
      </c>
      <c r="E32" s="22" t="n">
        <f aca="false">Portfolio_NAV!E79</f>
        <v>447.508142025</v>
      </c>
      <c r="F32" s="22" t="n">
        <f aca="false">Portfolio_NAV!F79</f>
        <v>504.095810312606</v>
      </c>
      <c r="G32" s="22" t="n">
        <f aca="false">Portfolio_NAV!G79</f>
        <v>556.111497466782</v>
      </c>
      <c r="H32" s="22" t="n">
        <f aca="false">Portfolio_NAV!H79</f>
        <v>613.861738100248</v>
      </c>
      <c r="I32" s="22" t="n">
        <f aca="false">Portfolio_NAV!I79</f>
        <v>660.933052425807</v>
      </c>
      <c r="J32" s="22" t="n">
        <f aca="false">Portfolio_NAV!J79</f>
        <v>692.102076998634</v>
      </c>
      <c r="K32" s="22" t="n">
        <f aca="false">Portfolio_NAV!K79</f>
        <v>712.204962118169</v>
      </c>
      <c r="L32" s="22" t="n">
        <f aca="false">Portfolio_NAV!L79</f>
        <v>719.482356006599</v>
      </c>
    </row>
    <row r="33" customFormat="false" ht="15" hidden="false" customHeight="false" outlineLevel="0" collapsed="false">
      <c r="A33" s="6"/>
      <c r="B33" s="20" t="s">
        <v>62</v>
      </c>
      <c r="C33" s="22" t="n">
        <f aca="false">Portfolio_NAV!C80</f>
        <v>36.5925</v>
      </c>
      <c r="D33" s="22" t="n">
        <f aca="false">Portfolio_NAV!D80</f>
        <v>43.9</v>
      </c>
      <c r="E33" s="22" t="n">
        <f aca="false">Portfolio_NAV!E80</f>
        <v>45.660075</v>
      </c>
      <c r="F33" s="22" t="n">
        <f aca="false">Portfolio_NAV!F80</f>
        <v>43.25876875</v>
      </c>
      <c r="G33" s="22" t="n">
        <f aca="false">Portfolio_NAV!G80</f>
        <v>37.7295658125</v>
      </c>
      <c r="H33" s="22" t="n">
        <f aca="false">Portfolio_NAV!H80</f>
        <v>23.745854234375</v>
      </c>
      <c r="I33" s="22" t="n">
        <f aca="false">Portfolio_NAV!I80</f>
        <v>17.9475365082813</v>
      </c>
      <c r="J33" s="22" t="n">
        <f aca="false">Portfolio_NAV!J80</f>
        <v>13.5916103999609</v>
      </c>
      <c r="K33" s="22" t="n">
        <f aca="false">Portfolio_NAV!K80</f>
        <v>10.3127831618957</v>
      </c>
      <c r="L33" s="22" t="n">
        <f aca="false">Portfolio_NAV!L80</f>
        <v>7.83986392380928</v>
      </c>
    </row>
    <row r="34" customFormat="false" ht="15" hidden="false" customHeight="false" outlineLevel="0" collapsed="false">
      <c r="A34" s="6"/>
      <c r="B34" s="20" t="s">
        <v>63</v>
      </c>
      <c r="C34" s="22" t="n">
        <f aca="false">Portfolio_NAV!C81</f>
        <v>9.927925</v>
      </c>
      <c r="D34" s="22" t="n">
        <f aca="false">Portfolio_NAV!D81</f>
        <v>18.364663125</v>
      </c>
      <c r="E34" s="22" t="n">
        <f aca="false">Portfolio_NAV!E81</f>
        <v>33.53070944275</v>
      </c>
      <c r="F34" s="22" t="n">
        <f aca="false">Portfolio_NAV!F81</f>
        <v>50.7992703552976</v>
      </c>
      <c r="G34" s="22" t="n">
        <f aca="false">Portfolio_NAV!G81</f>
        <v>71.0139518877666</v>
      </c>
      <c r="H34" s="22" t="n">
        <f aca="false">Portfolio_NAV!H81</f>
        <v>81.0507602828498</v>
      </c>
      <c r="I34" s="22" t="n">
        <f aca="false">Portfolio_NAV!I81</f>
        <v>81.3447432883691</v>
      </c>
      <c r="J34" s="22" t="n">
        <f aca="false">Portfolio_NAV!J81</f>
        <v>77.482361972944</v>
      </c>
      <c r="K34" s="22" t="n">
        <f aca="false">Portfolio_NAV!K81</f>
        <v>71.3049113653356</v>
      </c>
      <c r="L34" s="22" t="n">
        <f aca="false">Portfolio_NAV!L81</f>
        <v>61.7096814088933</v>
      </c>
    </row>
    <row r="35" customFormat="false" ht="15" hidden="false" customHeight="false" outlineLevel="0" collapsed="false">
      <c r="A35" s="6"/>
      <c r="B35" s="20" t="s">
        <v>64</v>
      </c>
      <c r="C35" s="22" t="n">
        <f aca="false">-Portfolio_NAV!C82</f>
        <v>-3.165</v>
      </c>
      <c r="D35" s="22" t="n">
        <f aca="false">-Portfolio_NAV!D82</f>
        <v>-3.986017725</v>
      </c>
      <c r="E35" s="22" t="n">
        <f aca="false">-Portfolio_NAV!E82</f>
        <v>-4.7670164418</v>
      </c>
      <c r="F35" s="22" t="n">
        <f aca="false">-Portfolio_NAV!F82</f>
        <v>-5.47307137687627</v>
      </c>
      <c r="G35" s="22" t="n">
        <f aca="false">-Portfolio_NAV!G82</f>
        <v>-6.05885021494669</v>
      </c>
      <c r="H35" s="22" t="n">
        <f aca="false">-Portfolio_NAV!H82</f>
        <v>-7.77175339616287</v>
      </c>
      <c r="I35" s="22" t="n">
        <f aca="false">-Portfolio_NAV!I82</f>
        <v>-8.49294956355287</v>
      </c>
      <c r="J35" s="22" t="n">
        <f aca="false">-Portfolio_NAV!J82</f>
        <v>-8.9505877832897</v>
      </c>
      <c r="K35" s="22" t="n">
        <f aca="false">-Portfolio_NAV!K82</f>
        <v>-9.21818424737167</v>
      </c>
      <c r="L35" s="22" t="n">
        <f aca="false">-Portfolio_NAV!L82</f>
        <v>-9.25206419086259</v>
      </c>
    </row>
    <row r="36" customFormat="false" ht="15" hidden="false" customHeight="false" outlineLevel="0" collapsed="false">
      <c r="A36" s="6"/>
      <c r="B36" s="20" t="s">
        <v>65</v>
      </c>
      <c r="C36" s="22" t="n">
        <f aca="false">-Portfolio_NAV!C83</f>
        <v>-0.615</v>
      </c>
      <c r="D36" s="22" t="n">
        <f aca="false">-Portfolio_NAV!D83</f>
        <v>-0.72309</v>
      </c>
      <c r="E36" s="22" t="n">
        <f aca="false">-Portfolio_NAV!E83</f>
        <v>-1.05516796884375</v>
      </c>
      <c r="F36" s="22" t="n">
        <f aca="false">-Portfolio_NAV!F83</f>
        <v>-1.25111661610922</v>
      </c>
      <c r="G36" s="22" t="n">
        <f aca="false">-Portfolio_NAV!G83</f>
        <v>-1.33135230407219</v>
      </c>
      <c r="H36" s="22" t="n">
        <f aca="false">-Portfolio_NAV!H83</f>
        <v>-1.24139548117292</v>
      </c>
      <c r="I36" s="22" t="n">
        <f aca="false">-Portfolio_NAV!I83</f>
        <v>-6.52156995398871</v>
      </c>
      <c r="J36" s="22" t="n">
        <f aca="false">-Portfolio_NAV!J83</f>
        <v>-6.4511505111178</v>
      </c>
      <c r="K36" s="22" t="n">
        <f aca="false">-Portfolio_NAV!K83</f>
        <v>-8.33808503611723</v>
      </c>
      <c r="L36" s="22" t="n">
        <f aca="false">-Portfolio_NAV!L83</f>
        <v>-8.18924387903951</v>
      </c>
    </row>
    <row r="37" customFormat="false" ht="15" hidden="false" customHeight="false" outlineLevel="0" collapsed="false">
      <c r="A37" s="6"/>
      <c r="B37" s="20" t="s">
        <v>66</v>
      </c>
      <c r="C37" s="22" t="n">
        <f aca="false">-Portfolio_NAV!C84</f>
        <v>-13.5775</v>
      </c>
      <c r="D37" s="22" t="n">
        <f aca="false">-Portfolio_NAV!D84</f>
        <v>-14.960338375</v>
      </c>
      <c r="E37" s="22" t="n">
        <f aca="false">-Portfolio_NAV!E84</f>
        <v>-16.7809317445</v>
      </c>
      <c r="F37" s="22" t="n">
        <f aca="false">-Portfolio_NAV!F84</f>
        <v>-35.3181639581366</v>
      </c>
      <c r="G37" s="22" t="n">
        <f aca="false">-Portfolio_NAV!G84</f>
        <v>-43.6030745477818</v>
      </c>
      <c r="H37" s="22" t="n">
        <f aca="false">-Portfolio_NAV!H84</f>
        <v>-48.7121513143301</v>
      </c>
      <c r="I37" s="22" t="n">
        <f aca="false">-Portfolio_NAV!I84</f>
        <v>-53.1087357062816</v>
      </c>
      <c r="J37" s="22" t="n">
        <f aca="false">-Portfolio_NAV!J84</f>
        <v>-55.5693489589625</v>
      </c>
      <c r="K37" s="22" t="n">
        <f aca="false">-Portfolio_NAV!K84</f>
        <v>-56.7840313553117</v>
      </c>
      <c r="L37" s="22" t="n">
        <f aca="false">-Portfolio_NAV!L84</f>
        <v>-56.5799297044321</v>
      </c>
    </row>
    <row r="38" customFormat="false" ht="15" hidden="false" customHeight="false" outlineLevel="0" collapsed="false">
      <c r="A38" s="6"/>
      <c r="B38" s="23" t="s">
        <v>67</v>
      </c>
      <c r="C38" s="24" t="n">
        <f aca="false">Portfolio_NAV!C85</f>
        <v>404.912925</v>
      </c>
      <c r="D38" s="24" t="n">
        <f aca="false">Portfolio_NAV!D85</f>
        <v>447.508142025</v>
      </c>
      <c r="E38" s="24" t="n">
        <f aca="false">Portfolio_NAV!E85</f>
        <v>504.095810312606</v>
      </c>
      <c r="F38" s="24" t="n">
        <f aca="false">Portfolio_NAV!F85</f>
        <v>556.111497466782</v>
      </c>
      <c r="G38" s="24" t="n">
        <f aca="false">Portfolio_NAV!G85</f>
        <v>613.861738100248</v>
      </c>
      <c r="H38" s="24" t="n">
        <f aca="false">Portfolio_NAV!H85</f>
        <v>660.933052425807</v>
      </c>
      <c r="I38" s="24" t="n">
        <f aca="false">Portfolio_NAV!I85</f>
        <v>692.102076998634</v>
      </c>
      <c r="J38" s="24" t="n">
        <f aca="false">Portfolio_NAV!J85</f>
        <v>712.204962118169</v>
      </c>
      <c r="K38" s="24" t="n">
        <f aca="false">Portfolio_NAV!K85</f>
        <v>719.482356006599</v>
      </c>
      <c r="L38" s="24" t="n">
        <f aca="false">Portfolio_NAV!L85</f>
        <v>715.010663564967</v>
      </c>
    </row>
    <row r="39" customFormat="false" ht="15" hidden="false" customHeight="false" outlineLevel="0" collapsed="false">
      <c r="A39" s="6"/>
      <c r="B39" s="6"/>
      <c r="C39" s="6"/>
      <c r="D39" s="6"/>
      <c r="E39" s="6"/>
      <c r="F39" s="6"/>
      <c r="G39" s="6"/>
      <c r="H39" s="6"/>
      <c r="I39" s="6"/>
      <c r="J39" s="6"/>
      <c r="K39" s="6"/>
      <c r="L39" s="6"/>
    </row>
    <row r="40" customFormat="false" ht="15" hidden="false" customHeight="false" outlineLevel="0" collapsed="false">
      <c r="A40" s="6"/>
      <c r="B40" s="14" t="s">
        <v>68</v>
      </c>
      <c r="C40" s="15"/>
      <c r="D40" s="15"/>
      <c r="E40" s="15"/>
      <c r="F40" s="15"/>
      <c r="G40" s="15"/>
      <c r="H40" s="15"/>
      <c r="I40" s="15"/>
      <c r="J40" s="15"/>
      <c r="K40" s="15"/>
      <c r="L40" s="15"/>
    </row>
    <row r="41" customFormat="false" ht="15" hidden="false" customHeight="false" outlineLevel="0" collapsed="false">
      <c r="A41" s="6"/>
      <c r="B41" s="20" t="s">
        <v>69</v>
      </c>
      <c r="C41" s="22" t="n">
        <f aca="false">Liquidity!C17</f>
        <v>26.235</v>
      </c>
      <c r="D41" s="22" t="n">
        <f aca="false">Liquidity!D17</f>
        <v>10</v>
      </c>
      <c r="E41" s="22" t="n">
        <f aca="false">Liquidity!E17</f>
        <v>10</v>
      </c>
      <c r="F41" s="22" t="n">
        <f aca="false">Liquidity!F17</f>
        <v>10</v>
      </c>
      <c r="G41" s="22" t="n">
        <f aca="false">Liquidity!G17</f>
        <v>10</v>
      </c>
      <c r="H41" s="22" t="n">
        <f aca="false">Liquidity!H17</f>
        <v>10</v>
      </c>
      <c r="I41" s="22" t="n">
        <f aca="false">Liquidity!I17</f>
        <v>10</v>
      </c>
      <c r="J41" s="22" t="n">
        <f aca="false">Liquidity!J17</f>
        <v>48.3809745615613</v>
      </c>
      <c r="K41" s="22" t="n">
        <f aca="false">Liquidity!K17</f>
        <v>93.7839153118001</v>
      </c>
      <c r="L41" s="22" t="n">
        <f aca="false">Liquidity!L17</f>
        <v>141.444757558413</v>
      </c>
    </row>
    <row r="42" customFormat="false" ht="15" hidden="false" customHeight="false" outlineLevel="0" collapsed="false">
      <c r="A42" s="6"/>
      <c r="B42" s="20" t="s">
        <v>70</v>
      </c>
      <c r="C42" s="22" t="n">
        <f aca="false">Liquidity!C19</f>
        <v>0</v>
      </c>
      <c r="D42" s="22" t="n">
        <f aca="false">Liquidity!D19</f>
        <v>13.3120310125</v>
      </c>
      <c r="E42" s="22" t="n">
        <f aca="false">Liquidity!E19</f>
        <v>43.7942786519125</v>
      </c>
      <c r="F42" s="22" t="n">
        <f aca="false">Liquidity!F19</f>
        <v>55.5566266648787</v>
      </c>
      <c r="G42" s="22" t="n">
        <f aca="false">Liquidity!G19</f>
        <v>54.4062490423385</v>
      </c>
      <c r="H42" s="22" t="n">
        <f aca="false">Liquidity!H19</f>
        <v>34.1691820024975</v>
      </c>
      <c r="I42" s="22" t="n">
        <f aca="false">Liquidity!I19</f>
        <v>2.39122512331059</v>
      </c>
      <c r="J42" s="22" t="n">
        <f aca="false">Liquidity!J19</f>
        <v>0</v>
      </c>
      <c r="K42" s="22" t="n">
        <f aca="false">Liquidity!K19</f>
        <v>0</v>
      </c>
      <c r="L42" s="22" t="n">
        <f aca="false">Liquidity!L19</f>
        <v>0</v>
      </c>
    </row>
    <row r="43" customFormat="false" ht="15" hidden="false" customHeight="false" outlineLevel="0" collapsed="false">
      <c r="A43" s="6"/>
      <c r="B43" s="20" t="s">
        <v>71</v>
      </c>
      <c r="C43" s="25" t="n">
        <f aca="false">Liquidity!C26</f>
        <v>3.0237869126758</v>
      </c>
      <c r="D43" s="25" t="n">
        <f aca="false">Liquidity!D26</f>
        <v>1.93774435726875</v>
      </c>
      <c r="E43" s="25" t="n">
        <f aca="false">Liquidity!E26</f>
        <v>1.80764330009898</v>
      </c>
      <c r="F43" s="25" t="n">
        <f aca="false">Liquidity!F26</f>
        <v>1.89321675004788</v>
      </c>
      <c r="G43" s="25" t="n">
        <f aca="false">Liquidity!G26</f>
        <v>2.14053970490679</v>
      </c>
      <c r="H43" s="25" t="n">
        <f aca="false">Liquidity!H26</f>
        <v>2.87994258289098</v>
      </c>
      <c r="I43" s="25" t="n">
        <f aca="false">Liquidity!I26</f>
        <v>3.86819079489375</v>
      </c>
      <c r="J43" s="25" t="n">
        <f aca="false">Liquidity!J26</f>
        <v>6.06270764829552</v>
      </c>
      <c r="K43" s="25" t="n">
        <f aca="false">Liquidity!K26</f>
        <v>9.4440280804514</v>
      </c>
      <c r="L43" s="25" t="n">
        <f aca="false">Liquidity!L26</f>
        <v>14.4013680823507</v>
      </c>
    </row>
    <row r="44" customFormat="false" ht="15" hidden="false" customHeight="false" outlineLevel="0" collapsed="false">
      <c r="A44" s="6"/>
      <c r="B44" s="26" t="s">
        <v>72</v>
      </c>
      <c r="C44" s="27" t="str">
        <f aca="false">IF(C41&lt;0,"RED",IF(C43&lt;0.5,"AMBER","GREEN"))</f>
        <v>GREEN</v>
      </c>
      <c r="D44" s="27" t="str">
        <f aca="false">IF(D41&lt;0,"RED",IF(D43&lt;0.5,"AMBER","GREEN"))</f>
        <v>GREEN</v>
      </c>
      <c r="E44" s="27" t="str">
        <f aca="false">IF(E41&lt;0,"RED",IF(E43&lt;0.5,"AMBER","GREEN"))</f>
        <v>GREEN</v>
      </c>
      <c r="F44" s="27" t="str">
        <f aca="false">IF(F41&lt;0,"RED",IF(F43&lt;0.5,"AMBER","GREEN"))</f>
        <v>GREEN</v>
      </c>
      <c r="G44" s="27" t="str">
        <f aca="false">IF(G41&lt;0,"RED",IF(G43&lt;0.5,"AMBER","GREEN"))</f>
        <v>GREEN</v>
      </c>
      <c r="H44" s="27" t="str">
        <f aca="false">IF(H41&lt;0,"RED",IF(H43&lt;0.5,"AMBER","GREEN"))</f>
        <v>GREEN</v>
      </c>
      <c r="I44" s="27" t="str">
        <f aca="false">IF(I41&lt;0,"RED",IF(I43&lt;0.5,"AMBER","GREEN"))</f>
        <v>GREEN</v>
      </c>
      <c r="J44" s="27" t="str">
        <f aca="false">IF(J41&lt;0,"RED",IF(J43&lt;0.5,"AMBER","GREEN"))</f>
        <v>GREEN</v>
      </c>
      <c r="K44" s="27" t="str">
        <f aca="false">IF(K41&lt;0,"RED",IF(K43&lt;0.5,"AMBER","GREEN"))</f>
        <v>GREEN</v>
      </c>
      <c r="L44" s="27" t="str">
        <f aca="false">IF(L41&lt;0,"RED",IF(L43&lt;0.5,"AMBER","GREEN"))</f>
        <v>GREEN</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1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12" min="3" style="0" width="12"/>
    <col collapsed="false" customWidth="true" hidden="false" outlineLevel="0" max="13" min="13" style="0" width="10"/>
    <col collapsed="false" customWidth="true" hidden="false" outlineLevel="0" max="14" min="14" style="0" width="44"/>
  </cols>
  <sheetData>
    <row r="1" customFormat="false" ht="15" hidden="false" customHeight="false" outlineLevel="0" collapsed="false">
      <c r="A1" s="1"/>
      <c r="B1" s="1"/>
      <c r="C1" s="1"/>
      <c r="D1" s="1"/>
      <c r="E1" s="1"/>
      <c r="F1" s="1"/>
      <c r="G1" s="1"/>
      <c r="H1" s="1"/>
      <c r="I1" s="1"/>
      <c r="J1" s="1"/>
      <c r="K1" s="1"/>
      <c r="L1" s="1"/>
      <c r="M1" s="1"/>
      <c r="N1" s="1"/>
      <c r="O1" s="2"/>
      <c r="P1" s="2"/>
      <c r="Q1" s="2"/>
      <c r="R1" s="2"/>
      <c r="S1" s="2"/>
      <c r="T1" s="2"/>
      <c r="U1" s="2"/>
      <c r="V1" s="2"/>
      <c r="W1" s="2"/>
      <c r="X1" s="2"/>
      <c r="Y1" s="2"/>
      <c r="Z1" s="2"/>
      <c r="AA1" s="2"/>
      <c r="AB1" s="2"/>
      <c r="AC1" s="2"/>
      <c r="AD1" s="2"/>
    </row>
    <row r="2" customFormat="false" ht="21.75" hidden="false" customHeight="true" outlineLevel="0" collapsed="false">
      <c r="A2" s="1"/>
      <c r="B2" s="3" t="s">
        <v>12</v>
      </c>
      <c r="C2" s="1"/>
      <c r="D2" s="1"/>
      <c r="E2" s="1"/>
      <c r="F2" s="1"/>
      <c r="G2" s="1"/>
      <c r="H2" s="1"/>
      <c r="I2" s="1"/>
      <c r="J2" s="1"/>
      <c r="K2" s="1"/>
      <c r="L2" s="1"/>
      <c r="M2" s="1"/>
      <c r="N2" s="1"/>
      <c r="O2" s="2"/>
      <c r="P2" s="2"/>
      <c r="Q2" s="2"/>
      <c r="R2" s="2"/>
      <c r="S2" s="2"/>
      <c r="T2" s="2"/>
      <c r="U2" s="2"/>
      <c r="V2" s="2"/>
      <c r="W2" s="2"/>
      <c r="X2" s="2"/>
      <c r="Y2" s="2"/>
      <c r="Z2" s="2"/>
      <c r="AA2" s="2"/>
      <c r="AB2" s="2"/>
      <c r="AC2" s="2"/>
      <c r="AD2" s="2"/>
    </row>
    <row r="3" customFormat="false" ht="15" hidden="false" customHeight="false" outlineLevel="0" collapsed="false">
      <c r="A3" s="1"/>
      <c r="B3" s="5" t="s">
        <v>73</v>
      </c>
      <c r="C3" s="1"/>
      <c r="D3" s="1"/>
      <c r="E3" s="1"/>
      <c r="F3" s="1"/>
      <c r="G3" s="1"/>
      <c r="H3" s="1"/>
      <c r="I3" s="1"/>
      <c r="J3" s="1"/>
      <c r="K3" s="1"/>
      <c r="L3" s="1"/>
      <c r="M3" s="1"/>
      <c r="N3" s="1"/>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c r="J4" s="6"/>
      <c r="K4" s="6"/>
      <c r="L4" s="6"/>
      <c r="M4" s="6"/>
      <c r="N4" s="6"/>
    </row>
    <row r="5" customFormat="false" ht="15" hidden="false" customHeight="false" outlineLevel="0" collapsed="false">
      <c r="A5" s="6"/>
      <c r="B5" s="6"/>
      <c r="C5" s="6"/>
      <c r="D5" s="6"/>
      <c r="E5" s="6"/>
      <c r="F5" s="6"/>
      <c r="G5" s="6"/>
      <c r="H5" s="6"/>
      <c r="I5" s="6"/>
      <c r="J5" s="6"/>
      <c r="K5" s="6"/>
      <c r="L5" s="6"/>
      <c r="M5" s="6"/>
      <c r="N5" s="6"/>
    </row>
    <row r="6" customFormat="false" ht="15" hidden="false" customHeight="false" outlineLevel="0" collapsed="false">
      <c r="A6" s="6"/>
      <c r="B6" s="7" t="s">
        <v>74</v>
      </c>
      <c r="C6" s="28" t="s">
        <v>75</v>
      </c>
      <c r="D6" s="6"/>
      <c r="E6" s="6"/>
      <c r="F6" s="6"/>
      <c r="G6" s="6"/>
      <c r="H6" s="6"/>
      <c r="I6" s="6"/>
      <c r="J6" s="6"/>
      <c r="K6" s="6"/>
      <c r="L6" s="6"/>
      <c r="M6" s="29" t="s">
        <v>76</v>
      </c>
      <c r="N6" s="29" t="s">
        <v>77</v>
      </c>
    </row>
    <row r="7" customFormat="false" ht="15" hidden="false" customHeight="false" outlineLevel="0" collapsed="false">
      <c r="A7" s="6"/>
      <c r="B7" s="6"/>
      <c r="C7" s="6"/>
      <c r="D7" s="6"/>
      <c r="E7" s="6"/>
      <c r="F7" s="6"/>
      <c r="G7" s="6"/>
      <c r="H7" s="6"/>
      <c r="I7" s="6"/>
      <c r="J7" s="6"/>
      <c r="K7" s="6"/>
      <c r="L7" s="6"/>
      <c r="M7" s="6"/>
      <c r="N7" s="6"/>
    </row>
    <row r="8" customFormat="false" ht="15" hidden="false" customHeight="false" outlineLevel="0" collapsed="false">
      <c r="A8" s="6"/>
      <c r="B8" s="14" t="s">
        <v>78</v>
      </c>
      <c r="C8" s="15"/>
      <c r="D8" s="15"/>
      <c r="E8" s="15"/>
      <c r="F8" s="15"/>
      <c r="G8" s="15"/>
      <c r="H8" s="15"/>
      <c r="I8" s="15"/>
      <c r="J8" s="15"/>
      <c r="K8" s="15"/>
      <c r="L8" s="15"/>
      <c r="M8" s="6"/>
      <c r="N8" s="6"/>
    </row>
    <row r="9" customFormat="false" ht="15" hidden="false" customHeight="false" outlineLevel="0" collapsed="false">
      <c r="A9" s="6"/>
      <c r="B9" s="8" t="s">
        <v>79</v>
      </c>
      <c r="C9" s="30" t="n">
        <v>500</v>
      </c>
      <c r="D9" s="6"/>
      <c r="E9" s="6"/>
      <c r="F9" s="6"/>
      <c r="G9" s="6"/>
      <c r="H9" s="6"/>
      <c r="I9" s="6"/>
      <c r="J9" s="6"/>
      <c r="K9" s="6"/>
      <c r="L9" s="6"/>
      <c r="M9" s="31" t="s">
        <v>80</v>
      </c>
      <c r="N9" s="31" t="s">
        <v>81</v>
      </c>
    </row>
    <row r="10" customFormat="false" ht="15" hidden="false" customHeight="false" outlineLevel="0" collapsed="false">
      <c r="A10" s="6"/>
      <c r="B10" s="8" t="s">
        <v>82</v>
      </c>
      <c r="C10" s="32" t="n">
        <v>0.1</v>
      </c>
      <c r="D10" s="6"/>
      <c r="E10" s="6"/>
      <c r="F10" s="6"/>
      <c r="G10" s="6"/>
      <c r="H10" s="6"/>
      <c r="I10" s="6"/>
      <c r="J10" s="6"/>
      <c r="K10" s="6"/>
      <c r="L10" s="6"/>
      <c r="M10" s="31" t="s">
        <v>83</v>
      </c>
      <c r="N10" s="31" t="s">
        <v>84</v>
      </c>
    </row>
    <row r="11" customFormat="false" ht="15" hidden="false" customHeight="false" outlineLevel="0" collapsed="false">
      <c r="A11" s="6"/>
      <c r="B11" s="8" t="s">
        <v>85</v>
      </c>
      <c r="C11" s="33" t="n">
        <v>1.3</v>
      </c>
      <c r="D11" s="6"/>
      <c r="E11" s="6"/>
      <c r="F11" s="6"/>
      <c r="G11" s="6"/>
      <c r="H11" s="6"/>
      <c r="I11" s="6"/>
      <c r="J11" s="6"/>
      <c r="K11" s="6"/>
      <c r="L11" s="6"/>
      <c r="M11" s="31" t="s">
        <v>86</v>
      </c>
      <c r="N11" s="31" t="s">
        <v>87</v>
      </c>
    </row>
    <row r="12" customFormat="false" ht="15" hidden="false" customHeight="false" outlineLevel="0" collapsed="false">
      <c r="A12" s="6"/>
      <c r="B12" s="8" t="s">
        <v>88</v>
      </c>
      <c r="C12" s="32" t="n">
        <v>0.0015</v>
      </c>
      <c r="D12" s="6"/>
      <c r="E12" s="6"/>
      <c r="F12" s="6"/>
      <c r="G12" s="6"/>
      <c r="H12" s="6"/>
      <c r="I12" s="6"/>
      <c r="J12" s="6"/>
      <c r="K12" s="6"/>
      <c r="L12" s="6"/>
      <c r="M12" s="31" t="s">
        <v>83</v>
      </c>
      <c r="N12" s="31" t="s">
        <v>89</v>
      </c>
    </row>
    <row r="13" customFormat="false" ht="15" hidden="false" customHeight="false" outlineLevel="0" collapsed="false">
      <c r="A13" s="6"/>
      <c r="B13" s="8" t="s">
        <v>90</v>
      </c>
      <c r="C13" s="32" t="n">
        <v>0</v>
      </c>
      <c r="D13" s="6"/>
      <c r="E13" s="6"/>
      <c r="F13" s="6"/>
      <c r="G13" s="6"/>
      <c r="H13" s="6"/>
      <c r="I13" s="6"/>
      <c r="J13" s="6"/>
      <c r="K13" s="6"/>
      <c r="L13" s="6"/>
      <c r="M13" s="31" t="s">
        <v>83</v>
      </c>
      <c r="N13" s="31" t="s">
        <v>91</v>
      </c>
    </row>
    <row r="14" customFormat="false" ht="15" hidden="false" customHeight="false" outlineLevel="0" collapsed="false">
      <c r="A14" s="6"/>
      <c r="B14" s="6"/>
      <c r="C14" s="6"/>
      <c r="D14" s="6"/>
      <c r="E14" s="6"/>
      <c r="F14" s="6"/>
      <c r="G14" s="6"/>
      <c r="H14" s="6"/>
      <c r="I14" s="6"/>
      <c r="J14" s="6"/>
      <c r="K14" s="6"/>
      <c r="L14" s="6"/>
      <c r="M14" s="6"/>
      <c r="N14" s="6"/>
    </row>
    <row r="15" customFormat="false" ht="15" hidden="false" customHeight="false" outlineLevel="0" collapsed="false">
      <c r="A15" s="6"/>
      <c r="B15" s="14" t="s">
        <v>92</v>
      </c>
      <c r="C15" s="15"/>
      <c r="D15" s="15"/>
      <c r="E15" s="15"/>
      <c r="F15" s="15"/>
      <c r="G15" s="15"/>
      <c r="H15" s="15"/>
      <c r="I15" s="15"/>
      <c r="J15" s="15"/>
      <c r="K15" s="15"/>
      <c r="L15" s="15"/>
      <c r="M15" s="6"/>
      <c r="N15" s="6"/>
    </row>
    <row r="16" customFormat="false" ht="15" hidden="false" customHeight="false" outlineLevel="0" collapsed="false">
      <c r="A16" s="6"/>
      <c r="B16" s="8" t="s">
        <v>93</v>
      </c>
      <c r="C16" s="30" t="n">
        <v>75</v>
      </c>
      <c r="D16" s="6"/>
      <c r="E16" s="6"/>
      <c r="F16" s="6"/>
      <c r="G16" s="6"/>
      <c r="H16" s="6"/>
      <c r="I16" s="6"/>
      <c r="J16" s="6"/>
      <c r="K16" s="6"/>
      <c r="L16" s="6"/>
      <c r="M16" s="31" t="s">
        <v>80</v>
      </c>
      <c r="N16" s="31" t="s">
        <v>94</v>
      </c>
    </row>
    <row r="17" customFormat="false" ht="15" hidden="false" customHeight="false" outlineLevel="0" collapsed="false">
      <c r="A17" s="6"/>
      <c r="B17" s="8" t="s">
        <v>95</v>
      </c>
      <c r="C17" s="32" t="n">
        <v>0.07</v>
      </c>
      <c r="D17" s="6"/>
      <c r="E17" s="6"/>
      <c r="F17" s="6"/>
      <c r="G17" s="6"/>
      <c r="H17" s="6"/>
      <c r="I17" s="6"/>
      <c r="J17" s="6"/>
      <c r="K17" s="6"/>
      <c r="L17" s="6"/>
      <c r="M17" s="31" t="s">
        <v>83</v>
      </c>
      <c r="N17" s="31" t="s">
        <v>96</v>
      </c>
    </row>
    <row r="18" customFormat="false" ht="15" hidden="false" customHeight="false" outlineLevel="0" collapsed="false">
      <c r="A18" s="6"/>
      <c r="B18" s="8" t="s">
        <v>97</v>
      </c>
      <c r="C18" s="30" t="n">
        <v>10</v>
      </c>
      <c r="D18" s="6"/>
      <c r="E18" s="6"/>
      <c r="F18" s="6"/>
      <c r="G18" s="6"/>
      <c r="H18" s="6"/>
      <c r="I18" s="6"/>
      <c r="J18" s="6"/>
      <c r="K18" s="6"/>
      <c r="L18" s="6"/>
      <c r="M18" s="31" t="s">
        <v>80</v>
      </c>
      <c r="N18" s="31" t="s">
        <v>98</v>
      </c>
    </row>
    <row r="19" customFormat="false" ht="15" hidden="false" customHeight="false" outlineLevel="0" collapsed="false">
      <c r="A19" s="6"/>
      <c r="B19" s="6"/>
      <c r="C19" s="6"/>
      <c r="D19" s="6"/>
      <c r="E19" s="6"/>
      <c r="F19" s="6"/>
      <c r="G19" s="6"/>
      <c r="H19" s="6"/>
      <c r="I19" s="6"/>
      <c r="J19" s="6"/>
      <c r="K19" s="6"/>
      <c r="L19" s="6"/>
      <c r="M19" s="6"/>
      <c r="N19" s="6"/>
    </row>
    <row r="20" customFormat="false" ht="15" hidden="false" customHeight="false" outlineLevel="0" collapsed="false">
      <c r="A20" s="6"/>
      <c r="B20" s="14" t="s">
        <v>99</v>
      </c>
      <c r="C20" s="15"/>
      <c r="D20" s="15"/>
      <c r="E20" s="15"/>
      <c r="F20" s="15"/>
      <c r="G20" s="15"/>
      <c r="H20" s="15"/>
      <c r="I20" s="15"/>
      <c r="J20" s="15"/>
      <c r="K20" s="15"/>
      <c r="L20" s="15"/>
      <c r="M20" s="6"/>
      <c r="N20" s="6"/>
    </row>
    <row r="21" customFormat="false" ht="15" hidden="false" customHeight="false" outlineLevel="0" collapsed="false">
      <c r="A21" s="6"/>
      <c r="B21" s="8" t="s">
        <v>100</v>
      </c>
      <c r="C21" s="32" t="n">
        <v>0</v>
      </c>
      <c r="D21" s="6"/>
      <c r="E21" s="6"/>
      <c r="F21" s="6"/>
      <c r="G21" s="6"/>
      <c r="H21" s="6"/>
      <c r="I21" s="6"/>
      <c r="J21" s="6"/>
      <c r="K21" s="6"/>
      <c r="L21" s="6"/>
      <c r="M21" s="31" t="s">
        <v>83</v>
      </c>
      <c r="N21" s="31" t="s">
        <v>101</v>
      </c>
    </row>
    <row r="22" customFormat="false" ht="15" hidden="false" customHeight="false" outlineLevel="0" collapsed="false">
      <c r="A22" s="6"/>
      <c r="B22" s="8" t="s">
        <v>102</v>
      </c>
      <c r="C22" s="32" t="n">
        <v>0</v>
      </c>
      <c r="D22" s="6"/>
      <c r="E22" s="6"/>
      <c r="F22" s="6"/>
      <c r="G22" s="6"/>
      <c r="H22" s="6"/>
      <c r="I22" s="6"/>
      <c r="J22" s="6"/>
      <c r="K22" s="6"/>
      <c r="L22" s="6"/>
      <c r="M22" s="31" t="s">
        <v>83</v>
      </c>
      <c r="N22" s="31" t="s">
        <v>103</v>
      </c>
    </row>
    <row r="23" customFormat="false" ht="15" hidden="false" customHeight="false" outlineLevel="0" collapsed="false">
      <c r="A23" s="6"/>
      <c r="B23" s="6"/>
      <c r="C23" s="6"/>
      <c r="D23" s="6"/>
      <c r="E23" s="6"/>
      <c r="F23" s="6"/>
      <c r="G23" s="6"/>
      <c r="H23" s="6"/>
      <c r="I23" s="6"/>
      <c r="J23" s="6"/>
      <c r="K23" s="6"/>
      <c r="L23" s="6"/>
      <c r="M23" s="6"/>
      <c r="N23" s="6"/>
    </row>
    <row r="24" customFormat="false" ht="15" hidden="false" customHeight="false" outlineLevel="0" collapsed="false">
      <c r="A24" s="6"/>
      <c r="B24" s="14" t="s">
        <v>104</v>
      </c>
      <c r="C24" s="15"/>
      <c r="D24" s="15"/>
      <c r="E24" s="15"/>
      <c r="F24" s="15"/>
      <c r="G24" s="15"/>
      <c r="H24" s="15"/>
      <c r="I24" s="15"/>
      <c r="J24" s="15"/>
      <c r="K24" s="15"/>
      <c r="L24" s="15"/>
      <c r="M24" s="6"/>
      <c r="N24" s="6"/>
    </row>
    <row r="25" customFormat="false" ht="15" hidden="false" customHeight="false" outlineLevel="0" collapsed="false">
      <c r="A25" s="6"/>
      <c r="B25" s="8" t="s">
        <v>105</v>
      </c>
      <c r="C25" s="32" t="n">
        <v>0.25</v>
      </c>
      <c r="D25" s="6"/>
      <c r="E25" s="6"/>
      <c r="F25" s="6"/>
      <c r="G25" s="6"/>
      <c r="H25" s="6"/>
      <c r="I25" s="6"/>
      <c r="J25" s="6"/>
      <c r="K25" s="6"/>
      <c r="L25" s="6"/>
      <c r="M25" s="31" t="s">
        <v>83</v>
      </c>
      <c r="N25" s="31" t="s">
        <v>106</v>
      </c>
    </row>
    <row r="26" customFormat="false" ht="15" hidden="false" customHeight="false" outlineLevel="0" collapsed="false">
      <c r="A26" s="6"/>
      <c r="B26" s="8" t="s">
        <v>107</v>
      </c>
      <c r="C26" s="32" t="n">
        <v>0.12</v>
      </c>
      <c r="D26" s="6"/>
      <c r="E26" s="6"/>
      <c r="F26" s="6"/>
      <c r="G26" s="6"/>
      <c r="H26" s="6"/>
      <c r="I26" s="6"/>
      <c r="J26" s="6"/>
      <c r="K26" s="6"/>
      <c r="L26" s="6"/>
      <c r="M26" s="31" t="s">
        <v>83</v>
      </c>
      <c r="N26" s="31" t="s">
        <v>108</v>
      </c>
    </row>
    <row r="27" customFormat="false" ht="15" hidden="false" customHeight="false" outlineLevel="0" collapsed="false">
      <c r="A27" s="6"/>
      <c r="B27" s="8" t="s">
        <v>109</v>
      </c>
      <c r="C27" s="32" t="n">
        <v>0.1</v>
      </c>
      <c r="D27" s="6"/>
      <c r="E27" s="6"/>
      <c r="F27" s="6"/>
      <c r="G27" s="6"/>
      <c r="H27" s="6"/>
      <c r="I27" s="6"/>
      <c r="J27" s="6"/>
      <c r="K27" s="6"/>
      <c r="L27" s="6"/>
      <c r="M27" s="31" t="s">
        <v>83</v>
      </c>
      <c r="N27" s="31" t="s">
        <v>110</v>
      </c>
    </row>
    <row r="28" customFormat="false" ht="15" hidden="false" customHeight="false" outlineLevel="0" collapsed="false">
      <c r="A28" s="6"/>
      <c r="B28" s="8" t="s">
        <v>111</v>
      </c>
      <c r="C28" s="32" t="n">
        <v>0.15</v>
      </c>
      <c r="D28" s="6"/>
      <c r="E28" s="6"/>
      <c r="F28" s="6"/>
      <c r="G28" s="6"/>
      <c r="H28" s="6"/>
      <c r="I28" s="6"/>
      <c r="J28" s="6"/>
      <c r="K28" s="6"/>
      <c r="L28" s="6"/>
      <c r="M28" s="31" t="s">
        <v>83</v>
      </c>
      <c r="N28" s="31" t="s">
        <v>112</v>
      </c>
    </row>
    <row r="29" customFormat="false" ht="15" hidden="false" customHeight="false" outlineLevel="0" collapsed="false">
      <c r="A29" s="6"/>
      <c r="B29" s="8" t="s">
        <v>113</v>
      </c>
      <c r="C29" s="32" t="n">
        <v>0.1</v>
      </c>
      <c r="D29" s="6"/>
      <c r="E29" s="6"/>
      <c r="F29" s="6"/>
      <c r="G29" s="6"/>
      <c r="H29" s="6"/>
      <c r="I29" s="6"/>
      <c r="J29" s="6"/>
      <c r="K29" s="6"/>
      <c r="L29" s="6"/>
      <c r="M29" s="31" t="s">
        <v>83</v>
      </c>
      <c r="N29" s="31" t="s">
        <v>114</v>
      </c>
    </row>
    <row r="30" customFormat="false" ht="15" hidden="false" customHeight="false" outlineLevel="0" collapsed="false">
      <c r="A30" s="6"/>
      <c r="B30" s="8" t="s">
        <v>115</v>
      </c>
      <c r="C30" s="32" t="n">
        <v>0.13</v>
      </c>
      <c r="D30" s="6"/>
      <c r="E30" s="6"/>
      <c r="F30" s="6"/>
      <c r="G30" s="6"/>
      <c r="H30" s="6"/>
      <c r="I30" s="6"/>
      <c r="J30" s="6"/>
      <c r="K30" s="6"/>
      <c r="L30" s="6"/>
      <c r="M30" s="31" t="s">
        <v>83</v>
      </c>
      <c r="N30" s="31" t="s">
        <v>116</v>
      </c>
    </row>
    <row r="31" customFormat="false" ht="15" hidden="false" customHeight="false" outlineLevel="0" collapsed="false">
      <c r="A31" s="6"/>
      <c r="B31" s="8" t="s">
        <v>117</v>
      </c>
      <c r="C31" s="32" t="n">
        <v>0.15</v>
      </c>
      <c r="D31" s="6"/>
      <c r="E31" s="6"/>
      <c r="F31" s="6"/>
      <c r="G31" s="6"/>
      <c r="H31" s="6"/>
      <c r="I31" s="6"/>
      <c r="J31" s="6"/>
      <c r="K31" s="6"/>
      <c r="L31" s="6"/>
      <c r="M31" s="31" t="s">
        <v>83</v>
      </c>
      <c r="N31" s="31" t="s">
        <v>118</v>
      </c>
    </row>
    <row r="32" customFormat="false" ht="15" hidden="false" customHeight="false" outlineLevel="0" collapsed="false">
      <c r="A32" s="6"/>
      <c r="B32" s="6"/>
      <c r="C32" s="6"/>
      <c r="D32" s="6"/>
      <c r="E32" s="6"/>
      <c r="F32" s="6"/>
      <c r="G32" s="6"/>
      <c r="H32" s="6"/>
      <c r="I32" s="6"/>
      <c r="J32" s="6"/>
      <c r="K32" s="6"/>
      <c r="L32" s="6"/>
      <c r="M32" s="6"/>
      <c r="N32" s="6"/>
    </row>
    <row r="33" customFormat="false" ht="15" hidden="false" customHeight="false" outlineLevel="0" collapsed="false">
      <c r="A33" s="6"/>
      <c r="B33" s="14" t="s">
        <v>119</v>
      </c>
      <c r="C33" s="15"/>
      <c r="D33" s="15"/>
      <c r="E33" s="15"/>
      <c r="F33" s="15"/>
      <c r="G33" s="15"/>
      <c r="H33" s="15"/>
      <c r="I33" s="15"/>
      <c r="J33" s="15"/>
      <c r="K33" s="15"/>
      <c r="L33" s="15"/>
      <c r="M33" s="6"/>
      <c r="N33" s="6"/>
    </row>
    <row r="34" customFormat="false" ht="15" hidden="false" customHeight="false" outlineLevel="0" collapsed="false">
      <c r="A34" s="6"/>
      <c r="B34" s="8" t="s">
        <v>105</v>
      </c>
      <c r="C34" s="30" t="n">
        <v>87.5</v>
      </c>
      <c r="D34" s="6"/>
      <c r="E34" s="6"/>
      <c r="F34" s="6"/>
      <c r="G34" s="6"/>
      <c r="H34" s="6"/>
      <c r="I34" s="6"/>
      <c r="J34" s="6"/>
      <c r="K34" s="6"/>
      <c r="L34" s="6"/>
      <c r="M34" s="31" t="s">
        <v>80</v>
      </c>
      <c r="N34" s="31" t="s">
        <v>120</v>
      </c>
    </row>
    <row r="35" customFormat="false" ht="15" hidden="false" customHeight="false" outlineLevel="0" collapsed="false">
      <c r="A35" s="6"/>
      <c r="B35" s="8" t="s">
        <v>107</v>
      </c>
      <c r="C35" s="30" t="n">
        <v>39</v>
      </c>
      <c r="D35" s="6"/>
      <c r="E35" s="6"/>
      <c r="F35" s="6"/>
      <c r="G35" s="6"/>
      <c r="H35" s="6"/>
      <c r="I35" s="6"/>
      <c r="J35" s="6"/>
      <c r="K35" s="6"/>
      <c r="L35" s="6"/>
      <c r="M35" s="31" t="s">
        <v>80</v>
      </c>
      <c r="N35" s="31" t="s">
        <v>120</v>
      </c>
    </row>
    <row r="36" customFormat="false" ht="15" hidden="false" customHeight="false" outlineLevel="0" collapsed="false">
      <c r="A36" s="6"/>
      <c r="B36" s="8" t="s">
        <v>109</v>
      </c>
      <c r="C36" s="30" t="n">
        <v>47.5</v>
      </c>
      <c r="D36" s="6"/>
      <c r="E36" s="6"/>
      <c r="F36" s="6"/>
      <c r="G36" s="6"/>
      <c r="H36" s="6"/>
      <c r="I36" s="6"/>
      <c r="J36" s="6"/>
      <c r="K36" s="6"/>
      <c r="L36" s="6"/>
      <c r="M36" s="31" t="s">
        <v>80</v>
      </c>
      <c r="N36" s="31" t="s">
        <v>120</v>
      </c>
    </row>
    <row r="37" customFormat="false" ht="15" hidden="false" customHeight="false" outlineLevel="0" collapsed="false">
      <c r="A37" s="6"/>
      <c r="B37" s="8" t="s">
        <v>111</v>
      </c>
      <c r="C37" s="30" t="n">
        <v>52.5</v>
      </c>
      <c r="D37" s="6"/>
      <c r="E37" s="6"/>
      <c r="F37" s="6"/>
      <c r="G37" s="6"/>
      <c r="H37" s="6"/>
      <c r="I37" s="6"/>
      <c r="J37" s="6"/>
      <c r="K37" s="6"/>
      <c r="L37" s="6"/>
      <c r="M37" s="31" t="s">
        <v>80</v>
      </c>
      <c r="N37" s="31" t="s">
        <v>120</v>
      </c>
    </row>
    <row r="38" customFormat="false" ht="15" hidden="false" customHeight="false" outlineLevel="0" collapsed="false">
      <c r="A38" s="6"/>
      <c r="B38" s="8" t="s">
        <v>113</v>
      </c>
      <c r="C38" s="30" t="n">
        <v>32.5</v>
      </c>
      <c r="D38" s="6"/>
      <c r="E38" s="6"/>
      <c r="F38" s="6"/>
      <c r="G38" s="6"/>
      <c r="H38" s="6"/>
      <c r="I38" s="6"/>
      <c r="J38" s="6"/>
      <c r="K38" s="6"/>
      <c r="L38" s="6"/>
      <c r="M38" s="31" t="s">
        <v>80</v>
      </c>
      <c r="N38" s="31" t="s">
        <v>120</v>
      </c>
    </row>
    <row r="39" customFormat="false" ht="15" hidden="false" customHeight="false" outlineLevel="0" collapsed="false">
      <c r="A39" s="6"/>
      <c r="B39" s="8" t="s">
        <v>115</v>
      </c>
      <c r="C39" s="30" t="n">
        <v>45.5</v>
      </c>
      <c r="D39" s="6"/>
      <c r="E39" s="6"/>
      <c r="F39" s="6"/>
      <c r="G39" s="6"/>
      <c r="H39" s="6"/>
      <c r="I39" s="6"/>
      <c r="J39" s="6"/>
      <c r="K39" s="6"/>
      <c r="L39" s="6"/>
      <c r="M39" s="31" t="s">
        <v>80</v>
      </c>
      <c r="N39" s="31" t="s">
        <v>120</v>
      </c>
    </row>
    <row r="40" customFormat="false" ht="15" hidden="false" customHeight="false" outlineLevel="0" collapsed="false">
      <c r="A40" s="6"/>
      <c r="B40" s="8" t="s">
        <v>117</v>
      </c>
      <c r="C40" s="30" t="n">
        <v>71.25</v>
      </c>
      <c r="D40" s="6"/>
      <c r="E40" s="6"/>
      <c r="F40" s="6"/>
      <c r="G40" s="6"/>
      <c r="H40" s="6"/>
      <c r="I40" s="6"/>
      <c r="J40" s="6"/>
      <c r="K40" s="6"/>
      <c r="L40" s="6"/>
      <c r="M40" s="31" t="s">
        <v>80</v>
      </c>
      <c r="N40" s="31" t="s">
        <v>120</v>
      </c>
    </row>
    <row r="41" customFormat="false" ht="15" hidden="false" customHeight="false" outlineLevel="0" collapsed="false">
      <c r="A41" s="6"/>
      <c r="B41" s="6"/>
      <c r="C41" s="6"/>
      <c r="D41" s="6"/>
      <c r="E41" s="6"/>
      <c r="F41" s="6"/>
      <c r="G41" s="6"/>
      <c r="H41" s="6"/>
      <c r="I41" s="6"/>
      <c r="J41" s="6"/>
      <c r="K41" s="6"/>
      <c r="L41" s="6"/>
      <c r="M41" s="6"/>
      <c r="N41" s="6"/>
    </row>
    <row r="42" customFormat="false" ht="15" hidden="false" customHeight="false" outlineLevel="0" collapsed="false">
      <c r="A42" s="6"/>
      <c r="B42" s="14" t="s">
        <v>121</v>
      </c>
      <c r="C42" s="15"/>
      <c r="D42" s="15"/>
      <c r="E42" s="15"/>
      <c r="F42" s="15"/>
      <c r="G42" s="15"/>
      <c r="H42" s="15"/>
      <c r="I42" s="15"/>
      <c r="J42" s="15"/>
      <c r="K42" s="15"/>
      <c r="L42" s="15"/>
      <c r="M42" s="6"/>
      <c r="N42" s="6"/>
    </row>
    <row r="43" customFormat="false" ht="15" hidden="false" customHeight="false" outlineLevel="0" collapsed="false">
      <c r="A43" s="6"/>
      <c r="B43" s="20" t="s">
        <v>105</v>
      </c>
      <c r="C43" s="32" t="n">
        <v>-0.05</v>
      </c>
      <c r="D43" s="32" t="n">
        <v>-0.03</v>
      </c>
      <c r="E43" s="32" t="n">
        <v>0.05</v>
      </c>
      <c r="F43" s="32" t="n">
        <v>0.12</v>
      </c>
      <c r="G43" s="32" t="n">
        <v>0.18</v>
      </c>
      <c r="H43" s="32" t="n">
        <v>0.18</v>
      </c>
      <c r="I43" s="32" t="n">
        <v>0.16</v>
      </c>
      <c r="J43" s="32" t="n">
        <v>0.14</v>
      </c>
      <c r="K43" s="32" t="n">
        <v>0.12</v>
      </c>
      <c r="L43" s="32" t="n">
        <v>0.1</v>
      </c>
      <c r="M43" s="6"/>
      <c r="N43" s="31" t="s">
        <v>122</v>
      </c>
    </row>
    <row r="44" customFormat="false" ht="15" hidden="false" customHeight="false" outlineLevel="0" collapsed="false">
      <c r="A44" s="6"/>
      <c r="B44" s="20" t="s">
        <v>107</v>
      </c>
      <c r="C44" s="32" t="n">
        <v>-0.1</v>
      </c>
      <c r="D44" s="32" t="n">
        <v>-0.05</v>
      </c>
      <c r="E44" s="32" t="n">
        <v>0</v>
      </c>
      <c r="F44" s="32" t="n">
        <v>0.1</v>
      </c>
      <c r="G44" s="32" t="n">
        <v>0.25</v>
      </c>
      <c r="H44" s="32" t="n">
        <v>0.3</v>
      </c>
      <c r="I44" s="32" t="n">
        <v>0.25</v>
      </c>
      <c r="J44" s="32" t="n">
        <v>0.2</v>
      </c>
      <c r="K44" s="32" t="n">
        <v>0.15</v>
      </c>
      <c r="L44" s="32" t="n">
        <v>0.1</v>
      </c>
      <c r="M44" s="6"/>
      <c r="N44" s="31" t="s">
        <v>122</v>
      </c>
    </row>
    <row r="45" customFormat="false" ht="15" hidden="false" customHeight="false" outlineLevel="0" collapsed="false">
      <c r="A45" s="6"/>
      <c r="B45" s="20" t="s">
        <v>109</v>
      </c>
      <c r="C45" s="32" t="n">
        <v>0.08</v>
      </c>
      <c r="D45" s="32" t="n">
        <v>0.08</v>
      </c>
      <c r="E45" s="32" t="n">
        <v>0.08</v>
      </c>
      <c r="F45" s="32" t="n">
        <v>0.08</v>
      </c>
      <c r="G45" s="32" t="n">
        <v>0.08</v>
      </c>
      <c r="H45" s="32" t="n">
        <v>0.08</v>
      </c>
      <c r="I45" s="32" t="n">
        <v>0.08</v>
      </c>
      <c r="J45" s="32" t="n">
        <v>0.08</v>
      </c>
      <c r="K45" s="32" t="n">
        <v>0.08</v>
      </c>
      <c r="L45" s="32" t="n">
        <v>0.08</v>
      </c>
      <c r="M45" s="6"/>
      <c r="N45" s="31" t="s">
        <v>122</v>
      </c>
    </row>
    <row r="46" customFormat="false" ht="15" hidden="false" customHeight="false" outlineLevel="0" collapsed="false">
      <c r="A46" s="6"/>
      <c r="B46" s="20" t="s">
        <v>111</v>
      </c>
      <c r="C46" s="32" t="n">
        <v>0.05</v>
      </c>
      <c r="D46" s="32" t="n">
        <v>0.07</v>
      </c>
      <c r="E46" s="32" t="n">
        <v>0.09</v>
      </c>
      <c r="F46" s="32" t="n">
        <v>0.1</v>
      </c>
      <c r="G46" s="32" t="n">
        <v>0.1</v>
      </c>
      <c r="H46" s="32" t="n">
        <v>0.09</v>
      </c>
      <c r="I46" s="32" t="n">
        <v>0.09</v>
      </c>
      <c r="J46" s="32" t="n">
        <v>0.08</v>
      </c>
      <c r="K46" s="32" t="n">
        <v>0.08</v>
      </c>
      <c r="L46" s="32" t="n">
        <v>0.07</v>
      </c>
      <c r="M46" s="6"/>
      <c r="N46" s="31" t="s">
        <v>122</v>
      </c>
    </row>
    <row r="47" customFormat="false" ht="15" hidden="false" customHeight="false" outlineLevel="0" collapsed="false">
      <c r="A47" s="6"/>
      <c r="B47" s="20" t="s">
        <v>113</v>
      </c>
      <c r="C47" s="32" t="n">
        <v>0.06</v>
      </c>
      <c r="D47" s="32" t="n">
        <v>0.08</v>
      </c>
      <c r="E47" s="32" t="n">
        <v>0.1</v>
      </c>
      <c r="F47" s="32" t="n">
        <v>0.1</v>
      </c>
      <c r="G47" s="32" t="n">
        <v>0.1</v>
      </c>
      <c r="H47" s="32" t="n">
        <v>0.1</v>
      </c>
      <c r="I47" s="32" t="n">
        <v>0.1</v>
      </c>
      <c r="J47" s="32" t="n">
        <v>0.1</v>
      </c>
      <c r="K47" s="32" t="n">
        <v>0.09</v>
      </c>
      <c r="L47" s="32" t="n">
        <v>0.09</v>
      </c>
      <c r="M47" s="6"/>
      <c r="N47" s="31" t="s">
        <v>122</v>
      </c>
    </row>
    <row r="48" customFormat="false" ht="15" hidden="false" customHeight="false" outlineLevel="0" collapsed="false">
      <c r="A48" s="6"/>
      <c r="B48" s="20" t="s">
        <v>115</v>
      </c>
      <c r="C48" s="32" t="n">
        <v>0.09</v>
      </c>
      <c r="D48" s="32" t="n">
        <v>0.1</v>
      </c>
      <c r="E48" s="32" t="n">
        <v>0.11</v>
      </c>
      <c r="F48" s="32" t="n">
        <v>0.11</v>
      </c>
      <c r="G48" s="32" t="n">
        <v>0.11</v>
      </c>
      <c r="H48" s="32" t="n">
        <v>0.11</v>
      </c>
      <c r="I48" s="32" t="n">
        <v>0.1</v>
      </c>
      <c r="J48" s="32" t="n">
        <v>0.1</v>
      </c>
      <c r="K48" s="32" t="n">
        <v>0.1</v>
      </c>
      <c r="L48" s="32" t="n">
        <v>0.09</v>
      </c>
      <c r="M48" s="6"/>
      <c r="N48" s="31" t="s">
        <v>122</v>
      </c>
    </row>
    <row r="49" customFormat="false" ht="15" hidden="false" customHeight="false" outlineLevel="0" collapsed="false">
      <c r="A49" s="6"/>
      <c r="B49" s="20" t="s">
        <v>117</v>
      </c>
      <c r="C49" s="32" t="n">
        <v>0.07</v>
      </c>
      <c r="D49" s="32" t="n">
        <v>0.07</v>
      </c>
      <c r="E49" s="32" t="n">
        <v>0.07</v>
      </c>
      <c r="F49" s="32" t="n">
        <v>0.07</v>
      </c>
      <c r="G49" s="32" t="n">
        <v>0.07</v>
      </c>
      <c r="H49" s="32" t="n">
        <v>0.07</v>
      </c>
      <c r="I49" s="32" t="n">
        <v>0.07</v>
      </c>
      <c r="J49" s="32" t="n">
        <v>0.07</v>
      </c>
      <c r="K49" s="32" t="n">
        <v>0.07</v>
      </c>
      <c r="L49" s="32" t="n">
        <v>0.07</v>
      </c>
      <c r="M49" s="6"/>
      <c r="N49" s="31" t="s">
        <v>122</v>
      </c>
    </row>
    <row r="50" customFormat="false" ht="15" hidden="false" customHeight="false" outlineLevel="0" collapsed="false">
      <c r="A50" s="6"/>
      <c r="B50" s="6"/>
      <c r="C50" s="6"/>
      <c r="D50" s="6"/>
      <c r="E50" s="6"/>
      <c r="F50" s="6"/>
      <c r="G50" s="6"/>
      <c r="H50" s="6"/>
      <c r="I50" s="6"/>
      <c r="J50" s="6"/>
      <c r="K50" s="6"/>
      <c r="L50" s="6"/>
      <c r="M50" s="6"/>
      <c r="N50" s="6"/>
    </row>
    <row r="51" customFormat="false" ht="15" hidden="false" customHeight="false" outlineLevel="0" collapsed="false">
      <c r="A51" s="6"/>
      <c r="B51" s="14" t="s">
        <v>123</v>
      </c>
      <c r="C51" s="15"/>
      <c r="D51" s="15"/>
      <c r="E51" s="15"/>
      <c r="F51" s="15"/>
      <c r="G51" s="15"/>
      <c r="H51" s="15"/>
      <c r="I51" s="15"/>
      <c r="J51" s="15"/>
      <c r="K51" s="15"/>
      <c r="L51" s="15"/>
      <c r="M51" s="6"/>
      <c r="N51" s="6"/>
    </row>
    <row r="52" customFormat="false" ht="15" hidden="false" customHeight="false" outlineLevel="0" collapsed="false">
      <c r="A52" s="6"/>
      <c r="B52" s="8" t="s">
        <v>105</v>
      </c>
      <c r="C52" s="32" t="n">
        <v>0.018</v>
      </c>
      <c r="D52" s="6"/>
      <c r="E52" s="6"/>
      <c r="F52" s="6"/>
      <c r="G52" s="6"/>
      <c r="H52" s="6"/>
      <c r="I52" s="6"/>
      <c r="J52" s="6"/>
      <c r="K52" s="6"/>
      <c r="L52" s="6"/>
      <c r="M52" s="31" t="s">
        <v>83</v>
      </c>
      <c r="N52" s="31" t="s">
        <v>124</v>
      </c>
    </row>
    <row r="53" customFormat="false" ht="15" hidden="false" customHeight="false" outlineLevel="0" collapsed="false">
      <c r="A53" s="6"/>
      <c r="B53" s="8" t="s">
        <v>107</v>
      </c>
      <c r="C53" s="32" t="n">
        <v>0.02</v>
      </c>
      <c r="D53" s="6"/>
      <c r="E53" s="6"/>
      <c r="F53" s="6"/>
      <c r="G53" s="6"/>
      <c r="H53" s="6"/>
      <c r="I53" s="6"/>
      <c r="J53" s="6"/>
      <c r="K53" s="6"/>
      <c r="L53" s="6"/>
      <c r="M53" s="31" t="s">
        <v>83</v>
      </c>
      <c r="N53" s="31" t="s">
        <v>124</v>
      </c>
    </row>
    <row r="54" customFormat="false" ht="15" hidden="false" customHeight="false" outlineLevel="0" collapsed="false">
      <c r="A54" s="6"/>
      <c r="B54" s="8" t="s">
        <v>109</v>
      </c>
      <c r="C54" s="32" t="n">
        <v>0.012</v>
      </c>
      <c r="D54" s="6"/>
      <c r="E54" s="6"/>
      <c r="F54" s="6"/>
      <c r="G54" s="6"/>
      <c r="H54" s="6"/>
      <c r="I54" s="6"/>
      <c r="J54" s="6"/>
      <c r="K54" s="6"/>
      <c r="L54" s="6"/>
      <c r="M54" s="31" t="s">
        <v>83</v>
      </c>
      <c r="N54" s="31" t="s">
        <v>125</v>
      </c>
    </row>
    <row r="55" customFormat="false" ht="15" hidden="false" customHeight="false" outlineLevel="0" collapsed="false">
      <c r="A55" s="6"/>
      <c r="B55" s="8" t="s">
        <v>111</v>
      </c>
      <c r="C55" s="32" t="n">
        <v>0.012</v>
      </c>
      <c r="D55" s="6"/>
      <c r="E55" s="6"/>
      <c r="F55" s="6"/>
      <c r="G55" s="6"/>
      <c r="H55" s="6"/>
      <c r="I55" s="6"/>
      <c r="J55" s="6"/>
      <c r="K55" s="6"/>
      <c r="L55" s="6"/>
      <c r="M55" s="31" t="s">
        <v>83</v>
      </c>
      <c r="N55" s="31" t="s">
        <v>126</v>
      </c>
    </row>
    <row r="56" customFormat="false" ht="15" hidden="false" customHeight="false" outlineLevel="0" collapsed="false">
      <c r="A56" s="6"/>
      <c r="B56" s="8" t="s">
        <v>113</v>
      </c>
      <c r="C56" s="32" t="n">
        <v>0.012</v>
      </c>
      <c r="D56" s="6"/>
      <c r="E56" s="6"/>
      <c r="F56" s="6"/>
      <c r="G56" s="6"/>
      <c r="H56" s="6"/>
      <c r="I56" s="6"/>
      <c r="J56" s="6"/>
      <c r="K56" s="6"/>
      <c r="L56" s="6"/>
      <c r="M56" s="31" t="s">
        <v>83</v>
      </c>
      <c r="N56" s="31" t="s">
        <v>126</v>
      </c>
    </row>
    <row r="57" customFormat="false" ht="15" hidden="false" customHeight="false" outlineLevel="0" collapsed="false">
      <c r="A57" s="6"/>
      <c r="B57" s="8" t="s">
        <v>115</v>
      </c>
      <c r="C57" s="32" t="n">
        <v>0.012</v>
      </c>
      <c r="D57" s="6"/>
      <c r="E57" s="6"/>
      <c r="F57" s="6"/>
      <c r="G57" s="6"/>
      <c r="H57" s="6"/>
      <c r="I57" s="6"/>
      <c r="J57" s="6"/>
      <c r="K57" s="6"/>
      <c r="L57" s="6"/>
      <c r="M57" s="31" t="s">
        <v>83</v>
      </c>
      <c r="N57" s="31" t="s">
        <v>126</v>
      </c>
    </row>
    <row r="58" customFormat="false" ht="15" hidden="false" customHeight="false" outlineLevel="0" collapsed="false">
      <c r="A58" s="6"/>
      <c r="B58" s="8" t="s">
        <v>117</v>
      </c>
      <c r="C58" s="32" t="n">
        <v>0.005</v>
      </c>
      <c r="D58" s="6"/>
      <c r="E58" s="6"/>
      <c r="F58" s="6"/>
      <c r="G58" s="6"/>
      <c r="H58" s="6"/>
      <c r="I58" s="6"/>
      <c r="J58" s="6"/>
      <c r="K58" s="6"/>
      <c r="L58" s="6"/>
      <c r="M58" s="31" t="s">
        <v>83</v>
      </c>
      <c r="N58" s="31" t="s">
        <v>126</v>
      </c>
    </row>
    <row r="59" customFormat="false" ht="15" hidden="false" customHeight="false" outlineLevel="0" collapsed="false">
      <c r="A59" s="6"/>
      <c r="B59" s="6"/>
      <c r="C59" s="6"/>
      <c r="D59" s="6"/>
      <c r="E59" s="6"/>
      <c r="F59" s="6"/>
      <c r="G59" s="6"/>
      <c r="H59" s="6"/>
      <c r="I59" s="6"/>
      <c r="J59" s="6"/>
      <c r="K59" s="6"/>
      <c r="L59" s="6"/>
      <c r="M59" s="6"/>
      <c r="N59" s="6"/>
    </row>
    <row r="60" customFormat="false" ht="15" hidden="false" customHeight="false" outlineLevel="0" collapsed="false">
      <c r="A60" s="6"/>
      <c r="B60" s="14" t="s">
        <v>127</v>
      </c>
      <c r="C60" s="15"/>
      <c r="D60" s="15"/>
      <c r="E60" s="15"/>
      <c r="F60" s="15"/>
      <c r="G60" s="15"/>
      <c r="H60" s="15"/>
      <c r="I60" s="15"/>
      <c r="J60" s="15"/>
      <c r="K60" s="15"/>
      <c r="L60" s="15"/>
      <c r="M60" s="6"/>
      <c r="N60" s="6"/>
    </row>
    <row r="61" customFormat="false" ht="15" hidden="false" customHeight="false" outlineLevel="0" collapsed="false">
      <c r="A61" s="6"/>
      <c r="B61" s="8" t="s">
        <v>105</v>
      </c>
      <c r="C61" s="32" t="n">
        <v>0.2</v>
      </c>
      <c r="D61" s="6"/>
      <c r="E61" s="6"/>
      <c r="F61" s="6"/>
      <c r="G61" s="6"/>
      <c r="H61" s="6"/>
      <c r="I61" s="6"/>
      <c r="J61" s="6"/>
      <c r="K61" s="6"/>
      <c r="L61" s="6"/>
      <c r="M61" s="31" t="s">
        <v>83</v>
      </c>
      <c r="N61" s="6"/>
    </row>
    <row r="62" customFormat="false" ht="15" hidden="false" customHeight="false" outlineLevel="0" collapsed="false">
      <c r="A62" s="6"/>
      <c r="B62" s="8" t="s">
        <v>107</v>
      </c>
      <c r="C62" s="32" t="n">
        <v>0.2</v>
      </c>
      <c r="D62" s="6"/>
      <c r="E62" s="6"/>
      <c r="F62" s="6"/>
      <c r="G62" s="6"/>
      <c r="H62" s="6"/>
      <c r="I62" s="6"/>
      <c r="J62" s="6"/>
      <c r="K62" s="6"/>
      <c r="L62" s="6"/>
      <c r="M62" s="31" t="s">
        <v>83</v>
      </c>
      <c r="N62" s="6"/>
    </row>
    <row r="63" customFormat="false" ht="15" hidden="false" customHeight="false" outlineLevel="0" collapsed="false">
      <c r="A63" s="6"/>
      <c r="B63" s="8" t="s">
        <v>109</v>
      </c>
      <c r="C63" s="32" t="n">
        <v>0.15</v>
      </c>
      <c r="D63" s="6"/>
      <c r="E63" s="6"/>
      <c r="F63" s="6"/>
      <c r="G63" s="6"/>
      <c r="H63" s="6"/>
      <c r="I63" s="6"/>
      <c r="J63" s="6"/>
      <c r="K63" s="6"/>
      <c r="L63" s="6"/>
      <c r="M63" s="31" t="s">
        <v>83</v>
      </c>
      <c r="N63" s="6"/>
    </row>
    <row r="64" customFormat="false" ht="15" hidden="false" customHeight="false" outlineLevel="0" collapsed="false">
      <c r="A64" s="6"/>
      <c r="B64" s="8" t="s">
        <v>111</v>
      </c>
      <c r="C64" s="32" t="n">
        <v>0.15</v>
      </c>
      <c r="D64" s="6"/>
      <c r="E64" s="6"/>
      <c r="F64" s="6"/>
      <c r="G64" s="6"/>
      <c r="H64" s="6"/>
      <c r="I64" s="6"/>
      <c r="J64" s="6"/>
      <c r="K64" s="6"/>
      <c r="L64" s="6"/>
      <c r="M64" s="31" t="s">
        <v>83</v>
      </c>
      <c r="N64" s="6"/>
    </row>
    <row r="65" customFormat="false" ht="15" hidden="false" customHeight="false" outlineLevel="0" collapsed="false">
      <c r="A65" s="6"/>
      <c r="B65" s="8" t="s">
        <v>113</v>
      </c>
      <c r="C65" s="32" t="n">
        <v>0.15</v>
      </c>
      <c r="D65" s="6"/>
      <c r="E65" s="6"/>
      <c r="F65" s="6"/>
      <c r="G65" s="6"/>
      <c r="H65" s="6"/>
      <c r="I65" s="6"/>
      <c r="J65" s="6"/>
      <c r="K65" s="6"/>
      <c r="L65" s="6"/>
      <c r="M65" s="31" t="s">
        <v>83</v>
      </c>
      <c r="N65" s="6"/>
    </row>
    <row r="66" customFormat="false" ht="15" hidden="false" customHeight="false" outlineLevel="0" collapsed="false">
      <c r="A66" s="6"/>
      <c r="B66" s="8" t="s">
        <v>115</v>
      </c>
      <c r="C66" s="32" t="n">
        <v>0.15</v>
      </c>
      <c r="D66" s="6"/>
      <c r="E66" s="6"/>
      <c r="F66" s="6"/>
      <c r="G66" s="6"/>
      <c r="H66" s="6"/>
      <c r="I66" s="6"/>
      <c r="J66" s="6"/>
      <c r="K66" s="6"/>
      <c r="L66" s="6"/>
      <c r="M66" s="31" t="s">
        <v>83</v>
      </c>
      <c r="N66" s="6"/>
    </row>
    <row r="67" customFormat="false" ht="15" hidden="false" customHeight="false" outlineLevel="0" collapsed="false">
      <c r="A67" s="6"/>
      <c r="B67" s="8" t="s">
        <v>117</v>
      </c>
      <c r="C67" s="32" t="n">
        <v>0</v>
      </c>
      <c r="D67" s="6"/>
      <c r="E67" s="6"/>
      <c r="F67" s="6"/>
      <c r="G67" s="6"/>
      <c r="H67" s="6"/>
      <c r="I67" s="6"/>
      <c r="J67" s="6"/>
      <c r="K67" s="6"/>
      <c r="L67" s="6"/>
      <c r="M67" s="31" t="s">
        <v>83</v>
      </c>
      <c r="N67" s="6"/>
    </row>
    <row r="68" customFormat="false" ht="15" hidden="false" customHeight="false" outlineLevel="0" collapsed="false">
      <c r="A68" s="6"/>
      <c r="B68" s="6"/>
      <c r="C68" s="6"/>
      <c r="D68" s="6"/>
      <c r="E68" s="6"/>
      <c r="F68" s="6"/>
      <c r="G68" s="6"/>
      <c r="H68" s="6"/>
      <c r="I68" s="6"/>
      <c r="J68" s="6"/>
      <c r="K68" s="6"/>
      <c r="L68" s="6"/>
      <c r="M68" s="6"/>
      <c r="N68" s="6"/>
    </row>
    <row r="69" customFormat="false" ht="15" hidden="false" customHeight="false" outlineLevel="0" collapsed="false">
      <c r="A69" s="6"/>
      <c r="B69" s="14" t="s">
        <v>128</v>
      </c>
      <c r="C69" s="15"/>
      <c r="D69" s="15"/>
      <c r="E69" s="15"/>
      <c r="F69" s="15"/>
      <c r="G69" s="15"/>
      <c r="H69" s="15"/>
      <c r="I69" s="15"/>
      <c r="J69" s="15"/>
      <c r="K69" s="15"/>
      <c r="L69" s="15"/>
      <c r="M69" s="6"/>
      <c r="N69" s="6"/>
    </row>
    <row r="70" customFormat="false" ht="15" hidden="false" customHeight="false" outlineLevel="0" collapsed="false">
      <c r="A70" s="6"/>
      <c r="B70" s="8" t="s">
        <v>105</v>
      </c>
      <c r="C70" s="32" t="n">
        <v>0.08</v>
      </c>
      <c r="D70" s="6"/>
      <c r="E70" s="6"/>
      <c r="F70" s="6"/>
      <c r="G70" s="6"/>
      <c r="H70" s="6"/>
      <c r="I70" s="6"/>
      <c r="J70" s="6"/>
      <c r="K70" s="6"/>
      <c r="L70" s="6"/>
      <c r="M70" s="31" t="s">
        <v>83</v>
      </c>
      <c r="N70" s="6"/>
    </row>
    <row r="71" customFormat="false" ht="15" hidden="false" customHeight="false" outlineLevel="0" collapsed="false">
      <c r="A71" s="6"/>
      <c r="B71" s="8" t="s">
        <v>107</v>
      </c>
      <c r="C71" s="32" t="n">
        <v>0.08</v>
      </c>
      <c r="D71" s="6"/>
      <c r="E71" s="6"/>
      <c r="F71" s="6"/>
      <c r="G71" s="6"/>
      <c r="H71" s="6"/>
      <c r="I71" s="6"/>
      <c r="J71" s="6"/>
      <c r="K71" s="6"/>
      <c r="L71" s="6"/>
      <c r="M71" s="31" t="s">
        <v>83</v>
      </c>
      <c r="N71" s="6"/>
    </row>
    <row r="72" customFormat="false" ht="15" hidden="false" customHeight="false" outlineLevel="0" collapsed="false">
      <c r="A72" s="6"/>
      <c r="B72" s="8" t="s">
        <v>109</v>
      </c>
      <c r="C72" s="32" t="n">
        <v>0</v>
      </c>
      <c r="D72" s="6"/>
      <c r="E72" s="6"/>
      <c r="F72" s="6"/>
      <c r="G72" s="6"/>
      <c r="H72" s="6"/>
      <c r="I72" s="6"/>
      <c r="J72" s="6"/>
      <c r="K72" s="6"/>
      <c r="L72" s="6"/>
      <c r="M72" s="31" t="s">
        <v>83</v>
      </c>
      <c r="N72" s="6"/>
    </row>
    <row r="73" customFormat="false" ht="15" hidden="false" customHeight="false" outlineLevel="0" collapsed="false">
      <c r="A73" s="6"/>
      <c r="B73" s="8" t="s">
        <v>111</v>
      </c>
      <c r="C73" s="32" t="n">
        <v>0.08</v>
      </c>
      <c r="D73" s="6"/>
      <c r="E73" s="6"/>
      <c r="F73" s="6"/>
      <c r="G73" s="6"/>
      <c r="H73" s="6"/>
      <c r="I73" s="6"/>
      <c r="J73" s="6"/>
      <c r="K73" s="6"/>
      <c r="L73" s="6"/>
      <c r="M73" s="31" t="s">
        <v>83</v>
      </c>
      <c r="N73" s="6"/>
    </row>
    <row r="74" customFormat="false" ht="15" hidden="false" customHeight="false" outlineLevel="0" collapsed="false">
      <c r="A74" s="6"/>
      <c r="B74" s="8" t="s">
        <v>113</v>
      </c>
      <c r="C74" s="32" t="n">
        <v>0.08</v>
      </c>
      <c r="D74" s="6"/>
      <c r="E74" s="6"/>
      <c r="F74" s="6"/>
      <c r="G74" s="6"/>
      <c r="H74" s="6"/>
      <c r="I74" s="6"/>
      <c r="J74" s="6"/>
      <c r="K74" s="6"/>
      <c r="L74" s="6"/>
      <c r="M74" s="31" t="s">
        <v>83</v>
      </c>
      <c r="N74" s="6"/>
    </row>
    <row r="75" customFormat="false" ht="15" hidden="false" customHeight="false" outlineLevel="0" collapsed="false">
      <c r="A75" s="6"/>
      <c r="B75" s="8" t="s">
        <v>115</v>
      </c>
      <c r="C75" s="32" t="n">
        <v>0.06</v>
      </c>
      <c r="D75" s="6"/>
      <c r="E75" s="6"/>
      <c r="F75" s="6"/>
      <c r="G75" s="6"/>
      <c r="H75" s="6"/>
      <c r="I75" s="6"/>
      <c r="J75" s="6"/>
      <c r="K75" s="6"/>
      <c r="L75" s="6"/>
      <c r="M75" s="31" t="s">
        <v>83</v>
      </c>
      <c r="N75" s="6"/>
    </row>
    <row r="76" customFormat="false" ht="15" hidden="false" customHeight="false" outlineLevel="0" collapsed="false">
      <c r="A76" s="6"/>
      <c r="B76" s="8" t="s">
        <v>117</v>
      </c>
      <c r="C76" s="32" t="n">
        <v>0</v>
      </c>
      <c r="D76" s="6"/>
      <c r="E76" s="6"/>
      <c r="F76" s="6"/>
      <c r="G76" s="6"/>
      <c r="H76" s="6"/>
      <c r="I76" s="6"/>
      <c r="J76" s="6"/>
      <c r="K76" s="6"/>
      <c r="L76" s="6"/>
      <c r="M76" s="31" t="s">
        <v>83</v>
      </c>
      <c r="N76" s="6"/>
    </row>
    <row r="77" customFormat="false" ht="15" hidden="false" customHeight="false" outlineLevel="0" collapsed="false">
      <c r="A77" s="6"/>
      <c r="B77" s="6"/>
      <c r="C77" s="6"/>
      <c r="D77" s="6"/>
      <c r="E77" s="6"/>
      <c r="F77" s="6"/>
      <c r="G77" s="6"/>
      <c r="H77" s="6"/>
      <c r="I77" s="6"/>
      <c r="J77" s="6"/>
      <c r="K77" s="6"/>
      <c r="L77" s="6"/>
      <c r="M77" s="6"/>
      <c r="N77" s="6"/>
    </row>
    <row r="78" customFormat="false" ht="15" hidden="false" customHeight="false" outlineLevel="0" collapsed="false">
      <c r="A78" s="6"/>
      <c r="B78" s="14" t="s">
        <v>129</v>
      </c>
      <c r="C78" s="15"/>
      <c r="D78" s="15"/>
      <c r="E78" s="15"/>
      <c r="F78" s="15"/>
      <c r="G78" s="15"/>
      <c r="H78" s="15"/>
      <c r="I78" s="15"/>
      <c r="J78" s="15"/>
      <c r="K78" s="15"/>
      <c r="L78" s="15"/>
      <c r="M78" s="6"/>
      <c r="N78" s="6"/>
    </row>
    <row r="79" customFormat="false" ht="15" hidden="false" customHeight="false" outlineLevel="0" collapsed="false">
      <c r="A79" s="6"/>
      <c r="B79" s="8" t="s">
        <v>105</v>
      </c>
      <c r="C79" s="32" t="n">
        <v>0.25</v>
      </c>
      <c r="D79" s="6"/>
      <c r="E79" s="6"/>
      <c r="F79" s="6"/>
      <c r="G79" s="6"/>
      <c r="H79" s="6"/>
      <c r="I79" s="6"/>
      <c r="J79" s="6"/>
      <c r="K79" s="6"/>
      <c r="L79" s="6"/>
      <c r="M79" s="31" t="s">
        <v>83</v>
      </c>
      <c r="N79" s="31" t="s">
        <v>130</v>
      </c>
    </row>
    <row r="80" customFormat="false" ht="15" hidden="false" customHeight="false" outlineLevel="0" collapsed="false">
      <c r="A80" s="6"/>
      <c r="B80" s="8" t="s">
        <v>107</v>
      </c>
      <c r="C80" s="32" t="n">
        <v>0.2</v>
      </c>
      <c r="D80" s="6"/>
      <c r="E80" s="6"/>
      <c r="F80" s="6"/>
      <c r="G80" s="6"/>
      <c r="H80" s="6"/>
      <c r="I80" s="6"/>
      <c r="J80" s="6"/>
      <c r="K80" s="6"/>
      <c r="L80" s="6"/>
      <c r="M80" s="31" t="s">
        <v>83</v>
      </c>
      <c r="N80" s="31" t="s">
        <v>130</v>
      </c>
    </row>
    <row r="81" customFormat="false" ht="15" hidden="false" customHeight="false" outlineLevel="0" collapsed="false">
      <c r="A81" s="6"/>
      <c r="B81" s="8" t="s">
        <v>109</v>
      </c>
      <c r="C81" s="32" t="n">
        <v>1</v>
      </c>
      <c r="D81" s="6"/>
      <c r="E81" s="6"/>
      <c r="F81" s="6"/>
      <c r="G81" s="6"/>
      <c r="H81" s="6"/>
      <c r="I81" s="6"/>
      <c r="J81" s="6"/>
      <c r="K81" s="6"/>
      <c r="L81" s="6"/>
      <c r="M81" s="31" t="s">
        <v>83</v>
      </c>
      <c r="N81" s="31" t="s">
        <v>130</v>
      </c>
    </row>
    <row r="82" customFormat="false" ht="15" hidden="false" customHeight="false" outlineLevel="0" collapsed="false">
      <c r="A82" s="6"/>
      <c r="B82" s="8" t="s">
        <v>111</v>
      </c>
      <c r="C82" s="32" t="n">
        <v>0.25</v>
      </c>
      <c r="D82" s="6"/>
      <c r="E82" s="6"/>
      <c r="F82" s="6"/>
      <c r="G82" s="6"/>
      <c r="H82" s="6"/>
      <c r="I82" s="6"/>
      <c r="J82" s="6"/>
      <c r="K82" s="6"/>
      <c r="L82" s="6"/>
      <c r="M82" s="31" t="s">
        <v>83</v>
      </c>
      <c r="N82" s="31" t="s">
        <v>130</v>
      </c>
    </row>
    <row r="83" customFormat="false" ht="15" hidden="false" customHeight="false" outlineLevel="0" collapsed="false">
      <c r="A83" s="6"/>
      <c r="B83" s="8" t="s">
        <v>113</v>
      </c>
      <c r="C83" s="32" t="n">
        <v>0.2</v>
      </c>
      <c r="D83" s="6"/>
      <c r="E83" s="6"/>
      <c r="F83" s="6"/>
      <c r="G83" s="6"/>
      <c r="H83" s="6"/>
      <c r="I83" s="6"/>
      <c r="J83" s="6"/>
      <c r="K83" s="6"/>
      <c r="L83" s="6"/>
      <c r="M83" s="31" t="s">
        <v>83</v>
      </c>
      <c r="N83" s="31" t="s">
        <v>130</v>
      </c>
    </row>
    <row r="84" customFormat="false" ht="15" hidden="false" customHeight="false" outlineLevel="0" collapsed="false">
      <c r="A84" s="6"/>
      <c r="B84" s="8" t="s">
        <v>115</v>
      </c>
      <c r="C84" s="32" t="n">
        <v>0.3</v>
      </c>
      <c r="D84" s="6"/>
      <c r="E84" s="6"/>
      <c r="F84" s="6"/>
      <c r="G84" s="6"/>
      <c r="H84" s="6"/>
      <c r="I84" s="6"/>
      <c r="J84" s="6"/>
      <c r="K84" s="6"/>
      <c r="L84" s="6"/>
      <c r="M84" s="31" t="s">
        <v>83</v>
      </c>
      <c r="N84" s="31" t="s">
        <v>130</v>
      </c>
    </row>
    <row r="85" customFormat="false" ht="15" hidden="false" customHeight="false" outlineLevel="0" collapsed="false">
      <c r="A85" s="6"/>
      <c r="B85" s="8" t="s">
        <v>117</v>
      </c>
      <c r="C85" s="32" t="n">
        <v>1</v>
      </c>
      <c r="D85" s="6"/>
      <c r="E85" s="6"/>
      <c r="F85" s="6"/>
      <c r="G85" s="6"/>
      <c r="H85" s="6"/>
      <c r="I85" s="6"/>
      <c r="J85" s="6"/>
      <c r="K85" s="6"/>
      <c r="L85" s="6"/>
      <c r="M85" s="31" t="s">
        <v>83</v>
      </c>
      <c r="N85" s="31" t="s">
        <v>130</v>
      </c>
    </row>
    <row r="86" customFormat="false" ht="15" hidden="false" customHeight="false" outlineLevel="0" collapsed="false">
      <c r="A86" s="6"/>
      <c r="B86" s="6"/>
      <c r="C86" s="6"/>
      <c r="D86" s="6"/>
      <c r="E86" s="6"/>
      <c r="F86" s="6"/>
      <c r="G86" s="6"/>
      <c r="H86" s="6"/>
      <c r="I86" s="6"/>
      <c r="J86" s="6"/>
      <c r="K86" s="6"/>
      <c r="L86" s="6"/>
      <c r="M86" s="6"/>
      <c r="N86" s="6"/>
    </row>
    <row r="87" customFormat="false" ht="15" hidden="false" customHeight="false" outlineLevel="0" collapsed="false">
      <c r="A87" s="6"/>
      <c r="B87" s="14" t="s">
        <v>131</v>
      </c>
      <c r="C87" s="15"/>
      <c r="D87" s="15"/>
      <c r="E87" s="15"/>
      <c r="F87" s="15"/>
      <c r="G87" s="15"/>
      <c r="H87" s="15"/>
      <c r="I87" s="15"/>
      <c r="J87" s="15"/>
      <c r="K87" s="15"/>
      <c r="L87" s="15"/>
      <c r="M87" s="6"/>
      <c r="N87" s="6"/>
    </row>
    <row r="88" customFormat="false" ht="15" hidden="false" customHeight="false" outlineLevel="0" collapsed="false">
      <c r="A88" s="6"/>
      <c r="B88" s="8" t="s">
        <v>105</v>
      </c>
      <c r="C88" s="32" t="n">
        <v>0.15</v>
      </c>
      <c r="D88" s="6"/>
      <c r="E88" s="6"/>
      <c r="F88" s="6"/>
      <c r="G88" s="6"/>
      <c r="H88" s="6"/>
      <c r="I88" s="6"/>
      <c r="J88" s="6"/>
      <c r="K88" s="6"/>
      <c r="L88" s="6"/>
      <c r="M88" s="31" t="s">
        <v>83</v>
      </c>
      <c r="N88" s="31" t="s">
        <v>132</v>
      </c>
    </row>
    <row r="89" customFormat="false" ht="15" hidden="false" customHeight="false" outlineLevel="0" collapsed="false">
      <c r="A89" s="6"/>
      <c r="B89" s="8" t="s">
        <v>107</v>
      </c>
      <c r="C89" s="32" t="n">
        <v>0.1</v>
      </c>
      <c r="D89" s="6"/>
      <c r="E89" s="6"/>
      <c r="F89" s="6"/>
      <c r="G89" s="6"/>
      <c r="H89" s="6"/>
      <c r="I89" s="6"/>
      <c r="J89" s="6"/>
      <c r="K89" s="6"/>
      <c r="L89" s="6"/>
      <c r="M89" s="31" t="s">
        <v>83</v>
      </c>
      <c r="N89" s="31" t="s">
        <v>132</v>
      </c>
    </row>
    <row r="90" customFormat="false" ht="15" hidden="false" customHeight="false" outlineLevel="0" collapsed="false">
      <c r="A90" s="6"/>
      <c r="B90" s="8" t="s">
        <v>109</v>
      </c>
      <c r="C90" s="32" t="n">
        <v>0.05</v>
      </c>
      <c r="D90" s="6"/>
      <c r="E90" s="6"/>
      <c r="F90" s="6"/>
      <c r="G90" s="6"/>
      <c r="H90" s="6"/>
      <c r="I90" s="6"/>
      <c r="J90" s="6"/>
      <c r="K90" s="6"/>
      <c r="L90" s="6"/>
      <c r="M90" s="31" t="s">
        <v>83</v>
      </c>
      <c r="N90" s="31" t="s">
        <v>132</v>
      </c>
    </row>
    <row r="91" customFormat="false" ht="15" hidden="false" customHeight="false" outlineLevel="0" collapsed="false">
      <c r="A91" s="6"/>
      <c r="B91" s="8" t="s">
        <v>111</v>
      </c>
      <c r="C91" s="32" t="n">
        <v>0.06</v>
      </c>
      <c r="D91" s="6"/>
      <c r="E91" s="6"/>
      <c r="F91" s="6"/>
      <c r="G91" s="6"/>
      <c r="H91" s="6"/>
      <c r="I91" s="6"/>
      <c r="J91" s="6"/>
      <c r="K91" s="6"/>
      <c r="L91" s="6"/>
      <c r="M91" s="31" t="s">
        <v>83</v>
      </c>
      <c r="N91" s="31" t="s">
        <v>132</v>
      </c>
    </row>
    <row r="92" customFormat="false" ht="15" hidden="false" customHeight="false" outlineLevel="0" collapsed="false">
      <c r="A92" s="6"/>
      <c r="B92" s="8" t="s">
        <v>113</v>
      </c>
      <c r="C92" s="32" t="n">
        <v>0.07</v>
      </c>
      <c r="D92" s="6"/>
      <c r="E92" s="6"/>
      <c r="F92" s="6"/>
      <c r="G92" s="6"/>
      <c r="H92" s="6"/>
      <c r="I92" s="6"/>
      <c r="J92" s="6"/>
      <c r="K92" s="6"/>
      <c r="L92" s="6"/>
      <c r="M92" s="31" t="s">
        <v>83</v>
      </c>
      <c r="N92" s="31" t="s">
        <v>132</v>
      </c>
    </row>
    <row r="93" customFormat="false" ht="15" hidden="false" customHeight="false" outlineLevel="0" collapsed="false">
      <c r="A93" s="6"/>
      <c r="B93" s="8" t="s">
        <v>115</v>
      </c>
      <c r="C93" s="32" t="n">
        <v>0.08</v>
      </c>
      <c r="D93" s="6"/>
      <c r="E93" s="6"/>
      <c r="F93" s="6"/>
      <c r="G93" s="6"/>
      <c r="H93" s="6"/>
      <c r="I93" s="6"/>
      <c r="J93" s="6"/>
      <c r="K93" s="6"/>
      <c r="L93" s="6"/>
      <c r="M93" s="31" t="s">
        <v>83</v>
      </c>
      <c r="N93" s="31" t="s">
        <v>132</v>
      </c>
    </row>
    <row r="94" customFormat="false" ht="15" hidden="false" customHeight="false" outlineLevel="0" collapsed="false">
      <c r="A94" s="6"/>
      <c r="B94" s="8" t="s">
        <v>117</v>
      </c>
      <c r="C94" s="32" t="n">
        <v>0.03</v>
      </c>
      <c r="D94" s="6"/>
      <c r="E94" s="6"/>
      <c r="F94" s="6"/>
      <c r="G94" s="6"/>
      <c r="H94" s="6"/>
      <c r="I94" s="6"/>
      <c r="J94" s="6"/>
      <c r="K94" s="6"/>
      <c r="L94" s="6"/>
      <c r="M94" s="31" t="s">
        <v>83</v>
      </c>
      <c r="N94" s="31" t="s">
        <v>132</v>
      </c>
    </row>
    <row r="95" customFormat="false" ht="15" hidden="false" customHeight="false" outlineLevel="0" collapsed="false">
      <c r="A95" s="6"/>
      <c r="B95" s="6"/>
      <c r="C95" s="6"/>
      <c r="D95" s="6"/>
      <c r="E95" s="6"/>
      <c r="F95" s="6"/>
      <c r="G95" s="6"/>
      <c r="H95" s="6"/>
      <c r="I95" s="6"/>
      <c r="J95" s="6"/>
      <c r="K95" s="6"/>
      <c r="L95" s="6"/>
      <c r="M95" s="6"/>
      <c r="N95" s="6"/>
    </row>
    <row r="96" customFormat="false" ht="15" hidden="false" customHeight="false" outlineLevel="0" collapsed="false">
      <c r="A96" s="6"/>
      <c r="B96" s="14" t="s">
        <v>133</v>
      </c>
      <c r="C96" s="15"/>
      <c r="D96" s="15"/>
      <c r="E96" s="15"/>
      <c r="F96" s="15"/>
      <c r="G96" s="15"/>
      <c r="H96" s="15"/>
      <c r="I96" s="15"/>
      <c r="J96" s="15"/>
      <c r="K96" s="15"/>
      <c r="L96" s="15"/>
      <c r="M96" s="6"/>
      <c r="N96" s="6"/>
    </row>
    <row r="97" customFormat="false" ht="15" hidden="false" customHeight="false" outlineLevel="0" collapsed="false">
      <c r="A97" s="6"/>
      <c r="B97" s="8" t="s">
        <v>105</v>
      </c>
      <c r="C97" s="34" t="n">
        <v>4</v>
      </c>
      <c r="D97" s="6"/>
      <c r="E97" s="6"/>
      <c r="F97" s="6"/>
      <c r="G97" s="6"/>
      <c r="H97" s="6"/>
      <c r="I97" s="6"/>
      <c r="J97" s="6"/>
      <c r="K97" s="6"/>
      <c r="L97" s="6"/>
      <c r="M97" s="31" t="s">
        <v>134</v>
      </c>
      <c r="N97" s="31" t="s">
        <v>135</v>
      </c>
    </row>
    <row r="98" customFormat="false" ht="15" hidden="false" customHeight="false" outlineLevel="0" collapsed="false">
      <c r="A98" s="6"/>
      <c r="B98" s="8" t="s">
        <v>107</v>
      </c>
      <c r="C98" s="34" t="n">
        <v>5</v>
      </c>
      <c r="D98" s="6"/>
      <c r="E98" s="6"/>
      <c r="F98" s="6"/>
      <c r="G98" s="6"/>
      <c r="H98" s="6"/>
      <c r="I98" s="6"/>
      <c r="J98" s="6"/>
      <c r="K98" s="6"/>
      <c r="L98" s="6"/>
      <c r="M98" s="31" t="s">
        <v>134</v>
      </c>
      <c r="N98" s="31" t="s">
        <v>135</v>
      </c>
    </row>
    <row r="99" customFormat="false" ht="15" hidden="false" customHeight="false" outlineLevel="0" collapsed="false">
      <c r="A99" s="6"/>
      <c r="B99" s="8" t="s">
        <v>109</v>
      </c>
      <c r="C99" s="34" t="n">
        <v>1</v>
      </c>
      <c r="D99" s="6"/>
      <c r="E99" s="6"/>
      <c r="F99" s="6"/>
      <c r="G99" s="6"/>
      <c r="H99" s="6"/>
      <c r="I99" s="6"/>
      <c r="J99" s="6"/>
      <c r="K99" s="6"/>
      <c r="L99" s="6"/>
      <c r="M99" s="31" t="s">
        <v>134</v>
      </c>
      <c r="N99" s="31" t="s">
        <v>135</v>
      </c>
    </row>
    <row r="100" customFormat="false" ht="15" hidden="false" customHeight="false" outlineLevel="0" collapsed="false">
      <c r="A100" s="6"/>
      <c r="B100" s="8" t="s">
        <v>111</v>
      </c>
      <c r="C100" s="34" t="n">
        <v>1</v>
      </c>
      <c r="D100" s="6"/>
      <c r="E100" s="6"/>
      <c r="F100" s="6"/>
      <c r="G100" s="6"/>
      <c r="H100" s="6"/>
      <c r="I100" s="6"/>
      <c r="J100" s="6"/>
      <c r="K100" s="6"/>
      <c r="L100" s="6"/>
      <c r="M100" s="31" t="s">
        <v>134</v>
      </c>
      <c r="N100" s="31" t="s">
        <v>135</v>
      </c>
    </row>
    <row r="101" customFormat="false" ht="15" hidden="false" customHeight="false" outlineLevel="0" collapsed="false">
      <c r="A101" s="6"/>
      <c r="B101" s="8" t="s">
        <v>113</v>
      </c>
      <c r="C101" s="34" t="n">
        <v>1</v>
      </c>
      <c r="D101" s="6"/>
      <c r="E101" s="6"/>
      <c r="F101" s="6"/>
      <c r="G101" s="6"/>
      <c r="H101" s="6"/>
      <c r="I101" s="6"/>
      <c r="J101" s="6"/>
      <c r="K101" s="6"/>
      <c r="L101" s="6"/>
      <c r="M101" s="31" t="s">
        <v>134</v>
      </c>
      <c r="N101" s="31" t="s">
        <v>135</v>
      </c>
    </row>
    <row r="102" customFormat="false" ht="15" hidden="false" customHeight="false" outlineLevel="0" collapsed="false">
      <c r="A102" s="6"/>
      <c r="B102" s="8" t="s">
        <v>115</v>
      </c>
      <c r="C102" s="34" t="n">
        <v>1</v>
      </c>
      <c r="D102" s="6"/>
      <c r="E102" s="6"/>
      <c r="F102" s="6"/>
      <c r="G102" s="6"/>
      <c r="H102" s="6"/>
      <c r="I102" s="6"/>
      <c r="J102" s="6"/>
      <c r="K102" s="6"/>
      <c r="L102" s="6"/>
      <c r="M102" s="31" t="s">
        <v>134</v>
      </c>
      <c r="N102" s="31" t="s">
        <v>135</v>
      </c>
    </row>
    <row r="103" customFormat="false" ht="15" hidden="false" customHeight="false" outlineLevel="0" collapsed="false">
      <c r="A103" s="6"/>
      <c r="B103" s="8" t="s">
        <v>117</v>
      </c>
      <c r="C103" s="34" t="n">
        <v>1</v>
      </c>
      <c r="D103" s="6"/>
      <c r="E103" s="6"/>
      <c r="F103" s="6"/>
      <c r="G103" s="6"/>
      <c r="H103" s="6"/>
      <c r="I103" s="6"/>
      <c r="J103" s="6"/>
      <c r="K103" s="6"/>
      <c r="L103" s="6"/>
      <c r="M103" s="31" t="s">
        <v>134</v>
      </c>
      <c r="N103" s="31" t="s">
        <v>135</v>
      </c>
    </row>
    <row r="104" customFormat="false" ht="15" hidden="false" customHeight="false" outlineLevel="0" collapsed="false">
      <c r="A104" s="6"/>
      <c r="B104" s="6"/>
      <c r="C104" s="6"/>
      <c r="D104" s="6"/>
      <c r="E104" s="6"/>
      <c r="F104" s="6"/>
      <c r="G104" s="6"/>
      <c r="H104" s="6"/>
      <c r="I104" s="6"/>
      <c r="J104" s="6"/>
      <c r="K104" s="6"/>
      <c r="L104" s="6"/>
      <c r="M104" s="6"/>
      <c r="N104" s="6"/>
    </row>
    <row r="105" customFormat="false" ht="15" hidden="false" customHeight="false" outlineLevel="0" collapsed="false">
      <c r="A105" s="6"/>
      <c r="B105" s="14" t="s">
        <v>136</v>
      </c>
      <c r="C105" s="15"/>
      <c r="D105" s="15"/>
      <c r="E105" s="15"/>
      <c r="F105" s="15"/>
      <c r="G105" s="15"/>
      <c r="H105" s="15"/>
      <c r="I105" s="15"/>
      <c r="J105" s="15"/>
      <c r="K105" s="15"/>
      <c r="L105" s="15"/>
      <c r="M105" s="6"/>
      <c r="N105" s="6"/>
    </row>
    <row r="106" customFormat="false" ht="15" hidden="false" customHeight="false" outlineLevel="0" collapsed="false">
      <c r="A106" s="6"/>
      <c r="B106" s="8" t="s">
        <v>105</v>
      </c>
      <c r="C106" s="34" t="n">
        <v>5</v>
      </c>
      <c r="D106" s="6"/>
      <c r="E106" s="6"/>
      <c r="F106" s="6"/>
      <c r="G106" s="6"/>
      <c r="H106" s="6"/>
      <c r="I106" s="6"/>
      <c r="J106" s="6"/>
      <c r="K106" s="6"/>
      <c r="L106" s="6"/>
      <c r="M106" s="31" t="s">
        <v>137</v>
      </c>
      <c r="N106" s="31" t="s">
        <v>138</v>
      </c>
    </row>
    <row r="107" customFormat="false" ht="15" hidden="false" customHeight="false" outlineLevel="0" collapsed="false">
      <c r="A107" s="6"/>
      <c r="B107" s="8" t="s">
        <v>107</v>
      </c>
      <c r="C107" s="34" t="n">
        <v>5</v>
      </c>
      <c r="D107" s="6"/>
      <c r="E107" s="6"/>
      <c r="F107" s="6"/>
      <c r="G107" s="6"/>
      <c r="H107" s="6"/>
      <c r="I107" s="6"/>
      <c r="J107" s="6"/>
      <c r="K107" s="6"/>
      <c r="L107" s="6"/>
      <c r="M107" s="31" t="s">
        <v>137</v>
      </c>
      <c r="N107" s="31" t="s">
        <v>138</v>
      </c>
    </row>
    <row r="108" customFormat="false" ht="15" hidden="false" customHeight="false" outlineLevel="0" collapsed="false">
      <c r="A108" s="6"/>
      <c r="B108" s="8" t="s">
        <v>109</v>
      </c>
      <c r="C108" s="34" t="n">
        <v>1</v>
      </c>
      <c r="D108" s="6"/>
      <c r="E108" s="6"/>
      <c r="F108" s="6"/>
      <c r="G108" s="6"/>
      <c r="H108" s="6"/>
      <c r="I108" s="6"/>
      <c r="J108" s="6"/>
      <c r="K108" s="6"/>
      <c r="L108" s="6"/>
      <c r="M108" s="31" t="s">
        <v>137</v>
      </c>
      <c r="N108" s="31" t="s">
        <v>138</v>
      </c>
    </row>
    <row r="109" customFormat="false" ht="15" hidden="false" customHeight="false" outlineLevel="0" collapsed="false">
      <c r="A109" s="6"/>
      <c r="B109" s="8" t="s">
        <v>111</v>
      </c>
      <c r="C109" s="34" t="n">
        <v>5</v>
      </c>
      <c r="D109" s="6"/>
      <c r="E109" s="6"/>
      <c r="F109" s="6"/>
      <c r="G109" s="6"/>
      <c r="H109" s="6"/>
      <c r="I109" s="6"/>
      <c r="J109" s="6"/>
      <c r="K109" s="6"/>
      <c r="L109" s="6"/>
      <c r="M109" s="31" t="s">
        <v>137</v>
      </c>
      <c r="N109" s="31" t="s">
        <v>138</v>
      </c>
    </row>
    <row r="110" customFormat="false" ht="15" hidden="false" customHeight="false" outlineLevel="0" collapsed="false">
      <c r="A110" s="6"/>
      <c r="B110" s="8" t="s">
        <v>113</v>
      </c>
      <c r="C110" s="34" t="n">
        <v>5</v>
      </c>
      <c r="D110" s="6"/>
      <c r="E110" s="6"/>
      <c r="F110" s="6"/>
      <c r="G110" s="6"/>
      <c r="H110" s="6"/>
      <c r="I110" s="6"/>
      <c r="J110" s="6"/>
      <c r="K110" s="6"/>
      <c r="L110" s="6"/>
      <c r="M110" s="31" t="s">
        <v>137</v>
      </c>
      <c r="N110" s="31" t="s">
        <v>138</v>
      </c>
    </row>
    <row r="111" customFormat="false" ht="15" hidden="false" customHeight="false" outlineLevel="0" collapsed="false">
      <c r="A111" s="6"/>
      <c r="B111" s="8" t="s">
        <v>115</v>
      </c>
      <c r="C111" s="34" t="n">
        <v>4</v>
      </c>
      <c r="D111" s="6"/>
      <c r="E111" s="6"/>
      <c r="F111" s="6"/>
      <c r="G111" s="6"/>
      <c r="H111" s="6"/>
      <c r="I111" s="6"/>
      <c r="J111" s="6"/>
      <c r="K111" s="6"/>
      <c r="L111" s="6"/>
      <c r="M111" s="31" t="s">
        <v>137</v>
      </c>
      <c r="N111" s="31" t="s">
        <v>138</v>
      </c>
    </row>
    <row r="112" customFormat="false" ht="15" hidden="false" customHeight="false" outlineLevel="0" collapsed="false">
      <c r="A112" s="6"/>
      <c r="B112" s="8" t="s">
        <v>117</v>
      </c>
      <c r="C112" s="34" t="n">
        <v>1</v>
      </c>
      <c r="D112" s="6"/>
      <c r="E112" s="6"/>
      <c r="F112" s="6"/>
      <c r="G112" s="6"/>
      <c r="H112" s="6"/>
      <c r="I112" s="6"/>
      <c r="J112" s="6"/>
      <c r="K112" s="6"/>
      <c r="L112" s="6"/>
      <c r="M112" s="31" t="s">
        <v>137</v>
      </c>
      <c r="N112" s="31" t="s">
        <v>138</v>
      </c>
    </row>
    <row r="113" customFormat="false" ht="15" hidden="false" customHeight="false" outlineLevel="0" collapsed="false">
      <c r="A113" s="6"/>
      <c r="B113" s="6"/>
      <c r="C113" s="6"/>
      <c r="D113" s="6"/>
      <c r="E113" s="6"/>
      <c r="F113" s="6"/>
      <c r="G113" s="6"/>
      <c r="H113" s="6"/>
      <c r="I113" s="6"/>
      <c r="J113" s="6"/>
      <c r="K113" s="6"/>
      <c r="L113" s="6"/>
      <c r="M113" s="6"/>
      <c r="N113" s="6"/>
    </row>
    <row r="114" customFormat="false" ht="15" hidden="false" customHeight="false" outlineLevel="0" collapsed="false">
      <c r="A114" s="6"/>
      <c r="B114" s="14" t="s">
        <v>139</v>
      </c>
      <c r="C114" s="15"/>
      <c r="D114" s="15"/>
      <c r="E114" s="15"/>
      <c r="F114" s="15"/>
      <c r="G114" s="15"/>
      <c r="H114" s="15"/>
      <c r="I114" s="15"/>
      <c r="J114" s="15"/>
      <c r="K114" s="15"/>
      <c r="L114" s="15"/>
      <c r="M114" s="6"/>
      <c r="N114" s="6"/>
    </row>
    <row r="115" customFormat="false" ht="15" hidden="false" customHeight="false" outlineLevel="0" collapsed="false">
      <c r="A115" s="6"/>
      <c r="B115" s="8" t="s">
        <v>105</v>
      </c>
      <c r="C115" s="34" t="n">
        <v>1</v>
      </c>
      <c r="D115" s="6"/>
      <c r="E115" s="6"/>
      <c r="F115" s="6"/>
      <c r="G115" s="6"/>
      <c r="H115" s="6"/>
      <c r="I115" s="6"/>
      <c r="J115" s="6"/>
      <c r="K115" s="6"/>
      <c r="L115" s="6"/>
      <c r="M115" s="6"/>
      <c r="N115" s="31" t="s">
        <v>140</v>
      </c>
    </row>
    <row r="116" customFormat="false" ht="15" hidden="false" customHeight="false" outlineLevel="0" collapsed="false">
      <c r="A116" s="6"/>
      <c r="B116" s="8" t="s">
        <v>107</v>
      </c>
      <c r="C116" s="34" t="n">
        <v>1</v>
      </c>
      <c r="D116" s="6"/>
      <c r="E116" s="6"/>
      <c r="F116" s="6"/>
      <c r="G116" s="6"/>
      <c r="H116" s="6"/>
      <c r="I116" s="6"/>
      <c r="J116" s="6"/>
      <c r="K116" s="6"/>
      <c r="L116" s="6"/>
      <c r="M116" s="6"/>
      <c r="N116" s="31" t="s">
        <v>140</v>
      </c>
    </row>
    <row r="117" customFormat="false" ht="15" hidden="false" customHeight="false" outlineLevel="0" collapsed="false">
      <c r="A117" s="6"/>
      <c r="B117" s="8" t="s">
        <v>109</v>
      </c>
      <c r="C117" s="34" t="n">
        <v>2</v>
      </c>
      <c r="D117" s="6"/>
      <c r="E117" s="6"/>
      <c r="F117" s="6"/>
      <c r="G117" s="6"/>
      <c r="H117" s="6"/>
      <c r="I117" s="6"/>
      <c r="J117" s="6"/>
      <c r="K117" s="6"/>
      <c r="L117" s="6"/>
      <c r="M117" s="6"/>
      <c r="N117" s="31" t="s">
        <v>140</v>
      </c>
    </row>
    <row r="118" customFormat="false" ht="15" hidden="false" customHeight="false" outlineLevel="0" collapsed="false">
      <c r="A118" s="6"/>
      <c r="B118" s="8" t="s">
        <v>111</v>
      </c>
      <c r="C118" s="34" t="n">
        <v>2</v>
      </c>
      <c r="D118" s="6"/>
      <c r="E118" s="6"/>
      <c r="F118" s="6"/>
      <c r="G118" s="6"/>
      <c r="H118" s="6"/>
      <c r="I118" s="6"/>
      <c r="J118" s="6"/>
      <c r="K118" s="6"/>
      <c r="L118" s="6"/>
      <c r="M118" s="6"/>
      <c r="N118" s="31" t="s">
        <v>140</v>
      </c>
    </row>
    <row r="119" customFormat="false" ht="15" hidden="false" customHeight="false" outlineLevel="0" collapsed="false">
      <c r="A119" s="6"/>
      <c r="B119" s="8" t="s">
        <v>113</v>
      </c>
      <c r="C119" s="34" t="n">
        <v>2</v>
      </c>
      <c r="D119" s="6"/>
      <c r="E119" s="6"/>
      <c r="F119" s="6"/>
      <c r="G119" s="6"/>
      <c r="H119" s="6"/>
      <c r="I119" s="6"/>
      <c r="J119" s="6"/>
      <c r="K119" s="6"/>
      <c r="L119" s="6"/>
      <c r="M119" s="6"/>
      <c r="N119" s="31" t="s">
        <v>140</v>
      </c>
    </row>
    <row r="120" customFormat="false" ht="15" hidden="false" customHeight="false" outlineLevel="0" collapsed="false">
      <c r="A120" s="6"/>
      <c r="B120" s="8" t="s">
        <v>115</v>
      </c>
      <c r="C120" s="34" t="n">
        <v>2</v>
      </c>
      <c r="D120" s="6"/>
      <c r="E120" s="6"/>
      <c r="F120" s="6"/>
      <c r="G120" s="6"/>
      <c r="H120" s="6"/>
      <c r="I120" s="6"/>
      <c r="J120" s="6"/>
      <c r="K120" s="6"/>
      <c r="L120" s="6"/>
      <c r="M120" s="6"/>
      <c r="N120" s="31" t="s">
        <v>140</v>
      </c>
    </row>
    <row r="121" customFormat="false" ht="15" hidden="false" customHeight="false" outlineLevel="0" collapsed="false">
      <c r="A121" s="6"/>
      <c r="B121" s="8" t="s">
        <v>117</v>
      </c>
      <c r="C121" s="34" t="n">
        <v>2</v>
      </c>
      <c r="D121" s="6"/>
      <c r="E121" s="6"/>
      <c r="F121" s="6"/>
      <c r="G121" s="6"/>
      <c r="H121" s="6"/>
      <c r="I121" s="6"/>
      <c r="J121" s="6"/>
      <c r="K121" s="6"/>
      <c r="L121" s="6"/>
      <c r="M121" s="6"/>
      <c r="N121" s="31" t="s">
        <v>140</v>
      </c>
    </row>
    <row r="122" customFormat="false" ht="15" hidden="false" customHeight="false" outlineLevel="0" collapsed="false">
      <c r="A122" s="6"/>
      <c r="B122" s="6"/>
      <c r="C122" s="6"/>
      <c r="D122" s="6"/>
      <c r="E122" s="6"/>
      <c r="F122" s="6"/>
      <c r="G122" s="6"/>
      <c r="H122" s="6"/>
      <c r="I122" s="6"/>
      <c r="J122" s="6"/>
      <c r="K122" s="6"/>
      <c r="L122" s="6"/>
      <c r="M122" s="6"/>
      <c r="N122" s="6"/>
    </row>
    <row r="123" customFormat="false" ht="15" hidden="false" customHeight="false" outlineLevel="0" collapsed="false">
      <c r="A123" s="6"/>
      <c r="B123" s="14" t="s">
        <v>141</v>
      </c>
      <c r="C123" s="15"/>
      <c r="D123" s="15"/>
      <c r="E123" s="15"/>
      <c r="F123" s="15"/>
      <c r="G123" s="15"/>
      <c r="H123" s="15"/>
      <c r="I123" s="15"/>
      <c r="J123" s="15"/>
      <c r="K123" s="15"/>
      <c r="L123" s="15"/>
      <c r="M123" s="6"/>
      <c r="N123" s="6"/>
    </row>
    <row r="124" customFormat="false" ht="15" hidden="false" customHeight="false" outlineLevel="0" collapsed="false">
      <c r="A124" s="6"/>
      <c r="B124" s="8" t="s">
        <v>105</v>
      </c>
      <c r="C124" s="34" t="n">
        <v>2</v>
      </c>
      <c r="D124" s="6"/>
      <c r="E124" s="6"/>
      <c r="F124" s="6"/>
      <c r="G124" s="6"/>
      <c r="H124" s="6"/>
      <c r="I124" s="6"/>
      <c r="J124" s="6"/>
      <c r="K124" s="6"/>
      <c r="L124" s="6"/>
      <c r="M124" s="6"/>
      <c r="N124" s="31" t="s">
        <v>142</v>
      </c>
    </row>
    <row r="125" customFormat="false" ht="15" hidden="false" customHeight="false" outlineLevel="0" collapsed="false">
      <c r="A125" s="6"/>
      <c r="B125" s="8" t="s">
        <v>107</v>
      </c>
      <c r="C125" s="34" t="n">
        <v>2</v>
      </c>
      <c r="D125" s="6"/>
      <c r="E125" s="6"/>
      <c r="F125" s="6"/>
      <c r="G125" s="6"/>
      <c r="H125" s="6"/>
      <c r="I125" s="6"/>
      <c r="J125" s="6"/>
      <c r="K125" s="6"/>
      <c r="L125" s="6"/>
      <c r="M125" s="6"/>
      <c r="N125" s="31" t="s">
        <v>142</v>
      </c>
    </row>
    <row r="126" customFormat="false" ht="15" hidden="false" customHeight="false" outlineLevel="0" collapsed="false">
      <c r="A126" s="6"/>
      <c r="B126" s="8" t="s">
        <v>109</v>
      </c>
      <c r="C126" s="34" t="n">
        <v>1</v>
      </c>
      <c r="D126" s="6"/>
      <c r="E126" s="6"/>
      <c r="F126" s="6"/>
      <c r="G126" s="6"/>
      <c r="H126" s="6"/>
      <c r="I126" s="6"/>
      <c r="J126" s="6"/>
      <c r="K126" s="6"/>
      <c r="L126" s="6"/>
      <c r="M126" s="6"/>
      <c r="N126" s="31" t="s">
        <v>142</v>
      </c>
    </row>
    <row r="127" customFormat="false" ht="15" hidden="false" customHeight="false" outlineLevel="0" collapsed="false">
      <c r="A127" s="6"/>
      <c r="B127" s="8" t="s">
        <v>111</v>
      </c>
      <c r="C127" s="34" t="n">
        <v>1</v>
      </c>
      <c r="D127" s="6"/>
      <c r="E127" s="6"/>
      <c r="F127" s="6"/>
      <c r="G127" s="6"/>
      <c r="H127" s="6"/>
      <c r="I127" s="6"/>
      <c r="J127" s="6"/>
      <c r="K127" s="6"/>
      <c r="L127" s="6"/>
      <c r="M127" s="6"/>
      <c r="N127" s="31" t="s">
        <v>142</v>
      </c>
    </row>
    <row r="128" customFormat="false" ht="15" hidden="false" customHeight="false" outlineLevel="0" collapsed="false">
      <c r="A128" s="6"/>
      <c r="B128" s="8" t="s">
        <v>113</v>
      </c>
      <c r="C128" s="34" t="n">
        <v>1</v>
      </c>
      <c r="D128" s="6"/>
      <c r="E128" s="6"/>
      <c r="F128" s="6"/>
      <c r="G128" s="6"/>
      <c r="H128" s="6"/>
      <c r="I128" s="6"/>
      <c r="J128" s="6"/>
      <c r="K128" s="6"/>
      <c r="L128" s="6"/>
      <c r="M128" s="6"/>
      <c r="N128" s="31" t="s">
        <v>142</v>
      </c>
    </row>
    <row r="129" customFormat="false" ht="15" hidden="false" customHeight="false" outlineLevel="0" collapsed="false">
      <c r="A129" s="6"/>
      <c r="B129" s="8" t="s">
        <v>115</v>
      </c>
      <c r="C129" s="34" t="n">
        <v>2</v>
      </c>
      <c r="D129" s="6"/>
      <c r="E129" s="6"/>
      <c r="F129" s="6"/>
      <c r="G129" s="6"/>
      <c r="H129" s="6"/>
      <c r="I129" s="6"/>
      <c r="J129" s="6"/>
      <c r="K129" s="6"/>
      <c r="L129" s="6"/>
      <c r="M129" s="6"/>
      <c r="N129" s="31" t="s">
        <v>142</v>
      </c>
    </row>
    <row r="130" customFormat="false" ht="15" hidden="false" customHeight="false" outlineLevel="0" collapsed="false">
      <c r="A130" s="6"/>
      <c r="B130" s="8" t="s">
        <v>117</v>
      </c>
      <c r="C130" s="34" t="n">
        <v>1</v>
      </c>
      <c r="D130" s="6"/>
      <c r="E130" s="6"/>
      <c r="F130" s="6"/>
      <c r="G130" s="6"/>
      <c r="H130" s="6"/>
      <c r="I130" s="6"/>
      <c r="J130" s="6"/>
      <c r="K130" s="6"/>
      <c r="L130" s="6"/>
      <c r="M130" s="6"/>
      <c r="N130" s="31" t="s">
        <v>142</v>
      </c>
    </row>
    <row r="131" customFormat="false" ht="15" hidden="false" customHeight="false" outlineLevel="0" collapsed="false">
      <c r="A131" s="6"/>
      <c r="B131" s="6"/>
      <c r="C131" s="6"/>
      <c r="D131" s="6"/>
      <c r="E131" s="6"/>
      <c r="F131" s="6"/>
      <c r="G131" s="6"/>
      <c r="H131" s="6"/>
      <c r="I131" s="6"/>
      <c r="J131" s="6"/>
      <c r="K131" s="6"/>
      <c r="L131" s="6"/>
      <c r="M131" s="6"/>
      <c r="N131" s="6"/>
    </row>
    <row r="132" customFormat="false" ht="15" hidden="false" customHeight="false" outlineLevel="0" collapsed="false">
      <c r="A132" s="6"/>
      <c r="B132" s="14" t="s">
        <v>143</v>
      </c>
      <c r="C132" s="15"/>
      <c r="D132" s="15"/>
      <c r="E132" s="15"/>
      <c r="F132" s="15"/>
      <c r="G132" s="15"/>
      <c r="H132" s="15"/>
      <c r="I132" s="15"/>
      <c r="J132" s="15"/>
      <c r="K132" s="15"/>
      <c r="L132" s="15"/>
      <c r="M132" s="6"/>
      <c r="N132" s="6"/>
    </row>
    <row r="133" customFormat="false" ht="15" hidden="false" customHeight="false" outlineLevel="0" collapsed="false">
      <c r="A133" s="6"/>
      <c r="B133" s="8" t="s">
        <v>144</v>
      </c>
      <c r="C133" s="32" t="n">
        <v>0.3</v>
      </c>
      <c r="D133" s="6"/>
      <c r="E133" s="6"/>
      <c r="F133" s="6"/>
      <c r="G133" s="6"/>
      <c r="H133" s="6"/>
      <c r="I133" s="6"/>
      <c r="J133" s="6"/>
      <c r="K133" s="6"/>
      <c r="L133" s="6"/>
      <c r="M133" s="31" t="s">
        <v>83</v>
      </c>
      <c r="N133" s="31" t="s">
        <v>145</v>
      </c>
    </row>
    <row r="134" customFormat="false" ht="15" hidden="false" customHeight="false" outlineLevel="0" collapsed="false">
      <c r="A134" s="6"/>
      <c r="B134" s="8" t="s">
        <v>146</v>
      </c>
      <c r="C134" s="32" t="n">
        <v>0.25</v>
      </c>
      <c r="D134" s="6"/>
      <c r="E134" s="6"/>
      <c r="F134" s="6"/>
      <c r="G134" s="6"/>
      <c r="H134" s="6"/>
      <c r="I134" s="6"/>
      <c r="J134" s="6"/>
      <c r="K134" s="6"/>
      <c r="L134" s="6"/>
      <c r="M134" s="31" t="s">
        <v>83</v>
      </c>
      <c r="N134" s="31" t="s">
        <v>145</v>
      </c>
    </row>
    <row r="135" customFormat="false" ht="15" hidden="false" customHeight="false" outlineLevel="0" collapsed="false">
      <c r="A135" s="6"/>
      <c r="B135" s="8" t="s">
        <v>147</v>
      </c>
      <c r="C135" s="32" t="n">
        <v>0.2</v>
      </c>
      <c r="D135" s="6"/>
      <c r="E135" s="6"/>
      <c r="F135" s="6"/>
      <c r="G135" s="6"/>
      <c r="H135" s="6"/>
      <c r="I135" s="6"/>
      <c r="J135" s="6"/>
      <c r="K135" s="6"/>
      <c r="L135" s="6"/>
      <c r="M135" s="31" t="s">
        <v>83</v>
      </c>
      <c r="N135" s="31" t="s">
        <v>145</v>
      </c>
    </row>
    <row r="136" customFormat="false" ht="15" hidden="false" customHeight="false" outlineLevel="0" collapsed="false">
      <c r="A136" s="6"/>
      <c r="B136" s="8" t="s">
        <v>148</v>
      </c>
      <c r="C136" s="32" t="n">
        <v>0.15</v>
      </c>
      <c r="D136" s="6"/>
      <c r="E136" s="6"/>
      <c r="F136" s="6"/>
      <c r="G136" s="6"/>
      <c r="H136" s="6"/>
      <c r="I136" s="6"/>
      <c r="J136" s="6"/>
      <c r="K136" s="6"/>
      <c r="L136" s="6"/>
      <c r="M136" s="31" t="s">
        <v>83</v>
      </c>
      <c r="N136" s="31" t="s">
        <v>145</v>
      </c>
    </row>
    <row r="137" customFormat="false" ht="15" hidden="false" customHeight="false" outlineLevel="0" collapsed="false">
      <c r="A137" s="6"/>
      <c r="B137" s="8" t="s">
        <v>149</v>
      </c>
      <c r="C137" s="32" t="n">
        <v>0.1</v>
      </c>
      <c r="D137" s="6"/>
      <c r="E137" s="6"/>
      <c r="F137" s="6"/>
      <c r="G137" s="6"/>
      <c r="H137" s="6"/>
      <c r="I137" s="6"/>
      <c r="J137" s="6"/>
      <c r="K137" s="6"/>
      <c r="L137" s="6"/>
      <c r="M137" s="31" t="s">
        <v>83</v>
      </c>
      <c r="N137" s="31" t="s">
        <v>145</v>
      </c>
    </row>
    <row r="138" customFormat="false" ht="15" hidden="false" customHeight="false" outlineLevel="0" collapsed="false">
      <c r="A138" s="6"/>
      <c r="B138" s="6"/>
      <c r="C138" s="6"/>
      <c r="D138" s="6"/>
      <c r="E138" s="6"/>
      <c r="F138" s="6"/>
      <c r="G138" s="6"/>
      <c r="H138" s="6"/>
      <c r="I138" s="6"/>
      <c r="J138" s="6"/>
      <c r="K138" s="6"/>
      <c r="L138" s="6"/>
      <c r="M138" s="6"/>
      <c r="N138" s="6"/>
    </row>
    <row r="139" customFormat="false" ht="15" hidden="false" customHeight="false" outlineLevel="0" collapsed="false">
      <c r="A139" s="6"/>
      <c r="B139" s="14" t="s">
        <v>150</v>
      </c>
      <c r="C139" s="15"/>
      <c r="D139" s="15"/>
      <c r="E139" s="15"/>
      <c r="F139" s="15"/>
      <c r="G139" s="15"/>
      <c r="H139" s="15"/>
      <c r="I139" s="15"/>
      <c r="J139" s="15"/>
      <c r="K139" s="15"/>
      <c r="L139" s="15"/>
      <c r="M139" s="6"/>
      <c r="N139" s="6"/>
    </row>
    <row r="140" customFormat="false" ht="15" hidden="false" customHeight="false" outlineLevel="0" collapsed="false">
      <c r="A140" s="6"/>
      <c r="B140" s="8" t="s">
        <v>151</v>
      </c>
      <c r="C140" s="30" t="n">
        <v>250</v>
      </c>
      <c r="D140" s="6"/>
      <c r="E140" s="6"/>
      <c r="F140" s="6"/>
      <c r="G140" s="6"/>
      <c r="H140" s="6"/>
      <c r="I140" s="6"/>
      <c r="J140" s="6"/>
      <c r="K140" s="6"/>
      <c r="L140" s="6"/>
      <c r="M140" s="31" t="s">
        <v>80</v>
      </c>
      <c r="N140" s="31" t="s">
        <v>152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6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2" min="3" style="0" width="13"/>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153</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16</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c r="J4" s="6"/>
      <c r="K4" s="6"/>
      <c r="L4" s="6"/>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7" t="s">
        <v>47</v>
      </c>
      <c r="C6" s="19" t="n">
        <v>1</v>
      </c>
      <c r="D6" s="19" t="n">
        <v>2</v>
      </c>
      <c r="E6" s="19" t="n">
        <v>3</v>
      </c>
      <c r="F6" s="19" t="n">
        <v>4</v>
      </c>
      <c r="G6" s="19" t="n">
        <v>5</v>
      </c>
      <c r="H6" s="19" t="n">
        <v>6</v>
      </c>
      <c r="I6" s="19" t="n">
        <v>7</v>
      </c>
      <c r="J6" s="19" t="n">
        <v>8</v>
      </c>
      <c r="K6" s="19" t="n">
        <v>9</v>
      </c>
      <c r="L6" s="19" t="n">
        <v>10</v>
      </c>
    </row>
    <row r="7" customFormat="false" ht="15" hidden="false" customHeight="false" outlineLevel="0" collapsed="false">
      <c r="A7" s="6"/>
      <c r="B7" s="6"/>
      <c r="C7" s="6"/>
      <c r="D7" s="6"/>
      <c r="E7" s="6"/>
      <c r="F7" s="6"/>
      <c r="G7" s="6"/>
      <c r="H7" s="6"/>
      <c r="I7" s="6"/>
      <c r="J7" s="6"/>
      <c r="K7" s="6"/>
      <c r="L7" s="6"/>
    </row>
    <row r="8" customFormat="false" ht="15" hidden="false" customHeight="false" outlineLevel="0" collapsed="false">
      <c r="A8" s="6"/>
      <c r="B8" s="14" t="s">
        <v>154</v>
      </c>
      <c r="C8" s="15"/>
      <c r="D8" s="15"/>
      <c r="E8" s="15"/>
      <c r="F8" s="15"/>
      <c r="G8" s="15"/>
      <c r="H8" s="15"/>
      <c r="I8" s="15"/>
      <c r="J8" s="15"/>
      <c r="K8" s="15"/>
      <c r="L8" s="15"/>
    </row>
    <row r="9" customFormat="false" ht="15" hidden="false" customHeight="false" outlineLevel="0" collapsed="false">
      <c r="A9" s="6"/>
      <c r="B9" s="20" t="s">
        <v>49</v>
      </c>
      <c r="C9" s="22" t="n">
        <f aca="false">Total_Portfolio*Alloc_PE</f>
        <v>125</v>
      </c>
      <c r="D9" s="22" t="n">
        <f aca="false">Total_Portfolio*Alloc_PE</f>
        <v>125</v>
      </c>
      <c r="E9" s="22" t="n">
        <f aca="false">Total_Portfolio*Alloc_PE</f>
        <v>125</v>
      </c>
      <c r="F9" s="22" t="n">
        <f aca="false">Total_Portfolio*Alloc_PE</f>
        <v>125</v>
      </c>
      <c r="G9" s="22" t="n">
        <f aca="false">Total_Portfolio*Alloc_PE</f>
        <v>125</v>
      </c>
      <c r="H9" s="22" t="n">
        <f aca="false">Total_Portfolio*Alloc_PE</f>
        <v>125</v>
      </c>
      <c r="I9" s="22" t="n">
        <f aca="false">Total_Portfolio*Alloc_PE</f>
        <v>125</v>
      </c>
      <c r="J9" s="22" t="n">
        <f aca="false">Total_Portfolio*Alloc_PE</f>
        <v>125</v>
      </c>
      <c r="K9" s="22" t="n">
        <f aca="false">Total_Portfolio*Alloc_PE</f>
        <v>125</v>
      </c>
      <c r="L9" s="22" t="n">
        <f aca="false">Total_Portfolio*Alloc_PE</f>
        <v>125</v>
      </c>
    </row>
    <row r="10" customFormat="false" ht="15" hidden="false" customHeight="false" outlineLevel="0" collapsed="false">
      <c r="A10" s="6"/>
      <c r="B10" s="20" t="s">
        <v>50</v>
      </c>
      <c r="C10" s="22" t="n">
        <f aca="false">Total_Portfolio*Alloc_VC</f>
        <v>60</v>
      </c>
      <c r="D10" s="22" t="n">
        <f aca="false">Total_Portfolio*Alloc_VC</f>
        <v>60</v>
      </c>
      <c r="E10" s="22" t="n">
        <f aca="false">Total_Portfolio*Alloc_VC</f>
        <v>60</v>
      </c>
      <c r="F10" s="22" t="n">
        <f aca="false">Total_Portfolio*Alloc_VC</f>
        <v>60</v>
      </c>
      <c r="G10" s="22" t="n">
        <f aca="false">Total_Portfolio*Alloc_VC</f>
        <v>60</v>
      </c>
      <c r="H10" s="22" t="n">
        <f aca="false">Total_Portfolio*Alloc_VC</f>
        <v>60</v>
      </c>
      <c r="I10" s="22" t="n">
        <f aca="false">Total_Portfolio*Alloc_VC</f>
        <v>60</v>
      </c>
      <c r="J10" s="22" t="n">
        <f aca="false">Total_Portfolio*Alloc_VC</f>
        <v>60</v>
      </c>
      <c r="K10" s="22" t="n">
        <f aca="false">Total_Portfolio*Alloc_VC</f>
        <v>60</v>
      </c>
      <c r="L10" s="22" t="n">
        <f aca="false">Total_Portfolio*Alloc_VC</f>
        <v>60</v>
      </c>
    </row>
    <row r="11" customFormat="false" ht="15" hidden="false" customHeight="false" outlineLevel="0" collapsed="false">
      <c r="A11" s="6"/>
      <c r="B11" s="20" t="s">
        <v>51</v>
      </c>
      <c r="C11" s="22" t="n">
        <f aca="false">Total_Portfolio*Alloc_HF</f>
        <v>50</v>
      </c>
      <c r="D11" s="22" t="n">
        <f aca="false">Total_Portfolio*Alloc_HF</f>
        <v>50</v>
      </c>
      <c r="E11" s="22" t="n">
        <f aca="false">Total_Portfolio*Alloc_HF</f>
        <v>50</v>
      </c>
      <c r="F11" s="22" t="n">
        <f aca="false">Total_Portfolio*Alloc_HF</f>
        <v>50</v>
      </c>
      <c r="G11" s="22" t="n">
        <f aca="false">Total_Portfolio*Alloc_HF</f>
        <v>50</v>
      </c>
      <c r="H11" s="22" t="n">
        <f aca="false">Total_Portfolio*Alloc_HF</f>
        <v>50</v>
      </c>
      <c r="I11" s="22" t="n">
        <f aca="false">Total_Portfolio*Alloc_HF</f>
        <v>50</v>
      </c>
      <c r="J11" s="22" t="n">
        <f aca="false">Total_Portfolio*Alloc_HF</f>
        <v>50</v>
      </c>
      <c r="K11" s="22" t="n">
        <f aca="false">Total_Portfolio*Alloc_HF</f>
        <v>50</v>
      </c>
      <c r="L11" s="22" t="n">
        <f aca="false">Total_Portfolio*Alloc_HF</f>
        <v>50</v>
      </c>
    </row>
    <row r="12" customFormat="false" ht="15" hidden="false" customHeight="false" outlineLevel="0" collapsed="false">
      <c r="A12" s="6"/>
      <c r="B12" s="20" t="s">
        <v>52</v>
      </c>
      <c r="C12" s="22" t="n">
        <f aca="false">Total_Portfolio*Alloc_RE</f>
        <v>75</v>
      </c>
      <c r="D12" s="22" t="n">
        <f aca="false">Total_Portfolio*Alloc_RE</f>
        <v>75</v>
      </c>
      <c r="E12" s="22" t="n">
        <f aca="false">Total_Portfolio*Alloc_RE</f>
        <v>75</v>
      </c>
      <c r="F12" s="22" t="n">
        <f aca="false">Total_Portfolio*Alloc_RE</f>
        <v>75</v>
      </c>
      <c r="G12" s="22" t="n">
        <f aca="false">Total_Portfolio*Alloc_RE</f>
        <v>75</v>
      </c>
      <c r="H12" s="22" t="n">
        <f aca="false">Total_Portfolio*Alloc_RE</f>
        <v>75</v>
      </c>
      <c r="I12" s="22" t="n">
        <f aca="false">Total_Portfolio*Alloc_RE</f>
        <v>75</v>
      </c>
      <c r="J12" s="22" t="n">
        <f aca="false">Total_Portfolio*Alloc_RE</f>
        <v>75</v>
      </c>
      <c r="K12" s="22" t="n">
        <f aca="false">Total_Portfolio*Alloc_RE</f>
        <v>75</v>
      </c>
      <c r="L12" s="22" t="n">
        <f aca="false">Total_Portfolio*Alloc_RE</f>
        <v>75</v>
      </c>
    </row>
    <row r="13" customFormat="false" ht="15" hidden="false" customHeight="false" outlineLevel="0" collapsed="false">
      <c r="A13" s="6"/>
      <c r="B13" s="20" t="s">
        <v>53</v>
      </c>
      <c r="C13" s="22" t="n">
        <f aca="false">Total_Portfolio*Alloc_Infra</f>
        <v>50</v>
      </c>
      <c r="D13" s="22" t="n">
        <f aca="false">Total_Portfolio*Alloc_Infra</f>
        <v>50</v>
      </c>
      <c r="E13" s="22" t="n">
        <f aca="false">Total_Portfolio*Alloc_Infra</f>
        <v>50</v>
      </c>
      <c r="F13" s="22" t="n">
        <f aca="false">Total_Portfolio*Alloc_Infra</f>
        <v>50</v>
      </c>
      <c r="G13" s="22" t="n">
        <f aca="false">Total_Portfolio*Alloc_Infra</f>
        <v>50</v>
      </c>
      <c r="H13" s="22" t="n">
        <f aca="false">Total_Portfolio*Alloc_Infra</f>
        <v>50</v>
      </c>
      <c r="I13" s="22" t="n">
        <f aca="false">Total_Portfolio*Alloc_Infra</f>
        <v>50</v>
      </c>
      <c r="J13" s="22" t="n">
        <f aca="false">Total_Portfolio*Alloc_Infra</f>
        <v>50</v>
      </c>
      <c r="K13" s="22" t="n">
        <f aca="false">Total_Portfolio*Alloc_Infra</f>
        <v>50</v>
      </c>
      <c r="L13" s="22" t="n">
        <f aca="false">Total_Portfolio*Alloc_Infra</f>
        <v>50</v>
      </c>
    </row>
    <row r="14" customFormat="false" ht="15" hidden="false" customHeight="false" outlineLevel="0" collapsed="false">
      <c r="A14" s="6"/>
      <c r="B14" s="20" t="s">
        <v>54</v>
      </c>
      <c r="C14" s="22" t="n">
        <f aca="false">Total_Portfolio*Alloc_PC</f>
        <v>65</v>
      </c>
      <c r="D14" s="22" t="n">
        <f aca="false">Total_Portfolio*Alloc_PC</f>
        <v>65</v>
      </c>
      <c r="E14" s="22" t="n">
        <f aca="false">Total_Portfolio*Alloc_PC</f>
        <v>65</v>
      </c>
      <c r="F14" s="22" t="n">
        <f aca="false">Total_Portfolio*Alloc_PC</f>
        <v>65</v>
      </c>
      <c r="G14" s="22" t="n">
        <f aca="false">Total_Portfolio*Alloc_PC</f>
        <v>65</v>
      </c>
      <c r="H14" s="22" t="n">
        <f aca="false">Total_Portfolio*Alloc_PC</f>
        <v>65</v>
      </c>
      <c r="I14" s="22" t="n">
        <f aca="false">Total_Portfolio*Alloc_PC</f>
        <v>65</v>
      </c>
      <c r="J14" s="22" t="n">
        <f aca="false">Total_Portfolio*Alloc_PC</f>
        <v>65</v>
      </c>
      <c r="K14" s="22" t="n">
        <f aca="false">Total_Portfolio*Alloc_PC</f>
        <v>65</v>
      </c>
      <c r="L14" s="22" t="n">
        <f aca="false">Total_Portfolio*Alloc_PC</f>
        <v>65</v>
      </c>
    </row>
    <row r="15" customFormat="false" ht="15" hidden="false" customHeight="false" outlineLevel="0" collapsed="false">
      <c r="A15" s="6"/>
      <c r="B15" s="20" t="s">
        <v>55</v>
      </c>
      <c r="C15" s="22" t="n">
        <f aca="false">Total_Portfolio*Alloc_Liq</f>
        <v>75</v>
      </c>
      <c r="D15" s="22" t="n">
        <f aca="false">Total_Portfolio*Alloc_Liq</f>
        <v>75</v>
      </c>
      <c r="E15" s="22" t="n">
        <f aca="false">Total_Portfolio*Alloc_Liq</f>
        <v>75</v>
      </c>
      <c r="F15" s="22" t="n">
        <f aca="false">Total_Portfolio*Alloc_Liq</f>
        <v>75</v>
      </c>
      <c r="G15" s="22" t="n">
        <f aca="false">Total_Portfolio*Alloc_Liq</f>
        <v>75</v>
      </c>
      <c r="H15" s="22" t="n">
        <f aca="false">Total_Portfolio*Alloc_Liq</f>
        <v>75</v>
      </c>
      <c r="I15" s="22" t="n">
        <f aca="false">Total_Portfolio*Alloc_Liq</f>
        <v>75</v>
      </c>
      <c r="J15" s="22" t="n">
        <f aca="false">Total_Portfolio*Alloc_Liq</f>
        <v>75</v>
      </c>
      <c r="K15" s="22" t="n">
        <f aca="false">Total_Portfolio*Alloc_Liq</f>
        <v>75</v>
      </c>
      <c r="L15" s="22" t="n">
        <f aca="false">Total_Portfolio*Alloc_Liq</f>
        <v>75</v>
      </c>
    </row>
    <row r="16" customFormat="false" ht="15" hidden="false" customHeight="false" outlineLevel="0" collapsed="false">
      <c r="A16" s="6"/>
      <c r="B16" s="23" t="s">
        <v>155</v>
      </c>
      <c r="C16" s="24" t="n">
        <f aca="false">SUM(C9:C15)</f>
        <v>500</v>
      </c>
      <c r="D16" s="24" t="n">
        <f aca="false">SUM(D9:D15)</f>
        <v>500</v>
      </c>
      <c r="E16" s="24" t="n">
        <f aca="false">SUM(E9:E15)</f>
        <v>500</v>
      </c>
      <c r="F16" s="24" t="n">
        <f aca="false">SUM(F9:F15)</f>
        <v>500</v>
      </c>
      <c r="G16" s="24" t="n">
        <f aca="false">SUM(G9:G15)</f>
        <v>500</v>
      </c>
      <c r="H16" s="24" t="n">
        <f aca="false">SUM(H9:H15)</f>
        <v>500</v>
      </c>
      <c r="I16" s="24" t="n">
        <f aca="false">SUM(I9:I15)</f>
        <v>500</v>
      </c>
      <c r="J16" s="24" t="n">
        <f aca="false">SUM(J9:J15)</f>
        <v>500</v>
      </c>
      <c r="K16" s="24" t="n">
        <f aca="false">SUM(K9:K15)</f>
        <v>500</v>
      </c>
      <c r="L16" s="24" t="n">
        <f aca="false">SUM(L9:L15)</f>
        <v>500</v>
      </c>
    </row>
    <row r="17" customFormat="false" ht="15" hidden="false" customHeight="false" outlineLevel="0" collapsed="false">
      <c r="A17" s="6"/>
      <c r="B17" s="6"/>
      <c r="C17" s="6"/>
      <c r="D17" s="6"/>
      <c r="E17" s="6"/>
      <c r="F17" s="6"/>
      <c r="G17" s="6"/>
      <c r="H17" s="6"/>
      <c r="I17" s="6"/>
      <c r="J17" s="6"/>
      <c r="K17" s="6"/>
      <c r="L17" s="6"/>
    </row>
    <row r="18" customFormat="false" ht="15" hidden="false" customHeight="false" outlineLevel="0" collapsed="false">
      <c r="A18" s="6"/>
      <c r="B18" s="14" t="s">
        <v>156</v>
      </c>
      <c r="C18" s="15"/>
      <c r="D18" s="15"/>
      <c r="E18" s="15"/>
      <c r="F18" s="15"/>
      <c r="G18" s="15"/>
      <c r="H18" s="15"/>
      <c r="I18" s="15"/>
      <c r="J18" s="15"/>
      <c r="K18" s="15"/>
      <c r="L18" s="15"/>
    </row>
    <row r="19" customFormat="false" ht="15" hidden="false" customHeight="false" outlineLevel="0" collapsed="false">
      <c r="A19" s="6"/>
      <c r="B19" s="20" t="s">
        <v>49</v>
      </c>
      <c r="C19" s="22" t="n">
        <f aca="false">Total_New_Commit*Alloc_PE*Over_Commit_Ratio*VintagePace_1</f>
        <v>24.375</v>
      </c>
      <c r="D19" s="22" t="n">
        <f aca="false">Total_New_Commit*Alloc_PE*Over_Commit_Ratio*VintagePace_2</f>
        <v>20.3125</v>
      </c>
      <c r="E19" s="22" t="n">
        <f aca="false">Total_New_Commit*Alloc_PE*Over_Commit_Ratio*VintagePace_3</f>
        <v>16.25</v>
      </c>
      <c r="F19" s="22" t="n">
        <f aca="false">Total_New_Commit*Alloc_PE*Over_Commit_Ratio*VintagePace_4</f>
        <v>12.1875</v>
      </c>
      <c r="G19" s="22" t="n">
        <f aca="false">Total_New_Commit*Alloc_PE*Over_Commit_Ratio*VintagePace_5</f>
        <v>8.125</v>
      </c>
      <c r="H19" s="22" t="n">
        <f aca="false">0</f>
        <v>0</v>
      </c>
      <c r="I19" s="22" t="n">
        <f aca="false">0</f>
        <v>0</v>
      </c>
      <c r="J19" s="22" t="n">
        <f aca="false">0</f>
        <v>0</v>
      </c>
      <c r="K19" s="22" t="n">
        <f aca="false">0</f>
        <v>0</v>
      </c>
      <c r="L19" s="22" t="n">
        <f aca="false">0</f>
        <v>0</v>
      </c>
    </row>
    <row r="20" customFormat="false" ht="15" hidden="false" customHeight="false" outlineLevel="0" collapsed="false">
      <c r="A20" s="6"/>
      <c r="B20" s="20" t="s">
        <v>50</v>
      </c>
      <c r="C20" s="22" t="n">
        <f aca="false">Total_New_Commit*Alloc_VC*Over_Commit_Ratio*VintagePace_1</f>
        <v>11.7</v>
      </c>
      <c r="D20" s="22" t="n">
        <f aca="false">Total_New_Commit*Alloc_VC*Over_Commit_Ratio*VintagePace_2</f>
        <v>9.75</v>
      </c>
      <c r="E20" s="22" t="n">
        <f aca="false">Total_New_Commit*Alloc_VC*Over_Commit_Ratio*VintagePace_3</f>
        <v>7.8</v>
      </c>
      <c r="F20" s="22" t="n">
        <f aca="false">Total_New_Commit*Alloc_VC*Over_Commit_Ratio*VintagePace_4</f>
        <v>5.85</v>
      </c>
      <c r="G20" s="22" t="n">
        <f aca="false">Total_New_Commit*Alloc_VC*Over_Commit_Ratio*VintagePace_5</f>
        <v>3.9</v>
      </c>
      <c r="H20" s="22" t="n">
        <f aca="false">0</f>
        <v>0</v>
      </c>
      <c r="I20" s="22" t="n">
        <f aca="false">0</f>
        <v>0</v>
      </c>
      <c r="J20" s="22" t="n">
        <f aca="false">0</f>
        <v>0</v>
      </c>
      <c r="K20" s="22" t="n">
        <f aca="false">0</f>
        <v>0</v>
      </c>
      <c r="L20" s="22" t="n">
        <f aca="false">0</f>
        <v>0</v>
      </c>
    </row>
    <row r="21" customFormat="false" ht="15" hidden="false" customHeight="false" outlineLevel="0" collapsed="false">
      <c r="A21" s="6"/>
      <c r="B21" s="20" t="s">
        <v>51</v>
      </c>
      <c r="C21" s="22" t="n">
        <f aca="false">Total_New_Commit*Alloc_HF*VintagePace_1</f>
        <v>7.5</v>
      </c>
      <c r="D21" s="22" t="n">
        <f aca="false">Total_New_Commit*Alloc_HF*VintagePace_2</f>
        <v>6.25</v>
      </c>
      <c r="E21" s="22" t="n">
        <f aca="false">Total_New_Commit*Alloc_HF*VintagePace_3</f>
        <v>5</v>
      </c>
      <c r="F21" s="22" t="n">
        <f aca="false">Total_New_Commit*Alloc_HF*VintagePace_4</f>
        <v>3.75</v>
      </c>
      <c r="G21" s="22" t="n">
        <f aca="false">Total_New_Commit*Alloc_HF*VintagePace_5</f>
        <v>2.5</v>
      </c>
      <c r="H21" s="22" t="n">
        <f aca="false">0</f>
        <v>0</v>
      </c>
      <c r="I21" s="22" t="n">
        <f aca="false">0</f>
        <v>0</v>
      </c>
      <c r="J21" s="22" t="n">
        <f aca="false">0</f>
        <v>0</v>
      </c>
      <c r="K21" s="22" t="n">
        <f aca="false">0</f>
        <v>0</v>
      </c>
      <c r="L21" s="22" t="n">
        <f aca="false">0</f>
        <v>0</v>
      </c>
    </row>
    <row r="22" customFormat="false" ht="15" hidden="false" customHeight="false" outlineLevel="0" collapsed="false">
      <c r="A22" s="6"/>
      <c r="B22" s="20" t="s">
        <v>52</v>
      </c>
      <c r="C22" s="22" t="n">
        <f aca="false">Total_New_Commit*Alloc_RE*Over_Commit_Ratio*VintagePace_1</f>
        <v>14.625</v>
      </c>
      <c r="D22" s="22" t="n">
        <f aca="false">Total_New_Commit*Alloc_RE*Over_Commit_Ratio*VintagePace_2</f>
        <v>12.1875</v>
      </c>
      <c r="E22" s="22" t="n">
        <f aca="false">Total_New_Commit*Alloc_RE*Over_Commit_Ratio*VintagePace_3</f>
        <v>9.75</v>
      </c>
      <c r="F22" s="22" t="n">
        <f aca="false">Total_New_Commit*Alloc_RE*Over_Commit_Ratio*VintagePace_4</f>
        <v>7.3125</v>
      </c>
      <c r="G22" s="22" t="n">
        <f aca="false">Total_New_Commit*Alloc_RE*Over_Commit_Ratio*VintagePace_5</f>
        <v>4.875</v>
      </c>
      <c r="H22" s="22" t="n">
        <f aca="false">0</f>
        <v>0</v>
      </c>
      <c r="I22" s="22" t="n">
        <f aca="false">0</f>
        <v>0</v>
      </c>
      <c r="J22" s="22" t="n">
        <f aca="false">0</f>
        <v>0</v>
      </c>
      <c r="K22" s="22" t="n">
        <f aca="false">0</f>
        <v>0</v>
      </c>
      <c r="L22" s="22" t="n">
        <f aca="false">0</f>
        <v>0</v>
      </c>
    </row>
    <row r="23" customFormat="false" ht="15" hidden="false" customHeight="false" outlineLevel="0" collapsed="false">
      <c r="A23" s="6"/>
      <c r="B23" s="20" t="s">
        <v>53</v>
      </c>
      <c r="C23" s="22" t="n">
        <f aca="false">Total_New_Commit*Alloc_Infra*Over_Commit_Ratio*VintagePace_1</f>
        <v>9.75</v>
      </c>
      <c r="D23" s="22" t="n">
        <f aca="false">Total_New_Commit*Alloc_Infra*Over_Commit_Ratio*VintagePace_2</f>
        <v>8.125</v>
      </c>
      <c r="E23" s="22" t="n">
        <f aca="false">Total_New_Commit*Alloc_Infra*Over_Commit_Ratio*VintagePace_3</f>
        <v>6.5</v>
      </c>
      <c r="F23" s="22" t="n">
        <f aca="false">Total_New_Commit*Alloc_Infra*Over_Commit_Ratio*VintagePace_4</f>
        <v>4.875</v>
      </c>
      <c r="G23" s="22" t="n">
        <f aca="false">Total_New_Commit*Alloc_Infra*Over_Commit_Ratio*VintagePace_5</f>
        <v>3.25</v>
      </c>
      <c r="H23" s="22" t="n">
        <f aca="false">0</f>
        <v>0</v>
      </c>
      <c r="I23" s="22" t="n">
        <f aca="false">0</f>
        <v>0</v>
      </c>
      <c r="J23" s="22" t="n">
        <f aca="false">0</f>
        <v>0</v>
      </c>
      <c r="K23" s="22" t="n">
        <f aca="false">0</f>
        <v>0</v>
      </c>
      <c r="L23" s="22" t="n">
        <f aca="false">0</f>
        <v>0</v>
      </c>
    </row>
    <row r="24" customFormat="false" ht="15" hidden="false" customHeight="false" outlineLevel="0" collapsed="false">
      <c r="A24" s="6"/>
      <c r="B24" s="20" t="s">
        <v>54</v>
      </c>
      <c r="C24" s="22" t="n">
        <f aca="false">Total_New_Commit*Alloc_PC*Over_Commit_Ratio*VintagePace_1</f>
        <v>12.675</v>
      </c>
      <c r="D24" s="22" t="n">
        <f aca="false">Total_New_Commit*Alloc_PC*Over_Commit_Ratio*VintagePace_2</f>
        <v>10.5625</v>
      </c>
      <c r="E24" s="22" t="n">
        <f aca="false">Total_New_Commit*Alloc_PC*Over_Commit_Ratio*VintagePace_3</f>
        <v>8.45</v>
      </c>
      <c r="F24" s="22" t="n">
        <f aca="false">Total_New_Commit*Alloc_PC*Over_Commit_Ratio*VintagePace_4</f>
        <v>6.3375</v>
      </c>
      <c r="G24" s="22" t="n">
        <f aca="false">Total_New_Commit*Alloc_PC*Over_Commit_Ratio*VintagePace_5</f>
        <v>4.225</v>
      </c>
      <c r="H24" s="22" t="n">
        <f aca="false">0</f>
        <v>0</v>
      </c>
      <c r="I24" s="22" t="n">
        <f aca="false">0</f>
        <v>0</v>
      </c>
      <c r="J24" s="22" t="n">
        <f aca="false">0</f>
        <v>0</v>
      </c>
      <c r="K24" s="22" t="n">
        <f aca="false">0</f>
        <v>0</v>
      </c>
      <c r="L24" s="22" t="n">
        <f aca="false">0</f>
        <v>0</v>
      </c>
    </row>
    <row r="25" customFormat="false" ht="15" hidden="false" customHeight="false" outlineLevel="0" collapsed="false">
      <c r="A25" s="6"/>
      <c r="B25" s="20" t="s">
        <v>55</v>
      </c>
      <c r="C25" s="22" t="n">
        <f aca="false">Total_New_Commit*Alloc_Liq*VintagePace_1</f>
        <v>11.25</v>
      </c>
      <c r="D25" s="22" t="n">
        <f aca="false">Total_New_Commit*Alloc_Liq*VintagePace_2</f>
        <v>9.375</v>
      </c>
      <c r="E25" s="22" t="n">
        <f aca="false">Total_New_Commit*Alloc_Liq*VintagePace_3</f>
        <v>7.5</v>
      </c>
      <c r="F25" s="22" t="n">
        <f aca="false">Total_New_Commit*Alloc_Liq*VintagePace_4</f>
        <v>5.625</v>
      </c>
      <c r="G25" s="22" t="n">
        <f aca="false">Total_New_Commit*Alloc_Liq*VintagePace_5</f>
        <v>3.75</v>
      </c>
      <c r="H25" s="22" t="n">
        <f aca="false">0</f>
        <v>0</v>
      </c>
      <c r="I25" s="22" t="n">
        <f aca="false">0</f>
        <v>0</v>
      </c>
      <c r="J25" s="22" t="n">
        <f aca="false">0</f>
        <v>0</v>
      </c>
      <c r="K25" s="22" t="n">
        <f aca="false">0</f>
        <v>0</v>
      </c>
      <c r="L25" s="22" t="n">
        <f aca="false">0</f>
        <v>0</v>
      </c>
    </row>
    <row r="26" customFormat="false" ht="15" hidden="false" customHeight="false" outlineLevel="0" collapsed="false">
      <c r="A26" s="6"/>
      <c r="B26" s="23" t="s">
        <v>157</v>
      </c>
      <c r="C26" s="24" t="n">
        <f aca="false">SUM(C19:C25)</f>
        <v>91.875</v>
      </c>
      <c r="D26" s="24" t="n">
        <f aca="false">SUM(D19:D25)</f>
        <v>76.5625</v>
      </c>
      <c r="E26" s="24" t="n">
        <f aca="false">SUM(E19:E25)</f>
        <v>61.25</v>
      </c>
      <c r="F26" s="24" t="n">
        <f aca="false">SUM(F19:F25)</f>
        <v>45.9375</v>
      </c>
      <c r="G26" s="24" t="n">
        <f aca="false">SUM(G19:G25)</f>
        <v>30.625</v>
      </c>
      <c r="H26" s="24" t="n">
        <f aca="false">SUM(H19:H25)</f>
        <v>0</v>
      </c>
      <c r="I26" s="24" t="n">
        <f aca="false">SUM(I19:I25)</f>
        <v>0</v>
      </c>
      <c r="J26" s="24" t="n">
        <f aca="false">SUM(J19:J25)</f>
        <v>0</v>
      </c>
      <c r="K26" s="24" t="n">
        <f aca="false">SUM(K19:K25)</f>
        <v>0</v>
      </c>
      <c r="L26" s="24" t="n">
        <f aca="false">SUM(L19:L25)</f>
        <v>0</v>
      </c>
    </row>
    <row r="27" customFormat="false" ht="15" hidden="false" customHeight="false" outlineLevel="0" collapsed="false">
      <c r="A27" s="6"/>
      <c r="B27" s="6"/>
      <c r="C27" s="6"/>
      <c r="D27" s="6"/>
      <c r="E27" s="6"/>
      <c r="F27" s="6"/>
      <c r="G27" s="6"/>
      <c r="H27" s="6"/>
      <c r="I27" s="6"/>
      <c r="J27" s="6"/>
      <c r="K27" s="6"/>
      <c r="L27" s="6"/>
    </row>
    <row r="28" customFormat="false" ht="15" hidden="false" customHeight="false" outlineLevel="0" collapsed="false">
      <c r="A28" s="6"/>
      <c r="B28" s="14" t="s">
        <v>158</v>
      </c>
      <c r="C28" s="15"/>
      <c r="D28" s="15"/>
      <c r="E28" s="15"/>
      <c r="F28" s="15"/>
      <c r="G28" s="15"/>
      <c r="H28" s="15"/>
      <c r="I28" s="15"/>
      <c r="J28" s="15"/>
      <c r="K28" s="15"/>
      <c r="L28" s="15"/>
    </row>
    <row r="29" customFormat="false" ht="15" hidden="false" customHeight="false" outlineLevel="0" collapsed="false">
      <c r="A29" s="6"/>
      <c r="B29" s="20" t="s">
        <v>49</v>
      </c>
      <c r="C29" s="22" t="n">
        <f aca="false">C19</f>
        <v>24.375</v>
      </c>
      <c r="D29" s="22" t="n">
        <f aca="false">C29+D19</f>
        <v>44.6875</v>
      </c>
      <c r="E29" s="22" t="n">
        <f aca="false">D29+E19</f>
        <v>60.9375</v>
      </c>
      <c r="F29" s="22" t="n">
        <f aca="false">E29+F19</f>
        <v>73.125</v>
      </c>
      <c r="G29" s="22" t="n">
        <f aca="false">F29+G19</f>
        <v>81.25</v>
      </c>
      <c r="H29" s="22" t="n">
        <f aca="false">G29+H19</f>
        <v>81.25</v>
      </c>
      <c r="I29" s="22" t="n">
        <f aca="false">H29+I19</f>
        <v>81.25</v>
      </c>
      <c r="J29" s="22" t="n">
        <f aca="false">I29+J19</f>
        <v>81.25</v>
      </c>
      <c r="K29" s="22" t="n">
        <f aca="false">J29+K19</f>
        <v>81.25</v>
      </c>
      <c r="L29" s="22" t="n">
        <f aca="false">K29+L19</f>
        <v>81.25</v>
      </c>
    </row>
    <row r="30" customFormat="false" ht="15" hidden="false" customHeight="false" outlineLevel="0" collapsed="false">
      <c r="A30" s="6"/>
      <c r="B30" s="20" t="s">
        <v>50</v>
      </c>
      <c r="C30" s="22" t="n">
        <f aca="false">C20</f>
        <v>11.7</v>
      </c>
      <c r="D30" s="22" t="n">
        <f aca="false">C30+D20</f>
        <v>21.45</v>
      </c>
      <c r="E30" s="22" t="n">
        <f aca="false">D30+E20</f>
        <v>29.25</v>
      </c>
      <c r="F30" s="22" t="n">
        <f aca="false">E30+F20</f>
        <v>35.1</v>
      </c>
      <c r="G30" s="22" t="n">
        <f aca="false">F30+G20</f>
        <v>39</v>
      </c>
      <c r="H30" s="22" t="n">
        <f aca="false">G30+H20</f>
        <v>39</v>
      </c>
      <c r="I30" s="22" t="n">
        <f aca="false">H30+I20</f>
        <v>39</v>
      </c>
      <c r="J30" s="22" t="n">
        <f aca="false">I30+J20</f>
        <v>39</v>
      </c>
      <c r="K30" s="22" t="n">
        <f aca="false">J30+K20</f>
        <v>39</v>
      </c>
      <c r="L30" s="22" t="n">
        <f aca="false">K30+L20</f>
        <v>39</v>
      </c>
    </row>
    <row r="31" customFormat="false" ht="15" hidden="false" customHeight="false" outlineLevel="0" collapsed="false">
      <c r="A31" s="6"/>
      <c r="B31" s="20" t="s">
        <v>51</v>
      </c>
      <c r="C31" s="22" t="n">
        <f aca="false">C21</f>
        <v>7.5</v>
      </c>
      <c r="D31" s="22" t="n">
        <f aca="false">C31+D21</f>
        <v>13.75</v>
      </c>
      <c r="E31" s="22" t="n">
        <f aca="false">D31+E21</f>
        <v>18.75</v>
      </c>
      <c r="F31" s="22" t="n">
        <f aca="false">E31+F21</f>
        <v>22.5</v>
      </c>
      <c r="G31" s="22" t="n">
        <f aca="false">F31+G21</f>
        <v>25</v>
      </c>
      <c r="H31" s="22" t="n">
        <f aca="false">G31+H21</f>
        <v>25</v>
      </c>
      <c r="I31" s="22" t="n">
        <f aca="false">H31+I21</f>
        <v>25</v>
      </c>
      <c r="J31" s="22" t="n">
        <f aca="false">I31+J21</f>
        <v>25</v>
      </c>
      <c r="K31" s="22" t="n">
        <f aca="false">J31+K21</f>
        <v>25</v>
      </c>
      <c r="L31" s="22" t="n">
        <f aca="false">K31+L21</f>
        <v>25</v>
      </c>
    </row>
    <row r="32" customFormat="false" ht="15" hidden="false" customHeight="false" outlineLevel="0" collapsed="false">
      <c r="A32" s="6"/>
      <c r="B32" s="20" t="s">
        <v>52</v>
      </c>
      <c r="C32" s="22" t="n">
        <f aca="false">C22</f>
        <v>14.625</v>
      </c>
      <c r="D32" s="22" t="n">
        <f aca="false">C32+D22</f>
        <v>26.8125</v>
      </c>
      <c r="E32" s="22" t="n">
        <f aca="false">D32+E22</f>
        <v>36.5625</v>
      </c>
      <c r="F32" s="22" t="n">
        <f aca="false">E32+F22</f>
        <v>43.875</v>
      </c>
      <c r="G32" s="22" t="n">
        <f aca="false">F32+G22</f>
        <v>48.75</v>
      </c>
      <c r="H32" s="22" t="n">
        <f aca="false">G32+H22</f>
        <v>48.75</v>
      </c>
      <c r="I32" s="22" t="n">
        <f aca="false">H32+I22</f>
        <v>48.75</v>
      </c>
      <c r="J32" s="22" t="n">
        <f aca="false">I32+J22</f>
        <v>48.75</v>
      </c>
      <c r="K32" s="22" t="n">
        <f aca="false">J32+K22</f>
        <v>48.75</v>
      </c>
      <c r="L32" s="22" t="n">
        <f aca="false">K32+L22</f>
        <v>48.75</v>
      </c>
    </row>
    <row r="33" customFormat="false" ht="15" hidden="false" customHeight="false" outlineLevel="0" collapsed="false">
      <c r="A33" s="6"/>
      <c r="B33" s="20" t="s">
        <v>53</v>
      </c>
      <c r="C33" s="22" t="n">
        <f aca="false">C23</f>
        <v>9.75</v>
      </c>
      <c r="D33" s="22" t="n">
        <f aca="false">C33+D23</f>
        <v>17.875</v>
      </c>
      <c r="E33" s="22" t="n">
        <f aca="false">D33+E23</f>
        <v>24.375</v>
      </c>
      <c r="F33" s="22" t="n">
        <f aca="false">E33+F23</f>
        <v>29.25</v>
      </c>
      <c r="G33" s="22" t="n">
        <f aca="false">F33+G23</f>
        <v>32.5</v>
      </c>
      <c r="H33" s="22" t="n">
        <f aca="false">G33+H23</f>
        <v>32.5</v>
      </c>
      <c r="I33" s="22" t="n">
        <f aca="false">H33+I23</f>
        <v>32.5</v>
      </c>
      <c r="J33" s="22" t="n">
        <f aca="false">I33+J23</f>
        <v>32.5</v>
      </c>
      <c r="K33" s="22" t="n">
        <f aca="false">J33+K23</f>
        <v>32.5</v>
      </c>
      <c r="L33" s="22" t="n">
        <f aca="false">K33+L23</f>
        <v>32.5</v>
      </c>
    </row>
    <row r="34" customFormat="false" ht="15" hidden="false" customHeight="false" outlineLevel="0" collapsed="false">
      <c r="A34" s="6"/>
      <c r="B34" s="20" t="s">
        <v>54</v>
      </c>
      <c r="C34" s="22" t="n">
        <f aca="false">C24</f>
        <v>12.675</v>
      </c>
      <c r="D34" s="22" t="n">
        <f aca="false">C34+D24</f>
        <v>23.2375</v>
      </c>
      <c r="E34" s="22" t="n">
        <f aca="false">D34+E24</f>
        <v>31.6875</v>
      </c>
      <c r="F34" s="22" t="n">
        <f aca="false">E34+F24</f>
        <v>38.025</v>
      </c>
      <c r="G34" s="22" t="n">
        <f aca="false">F34+G24</f>
        <v>42.25</v>
      </c>
      <c r="H34" s="22" t="n">
        <f aca="false">G34+H24</f>
        <v>42.25</v>
      </c>
      <c r="I34" s="22" t="n">
        <f aca="false">H34+I24</f>
        <v>42.25</v>
      </c>
      <c r="J34" s="22" t="n">
        <f aca="false">I34+J24</f>
        <v>42.25</v>
      </c>
      <c r="K34" s="22" t="n">
        <f aca="false">J34+K24</f>
        <v>42.25</v>
      </c>
      <c r="L34" s="22" t="n">
        <f aca="false">K34+L24</f>
        <v>42.25</v>
      </c>
    </row>
    <row r="35" customFormat="false" ht="15" hidden="false" customHeight="false" outlineLevel="0" collapsed="false">
      <c r="A35" s="6"/>
      <c r="B35" s="20" t="s">
        <v>55</v>
      </c>
      <c r="C35" s="22" t="n">
        <f aca="false">C25</f>
        <v>11.25</v>
      </c>
      <c r="D35" s="22" t="n">
        <f aca="false">C35+D25</f>
        <v>20.625</v>
      </c>
      <c r="E35" s="22" t="n">
        <f aca="false">D35+E25</f>
        <v>28.125</v>
      </c>
      <c r="F35" s="22" t="n">
        <f aca="false">E35+F25</f>
        <v>33.75</v>
      </c>
      <c r="G35" s="22" t="n">
        <f aca="false">F35+G25</f>
        <v>37.5</v>
      </c>
      <c r="H35" s="22" t="n">
        <f aca="false">G35+H25</f>
        <v>37.5</v>
      </c>
      <c r="I35" s="22" t="n">
        <f aca="false">H35+I25</f>
        <v>37.5</v>
      </c>
      <c r="J35" s="22" t="n">
        <f aca="false">I35+J25</f>
        <v>37.5</v>
      </c>
      <c r="K35" s="22" t="n">
        <f aca="false">J35+K25</f>
        <v>37.5</v>
      </c>
      <c r="L35" s="22" t="n">
        <f aca="false">K35+L25</f>
        <v>37.5</v>
      </c>
    </row>
    <row r="36" customFormat="false" ht="15" hidden="false" customHeight="false" outlineLevel="0" collapsed="false">
      <c r="A36" s="6"/>
      <c r="B36" s="23" t="s">
        <v>159</v>
      </c>
      <c r="C36" s="24" t="n">
        <f aca="false">SUM(C29:C35)</f>
        <v>91.875</v>
      </c>
      <c r="D36" s="24" t="n">
        <f aca="false">SUM(D29:D35)</f>
        <v>168.4375</v>
      </c>
      <c r="E36" s="24" t="n">
        <f aca="false">SUM(E29:E35)</f>
        <v>229.6875</v>
      </c>
      <c r="F36" s="24" t="n">
        <f aca="false">SUM(F29:F35)</f>
        <v>275.625</v>
      </c>
      <c r="G36" s="24" t="n">
        <f aca="false">SUM(G29:G35)</f>
        <v>306.25</v>
      </c>
      <c r="H36" s="24" t="n">
        <f aca="false">SUM(H29:H35)</f>
        <v>306.25</v>
      </c>
      <c r="I36" s="24" t="n">
        <f aca="false">SUM(I29:I35)</f>
        <v>306.25</v>
      </c>
      <c r="J36" s="24" t="n">
        <f aca="false">SUM(J29:J35)</f>
        <v>306.25</v>
      </c>
      <c r="K36" s="24" t="n">
        <f aca="false">SUM(K29:K35)</f>
        <v>306.25</v>
      </c>
      <c r="L36" s="24" t="n">
        <f aca="false">SUM(L29:L35)</f>
        <v>306.25</v>
      </c>
    </row>
    <row r="37" customFormat="false" ht="15" hidden="false" customHeight="false" outlineLevel="0" collapsed="false">
      <c r="A37" s="6"/>
      <c r="B37" s="6"/>
      <c r="C37" s="6"/>
      <c r="D37" s="6"/>
      <c r="E37" s="6"/>
      <c r="F37" s="6"/>
      <c r="G37" s="6"/>
      <c r="H37" s="6"/>
      <c r="I37" s="6"/>
      <c r="J37" s="6"/>
      <c r="K37" s="6"/>
      <c r="L37" s="6"/>
    </row>
    <row r="38" customFormat="false" ht="15" hidden="false" customHeight="false" outlineLevel="0" collapsed="false">
      <c r="A38" s="6"/>
      <c r="B38" s="14" t="s">
        <v>160</v>
      </c>
      <c r="C38" s="15"/>
      <c r="D38" s="15"/>
      <c r="E38" s="15"/>
      <c r="F38" s="15"/>
      <c r="G38" s="15"/>
      <c r="H38" s="15"/>
      <c r="I38" s="15"/>
      <c r="J38" s="15"/>
      <c r="K38" s="15"/>
      <c r="L38" s="15"/>
    </row>
    <row r="39" customFormat="false" ht="15" hidden="false" customHeight="false" outlineLevel="0" collapsed="false">
      <c r="A39" s="6"/>
      <c r="B39" s="20" t="s">
        <v>49</v>
      </c>
      <c r="C39" s="22" t="n">
        <f aca="false">MAX(0,C29-Capital_Activity!C17)</f>
        <v>18.28125</v>
      </c>
      <c r="D39" s="22" t="n">
        <f aca="false">MAX(0,D29-Capital_Activity!D17)</f>
        <v>28.9453125</v>
      </c>
      <c r="E39" s="22" t="n">
        <f aca="false">MAX(0,E29-Capital_Activity!E17)</f>
        <v>33.896484375</v>
      </c>
      <c r="F39" s="22" t="n">
        <f aca="false">MAX(0,F29-Capital_Activity!F17)</f>
        <v>34.56298828125</v>
      </c>
      <c r="G39" s="22" t="n">
        <f aca="false">MAX(0,G29-Capital_Activity!G17)</f>
        <v>32.0159912109375</v>
      </c>
      <c r="H39" s="22" t="n">
        <f aca="false">MAX(0,H29-Capital_Activity!H17)</f>
        <v>24.0119934082031</v>
      </c>
      <c r="I39" s="22" t="n">
        <f aca="false">MAX(0,I29-Capital_Activity!I17)</f>
        <v>18.0089950561523</v>
      </c>
      <c r="J39" s="22" t="n">
        <f aca="false">MAX(0,J29-Capital_Activity!J17)</f>
        <v>13.5067462921143</v>
      </c>
      <c r="K39" s="22" t="n">
        <f aca="false">MAX(0,K29-Capital_Activity!K17)</f>
        <v>10.1300597190857</v>
      </c>
      <c r="L39" s="22" t="n">
        <f aca="false">MAX(0,L29-Capital_Activity!L17)</f>
        <v>7.59754478931427</v>
      </c>
    </row>
    <row r="40" customFormat="false" ht="15" hidden="false" customHeight="false" outlineLevel="0" collapsed="false">
      <c r="A40" s="6"/>
      <c r="B40" s="20" t="s">
        <v>50</v>
      </c>
      <c r="C40" s="22" t="n">
        <f aca="false">MAX(0,C30-Capital_Activity!C18)</f>
        <v>9.36</v>
      </c>
      <c r="D40" s="22" t="n">
        <f aca="false">MAX(0,D30-Capital_Activity!D18)</f>
        <v>15.288</v>
      </c>
      <c r="E40" s="22" t="n">
        <f aca="false">MAX(0,E30-Capital_Activity!E18)</f>
        <v>18.4704</v>
      </c>
      <c r="F40" s="22" t="n">
        <f aca="false">MAX(0,F30-Capital_Activity!F18)</f>
        <v>19.45632</v>
      </c>
      <c r="G40" s="22" t="n">
        <f aca="false">MAX(0,G30-Capital_Activity!G18)</f>
        <v>18.685056</v>
      </c>
      <c r="H40" s="22" t="n">
        <f aca="false">MAX(0,H30-Capital_Activity!H18)</f>
        <v>14.9480448</v>
      </c>
      <c r="I40" s="22" t="n">
        <f aca="false">MAX(0,I30-Capital_Activity!I18)</f>
        <v>11.95843584</v>
      </c>
      <c r="J40" s="22" t="n">
        <f aca="false">MAX(0,J30-Capital_Activity!J18)</f>
        <v>9.566748672</v>
      </c>
      <c r="K40" s="22" t="n">
        <f aca="false">MAX(0,K30-Capital_Activity!K18)</f>
        <v>7.6533989376</v>
      </c>
      <c r="L40" s="22" t="n">
        <f aca="false">MAX(0,L30-Capital_Activity!L18)</f>
        <v>6.12271915008</v>
      </c>
    </row>
    <row r="41" customFormat="false" ht="15" hidden="false" customHeight="false" outlineLevel="0" collapsed="false">
      <c r="A41" s="6"/>
      <c r="B41" s="20" t="s">
        <v>51</v>
      </c>
      <c r="C41" s="22" t="n">
        <f aca="false">MAX(0,C31-Capital_Activity!C19)</f>
        <v>0</v>
      </c>
      <c r="D41" s="22" t="n">
        <f aca="false">MAX(0,D31-Capital_Activity!D19)</f>
        <v>0</v>
      </c>
      <c r="E41" s="22" t="n">
        <f aca="false">MAX(0,E31-Capital_Activity!E19)</f>
        <v>0</v>
      </c>
      <c r="F41" s="22" t="n">
        <f aca="false">MAX(0,F31-Capital_Activity!F19)</f>
        <v>0</v>
      </c>
      <c r="G41" s="22" t="n">
        <f aca="false">MAX(0,G31-Capital_Activity!G19)</f>
        <v>0</v>
      </c>
      <c r="H41" s="22" t="n">
        <f aca="false">MAX(0,H31-Capital_Activity!H19)</f>
        <v>0</v>
      </c>
      <c r="I41" s="22" t="n">
        <f aca="false">MAX(0,I31-Capital_Activity!I19)</f>
        <v>0</v>
      </c>
      <c r="J41" s="22" t="n">
        <f aca="false">MAX(0,J31-Capital_Activity!J19)</f>
        <v>0</v>
      </c>
      <c r="K41" s="22" t="n">
        <f aca="false">MAX(0,K31-Capital_Activity!K19)</f>
        <v>0</v>
      </c>
      <c r="L41" s="22" t="n">
        <f aca="false">MAX(0,L31-Capital_Activity!L19)</f>
        <v>0</v>
      </c>
    </row>
    <row r="42" customFormat="false" ht="15" hidden="false" customHeight="false" outlineLevel="0" collapsed="false">
      <c r="A42" s="6"/>
      <c r="B42" s="20" t="s">
        <v>52</v>
      </c>
      <c r="C42" s="22" t="n">
        <f aca="false">MAX(0,C32-Capital_Activity!C20)</f>
        <v>10.96875</v>
      </c>
      <c r="D42" s="22" t="n">
        <f aca="false">MAX(0,D32-Capital_Activity!D20)</f>
        <v>17.3671875</v>
      </c>
      <c r="E42" s="22" t="n">
        <f aca="false">MAX(0,E32-Capital_Activity!E20)</f>
        <v>20.337890625</v>
      </c>
      <c r="F42" s="22" t="n">
        <f aca="false">MAX(0,F32-Capital_Activity!F20)</f>
        <v>20.73779296875</v>
      </c>
      <c r="G42" s="22" t="n">
        <f aca="false">MAX(0,G32-Capital_Activity!G20)</f>
        <v>19.2095947265625</v>
      </c>
      <c r="H42" s="22" t="n">
        <f aca="false">MAX(0,H32-Capital_Activity!H20)</f>
        <v>14.4071960449219</v>
      </c>
      <c r="I42" s="22" t="n">
        <f aca="false">MAX(0,I32-Capital_Activity!I20)</f>
        <v>10.8053970336914</v>
      </c>
      <c r="J42" s="22" t="n">
        <f aca="false">MAX(0,J32-Capital_Activity!J20)</f>
        <v>8.10404777526856</v>
      </c>
      <c r="K42" s="22" t="n">
        <f aca="false">MAX(0,K32-Capital_Activity!K20)</f>
        <v>6.07803583145142</v>
      </c>
      <c r="L42" s="22" t="n">
        <f aca="false">MAX(0,L32-Capital_Activity!L20)</f>
        <v>4.55852687358856</v>
      </c>
    </row>
    <row r="43" customFormat="false" ht="15" hidden="false" customHeight="false" outlineLevel="0" collapsed="false">
      <c r="A43" s="6"/>
      <c r="B43" s="20" t="s">
        <v>53</v>
      </c>
      <c r="C43" s="22" t="n">
        <f aca="false">MAX(0,C33-Capital_Activity!C21)</f>
        <v>7.8</v>
      </c>
      <c r="D43" s="22" t="n">
        <f aca="false">MAX(0,D33-Capital_Activity!D21)</f>
        <v>12.74</v>
      </c>
      <c r="E43" s="22" t="n">
        <f aca="false">MAX(0,E33-Capital_Activity!E21)</f>
        <v>15.392</v>
      </c>
      <c r="F43" s="22" t="n">
        <f aca="false">MAX(0,F33-Capital_Activity!F21)</f>
        <v>16.2136</v>
      </c>
      <c r="G43" s="22" t="n">
        <f aca="false">MAX(0,G33-Capital_Activity!G21)</f>
        <v>15.57088</v>
      </c>
      <c r="H43" s="22" t="n">
        <f aca="false">MAX(0,H33-Capital_Activity!H21)</f>
        <v>12.456704</v>
      </c>
      <c r="I43" s="22" t="n">
        <f aca="false">MAX(0,I33-Capital_Activity!I21)</f>
        <v>9.9653632</v>
      </c>
      <c r="J43" s="22" t="n">
        <f aca="false">MAX(0,J33-Capital_Activity!J21)</f>
        <v>7.97229056</v>
      </c>
      <c r="K43" s="22" t="n">
        <f aca="false">MAX(0,K33-Capital_Activity!K21)</f>
        <v>6.377832448</v>
      </c>
      <c r="L43" s="22" t="n">
        <f aca="false">MAX(0,L33-Capital_Activity!L21)</f>
        <v>5.1022659584</v>
      </c>
    </row>
    <row r="44" customFormat="false" ht="15" hidden="false" customHeight="false" outlineLevel="0" collapsed="false">
      <c r="A44" s="6"/>
      <c r="B44" s="20" t="s">
        <v>54</v>
      </c>
      <c r="C44" s="22" t="n">
        <f aca="false">MAX(0,C34-Capital_Activity!C22)</f>
        <v>8.8725</v>
      </c>
      <c r="D44" s="22" t="n">
        <f aca="false">MAX(0,D34-Capital_Activity!D22)</f>
        <v>13.6045</v>
      </c>
      <c r="E44" s="22" t="n">
        <f aca="false">MAX(0,E34-Capital_Activity!E22)</f>
        <v>15.43815</v>
      </c>
      <c r="F44" s="22" t="n">
        <f aca="false">MAX(0,F34-Capital_Activity!F22)</f>
        <v>15.242955</v>
      </c>
      <c r="G44" s="22" t="n">
        <f aca="false">MAX(0,G34-Capital_Activity!G22)</f>
        <v>13.6275685</v>
      </c>
      <c r="H44" s="22" t="n">
        <f aca="false">MAX(0,H34-Capital_Activity!H22)</f>
        <v>9.53929795</v>
      </c>
      <c r="I44" s="22" t="n">
        <f aca="false">MAX(0,I34-Capital_Activity!I22)</f>
        <v>6.677508565</v>
      </c>
      <c r="J44" s="22" t="n">
        <f aca="false">MAX(0,J34-Capital_Activity!J22)</f>
        <v>4.6742559955</v>
      </c>
      <c r="K44" s="22" t="n">
        <f aca="false">MAX(0,K34-Capital_Activity!K22)</f>
        <v>3.27197919685</v>
      </c>
      <c r="L44" s="22" t="n">
        <f aca="false">MAX(0,L34-Capital_Activity!L22)</f>
        <v>2.290385437795</v>
      </c>
    </row>
    <row r="45" customFormat="false" ht="15" hidden="false" customHeight="false" outlineLevel="0" collapsed="false">
      <c r="A45" s="6"/>
      <c r="B45" s="20" t="s">
        <v>55</v>
      </c>
      <c r="C45" s="22" t="n">
        <f aca="false">MAX(0,C35-Capital_Activity!C23)</f>
        <v>0</v>
      </c>
      <c r="D45" s="22" t="n">
        <f aca="false">MAX(0,D35-Capital_Activity!D23)</f>
        <v>0</v>
      </c>
      <c r="E45" s="22" t="n">
        <f aca="false">MAX(0,E35-Capital_Activity!E23)</f>
        <v>0</v>
      </c>
      <c r="F45" s="22" t="n">
        <f aca="false">MAX(0,F35-Capital_Activity!F23)</f>
        <v>0</v>
      </c>
      <c r="G45" s="22" t="n">
        <f aca="false">MAX(0,G35-Capital_Activity!G23)</f>
        <v>0</v>
      </c>
      <c r="H45" s="22" t="n">
        <f aca="false">MAX(0,H35-Capital_Activity!H23)</f>
        <v>0</v>
      </c>
      <c r="I45" s="22" t="n">
        <f aca="false">MAX(0,I35-Capital_Activity!I23)</f>
        <v>0</v>
      </c>
      <c r="J45" s="22" t="n">
        <f aca="false">MAX(0,J35-Capital_Activity!J23)</f>
        <v>0</v>
      </c>
      <c r="K45" s="22" t="n">
        <f aca="false">MAX(0,K35-Capital_Activity!K23)</f>
        <v>0</v>
      </c>
      <c r="L45" s="22" t="n">
        <f aca="false">MAX(0,L35-Capital_Activity!L23)</f>
        <v>0</v>
      </c>
    </row>
    <row r="46" customFormat="false" ht="15" hidden="false" customHeight="false" outlineLevel="0" collapsed="false">
      <c r="A46" s="6"/>
      <c r="B46" s="23" t="s">
        <v>161</v>
      </c>
      <c r="C46" s="24" t="n">
        <f aca="false">SUM(C39:C45)</f>
        <v>55.2825</v>
      </c>
      <c r="D46" s="24" t="n">
        <f aca="false">SUM(D39:D45)</f>
        <v>87.945</v>
      </c>
      <c r="E46" s="24" t="n">
        <f aca="false">SUM(E39:E45)</f>
        <v>103.534925</v>
      </c>
      <c r="F46" s="24" t="n">
        <f aca="false">SUM(F39:F45)</f>
        <v>106.21365625</v>
      </c>
      <c r="G46" s="24" t="n">
        <f aca="false">SUM(G39:G45)</f>
        <v>99.1090904375</v>
      </c>
      <c r="H46" s="24" t="n">
        <f aca="false">SUM(H39:H45)</f>
        <v>75.363236203125</v>
      </c>
      <c r="I46" s="24" t="n">
        <f aca="false">SUM(I39:I45)</f>
        <v>57.4156996948437</v>
      </c>
      <c r="J46" s="24" t="n">
        <f aca="false">SUM(J39:J45)</f>
        <v>43.8240892948828</v>
      </c>
      <c r="K46" s="24" t="n">
        <f aca="false">SUM(K39:K45)</f>
        <v>33.5113061329871</v>
      </c>
      <c r="L46" s="24" t="n">
        <f aca="false">SUM(L39:L45)</f>
        <v>25.6714422091778</v>
      </c>
    </row>
    <row r="47" customFormat="false" ht="15" hidden="false" customHeight="false" outlineLevel="0" collapsed="false">
      <c r="A47" s="6"/>
      <c r="B47" s="6"/>
      <c r="C47" s="6"/>
      <c r="D47" s="6"/>
      <c r="E47" s="6"/>
      <c r="F47" s="6"/>
      <c r="G47" s="6"/>
      <c r="H47" s="6"/>
      <c r="I47" s="6"/>
      <c r="J47" s="6"/>
      <c r="K47" s="6"/>
      <c r="L47" s="6"/>
    </row>
    <row r="48" customFormat="false" ht="15" hidden="false" customHeight="false" outlineLevel="0" collapsed="false">
      <c r="A48" s="6"/>
      <c r="B48" s="14" t="s">
        <v>162</v>
      </c>
      <c r="C48" s="15"/>
      <c r="D48" s="15"/>
      <c r="E48" s="15"/>
      <c r="F48" s="15"/>
      <c r="G48" s="15"/>
      <c r="H48" s="15"/>
      <c r="I48" s="15"/>
      <c r="J48" s="15"/>
      <c r="K48" s="15"/>
      <c r="L48" s="15"/>
    </row>
    <row r="49" customFormat="false" ht="15" hidden="false" customHeight="false" outlineLevel="0" collapsed="false">
      <c r="A49" s="6"/>
      <c r="B49" s="20" t="s">
        <v>49</v>
      </c>
      <c r="C49" s="21" t="n">
        <f aca="false">IFERROR(Portfolio_NAV!C16/Portfolio_NAV!C85,0)</f>
        <v>0.218880778503181</v>
      </c>
      <c r="D49" s="21" t="n">
        <f aca="false">IFERROR(Portfolio_NAV!D16/Portfolio_NAV!D85,0)</f>
        <v>0.211545117529306</v>
      </c>
      <c r="E49" s="21" t="n">
        <f aca="false">IFERROR(Portfolio_NAV!E16/Portfolio_NAV!E85,0)</f>
        <v>0.217986327608994</v>
      </c>
      <c r="F49" s="21" t="n">
        <f aca="false">IFERROR(Portfolio_NAV!F16/Portfolio_NAV!F85,0)</f>
        <v>0.211262347594106</v>
      </c>
      <c r="G49" s="21" t="n">
        <f aca="false">IFERROR(Portfolio_NAV!G16/Portfolio_NAV!G85,0)</f>
        <v>0.213696263764352</v>
      </c>
      <c r="H49" s="21" t="n">
        <f aca="false">IFERROR(Portfolio_NAV!H16/Portfolio_NAV!H85,0)</f>
        <v>0.214058710643126</v>
      </c>
      <c r="I49" s="21" t="n">
        <f aca="false">IFERROR(Portfolio_NAV!I16/Portfolio_NAV!I85,0)</f>
        <v>0.206018068512876</v>
      </c>
      <c r="J49" s="21" t="n">
        <f aca="false">IFERROR(Portfolio_NAV!J16/Portfolio_NAV!J85,0)</f>
        <v>0.195355249926857</v>
      </c>
      <c r="K49" s="21" t="n">
        <f aca="false">IFERROR(Portfolio_NAV!K16/Portfolio_NAV!K85,0)</f>
        <v>0.183270503754773</v>
      </c>
      <c r="L49" s="21" t="n">
        <f aca="false">IFERROR(Portfolio_NAV!L16/Portfolio_NAV!L85,0)</f>
        <v>0.170062869136592</v>
      </c>
    </row>
    <row r="50" customFormat="false" ht="15" hidden="false" customHeight="false" outlineLevel="0" collapsed="false">
      <c r="A50" s="6"/>
      <c r="B50" s="20" t="s">
        <v>50</v>
      </c>
      <c r="C50" s="21" t="n">
        <f aca="false">IFERROR(Portfolio_NAV!C26/Portfolio_NAV!C85,0)</f>
        <v>0.0915974712340931</v>
      </c>
      <c r="D50" s="21" t="n">
        <f aca="false">IFERROR(Portfolio_NAV!D26/Portfolio_NAV!D85,0)</f>
        <v>0.0861034613261794</v>
      </c>
      <c r="E50" s="21" t="n">
        <f aca="false">IFERROR(Portfolio_NAV!E26/Portfolio_NAV!E85,0)</f>
        <v>0.0844375198706855</v>
      </c>
      <c r="F50" s="21" t="n">
        <f aca="false">IFERROR(Portfolio_NAV!F26/Portfolio_NAV!F85,0)</f>
        <v>0.092115239899459</v>
      </c>
      <c r="G50" s="21" t="n">
        <f aca="false">IFERROR(Portfolio_NAV!G26/Portfolio_NAV!G85,0)</f>
        <v>0.103256912209845</v>
      </c>
      <c r="H50" s="21" t="n">
        <f aca="false">IFERROR(Portfolio_NAV!H26/Portfolio_NAV!H85,0)</f>
        <v>0.119667815609628</v>
      </c>
      <c r="I50" s="21" t="n">
        <f aca="false">IFERROR(Portfolio_NAV!I26/Portfolio_NAV!I85,0)</f>
        <v>0.133994307652429</v>
      </c>
      <c r="J50" s="21" t="n">
        <f aca="false">IFERROR(Portfolio_NAV!J26/Portfolio_NAV!J85,0)</f>
        <v>0.144323079836342</v>
      </c>
      <c r="K50" s="21" t="n">
        <f aca="false">IFERROR(Portfolio_NAV!K26/Portfolio_NAV!K85,0)</f>
        <v>0.147150711653038</v>
      </c>
      <c r="L50" s="21" t="n">
        <f aca="false">IFERROR(Portfolio_NAV!L26/Portfolio_NAV!L85,0)</f>
        <v>0.14439597353972</v>
      </c>
    </row>
    <row r="51" customFormat="false" ht="15" hidden="false" customHeight="false" outlineLevel="0" collapsed="false">
      <c r="A51" s="6"/>
      <c r="B51" s="20" t="s">
        <v>51</v>
      </c>
      <c r="C51" s="21" t="n">
        <f aca="false">IFERROR(Portfolio_NAV!C36/Portfolio_NAV!C85,0)</f>
        <v>0.137165293007132</v>
      </c>
      <c r="D51" s="21" t="n">
        <f aca="false">IFERROR(Portfolio_NAV!D36/Portfolio_NAV!D85,0)</f>
        <v>0.139295208614367</v>
      </c>
      <c r="E51" s="21" t="n">
        <f aca="false">IFERROR(Portfolio_NAV!E36/Portfolio_NAV!E85,0)</f>
        <v>0.134656454291706</v>
      </c>
      <c r="F51" s="21" t="n">
        <f aca="false">IFERROR(Portfolio_NAV!F36/Portfolio_NAV!F85,0)</f>
        <v>0.129766302792455</v>
      </c>
      <c r="G51" s="21" t="n">
        <f aca="false">IFERROR(Portfolio_NAV!G36/Portfolio_NAV!G85,0)</f>
        <v>0.122474680368761</v>
      </c>
      <c r="H51" s="21" t="n">
        <f aca="false">IFERROR(Portfolio_NAV!H36/Portfolio_NAV!H85,0)</f>
        <v>0.114434608781979</v>
      </c>
      <c r="I51" s="21" t="n">
        <f aca="false">IFERROR(Portfolio_NAV!I36/Portfolio_NAV!I85,0)</f>
        <v>0.109936697932044</v>
      </c>
      <c r="J51" s="21" t="n">
        <f aca="false">IFERROR(Portfolio_NAV!J36/Portfolio_NAV!J85,0)</f>
        <v>0.107474597272325</v>
      </c>
      <c r="K51" s="21" t="n">
        <f aca="false">IFERROR(Portfolio_NAV!K36/Portfolio_NAV!K85,0)</f>
        <v>0.107025842239236</v>
      </c>
      <c r="L51" s="21" t="n">
        <f aca="false">IFERROR(Portfolio_NAV!L36/Portfolio_NAV!L85,0)</f>
        <v>0.108341355319667</v>
      </c>
    </row>
    <row r="52" customFormat="false" ht="15" hidden="false" customHeight="false" outlineLevel="0" collapsed="false">
      <c r="A52" s="6"/>
      <c r="B52" s="20" t="s">
        <v>52</v>
      </c>
      <c r="C52" s="21" t="n">
        <f aca="false">IFERROR(Portfolio_NAV!C46/Portfolio_NAV!C85,0)</f>
        <v>0.136060503008147</v>
      </c>
      <c r="D52" s="21" t="n">
        <f aca="false">IFERROR(Portfolio_NAV!D46/Portfolio_NAV!D85,0)</f>
        <v>0.136252606151675</v>
      </c>
      <c r="E52" s="21" t="n">
        <f aca="false">IFERROR(Portfolio_NAV!E46/Portfolio_NAV!E85,0)</f>
        <v>0.136916093486237</v>
      </c>
      <c r="F52" s="21" t="n">
        <f aca="false">IFERROR(Portfolio_NAV!F46/Portfolio_NAV!F85,0)</f>
        <v>0.140170960733189</v>
      </c>
      <c r="G52" s="21" t="n">
        <f aca="false">IFERROR(Portfolio_NAV!G46/Portfolio_NAV!G85,0)</f>
        <v>0.141033035194484</v>
      </c>
      <c r="H52" s="21" t="n">
        <f aca="false">IFERROR(Portfolio_NAV!H46/Portfolio_NAV!H85,0)</f>
        <v>0.14069406597512</v>
      </c>
      <c r="I52" s="21" t="n">
        <f aca="false">IFERROR(Portfolio_NAV!I46/Portfolio_NAV!I85,0)</f>
        <v>0.14197797404054</v>
      </c>
      <c r="J52" s="21" t="n">
        <f aca="false">IFERROR(Portfolio_NAV!J46/Portfolio_NAV!J85,0)</f>
        <v>0.142996127909033</v>
      </c>
      <c r="K52" s="21" t="n">
        <f aca="false">IFERROR(Portfolio_NAV!K46/Portfolio_NAV!K85,0)</f>
        <v>0.145593825547999</v>
      </c>
      <c r="L52" s="21" t="n">
        <f aca="false">IFERROR(Portfolio_NAV!L46/Portfolio_NAV!L85,0)</f>
        <v>0.148410899902311</v>
      </c>
    </row>
    <row r="53" customFormat="false" ht="15" hidden="false" customHeight="false" outlineLevel="0" collapsed="false">
      <c r="A53" s="6"/>
      <c r="B53" s="20" t="s">
        <v>53</v>
      </c>
      <c r="C53" s="21" t="n">
        <f aca="false">IFERROR(Portfolio_NAV!C56/Portfolio_NAV!C85,0)</f>
        <v>0.0834586843578777</v>
      </c>
      <c r="D53" s="21" t="n">
        <f aca="false">IFERROR(Portfolio_NAV!D56/Portfolio_NAV!D85,0)</f>
        <v>0.0827229708771018</v>
      </c>
      <c r="E53" s="21" t="n">
        <f aca="false">IFERROR(Portfolio_NAV!E56/Portfolio_NAV!E85,0)</f>
        <v>0.0824962838298758</v>
      </c>
      <c r="F53" s="21" t="n">
        <f aca="false">IFERROR(Portfolio_NAV!F56/Portfolio_NAV!F85,0)</f>
        <v>0.0835003254243071</v>
      </c>
      <c r="G53" s="21" t="n">
        <f aca="false">IFERROR(Portfolio_NAV!G56/Portfolio_NAV!G85,0)</f>
        <v>0.0833904131804277</v>
      </c>
      <c r="H53" s="21" t="n">
        <f aca="false">IFERROR(Portfolio_NAV!H56/Portfolio_NAV!H85,0)</f>
        <v>0.0835251997352178</v>
      </c>
      <c r="I53" s="21" t="n">
        <f aca="false">IFERROR(Portfolio_NAV!I56/Portfolio_NAV!I85,0)</f>
        <v>0.0847127301394018</v>
      </c>
      <c r="J53" s="21" t="n">
        <f aca="false">IFERROR(Portfolio_NAV!J56/Portfolio_NAV!J85,0)</f>
        <v>0.0864738183919755</v>
      </c>
      <c r="K53" s="21" t="n">
        <f aca="false">IFERROR(Portfolio_NAV!K56/Portfolio_NAV!K85,0)</f>
        <v>0.0884564356472684</v>
      </c>
      <c r="L53" s="21" t="n">
        <f aca="false">IFERROR(Portfolio_NAV!L56/Portfolio_NAV!L85,0)</f>
        <v>0.0914404266308284</v>
      </c>
    </row>
    <row r="54" customFormat="false" ht="15" hidden="false" customHeight="false" outlineLevel="0" collapsed="false">
      <c r="A54" s="6"/>
      <c r="B54" s="20" t="s">
        <v>54</v>
      </c>
      <c r="C54" s="21" t="n">
        <f aca="false">IFERROR(Portfolio_NAV!C66/Portfolio_NAV!C85,0)</f>
        <v>0.121958597641703</v>
      </c>
      <c r="D54" s="21" t="n">
        <f aca="false">IFERROR(Portfolio_NAV!D66/Portfolio_NAV!D85,0)</f>
        <v>0.124913254420469</v>
      </c>
      <c r="E54" s="21" t="n">
        <f aca="false">IFERROR(Portfolio_NAV!E66/Portfolio_NAV!E85,0)</f>
        <v>0.126734126557374</v>
      </c>
      <c r="F54" s="21" t="n">
        <f aca="false">IFERROR(Portfolio_NAV!F66/Portfolio_NAV!F85,0)</f>
        <v>0.129341123738371</v>
      </c>
      <c r="G54" s="21" t="n">
        <f aca="false">IFERROR(Portfolio_NAV!G66/Portfolio_NAV!G85,0)</f>
        <v>0.129319673119664</v>
      </c>
      <c r="H54" s="21" t="n">
        <f aca="false">IFERROR(Portfolio_NAV!H66/Portfolio_NAV!H85,0)</f>
        <v>0.128797377612177</v>
      </c>
      <c r="I54" s="21" t="n">
        <f aca="false">IFERROR(Portfolio_NAV!I66/Portfolio_NAV!I85,0)</f>
        <v>0.126846631336377</v>
      </c>
      <c r="J54" s="21" t="n">
        <f aca="false">IFERROR(Portfolio_NAV!J66/Portfolio_NAV!J85,0)</f>
        <v>0.125726544605669</v>
      </c>
      <c r="K54" s="21" t="n">
        <f aca="false">IFERROR(Portfolio_NAV!K66/Portfolio_NAV!K85,0)</f>
        <v>0.126003489236541</v>
      </c>
      <c r="L54" s="21" t="n">
        <f aca="false">IFERROR(Portfolio_NAV!L66/Portfolio_NAV!L85,0)</f>
        <v>0.126451052220905</v>
      </c>
    </row>
    <row r="55" customFormat="false" ht="15" hidden="false" customHeight="false" outlineLevel="0" collapsed="false">
      <c r="A55" s="6"/>
      <c r="B55" s="20" t="s">
        <v>55</v>
      </c>
      <c r="C55" s="21" t="n">
        <f aca="false">IFERROR(Portfolio_NAV!C76/Portfolio_NAV!C85,0)</f>
        <v>0.210878672247867</v>
      </c>
      <c r="D55" s="21" t="n">
        <f aca="false">IFERROR(Portfolio_NAV!D76/Portfolio_NAV!D85,0)</f>
        <v>0.219167381080903</v>
      </c>
      <c r="E55" s="21" t="n">
        <f aca="false">IFERROR(Portfolio_NAV!E76/Portfolio_NAV!E85,0)</f>
        <v>0.216773194355127</v>
      </c>
      <c r="F55" s="21" t="n">
        <f aca="false">IFERROR(Portfolio_NAV!F76/Portfolio_NAV!F85,0)</f>
        <v>0.213843699818112</v>
      </c>
      <c r="G55" s="21" t="n">
        <f aca="false">IFERROR(Portfolio_NAV!G76/Portfolio_NAV!G85,0)</f>
        <v>0.206829022162467</v>
      </c>
      <c r="H55" s="21" t="n">
        <f aca="false">IFERROR(Portfolio_NAV!H76/Portfolio_NAV!H85,0)</f>
        <v>0.198822221642752</v>
      </c>
      <c r="I55" s="21" t="n">
        <f aca="false">IFERROR(Portfolio_NAV!I76/Portfolio_NAV!I85,0)</f>
        <v>0.196513590386332</v>
      </c>
      <c r="J55" s="21" t="n">
        <f aca="false">IFERROR(Portfolio_NAV!J76/Portfolio_NAV!J85,0)</f>
        <v>0.197650582057799</v>
      </c>
      <c r="K55" s="21" t="n">
        <f aca="false">IFERROR(Portfolio_NAV!K76/Portfolio_NAV!K85,0)</f>
        <v>0.202499191921144</v>
      </c>
      <c r="L55" s="21" t="n">
        <f aca="false">IFERROR(Portfolio_NAV!L76/Portfolio_NAV!L85,0)</f>
        <v>0.210897423249977</v>
      </c>
    </row>
    <row r="56" customFormat="false" ht="15" hidden="false" customHeight="false" outlineLevel="0" collapsed="false">
      <c r="A56" s="6"/>
      <c r="B56" s="6"/>
      <c r="C56" s="6"/>
      <c r="D56" s="6"/>
      <c r="E56" s="6"/>
      <c r="F56" s="6"/>
      <c r="G56" s="6"/>
      <c r="H56" s="6"/>
      <c r="I56" s="6"/>
      <c r="J56" s="6"/>
      <c r="K56" s="6"/>
      <c r="L56" s="6"/>
    </row>
    <row r="57" customFormat="false" ht="15" hidden="false" customHeight="false" outlineLevel="0" collapsed="false">
      <c r="A57" s="6"/>
      <c r="B57" s="14" t="s">
        <v>163</v>
      </c>
      <c r="C57" s="15"/>
      <c r="D57" s="15"/>
      <c r="E57" s="15"/>
      <c r="F57" s="15"/>
      <c r="G57" s="15"/>
      <c r="H57" s="15"/>
      <c r="I57" s="15"/>
      <c r="J57" s="15"/>
      <c r="K57" s="15"/>
      <c r="L57" s="15"/>
    </row>
    <row r="58" customFormat="false" ht="15" hidden="false" customHeight="false" outlineLevel="0" collapsed="false">
      <c r="A58" s="6"/>
      <c r="B58" s="20" t="s">
        <v>49</v>
      </c>
      <c r="C58" s="21" t="n">
        <f aca="false">C49-Alloc_PE</f>
        <v>-0.0311192214968193</v>
      </c>
      <c r="D58" s="21" t="n">
        <f aca="false">D49-Alloc_PE</f>
        <v>-0.038454882470694</v>
      </c>
      <c r="E58" s="21" t="n">
        <f aca="false">E49-Alloc_PE</f>
        <v>-0.0320136723910062</v>
      </c>
      <c r="F58" s="21" t="n">
        <f aca="false">F49-Alloc_PE</f>
        <v>-0.0387376524058937</v>
      </c>
      <c r="G58" s="21" t="n">
        <f aca="false">G49-Alloc_PE</f>
        <v>-0.036303736235648</v>
      </c>
      <c r="H58" s="21" t="n">
        <f aca="false">H49-Alloc_PE</f>
        <v>-0.0359412893568743</v>
      </c>
      <c r="I58" s="21" t="n">
        <f aca="false">I49-Alloc_PE</f>
        <v>-0.0439819314871244</v>
      </c>
      <c r="J58" s="21" t="n">
        <f aca="false">J49-Alloc_PE</f>
        <v>-0.0546447500731433</v>
      </c>
      <c r="K58" s="21" t="n">
        <f aca="false">K49-Alloc_PE</f>
        <v>-0.0667294962452265</v>
      </c>
      <c r="L58" s="21" t="n">
        <f aca="false">L49-Alloc_PE</f>
        <v>-0.0799371308634084</v>
      </c>
    </row>
    <row r="59" customFormat="false" ht="15" hidden="false" customHeight="false" outlineLevel="0" collapsed="false">
      <c r="A59" s="6"/>
      <c r="B59" s="20" t="s">
        <v>50</v>
      </c>
      <c r="C59" s="21" t="n">
        <f aca="false">C50-Alloc_VC</f>
        <v>-0.0284025287659069</v>
      </c>
      <c r="D59" s="21" t="n">
        <f aca="false">D50-Alloc_VC</f>
        <v>-0.0338965386738206</v>
      </c>
      <c r="E59" s="21" t="n">
        <f aca="false">E50-Alloc_VC</f>
        <v>-0.0355624801293145</v>
      </c>
      <c r="F59" s="21" t="n">
        <f aca="false">F50-Alloc_VC</f>
        <v>-0.027884760100541</v>
      </c>
      <c r="G59" s="21" t="n">
        <f aca="false">G50-Alloc_VC</f>
        <v>-0.0167430877901552</v>
      </c>
      <c r="H59" s="21" t="n">
        <f aca="false">H50-Alloc_VC</f>
        <v>-0.000332184390371984</v>
      </c>
      <c r="I59" s="21" t="n">
        <f aca="false">I50-Alloc_VC</f>
        <v>0.013994307652429</v>
      </c>
      <c r="J59" s="21" t="n">
        <f aca="false">J50-Alloc_VC</f>
        <v>0.0243230798363418</v>
      </c>
      <c r="K59" s="21" t="n">
        <f aca="false">K50-Alloc_VC</f>
        <v>0.0271507116530379</v>
      </c>
      <c r="L59" s="21" t="n">
        <f aca="false">L50-Alloc_VC</f>
        <v>0.0243959735397196</v>
      </c>
    </row>
    <row r="60" customFormat="false" ht="15" hidden="false" customHeight="false" outlineLevel="0" collapsed="false">
      <c r="A60" s="6"/>
      <c r="B60" s="20" t="s">
        <v>51</v>
      </c>
      <c r="C60" s="21" t="n">
        <f aca="false">C51-Alloc_HF</f>
        <v>0.0371652930071323</v>
      </c>
      <c r="D60" s="21" t="n">
        <f aca="false">D51-Alloc_HF</f>
        <v>0.0392952086143667</v>
      </c>
      <c r="E60" s="21" t="n">
        <f aca="false">E51-Alloc_HF</f>
        <v>0.0346564542917061</v>
      </c>
      <c r="F60" s="21" t="n">
        <f aca="false">F51-Alloc_HF</f>
        <v>0.029766302792455</v>
      </c>
      <c r="G60" s="21" t="n">
        <f aca="false">G51-Alloc_HF</f>
        <v>0.0224746803687609</v>
      </c>
      <c r="H60" s="21" t="n">
        <f aca="false">H51-Alloc_HF</f>
        <v>0.0144346087819792</v>
      </c>
      <c r="I60" s="21" t="n">
        <f aca="false">I51-Alloc_HF</f>
        <v>0.00993669793204401</v>
      </c>
      <c r="J60" s="21" t="n">
        <f aca="false">J51-Alloc_HF</f>
        <v>0.00747459727232534</v>
      </c>
      <c r="K60" s="21" t="n">
        <f aca="false">K51-Alloc_HF</f>
        <v>0.00702584223923569</v>
      </c>
      <c r="L60" s="21" t="n">
        <f aca="false">L51-Alloc_HF</f>
        <v>0.00834135531966719</v>
      </c>
    </row>
    <row r="61" customFormat="false" ht="15" hidden="false" customHeight="false" outlineLevel="0" collapsed="false">
      <c r="A61" s="6"/>
      <c r="B61" s="20" t="s">
        <v>52</v>
      </c>
      <c r="C61" s="21" t="n">
        <f aca="false">C52-Alloc_RE</f>
        <v>-0.0139394969918532</v>
      </c>
      <c r="D61" s="21" t="n">
        <f aca="false">D52-Alloc_RE</f>
        <v>-0.0137473938483254</v>
      </c>
      <c r="E61" s="21" t="n">
        <f aca="false">E52-Alloc_RE</f>
        <v>-0.0130839065137629</v>
      </c>
      <c r="F61" s="21" t="n">
        <f aca="false">F52-Alloc_RE</f>
        <v>-0.00982903926681067</v>
      </c>
      <c r="G61" s="21" t="n">
        <f aca="false">G52-Alloc_RE</f>
        <v>-0.00896696480551629</v>
      </c>
      <c r="H61" s="21" t="n">
        <f aca="false">H52-Alloc_RE</f>
        <v>-0.00930593402487953</v>
      </c>
      <c r="I61" s="21" t="n">
        <f aca="false">I52-Alloc_RE</f>
        <v>-0.00802202595945986</v>
      </c>
      <c r="J61" s="21" t="n">
        <f aca="false">J52-Alloc_RE</f>
        <v>-0.00700387209096748</v>
      </c>
      <c r="K61" s="21" t="n">
        <f aca="false">K52-Alloc_RE</f>
        <v>-0.00440617445200089</v>
      </c>
      <c r="L61" s="21" t="n">
        <f aca="false">L52-Alloc_RE</f>
        <v>-0.00158910009768856</v>
      </c>
    </row>
    <row r="62" customFormat="false" ht="15" hidden="false" customHeight="false" outlineLevel="0" collapsed="false">
      <c r="A62" s="6"/>
      <c r="B62" s="20" t="s">
        <v>53</v>
      </c>
      <c r="C62" s="21" t="n">
        <f aca="false">C53-Alloc_Infra</f>
        <v>-0.0165413156421223</v>
      </c>
      <c r="D62" s="21" t="n">
        <f aca="false">D53-Alloc_Infra</f>
        <v>-0.0172770291228982</v>
      </c>
      <c r="E62" s="21" t="n">
        <f aca="false">E53-Alloc_Infra</f>
        <v>-0.0175037161701242</v>
      </c>
      <c r="F62" s="21" t="n">
        <f aca="false">F53-Alloc_Infra</f>
        <v>-0.0164996745756929</v>
      </c>
      <c r="G62" s="21" t="n">
        <f aca="false">G53-Alloc_Infra</f>
        <v>-0.0166095868195723</v>
      </c>
      <c r="H62" s="21" t="n">
        <f aca="false">H53-Alloc_Infra</f>
        <v>-0.0164748002647822</v>
      </c>
      <c r="I62" s="21" t="n">
        <f aca="false">I53-Alloc_Infra</f>
        <v>-0.0152872698605982</v>
      </c>
      <c r="J62" s="21" t="n">
        <f aca="false">J53-Alloc_Infra</f>
        <v>-0.0135261816080245</v>
      </c>
      <c r="K62" s="21" t="n">
        <f aca="false">K53-Alloc_Infra</f>
        <v>-0.0115435643527316</v>
      </c>
      <c r="L62" s="21" t="n">
        <f aca="false">L53-Alloc_Infra</f>
        <v>-0.00855957336917163</v>
      </c>
    </row>
    <row r="63" customFormat="false" ht="15" hidden="false" customHeight="false" outlineLevel="0" collapsed="false">
      <c r="A63" s="6"/>
      <c r="B63" s="20" t="s">
        <v>54</v>
      </c>
      <c r="C63" s="21" t="n">
        <f aca="false">C54-Alloc_PC</f>
        <v>-0.00804140235829716</v>
      </c>
      <c r="D63" s="21" t="n">
        <f aca="false">D54-Alloc_PC</f>
        <v>-0.00508674557953145</v>
      </c>
      <c r="E63" s="21" t="n">
        <f aca="false">E54-Alloc_PC</f>
        <v>-0.00326587344262572</v>
      </c>
      <c r="F63" s="21" t="n">
        <f aca="false">F54-Alloc_PC</f>
        <v>-0.000658876261629443</v>
      </c>
      <c r="G63" s="21" t="n">
        <f aca="false">G54-Alloc_PC</f>
        <v>-0.000680326880335924</v>
      </c>
      <c r="H63" s="21" t="n">
        <f aca="false">H54-Alloc_PC</f>
        <v>-0.00120262238782337</v>
      </c>
      <c r="I63" s="21" t="n">
        <f aca="false">I54-Alloc_PC</f>
        <v>-0.00315336866362298</v>
      </c>
      <c r="J63" s="21" t="n">
        <f aca="false">J54-Alloc_PC</f>
        <v>-0.00427345539433091</v>
      </c>
      <c r="K63" s="21" t="n">
        <f aca="false">K54-Alloc_PC</f>
        <v>-0.00399651076345886</v>
      </c>
      <c r="L63" s="21" t="n">
        <f aca="false">L54-Alloc_PC</f>
        <v>-0.00354894777909473</v>
      </c>
    </row>
    <row r="64" customFormat="false" ht="15" hidden="false" customHeight="false" outlineLevel="0" collapsed="false">
      <c r="A64" s="6"/>
      <c r="B64" s="20" t="s">
        <v>55</v>
      </c>
      <c r="C64" s="21" t="n">
        <f aca="false">C55-Alloc_Liq</f>
        <v>0.0608786722478666</v>
      </c>
      <c r="D64" s="21" t="n">
        <f aca="false">D55-Alloc_Liq</f>
        <v>0.0691673810809029</v>
      </c>
      <c r="E64" s="21" t="n">
        <f aca="false">E55-Alloc_Liq</f>
        <v>0.0667731943551274</v>
      </c>
      <c r="F64" s="21" t="n">
        <f aca="false">F55-Alloc_Liq</f>
        <v>0.0638436998181125</v>
      </c>
      <c r="G64" s="21" t="n">
        <f aca="false">G55-Alloc_Liq</f>
        <v>0.0568290221624669</v>
      </c>
      <c r="H64" s="21" t="n">
        <f aca="false">H55-Alloc_Liq</f>
        <v>0.0488222216427522</v>
      </c>
      <c r="I64" s="21" t="n">
        <f aca="false">I55-Alloc_Liq</f>
        <v>0.0465135903863323</v>
      </c>
      <c r="J64" s="21" t="n">
        <f aca="false">J55-Alloc_Liq</f>
        <v>0.047650582057799</v>
      </c>
      <c r="K64" s="21" t="n">
        <f aca="false">K55-Alloc_Liq</f>
        <v>0.0524991919211445</v>
      </c>
      <c r="L64" s="21" t="n">
        <f aca="false">L55-Alloc_Liq</f>
        <v>0.0608974232499765</v>
      </c>
    </row>
    <row r="65" customFormat="false" ht="15" hidden="false" customHeight="false" outlineLevel="0" collapsed="false">
      <c r="A65" s="6"/>
      <c r="B65" s="6"/>
      <c r="C65" s="6"/>
      <c r="D65" s="6"/>
      <c r="E65" s="6"/>
      <c r="F65" s="6"/>
      <c r="G65" s="6"/>
      <c r="H65" s="6"/>
      <c r="I65" s="6"/>
      <c r="J65" s="6"/>
      <c r="K65" s="6"/>
      <c r="L65" s="6"/>
    </row>
    <row r="66" customFormat="false" ht="15" hidden="false" customHeight="false" outlineLevel="0" collapsed="false">
      <c r="A66" s="6"/>
      <c r="B66" s="14" t="s">
        <v>164</v>
      </c>
      <c r="C66" s="15"/>
      <c r="D66" s="15"/>
      <c r="E66" s="15"/>
      <c r="F66" s="15"/>
      <c r="G66" s="15"/>
      <c r="H66" s="15"/>
      <c r="I66" s="15"/>
      <c r="J66" s="15"/>
      <c r="K66" s="15"/>
      <c r="L66" s="15"/>
    </row>
    <row r="67" customFormat="false" ht="15" hidden="false" customHeight="false" outlineLevel="0" collapsed="false">
      <c r="A67" s="6"/>
      <c r="B67" s="26" t="s">
        <v>165</v>
      </c>
      <c r="C67" s="35" t="n">
        <f aca="false">IFERROR(C36/Portfolio_NAV!C85,0)</f>
        <v>0.226900635488482</v>
      </c>
      <c r="D67" s="35" t="n">
        <f aca="false">IFERROR(D36/Portfolio_NAV!D85,0)</f>
        <v>0.376389799832045</v>
      </c>
      <c r="E67" s="35" t="n">
        <f aca="false">IFERROR(E36/Portfolio_NAV!E85,0)</f>
        <v>0.455642549097092</v>
      </c>
      <c r="F67" s="35" t="n">
        <f aca="false">IFERROR(F36/Portfolio_NAV!F85,0)</f>
        <v>0.495629026293354</v>
      </c>
      <c r="G67" s="35" t="n">
        <f aca="false">IFERROR(G36/Portfolio_NAV!G85,0)</f>
        <v>0.498890842989773</v>
      </c>
      <c r="H67" s="35" t="n">
        <f aca="false">IFERROR(H36/Portfolio_NAV!H85,0)</f>
        <v>0.463360092033494</v>
      </c>
      <c r="I67" s="35" t="n">
        <f aca="false">IFERROR(I36/Portfolio_NAV!I85,0)</f>
        <v>0.442492531344628</v>
      </c>
      <c r="J67" s="35" t="n">
        <f aca="false">IFERROR(J36/Portfolio_NAV!J85,0)</f>
        <v>0.430002620438338</v>
      </c>
      <c r="K67" s="35" t="n">
        <f aca="false">IFERROR(K36/Portfolio_NAV!K85,0)</f>
        <v>0.425653245619259</v>
      </c>
      <c r="L67" s="35" t="n">
        <f aca="false">IFERROR(L36/Portfolio_NAV!L85,0)</f>
        <v>0.42831529039451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5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2" min="3" style="0" width="13"/>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166</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167</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c r="J4" s="6"/>
      <c r="K4" s="6"/>
      <c r="L4" s="6"/>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7" t="s">
        <v>47</v>
      </c>
      <c r="C6" s="19" t="n">
        <v>1</v>
      </c>
      <c r="D6" s="19" t="n">
        <v>2</v>
      </c>
      <c r="E6" s="19" t="n">
        <v>3</v>
      </c>
      <c r="F6" s="19" t="n">
        <v>4</v>
      </c>
      <c r="G6" s="19" t="n">
        <v>5</v>
      </c>
      <c r="H6" s="19" t="n">
        <v>6</v>
      </c>
      <c r="I6" s="19" t="n">
        <v>7</v>
      </c>
      <c r="J6" s="19" t="n">
        <v>8</v>
      </c>
      <c r="K6" s="19" t="n">
        <v>9</v>
      </c>
      <c r="L6" s="19" t="n">
        <v>10</v>
      </c>
    </row>
    <row r="7" customFormat="false" ht="15" hidden="false" customHeight="false" outlineLevel="0" collapsed="false">
      <c r="A7" s="6"/>
      <c r="B7" s="14" t="s">
        <v>168</v>
      </c>
      <c r="C7" s="15"/>
      <c r="D7" s="15"/>
      <c r="E7" s="15"/>
      <c r="F7" s="15"/>
      <c r="G7" s="15"/>
      <c r="H7" s="15"/>
      <c r="I7" s="15"/>
      <c r="J7" s="15"/>
      <c r="K7" s="15"/>
      <c r="L7" s="15"/>
    </row>
    <row r="8" customFormat="false" ht="15" hidden="false" customHeight="false" outlineLevel="0" collapsed="false">
      <c r="A8" s="6"/>
      <c r="B8" s="20" t="s">
        <v>49</v>
      </c>
      <c r="C8" s="22" t="n">
        <f aca="false">Allocation_Strategy!C29*Draw_PE*(1+Stress_Calls)</f>
        <v>6.09375</v>
      </c>
      <c r="D8" s="22" t="n">
        <f aca="false">MAX(0,(Allocation_Strategy!D29-C17)*Draw_PE*(1+Stress_Calls))</f>
        <v>9.6484375</v>
      </c>
      <c r="E8" s="22" t="n">
        <f aca="false">MAX(0,(Allocation_Strategy!E29-D17)*Draw_PE*(1+Stress_Calls))</f>
        <v>11.298828125</v>
      </c>
      <c r="F8" s="22" t="n">
        <f aca="false">MAX(0,(Allocation_Strategy!F29-E17)*Draw_PE*(1+Stress_Calls))</f>
        <v>11.52099609375</v>
      </c>
      <c r="G8" s="22" t="n">
        <f aca="false">MAX(0,(Allocation_Strategy!G29-F17)*Draw_PE*(1+Stress_Calls))</f>
        <v>10.6719970703125</v>
      </c>
      <c r="H8" s="22" t="n">
        <f aca="false">MAX(0,(Allocation_Strategy!H29-G17)*Draw_PE*(1+Stress_Calls))</f>
        <v>8.00399780273438</v>
      </c>
      <c r="I8" s="22" t="n">
        <f aca="false">MAX(0,(Allocation_Strategy!I29-H17)*Draw_PE*(1+Stress_Calls))</f>
        <v>6.00299835205078</v>
      </c>
      <c r="J8" s="22" t="n">
        <f aca="false">MAX(0,(Allocation_Strategy!J29-I17)*Draw_PE*(1+Stress_Calls))</f>
        <v>4.50224876403809</v>
      </c>
      <c r="K8" s="22" t="n">
        <f aca="false">MAX(0,(Allocation_Strategy!K29-J17)*Draw_PE*(1+Stress_Calls))</f>
        <v>3.37668657302856</v>
      </c>
      <c r="L8" s="22" t="n">
        <f aca="false">MAX(0,(Allocation_Strategy!L29-K17)*Draw_PE*(1+Stress_Calls))</f>
        <v>2.53251492977142</v>
      </c>
    </row>
    <row r="9" customFormat="false" ht="15" hidden="false" customHeight="false" outlineLevel="0" collapsed="false">
      <c r="A9" s="6"/>
      <c r="B9" s="20" t="s">
        <v>50</v>
      </c>
      <c r="C9" s="22" t="n">
        <f aca="false">Allocation_Strategy!C30*Draw_VC*(1+Stress_Calls)</f>
        <v>2.34</v>
      </c>
      <c r="D9" s="22" t="n">
        <f aca="false">MAX(0,(Allocation_Strategy!D30-C18)*Draw_VC*(1+Stress_Calls))</f>
        <v>3.822</v>
      </c>
      <c r="E9" s="22" t="n">
        <f aca="false">MAX(0,(Allocation_Strategy!E30-D18)*Draw_VC*(1+Stress_Calls))</f>
        <v>4.6176</v>
      </c>
      <c r="F9" s="22" t="n">
        <f aca="false">MAX(0,(Allocation_Strategy!F30-E18)*Draw_VC*(1+Stress_Calls))</f>
        <v>4.86408</v>
      </c>
      <c r="G9" s="22" t="n">
        <f aca="false">MAX(0,(Allocation_Strategy!G30-F18)*Draw_VC*(1+Stress_Calls))</f>
        <v>4.671264</v>
      </c>
      <c r="H9" s="22" t="n">
        <f aca="false">MAX(0,(Allocation_Strategy!H30-G18)*Draw_VC*(1+Stress_Calls))</f>
        <v>3.7370112</v>
      </c>
      <c r="I9" s="22" t="n">
        <f aca="false">MAX(0,(Allocation_Strategy!I30-H18)*Draw_VC*(1+Stress_Calls))</f>
        <v>2.98960896</v>
      </c>
      <c r="J9" s="22" t="n">
        <f aca="false">MAX(0,(Allocation_Strategy!J30-I18)*Draw_VC*(1+Stress_Calls))</f>
        <v>2.391687168</v>
      </c>
      <c r="K9" s="22" t="n">
        <f aca="false">MAX(0,(Allocation_Strategy!K30-J18)*Draw_VC*(1+Stress_Calls))</f>
        <v>1.9133497344</v>
      </c>
      <c r="L9" s="22" t="n">
        <f aca="false">MAX(0,(Allocation_Strategy!L30-K18)*Draw_VC*(1+Stress_Calls))</f>
        <v>1.53067978752</v>
      </c>
    </row>
    <row r="10" customFormat="false" ht="15" hidden="false" customHeight="false" outlineLevel="0" collapsed="false">
      <c r="A10" s="6"/>
      <c r="B10" s="20" t="s">
        <v>51</v>
      </c>
      <c r="C10" s="22" t="n">
        <f aca="false">Allocation_Strategy!C31*Draw_HF*(1+Stress_Calls)</f>
        <v>7.5</v>
      </c>
      <c r="D10" s="22" t="n">
        <f aca="false">MAX(0,(Allocation_Strategy!D31-C19)*Draw_HF*(1+Stress_Calls))</f>
        <v>6.25</v>
      </c>
      <c r="E10" s="22" t="n">
        <f aca="false">MAX(0,(Allocation_Strategy!E31-D19)*Draw_HF*(1+Stress_Calls))</f>
        <v>5</v>
      </c>
      <c r="F10" s="22" t="n">
        <f aca="false">MAX(0,(Allocation_Strategy!F31-E19)*Draw_HF*(1+Stress_Calls))</f>
        <v>3.75</v>
      </c>
      <c r="G10" s="22" t="n">
        <f aca="false">MAX(0,(Allocation_Strategy!G31-F19)*Draw_HF*(1+Stress_Calls))</f>
        <v>2.5</v>
      </c>
      <c r="H10" s="22" t="n">
        <f aca="false">MAX(0,(Allocation_Strategy!H31-G19)*Draw_HF*(1+Stress_Calls))</f>
        <v>0</v>
      </c>
      <c r="I10" s="22" t="n">
        <f aca="false">MAX(0,(Allocation_Strategy!I31-H19)*Draw_HF*(1+Stress_Calls))</f>
        <v>0</v>
      </c>
      <c r="J10" s="22" t="n">
        <f aca="false">MAX(0,(Allocation_Strategy!J31-I19)*Draw_HF*(1+Stress_Calls))</f>
        <v>0</v>
      </c>
      <c r="K10" s="22" t="n">
        <f aca="false">MAX(0,(Allocation_Strategy!K31-J19)*Draw_HF*(1+Stress_Calls))</f>
        <v>0</v>
      </c>
      <c r="L10" s="22" t="n">
        <f aca="false">MAX(0,(Allocation_Strategy!L31-K19)*Draw_HF*(1+Stress_Calls))</f>
        <v>0</v>
      </c>
    </row>
    <row r="11" customFormat="false" ht="15" hidden="false" customHeight="false" outlineLevel="0" collapsed="false">
      <c r="A11" s="6"/>
      <c r="B11" s="20" t="s">
        <v>52</v>
      </c>
      <c r="C11" s="22" t="n">
        <f aca="false">Allocation_Strategy!C32*Draw_RE*(1+Stress_Calls)</f>
        <v>3.65625</v>
      </c>
      <c r="D11" s="22" t="n">
        <f aca="false">MAX(0,(Allocation_Strategy!D32-C20)*Draw_RE*(1+Stress_Calls))</f>
        <v>5.7890625</v>
      </c>
      <c r="E11" s="22" t="n">
        <f aca="false">MAX(0,(Allocation_Strategy!E32-D20)*Draw_RE*(1+Stress_Calls))</f>
        <v>6.779296875</v>
      </c>
      <c r="F11" s="22" t="n">
        <f aca="false">MAX(0,(Allocation_Strategy!F32-E20)*Draw_RE*(1+Stress_Calls))</f>
        <v>6.91259765625</v>
      </c>
      <c r="G11" s="22" t="n">
        <f aca="false">MAX(0,(Allocation_Strategy!G32-F20)*Draw_RE*(1+Stress_Calls))</f>
        <v>6.4031982421875</v>
      </c>
      <c r="H11" s="22" t="n">
        <f aca="false">MAX(0,(Allocation_Strategy!H32-G20)*Draw_RE*(1+Stress_Calls))</f>
        <v>4.80239868164063</v>
      </c>
      <c r="I11" s="22" t="n">
        <f aca="false">MAX(0,(Allocation_Strategy!I32-H20)*Draw_RE*(1+Stress_Calls))</f>
        <v>3.60179901123047</v>
      </c>
      <c r="J11" s="22" t="n">
        <f aca="false">MAX(0,(Allocation_Strategy!J32-I20)*Draw_RE*(1+Stress_Calls))</f>
        <v>2.70134925842285</v>
      </c>
      <c r="K11" s="22" t="n">
        <f aca="false">MAX(0,(Allocation_Strategy!K32-J20)*Draw_RE*(1+Stress_Calls))</f>
        <v>2.02601194381714</v>
      </c>
      <c r="L11" s="22" t="n">
        <f aca="false">MAX(0,(Allocation_Strategy!L32-K20)*Draw_RE*(1+Stress_Calls))</f>
        <v>1.51950895786285</v>
      </c>
    </row>
    <row r="12" customFormat="false" ht="15" hidden="false" customHeight="false" outlineLevel="0" collapsed="false">
      <c r="A12" s="6"/>
      <c r="B12" s="20" t="s">
        <v>53</v>
      </c>
      <c r="C12" s="22" t="n">
        <f aca="false">Allocation_Strategy!C33*Draw_Infra*(1+Stress_Calls)</f>
        <v>1.95</v>
      </c>
      <c r="D12" s="22" t="n">
        <f aca="false">MAX(0,(Allocation_Strategy!D33-C21)*Draw_Infra*(1+Stress_Calls))</f>
        <v>3.185</v>
      </c>
      <c r="E12" s="22" t="n">
        <f aca="false">MAX(0,(Allocation_Strategy!E33-D21)*Draw_Infra*(1+Stress_Calls))</f>
        <v>3.848</v>
      </c>
      <c r="F12" s="22" t="n">
        <f aca="false">MAX(0,(Allocation_Strategy!F33-E21)*Draw_Infra*(1+Stress_Calls))</f>
        <v>4.0534</v>
      </c>
      <c r="G12" s="22" t="n">
        <f aca="false">MAX(0,(Allocation_Strategy!G33-F21)*Draw_Infra*(1+Stress_Calls))</f>
        <v>3.89272</v>
      </c>
      <c r="H12" s="22" t="n">
        <f aca="false">MAX(0,(Allocation_Strategy!H33-G21)*Draw_Infra*(1+Stress_Calls))</f>
        <v>3.114176</v>
      </c>
      <c r="I12" s="22" t="n">
        <f aca="false">MAX(0,(Allocation_Strategy!I33-H21)*Draw_Infra*(1+Stress_Calls))</f>
        <v>2.4913408</v>
      </c>
      <c r="J12" s="22" t="n">
        <f aca="false">MAX(0,(Allocation_Strategy!J33-I21)*Draw_Infra*(1+Stress_Calls))</f>
        <v>1.99307264</v>
      </c>
      <c r="K12" s="22" t="n">
        <f aca="false">MAX(0,(Allocation_Strategy!K33-J21)*Draw_Infra*(1+Stress_Calls))</f>
        <v>1.594458112</v>
      </c>
      <c r="L12" s="22" t="n">
        <f aca="false">MAX(0,(Allocation_Strategy!L33-K21)*Draw_Infra*(1+Stress_Calls))</f>
        <v>1.2755664896</v>
      </c>
    </row>
    <row r="13" customFormat="false" ht="15" hidden="false" customHeight="false" outlineLevel="0" collapsed="false">
      <c r="A13" s="6"/>
      <c r="B13" s="20" t="s">
        <v>54</v>
      </c>
      <c r="C13" s="22" t="n">
        <f aca="false">Allocation_Strategy!C34*Draw_PC*(1+Stress_Calls)</f>
        <v>3.8025</v>
      </c>
      <c r="D13" s="22" t="n">
        <f aca="false">MAX(0,(Allocation_Strategy!D34-C22)*Draw_PC*(1+Stress_Calls))</f>
        <v>5.8305</v>
      </c>
      <c r="E13" s="22" t="n">
        <f aca="false">MAX(0,(Allocation_Strategy!E34-D22)*Draw_PC*(1+Stress_Calls))</f>
        <v>6.61635</v>
      </c>
      <c r="F13" s="22" t="n">
        <f aca="false">MAX(0,(Allocation_Strategy!F34-E22)*Draw_PC*(1+Stress_Calls))</f>
        <v>6.532695</v>
      </c>
      <c r="G13" s="22" t="n">
        <f aca="false">MAX(0,(Allocation_Strategy!G34-F22)*Draw_PC*(1+Stress_Calls))</f>
        <v>5.8403865</v>
      </c>
      <c r="H13" s="22" t="n">
        <f aca="false">MAX(0,(Allocation_Strategy!H34-G22)*Draw_PC*(1+Stress_Calls))</f>
        <v>4.08827055</v>
      </c>
      <c r="I13" s="22" t="n">
        <f aca="false">MAX(0,(Allocation_Strategy!I34-H22)*Draw_PC*(1+Stress_Calls))</f>
        <v>2.861789385</v>
      </c>
      <c r="J13" s="22" t="n">
        <f aca="false">MAX(0,(Allocation_Strategy!J34-I22)*Draw_PC*(1+Stress_Calls))</f>
        <v>2.0032525695</v>
      </c>
      <c r="K13" s="22" t="n">
        <f aca="false">MAX(0,(Allocation_Strategy!K34-J22)*Draw_PC*(1+Stress_Calls))</f>
        <v>1.40227679865</v>
      </c>
      <c r="L13" s="22" t="n">
        <f aca="false">MAX(0,(Allocation_Strategy!L34-K22)*Draw_PC*(1+Stress_Calls))</f>
        <v>0.981593759054999</v>
      </c>
    </row>
    <row r="14" customFormat="false" ht="15" hidden="false" customHeight="false" outlineLevel="0" collapsed="false">
      <c r="A14" s="6"/>
      <c r="B14" s="20" t="s">
        <v>55</v>
      </c>
      <c r="C14" s="22" t="n">
        <f aca="false">Allocation_Strategy!C35*Draw_Liq*(1+Stress_Calls)</f>
        <v>11.25</v>
      </c>
      <c r="D14" s="22" t="n">
        <f aca="false">MAX(0,(Allocation_Strategy!D35-C23)*Draw_Liq*(1+Stress_Calls))</f>
        <v>9.375</v>
      </c>
      <c r="E14" s="22" t="n">
        <f aca="false">MAX(0,(Allocation_Strategy!E35-D23)*Draw_Liq*(1+Stress_Calls))</f>
        <v>7.5</v>
      </c>
      <c r="F14" s="22" t="n">
        <f aca="false">MAX(0,(Allocation_Strategy!F35-E23)*Draw_Liq*(1+Stress_Calls))</f>
        <v>5.625</v>
      </c>
      <c r="G14" s="22" t="n">
        <f aca="false">MAX(0,(Allocation_Strategy!G35-F23)*Draw_Liq*(1+Stress_Calls))</f>
        <v>3.75</v>
      </c>
      <c r="H14" s="22" t="n">
        <f aca="false">MAX(0,(Allocation_Strategy!H35-G23)*Draw_Liq*(1+Stress_Calls))</f>
        <v>0</v>
      </c>
      <c r="I14" s="22" t="n">
        <f aca="false">MAX(0,(Allocation_Strategy!I35-H23)*Draw_Liq*(1+Stress_Calls))</f>
        <v>0</v>
      </c>
      <c r="J14" s="22" t="n">
        <f aca="false">MAX(0,(Allocation_Strategy!J35-I23)*Draw_Liq*(1+Stress_Calls))</f>
        <v>0</v>
      </c>
      <c r="K14" s="22" t="n">
        <f aca="false">MAX(0,(Allocation_Strategy!K35-J23)*Draw_Liq*(1+Stress_Calls))</f>
        <v>0</v>
      </c>
      <c r="L14" s="22" t="n">
        <f aca="false">MAX(0,(Allocation_Strategy!L35-K23)*Draw_Liq*(1+Stress_Calls))</f>
        <v>0</v>
      </c>
    </row>
    <row r="15" customFormat="false" ht="15" hidden="false" customHeight="false" outlineLevel="0" collapsed="false">
      <c r="A15" s="6"/>
      <c r="B15" s="23" t="s">
        <v>169</v>
      </c>
      <c r="C15" s="24" t="n">
        <f aca="false">SUM(C8:C14)</f>
        <v>36.5925</v>
      </c>
      <c r="D15" s="24" t="n">
        <f aca="false">SUM(D8:D14)</f>
        <v>43.9</v>
      </c>
      <c r="E15" s="24" t="n">
        <f aca="false">SUM(E8:E14)</f>
        <v>45.660075</v>
      </c>
      <c r="F15" s="24" t="n">
        <f aca="false">SUM(F8:F14)</f>
        <v>43.25876875</v>
      </c>
      <c r="G15" s="24" t="n">
        <f aca="false">SUM(G8:G14)</f>
        <v>37.7295658125</v>
      </c>
      <c r="H15" s="24" t="n">
        <f aca="false">SUM(H8:H14)</f>
        <v>23.745854234375</v>
      </c>
      <c r="I15" s="24" t="n">
        <f aca="false">SUM(I8:I14)</f>
        <v>17.9475365082813</v>
      </c>
      <c r="J15" s="24" t="n">
        <f aca="false">SUM(J8:J14)</f>
        <v>13.5916103999609</v>
      </c>
      <c r="K15" s="24" t="n">
        <f aca="false">SUM(K8:K14)</f>
        <v>10.3127831618957</v>
      </c>
      <c r="L15" s="24" t="n">
        <f aca="false">SUM(L8:L14)</f>
        <v>7.83986392380928</v>
      </c>
    </row>
    <row r="16" customFormat="false" ht="15" hidden="false" customHeight="false" outlineLevel="0" collapsed="false">
      <c r="A16" s="6"/>
      <c r="B16" s="6"/>
      <c r="C16" s="6"/>
      <c r="D16" s="6"/>
      <c r="E16" s="6"/>
      <c r="F16" s="6"/>
      <c r="G16" s="6"/>
      <c r="H16" s="6"/>
      <c r="I16" s="6"/>
      <c r="J16" s="6"/>
      <c r="K16" s="6"/>
      <c r="L16" s="6"/>
    </row>
    <row r="17" customFormat="false" ht="15" hidden="false" customHeight="false" outlineLevel="0" collapsed="false">
      <c r="A17" s="6"/>
      <c r="B17" s="36" t="s">
        <v>49</v>
      </c>
      <c r="C17" s="37" t="n">
        <f aca="false">C8</f>
        <v>6.09375</v>
      </c>
      <c r="D17" s="37" t="n">
        <f aca="false">C17+D8</f>
        <v>15.7421875</v>
      </c>
      <c r="E17" s="37" t="n">
        <f aca="false">D17+E8</f>
        <v>27.041015625</v>
      </c>
      <c r="F17" s="37" t="n">
        <f aca="false">E17+F8</f>
        <v>38.56201171875</v>
      </c>
      <c r="G17" s="37" t="n">
        <f aca="false">F17+G8</f>
        <v>49.2340087890625</v>
      </c>
      <c r="H17" s="37" t="n">
        <f aca="false">G17+H8</f>
        <v>57.2380065917969</v>
      </c>
      <c r="I17" s="37" t="n">
        <f aca="false">H17+I8</f>
        <v>63.2410049438477</v>
      </c>
      <c r="J17" s="37" t="n">
        <f aca="false">I17+J8</f>
        <v>67.7432537078857</v>
      </c>
      <c r="K17" s="37" t="n">
        <f aca="false">J17+K8</f>
        <v>71.1199402809143</v>
      </c>
      <c r="L17" s="37" t="n">
        <f aca="false">K17+L8</f>
        <v>73.6524552106857</v>
      </c>
    </row>
    <row r="18" customFormat="false" ht="15" hidden="false" customHeight="false" outlineLevel="0" collapsed="false">
      <c r="A18" s="6"/>
      <c r="B18" s="20" t="s">
        <v>50</v>
      </c>
      <c r="C18" s="22" t="n">
        <f aca="false">C9</f>
        <v>2.34</v>
      </c>
      <c r="D18" s="22" t="n">
        <f aca="false">C18+D9</f>
        <v>6.162</v>
      </c>
      <c r="E18" s="22" t="n">
        <f aca="false">D18+E9</f>
        <v>10.7796</v>
      </c>
      <c r="F18" s="22" t="n">
        <f aca="false">E18+F9</f>
        <v>15.64368</v>
      </c>
      <c r="G18" s="22" t="n">
        <f aca="false">F18+G9</f>
        <v>20.314944</v>
      </c>
      <c r="H18" s="22" t="n">
        <f aca="false">G18+H9</f>
        <v>24.0519552</v>
      </c>
      <c r="I18" s="22" t="n">
        <f aca="false">H18+I9</f>
        <v>27.04156416</v>
      </c>
      <c r="J18" s="22" t="n">
        <f aca="false">I18+J9</f>
        <v>29.433251328</v>
      </c>
      <c r="K18" s="22" t="n">
        <f aca="false">J18+K9</f>
        <v>31.3466010624</v>
      </c>
      <c r="L18" s="22" t="n">
        <f aca="false">K18+L9</f>
        <v>32.87728084992</v>
      </c>
    </row>
    <row r="19" customFormat="false" ht="15" hidden="false" customHeight="false" outlineLevel="0" collapsed="false">
      <c r="A19" s="6"/>
      <c r="B19" s="20" t="s">
        <v>51</v>
      </c>
      <c r="C19" s="22" t="n">
        <f aca="false">C10</f>
        <v>7.5</v>
      </c>
      <c r="D19" s="22" t="n">
        <f aca="false">C19+D10</f>
        <v>13.75</v>
      </c>
      <c r="E19" s="22" t="n">
        <f aca="false">D19+E10</f>
        <v>18.75</v>
      </c>
      <c r="F19" s="22" t="n">
        <f aca="false">E19+F10</f>
        <v>22.5</v>
      </c>
      <c r="G19" s="22" t="n">
        <f aca="false">F19+G10</f>
        <v>25</v>
      </c>
      <c r="H19" s="22" t="n">
        <f aca="false">G19+H10</f>
        <v>25</v>
      </c>
      <c r="I19" s="22" t="n">
        <f aca="false">H19+I10</f>
        <v>25</v>
      </c>
      <c r="J19" s="22" t="n">
        <f aca="false">I19+J10</f>
        <v>25</v>
      </c>
      <c r="K19" s="22" t="n">
        <f aca="false">J19+K10</f>
        <v>25</v>
      </c>
      <c r="L19" s="22" t="n">
        <f aca="false">K19+L10</f>
        <v>25</v>
      </c>
    </row>
    <row r="20" customFormat="false" ht="15" hidden="false" customHeight="false" outlineLevel="0" collapsed="false">
      <c r="A20" s="6"/>
      <c r="B20" s="20" t="s">
        <v>52</v>
      </c>
      <c r="C20" s="22" t="n">
        <f aca="false">C11</f>
        <v>3.65625</v>
      </c>
      <c r="D20" s="22" t="n">
        <f aca="false">C20+D11</f>
        <v>9.4453125</v>
      </c>
      <c r="E20" s="22" t="n">
        <f aca="false">D20+E11</f>
        <v>16.224609375</v>
      </c>
      <c r="F20" s="22" t="n">
        <f aca="false">E20+F11</f>
        <v>23.13720703125</v>
      </c>
      <c r="G20" s="22" t="n">
        <f aca="false">F20+G11</f>
        <v>29.5404052734375</v>
      </c>
      <c r="H20" s="22" t="n">
        <f aca="false">G20+H11</f>
        <v>34.3428039550781</v>
      </c>
      <c r="I20" s="22" t="n">
        <f aca="false">H20+I11</f>
        <v>37.9446029663086</v>
      </c>
      <c r="J20" s="22" t="n">
        <f aca="false">I20+J11</f>
        <v>40.6459522247314</v>
      </c>
      <c r="K20" s="22" t="n">
        <f aca="false">J20+K11</f>
        <v>42.6719641685486</v>
      </c>
      <c r="L20" s="22" t="n">
        <f aca="false">K20+L11</f>
        <v>44.1914731264114</v>
      </c>
    </row>
    <row r="21" customFormat="false" ht="15" hidden="false" customHeight="false" outlineLevel="0" collapsed="false">
      <c r="A21" s="6"/>
      <c r="B21" s="20" t="s">
        <v>53</v>
      </c>
      <c r="C21" s="22" t="n">
        <f aca="false">C12</f>
        <v>1.95</v>
      </c>
      <c r="D21" s="22" t="n">
        <f aca="false">C21+D12</f>
        <v>5.135</v>
      </c>
      <c r="E21" s="22" t="n">
        <f aca="false">D21+E12</f>
        <v>8.983</v>
      </c>
      <c r="F21" s="22" t="n">
        <f aca="false">E21+F12</f>
        <v>13.0364</v>
      </c>
      <c r="G21" s="22" t="n">
        <f aca="false">F21+G12</f>
        <v>16.92912</v>
      </c>
      <c r="H21" s="22" t="n">
        <f aca="false">G21+H12</f>
        <v>20.043296</v>
      </c>
      <c r="I21" s="22" t="n">
        <f aca="false">H21+I12</f>
        <v>22.5346368</v>
      </c>
      <c r="J21" s="22" t="n">
        <f aca="false">I21+J12</f>
        <v>24.52770944</v>
      </c>
      <c r="K21" s="22" t="n">
        <f aca="false">J21+K12</f>
        <v>26.122167552</v>
      </c>
      <c r="L21" s="22" t="n">
        <f aca="false">K21+L12</f>
        <v>27.3977340416</v>
      </c>
    </row>
    <row r="22" customFormat="false" ht="15" hidden="false" customHeight="false" outlineLevel="0" collapsed="false">
      <c r="A22" s="6"/>
      <c r="B22" s="20" t="s">
        <v>54</v>
      </c>
      <c r="C22" s="22" t="n">
        <f aca="false">C13</f>
        <v>3.8025</v>
      </c>
      <c r="D22" s="22" t="n">
        <f aca="false">C22+D13</f>
        <v>9.633</v>
      </c>
      <c r="E22" s="22" t="n">
        <f aca="false">D22+E13</f>
        <v>16.24935</v>
      </c>
      <c r="F22" s="22" t="n">
        <f aca="false">E22+F13</f>
        <v>22.782045</v>
      </c>
      <c r="G22" s="22" t="n">
        <f aca="false">F22+G13</f>
        <v>28.6224315</v>
      </c>
      <c r="H22" s="22" t="n">
        <f aca="false">G22+H13</f>
        <v>32.71070205</v>
      </c>
      <c r="I22" s="22" t="n">
        <f aca="false">H22+I13</f>
        <v>35.572491435</v>
      </c>
      <c r="J22" s="22" t="n">
        <f aca="false">I22+J13</f>
        <v>37.5757440045</v>
      </c>
      <c r="K22" s="22" t="n">
        <f aca="false">J22+K13</f>
        <v>38.97802080315</v>
      </c>
      <c r="L22" s="22" t="n">
        <f aca="false">K22+L13</f>
        <v>39.959614562205</v>
      </c>
    </row>
    <row r="23" customFormat="false" ht="15" hidden="false" customHeight="false" outlineLevel="0" collapsed="false">
      <c r="A23" s="6"/>
      <c r="B23" s="20" t="s">
        <v>55</v>
      </c>
      <c r="C23" s="22" t="n">
        <f aca="false">C14</f>
        <v>11.25</v>
      </c>
      <c r="D23" s="22" t="n">
        <f aca="false">C23+D14</f>
        <v>20.625</v>
      </c>
      <c r="E23" s="22" t="n">
        <f aca="false">D23+E14</f>
        <v>28.125</v>
      </c>
      <c r="F23" s="22" t="n">
        <f aca="false">E23+F14</f>
        <v>33.75</v>
      </c>
      <c r="G23" s="22" t="n">
        <f aca="false">F23+G14</f>
        <v>37.5</v>
      </c>
      <c r="H23" s="22" t="n">
        <f aca="false">G23+H14</f>
        <v>37.5</v>
      </c>
      <c r="I23" s="22" t="n">
        <f aca="false">H23+I14</f>
        <v>37.5</v>
      </c>
      <c r="J23" s="22" t="n">
        <f aca="false">I23+J14</f>
        <v>37.5</v>
      </c>
      <c r="K23" s="22" t="n">
        <f aca="false">J23+K14</f>
        <v>37.5</v>
      </c>
      <c r="L23" s="22" t="n">
        <f aca="false">K23+L14</f>
        <v>37.5</v>
      </c>
    </row>
    <row r="24" customFormat="false" ht="15" hidden="false" customHeight="false" outlineLevel="0" collapsed="false">
      <c r="A24" s="6"/>
      <c r="B24" s="23" t="s">
        <v>170</v>
      </c>
      <c r="C24" s="24" t="n">
        <f aca="false">SUM(C17:C23)</f>
        <v>36.5925</v>
      </c>
      <c r="D24" s="24" t="n">
        <f aca="false">SUM(D17:D23)</f>
        <v>80.4925</v>
      </c>
      <c r="E24" s="24" t="n">
        <f aca="false">SUM(E17:E23)</f>
        <v>126.152575</v>
      </c>
      <c r="F24" s="24" t="n">
        <f aca="false">SUM(F17:F23)</f>
        <v>169.41134375</v>
      </c>
      <c r="G24" s="24" t="n">
        <f aca="false">SUM(G17:G23)</f>
        <v>207.1409095625</v>
      </c>
      <c r="H24" s="24" t="n">
        <f aca="false">SUM(H17:H23)</f>
        <v>230.886763796875</v>
      </c>
      <c r="I24" s="24" t="n">
        <f aca="false">SUM(I17:I23)</f>
        <v>248.834300305156</v>
      </c>
      <c r="J24" s="24" t="n">
        <f aca="false">SUM(J17:J23)</f>
        <v>262.425910705117</v>
      </c>
      <c r="K24" s="24" t="n">
        <f aca="false">SUM(K17:K23)</f>
        <v>272.738693867013</v>
      </c>
      <c r="L24" s="24" t="n">
        <f aca="false">SUM(L17:L23)</f>
        <v>280.578557790822</v>
      </c>
    </row>
    <row r="25" customFormat="false" ht="15" hidden="false" customHeight="false" outlineLevel="0" collapsed="false">
      <c r="A25" s="6"/>
      <c r="B25" s="6"/>
      <c r="C25" s="6"/>
      <c r="D25" s="6"/>
      <c r="E25" s="6"/>
      <c r="F25" s="6"/>
      <c r="G25" s="6"/>
      <c r="H25" s="6"/>
      <c r="I25" s="6"/>
      <c r="J25" s="6"/>
      <c r="K25" s="6"/>
      <c r="L25" s="6"/>
    </row>
    <row r="26" customFormat="false" ht="15" hidden="false" customHeight="false" outlineLevel="0" collapsed="false">
      <c r="A26" s="6"/>
      <c r="B26" s="36" t="s">
        <v>49</v>
      </c>
      <c r="C26" s="37" t="n">
        <f aca="false">IF(1&lt;DistStart_PE,0,Portfolio_NAV!C9*Dist_PE*(1-Stress_Dist))</f>
        <v>0</v>
      </c>
      <c r="D26" s="37" t="n">
        <f aca="false">IF(2&lt;DistStart_PE,0,Portfolio_NAV!D9*Dist_PE*(1-Stress_Dist))</f>
        <v>0</v>
      </c>
      <c r="E26" s="37" t="n">
        <f aca="false">IF(3&lt;DistStart_PE,0,Portfolio_NAV!E9*Dist_PE*(1-Stress_Dist))</f>
        <v>0</v>
      </c>
      <c r="F26" s="37" t="n">
        <f aca="false">IF(4&lt;DistStart_PE,0,Portfolio_NAV!F9*Dist_PE*(1-Stress_Dist))</f>
        <v>16.4828991679688</v>
      </c>
      <c r="G26" s="37" t="n">
        <f aca="false">IF(5&lt;DistStart_PE,0,Portfolio_NAV!G9*Dist_PE*(1-Stress_Dist))</f>
        <v>17.6228130718359</v>
      </c>
      <c r="H26" s="37" t="n">
        <f aca="false">IF(6&lt;DistStart_PE,0,Portfolio_NAV!H9*Dist_PE*(1-Stress_Dist))</f>
        <v>19.6769939849871</v>
      </c>
      <c r="I26" s="37" t="n">
        <f aca="false">IF(7&lt;DistStart_PE,0,Portfolio_NAV!I9*Dist_PE*(1-Stress_Dist))</f>
        <v>21.221771553554</v>
      </c>
      <c r="J26" s="37" t="n">
        <f aca="false">IF(8&lt;DistStart_PE,0,Portfolio_NAV!J9*Dist_PE*(1-Stress_Dist))</f>
        <v>21.3878299675512</v>
      </c>
      <c r="K26" s="37" t="n">
        <f aca="false">IF(9&lt;DistStart_PE,0,Portfolio_NAV!K9*Dist_PE*(1-Stress_Dist))</f>
        <v>20.8699467560613</v>
      </c>
      <c r="L26" s="37" t="n">
        <f aca="false">IF(10&lt;DistStart_PE,0,Portfolio_NAV!L9*Dist_PE*(1-Stress_Dist))</f>
        <v>19.7789840742001</v>
      </c>
    </row>
    <row r="27" customFormat="false" ht="15" hidden="false" customHeight="false" outlineLevel="0" collapsed="false">
      <c r="A27" s="6"/>
      <c r="B27" s="20" t="s">
        <v>50</v>
      </c>
      <c r="C27" s="22" t="n">
        <f aca="false">IF(1&lt;DistStart_VC,0,Portfolio_NAV!C19*Dist_VC*(1-Stress_Dist))</f>
        <v>0</v>
      </c>
      <c r="D27" s="22" t="n">
        <f aca="false">IF(2&lt;DistStart_VC,0,Portfolio_NAV!D19*Dist_VC*(1-Stress_Dist))</f>
        <v>0</v>
      </c>
      <c r="E27" s="22" t="n">
        <f aca="false">IF(3&lt;DistStart_VC,0,Portfolio_NAV!E19*Dist_VC*(1-Stress_Dist))</f>
        <v>0</v>
      </c>
      <c r="F27" s="22" t="n">
        <f aca="false">IF(4&lt;DistStart_VC,0,Portfolio_NAV!F19*Dist_VC*(1-Stress_Dist))</f>
        <v>0</v>
      </c>
      <c r="G27" s="22" t="n">
        <f aca="false">IF(5&lt;DistStart_VC,0,Portfolio_NAV!G19*Dist_VC*(1-Stress_Dist))</f>
        <v>5.1226344</v>
      </c>
      <c r="H27" s="22" t="n">
        <f aca="false">IF(6&lt;DistStart_VC,0,Portfolio_NAV!H19*Dist_VC*(1-Stress_Dist))</f>
        <v>6.33854676</v>
      </c>
      <c r="I27" s="22" t="n">
        <f aca="false">IF(7&lt;DistStart_VC,0,Portfolio_NAV!I19*Dist_VC*(1-Stress_Dist))</f>
        <v>7.9092414648</v>
      </c>
      <c r="J27" s="22" t="n">
        <f aca="false">IF(8&lt;DistStart_VC,0,Portfolio_NAV!J19*Dist_VC*(1-Stress_Dist))</f>
        <v>9.273773863224</v>
      </c>
      <c r="K27" s="22" t="n">
        <f aca="false">IF(9&lt;DistStart_VC,0,Portfolio_NAV!K19*Dist_VC*(1-Stress_Dist))</f>
        <v>10.2787613607619</v>
      </c>
      <c r="L27" s="22" t="n">
        <f aca="false">IF(10&lt;DistStart_VC,0,Portfolio_NAV!L19*Dist_VC*(1-Stress_Dist))</f>
        <v>10.5872340708175</v>
      </c>
    </row>
    <row r="28" customFormat="false" ht="15" hidden="false" customHeight="false" outlineLevel="0" collapsed="false">
      <c r="A28" s="6"/>
      <c r="B28" s="20" t="s">
        <v>51</v>
      </c>
      <c r="C28" s="22" t="n">
        <f aca="false">IF(1&lt;DistStart_HF,0,Portfolio_NAV!C29*Dist_HF*(1-Stress_Dist))</f>
        <v>2.375</v>
      </c>
      <c r="D28" s="22" t="n">
        <f aca="false">IF(2&lt;DistStart_HF,0,Portfolio_NAV!D29*Dist_HF*(1-Stress_Dist))</f>
        <v>2.777</v>
      </c>
      <c r="E28" s="22" t="n">
        <f aca="false">IF(3&lt;DistStart_HF,0,Portfolio_NAV!E29*Dist_HF*(1-Stress_Dist))</f>
        <v>3.116787</v>
      </c>
      <c r="F28" s="22" t="n">
        <f aca="false">IF(4&lt;DistStart_HF,0,Portfolio_NAV!F29*Dist_HF*(1-Stress_Dist))</f>
        <v>3.393987722</v>
      </c>
      <c r="G28" s="22" t="n">
        <f aca="false">IF(5&lt;DistStart_HF,0,Portfolio_NAV!G29*Dist_HF*(1-Stress_Dist))</f>
        <v>3.608226648332</v>
      </c>
      <c r="H28" s="22" t="n">
        <f aca="false">IF(6&lt;DistStart_HF,0,Portfolio_NAV!H29*Dist_HF*(1-Stress_Dist))</f>
        <v>3.75912600822199</v>
      </c>
      <c r="I28" s="22" t="n">
        <f aca="false">IF(7&lt;DistStart_HF,0,Portfolio_NAV!I29*Dist_HF*(1-Stress_Dist))</f>
        <v>3.78168076427132</v>
      </c>
      <c r="J28" s="22" t="n">
        <f aca="false">IF(8&lt;DistStart_HF,0,Portfolio_NAV!J29*Dist_HF*(1-Stress_Dist))</f>
        <v>3.80437084885695</v>
      </c>
      <c r="K28" s="22" t="n">
        <f aca="false">IF(9&lt;DistStart_HF,0,Portfolio_NAV!K29*Dist_HF*(1-Stress_Dist))</f>
        <v>3.82719707395009</v>
      </c>
      <c r="L28" s="22" t="n">
        <f aca="false">IF(10&lt;DistStart_HF,0,Portfolio_NAV!L29*Dist_HF*(1-Stress_Dist))</f>
        <v>3.85016025639379</v>
      </c>
    </row>
    <row r="29" customFormat="false" ht="15" hidden="false" customHeight="false" outlineLevel="0" collapsed="false">
      <c r="A29" s="6"/>
      <c r="B29" s="20" t="s">
        <v>52</v>
      </c>
      <c r="C29" s="22" t="n">
        <f aca="false">IF(1&lt;DistStart_RE,0,Portfolio_NAV!C39*Dist_RE*(1-Stress_Dist))</f>
        <v>3.15</v>
      </c>
      <c r="D29" s="22" t="n">
        <f aca="false">IF(2&lt;DistStart_RE,0,Portfolio_NAV!D39*Dist_RE*(1-Stress_Dist))</f>
        <v>3.305559375</v>
      </c>
      <c r="E29" s="22" t="n">
        <f aca="false">IF(3&lt;DistStart_RE,0,Portfolio_NAV!E39*Dist_RE*(1-Stress_Dist))</f>
        <v>3.6584490375</v>
      </c>
      <c r="F29" s="22" t="n">
        <f aca="false">IF(4&lt;DistStart_RE,0,Portfolio_NAV!F39*Dist_RE*(1-Stress_Dist))</f>
        <v>4.14112974544687</v>
      </c>
      <c r="G29" s="22" t="n">
        <f aca="false">IF(5&lt;DistStart_RE,0,Portfolio_NAV!G39*Dist_RE*(1-Stress_Dist))</f>
        <v>4.67704097248148</v>
      </c>
      <c r="H29" s="22" t="n">
        <f aca="false">IF(6&lt;DistStart_RE,0,Portfolio_NAV!H39*Dist_RE*(1-Stress_Dist))</f>
        <v>5.19448704684235</v>
      </c>
      <c r="I29" s="22" t="n">
        <f aca="false">IF(7&lt;DistStart_RE,0,Portfolio_NAV!I39*Dist_RE*(1-Stress_Dist))</f>
        <v>5.57936150898805</v>
      </c>
      <c r="J29" s="22" t="n">
        <f aca="false">IF(8&lt;DistStart_RE,0,Portfolio_NAV!J39*Dist_RE*(1-Stress_Dist))</f>
        <v>5.89579504329096</v>
      </c>
      <c r="K29" s="22" t="n">
        <f aca="false">IF(9&lt;DistStart_RE,0,Portfolio_NAV!K39*Dist_RE*(1-Stress_Dist))</f>
        <v>6.11055311162984</v>
      </c>
      <c r="L29" s="22" t="n">
        <f aca="false">IF(10&lt;DistStart_RE,0,Portfolio_NAV!L39*Dist_RE*(1-Stress_Dist))</f>
        <v>6.28513131751729</v>
      </c>
    </row>
    <row r="30" customFormat="false" ht="15" hidden="false" customHeight="false" outlineLevel="0" collapsed="false">
      <c r="A30" s="6"/>
      <c r="B30" s="20" t="s">
        <v>53</v>
      </c>
      <c r="C30" s="22" t="n">
        <f aca="false">IF(1&lt;DistStart_Infra,0,Portfolio_NAV!C49*Dist_Infra*(1-Stress_Dist))</f>
        <v>2.275</v>
      </c>
      <c r="D30" s="22" t="n">
        <f aca="false">IF(2&lt;DistStart_Infra,0,Portfolio_NAV!D49*Dist_Infra*(1-Stress_Dist))</f>
        <v>2.365545</v>
      </c>
      <c r="E30" s="22" t="n">
        <f aca="false">IF(3&lt;DistStart_Infra,0,Portfolio_NAV!E49*Dist_Infra*(1-Stress_Dist))</f>
        <v>2.59134421</v>
      </c>
      <c r="F30" s="22" t="n">
        <f aca="false">IF(4&lt;DistStart_Infra,0,Portfolio_NAV!F49*Dist_Infra*(1-Stress_Dist))</f>
        <v>2.91102217315</v>
      </c>
      <c r="G30" s="22" t="n">
        <f aca="false">IF(5&lt;DistStart_Infra,0,Portfolio_NAV!G49*Dist_Infra*(1-Stress_Dist))</f>
        <v>3.25048437074725</v>
      </c>
      <c r="H30" s="22" t="n">
        <f aca="false">IF(6&lt;DistStart_Infra,0,Portfolio_NAV!H49*Dist_Infra*(1-Stress_Dist))</f>
        <v>3.58331287830846</v>
      </c>
      <c r="I30" s="22" t="n">
        <f aca="false">IF(7&lt;DistStart_Infra,0,Portfolio_NAV!I49*Dist_Infra*(1-Stress_Dist))</f>
        <v>3.86431956508309</v>
      </c>
      <c r="J30" s="22" t="n">
        <f aca="false">IF(8&lt;DistStart_Infra,0,Portfolio_NAV!J49*Dist_Infra*(1-Stress_Dist))</f>
        <v>4.10408995343933</v>
      </c>
      <c r="K30" s="22" t="n">
        <f aca="false">IF(9&lt;DistStart_Infra,0,Portfolio_NAV!K49*Dist_Infra*(1-Stress_Dist))</f>
        <v>4.31109577864492</v>
      </c>
      <c r="L30" s="22" t="n">
        <f aca="false">IF(10&lt;DistStart_Infra,0,Portfolio_NAV!L49*Dist_Infra*(1-Stress_Dist))</f>
        <v>4.45499913064099</v>
      </c>
    </row>
    <row r="31" customFormat="false" ht="15" hidden="false" customHeight="false" outlineLevel="0" collapsed="false">
      <c r="A31" s="6"/>
      <c r="B31" s="20" t="s">
        <v>54</v>
      </c>
      <c r="C31" s="22" t="n">
        <f aca="false">IF(1&lt;DistStart_PC,0,Portfolio_NAV!C59*Dist_PC*(1-Stress_Dist))</f>
        <v>3.64</v>
      </c>
      <c r="D31" s="22" t="n">
        <f aca="false">IF(2&lt;DistStart_PC,0,Portfolio_NAV!D59*Dist_PC*(1-Stress_Dist))</f>
        <v>3.950609</v>
      </c>
      <c r="E31" s="22" t="n">
        <f aca="false">IF(3&lt;DistStart_PC,0,Portfolio_NAV!E59*Dist_PC*(1-Stress_Dist))</f>
        <v>4.471975872</v>
      </c>
      <c r="F31" s="22" t="n">
        <f aca="false">IF(4&lt;DistStart_PC,0,Portfolio_NAV!F59*Dist_PC*(1-Stress_Dist))</f>
        <v>5.110891377696</v>
      </c>
      <c r="G31" s="22" t="n">
        <f aca="false">IF(5&lt;DistStart_PC,0,Portfolio_NAV!G59*Dist_PC*(1-Stress_Dist))</f>
        <v>5.75424688049453</v>
      </c>
      <c r="H31" s="22" t="n">
        <f aca="false">IF(6&lt;DistStart_PC,0,Portfolio_NAV!H59*Dist_PC*(1-Stress_Dist))</f>
        <v>6.35075194494343</v>
      </c>
      <c r="I31" s="22" t="n">
        <f aca="false">IF(7&lt;DistStart_PC,0,Portfolio_NAV!I59*Dist_PC*(1-Stress_Dist))</f>
        <v>6.81011551437241</v>
      </c>
      <c r="J31" s="22" t="n">
        <f aca="false">IF(8&lt;DistStart_PC,0,Portfolio_NAV!J59*Dist_PC*(1-Stress_Dist))</f>
        <v>7.02326536065492</v>
      </c>
      <c r="K31" s="22" t="n">
        <f aca="false">IF(9&lt;DistStart_PC,0,Portfolio_NAV!K59*Dist_PC*(1-Stress_Dist))</f>
        <v>7.1634455150503</v>
      </c>
      <c r="L31" s="22" t="n">
        <f aca="false">IF(10&lt;DistStart_PC,0,Portfolio_NAV!L59*Dist_PC*(1-Stress_Dist))</f>
        <v>7.2525829840767</v>
      </c>
    </row>
    <row r="32" customFormat="false" ht="15" hidden="false" customHeight="false" outlineLevel="0" collapsed="false">
      <c r="A32" s="6"/>
      <c r="B32" s="20" t="s">
        <v>55</v>
      </c>
      <c r="C32" s="22" t="n">
        <f aca="false">IF(1&lt;DistStart_Liq,0,Portfolio_NAV!C69*Dist_Liq*(1-Stress_Dist))</f>
        <v>2.1375</v>
      </c>
      <c r="D32" s="22" t="n">
        <f aca="false">IF(2&lt;DistStart_Liq,0,Portfolio_NAV!D69*Dist_Liq*(1-Stress_Dist))</f>
        <v>2.561625</v>
      </c>
      <c r="E32" s="22" t="n">
        <f aca="false">IF(3&lt;DistStart_Liq,0,Portfolio_NAV!E69*Dist_Liq*(1-Stress_Dist))</f>
        <v>2.942375625</v>
      </c>
      <c r="F32" s="22" t="n">
        <f aca="false">IF(4&lt;DistStart_Liq,0,Portfolio_NAV!F69*Dist_Liq*(1-Stress_Dist))</f>
        <v>3.278233771875</v>
      </c>
      <c r="G32" s="22" t="n">
        <f aca="false">IF(5&lt;DistStart_Liq,0,Portfolio_NAV!G69*Dist_Liq*(1-Stress_Dist))</f>
        <v>3.56762820389063</v>
      </c>
      <c r="H32" s="22" t="n">
        <f aca="false">IF(6&lt;DistStart_Liq,0,Portfolio_NAV!H69*Dist_Liq*(1-Stress_Dist))</f>
        <v>3.8089326910268</v>
      </c>
      <c r="I32" s="22" t="n">
        <f aca="false">IF(7&lt;DistStart_Liq,0,Portfolio_NAV!I69*Dist_Liq*(1-Stress_Dist))</f>
        <v>3.94224533521273</v>
      </c>
      <c r="J32" s="22" t="n">
        <f aca="false">IF(8&lt;DistStart_Liq,0,Portfolio_NAV!J69*Dist_Liq*(1-Stress_Dist))</f>
        <v>4.08022392194518</v>
      </c>
      <c r="K32" s="22" t="n">
        <f aca="false">IF(9&lt;DistStart_Liq,0,Portfolio_NAV!K69*Dist_Liq*(1-Stress_Dist))</f>
        <v>4.22303175921326</v>
      </c>
      <c r="L32" s="22" t="n">
        <f aca="false">IF(10&lt;DistStart_Liq,0,Portfolio_NAV!L69*Dist_Liq*(1-Stress_Dist))</f>
        <v>4.37083787078572</v>
      </c>
    </row>
    <row r="33" customFormat="false" ht="15" hidden="false" customHeight="false" outlineLevel="0" collapsed="false">
      <c r="A33" s="6"/>
      <c r="B33" s="23" t="s">
        <v>171</v>
      </c>
      <c r="C33" s="24" t="n">
        <f aca="false">SUM(C26:C32)</f>
        <v>13.5775</v>
      </c>
      <c r="D33" s="24" t="n">
        <f aca="false">SUM(D26:D32)</f>
        <v>14.960338375</v>
      </c>
      <c r="E33" s="24" t="n">
        <f aca="false">SUM(E26:E32)</f>
        <v>16.7809317445</v>
      </c>
      <c r="F33" s="24" t="n">
        <f aca="false">SUM(F26:F32)</f>
        <v>35.3181639581366</v>
      </c>
      <c r="G33" s="24" t="n">
        <f aca="false">SUM(G26:G32)</f>
        <v>43.6030745477818</v>
      </c>
      <c r="H33" s="24" t="n">
        <f aca="false">SUM(H26:H32)</f>
        <v>48.7121513143301</v>
      </c>
      <c r="I33" s="24" t="n">
        <f aca="false">SUM(I26:I32)</f>
        <v>53.1087357062816</v>
      </c>
      <c r="J33" s="24" t="n">
        <f aca="false">SUM(J26:J32)</f>
        <v>55.5693489589625</v>
      </c>
      <c r="K33" s="24" t="n">
        <f aca="false">SUM(K26:K32)</f>
        <v>56.7840313553117</v>
      </c>
      <c r="L33" s="24" t="n">
        <f aca="false">SUM(L26:L32)</f>
        <v>56.5799297044321</v>
      </c>
    </row>
    <row r="34" customFormat="false" ht="15" hidden="false" customHeight="false" outlineLevel="0" collapsed="false">
      <c r="A34" s="6"/>
      <c r="B34" s="6"/>
      <c r="C34" s="6"/>
      <c r="D34" s="6"/>
      <c r="E34" s="6"/>
      <c r="F34" s="6"/>
      <c r="G34" s="6"/>
      <c r="H34" s="6"/>
      <c r="I34" s="6"/>
      <c r="J34" s="6"/>
      <c r="K34" s="6"/>
      <c r="L34" s="6"/>
    </row>
    <row r="35" customFormat="false" ht="15" hidden="false" customHeight="false" outlineLevel="0" collapsed="false">
      <c r="A35" s="6"/>
      <c r="B35" s="36" t="s">
        <v>49</v>
      </c>
      <c r="C35" s="37" t="n">
        <f aca="false">C26</f>
        <v>0</v>
      </c>
      <c r="D35" s="37" t="n">
        <f aca="false">C35+D26</f>
        <v>0</v>
      </c>
      <c r="E35" s="37" t="n">
        <f aca="false">D35+E26</f>
        <v>0</v>
      </c>
      <c r="F35" s="37" t="n">
        <f aca="false">E35+F26</f>
        <v>16.4828991679688</v>
      </c>
      <c r="G35" s="37" t="n">
        <f aca="false">F35+G26</f>
        <v>34.1057122398047</v>
      </c>
      <c r="H35" s="37" t="n">
        <f aca="false">G35+H26</f>
        <v>53.7827062247918</v>
      </c>
      <c r="I35" s="37" t="n">
        <f aca="false">H35+I26</f>
        <v>75.0044777783458</v>
      </c>
      <c r="J35" s="37" t="n">
        <f aca="false">I35+J26</f>
        <v>96.392307745897</v>
      </c>
      <c r="K35" s="37" t="n">
        <f aca="false">J35+K26</f>
        <v>117.262254501958</v>
      </c>
      <c r="L35" s="37" t="n">
        <f aca="false">K35+L26</f>
        <v>137.041238576159</v>
      </c>
    </row>
    <row r="36" customFormat="false" ht="15" hidden="false" customHeight="false" outlineLevel="0" collapsed="false">
      <c r="A36" s="6"/>
      <c r="B36" s="20" t="s">
        <v>50</v>
      </c>
      <c r="C36" s="22" t="n">
        <f aca="false">C27</f>
        <v>0</v>
      </c>
      <c r="D36" s="22" t="n">
        <f aca="false">C36+D27</f>
        <v>0</v>
      </c>
      <c r="E36" s="22" t="n">
        <f aca="false">D36+E27</f>
        <v>0</v>
      </c>
      <c r="F36" s="22" t="n">
        <f aca="false">E36+F27</f>
        <v>0</v>
      </c>
      <c r="G36" s="22" t="n">
        <f aca="false">F36+G27</f>
        <v>5.1226344</v>
      </c>
      <c r="H36" s="22" t="n">
        <f aca="false">G36+H27</f>
        <v>11.46118116</v>
      </c>
      <c r="I36" s="22" t="n">
        <f aca="false">H36+I27</f>
        <v>19.3704226248</v>
      </c>
      <c r="J36" s="22" t="n">
        <f aca="false">I36+J27</f>
        <v>28.644196488024</v>
      </c>
      <c r="K36" s="22" t="n">
        <f aca="false">J36+K27</f>
        <v>38.9229578487859</v>
      </c>
      <c r="L36" s="22" t="n">
        <f aca="false">K36+L27</f>
        <v>49.5101919196035</v>
      </c>
    </row>
    <row r="37" customFormat="false" ht="15" hidden="false" customHeight="false" outlineLevel="0" collapsed="false">
      <c r="A37" s="6"/>
      <c r="B37" s="20" t="s">
        <v>51</v>
      </c>
      <c r="C37" s="22" t="n">
        <f aca="false">C28</f>
        <v>2.375</v>
      </c>
      <c r="D37" s="22" t="n">
        <f aca="false">C37+D28</f>
        <v>5.152</v>
      </c>
      <c r="E37" s="22" t="n">
        <f aca="false">D37+E28</f>
        <v>8.268787</v>
      </c>
      <c r="F37" s="22" t="n">
        <f aca="false">E37+F28</f>
        <v>11.662774722</v>
      </c>
      <c r="G37" s="22" t="n">
        <f aca="false">F37+G28</f>
        <v>15.271001370332</v>
      </c>
      <c r="H37" s="22" t="n">
        <f aca="false">G37+H28</f>
        <v>19.030127378554</v>
      </c>
      <c r="I37" s="22" t="n">
        <f aca="false">H37+I28</f>
        <v>22.8118081428253</v>
      </c>
      <c r="J37" s="22" t="n">
        <f aca="false">I37+J28</f>
        <v>26.6161789916823</v>
      </c>
      <c r="K37" s="22" t="n">
        <f aca="false">J37+K28</f>
        <v>30.4433760656324</v>
      </c>
      <c r="L37" s="22" t="n">
        <f aca="false">K37+L28</f>
        <v>34.2935363220262</v>
      </c>
    </row>
    <row r="38" customFormat="false" ht="15" hidden="false" customHeight="false" outlineLevel="0" collapsed="false">
      <c r="A38" s="6"/>
      <c r="B38" s="20" t="s">
        <v>52</v>
      </c>
      <c r="C38" s="22" t="n">
        <f aca="false">C29</f>
        <v>3.15</v>
      </c>
      <c r="D38" s="22" t="n">
        <f aca="false">C38+D29</f>
        <v>6.455559375</v>
      </c>
      <c r="E38" s="22" t="n">
        <f aca="false">D38+E29</f>
        <v>10.1140084125</v>
      </c>
      <c r="F38" s="22" t="n">
        <f aca="false">E38+F29</f>
        <v>14.2551381579469</v>
      </c>
      <c r="G38" s="22" t="n">
        <f aca="false">F38+G29</f>
        <v>18.9321791304284</v>
      </c>
      <c r="H38" s="22" t="n">
        <f aca="false">G38+H29</f>
        <v>24.1266661772707</v>
      </c>
      <c r="I38" s="22" t="n">
        <f aca="false">H38+I29</f>
        <v>29.7060276862588</v>
      </c>
      <c r="J38" s="22" t="n">
        <f aca="false">I38+J29</f>
        <v>35.6018227295497</v>
      </c>
      <c r="K38" s="22" t="n">
        <f aca="false">J38+K29</f>
        <v>41.7123758411795</v>
      </c>
      <c r="L38" s="22" t="n">
        <f aca="false">K38+L29</f>
        <v>47.9975071586968</v>
      </c>
    </row>
    <row r="39" customFormat="false" ht="15" hidden="false" customHeight="false" outlineLevel="0" collapsed="false">
      <c r="A39" s="6"/>
      <c r="B39" s="20" t="s">
        <v>53</v>
      </c>
      <c r="C39" s="22" t="n">
        <f aca="false">C30</f>
        <v>2.275</v>
      </c>
      <c r="D39" s="22" t="n">
        <f aca="false">C39+D30</f>
        <v>4.640545</v>
      </c>
      <c r="E39" s="22" t="n">
        <f aca="false">D39+E30</f>
        <v>7.23188921</v>
      </c>
      <c r="F39" s="22" t="n">
        <f aca="false">E39+F30</f>
        <v>10.14291138315</v>
      </c>
      <c r="G39" s="22" t="n">
        <f aca="false">F39+G30</f>
        <v>13.3933957538973</v>
      </c>
      <c r="H39" s="22" t="n">
        <f aca="false">G39+H30</f>
        <v>16.9767086322057</v>
      </c>
      <c r="I39" s="22" t="n">
        <f aca="false">H39+I30</f>
        <v>20.8410281972888</v>
      </c>
      <c r="J39" s="22" t="n">
        <f aca="false">I39+J30</f>
        <v>24.9451181507281</v>
      </c>
      <c r="K39" s="22" t="n">
        <f aca="false">J39+K30</f>
        <v>29.2562139293731</v>
      </c>
      <c r="L39" s="22" t="n">
        <f aca="false">K39+L30</f>
        <v>33.7112130600141</v>
      </c>
    </row>
    <row r="40" customFormat="false" ht="15" hidden="false" customHeight="false" outlineLevel="0" collapsed="false">
      <c r="A40" s="6"/>
      <c r="B40" s="20" t="s">
        <v>54</v>
      </c>
      <c r="C40" s="22" t="n">
        <f aca="false">C31</f>
        <v>3.64</v>
      </c>
      <c r="D40" s="22" t="n">
        <f aca="false">C40+D31</f>
        <v>7.590609</v>
      </c>
      <c r="E40" s="22" t="n">
        <f aca="false">D40+E31</f>
        <v>12.062584872</v>
      </c>
      <c r="F40" s="22" t="n">
        <f aca="false">E40+F31</f>
        <v>17.173476249696</v>
      </c>
      <c r="G40" s="22" t="n">
        <f aca="false">F40+G31</f>
        <v>22.9277231301905</v>
      </c>
      <c r="H40" s="22" t="n">
        <f aca="false">G40+H31</f>
        <v>29.278475075134</v>
      </c>
      <c r="I40" s="22" t="n">
        <f aca="false">H40+I31</f>
        <v>36.0885905895064</v>
      </c>
      <c r="J40" s="22" t="n">
        <f aca="false">I40+J31</f>
        <v>43.1118559501613</v>
      </c>
      <c r="K40" s="22" t="n">
        <f aca="false">J40+K31</f>
        <v>50.2753014652116</v>
      </c>
      <c r="L40" s="22" t="n">
        <f aca="false">K40+L31</f>
        <v>57.5278844492883</v>
      </c>
    </row>
    <row r="41" customFormat="false" ht="15" hidden="false" customHeight="false" outlineLevel="0" collapsed="false">
      <c r="A41" s="6"/>
      <c r="B41" s="20" t="s">
        <v>55</v>
      </c>
      <c r="C41" s="22" t="n">
        <f aca="false">C32</f>
        <v>2.1375</v>
      </c>
      <c r="D41" s="22" t="n">
        <f aca="false">C41+D32</f>
        <v>4.699125</v>
      </c>
      <c r="E41" s="22" t="n">
        <f aca="false">D41+E32</f>
        <v>7.641500625</v>
      </c>
      <c r="F41" s="22" t="n">
        <f aca="false">E41+F32</f>
        <v>10.919734396875</v>
      </c>
      <c r="G41" s="22" t="n">
        <f aca="false">F41+G32</f>
        <v>14.4873626007656</v>
      </c>
      <c r="H41" s="22" t="n">
        <f aca="false">G41+H32</f>
        <v>18.2962952917924</v>
      </c>
      <c r="I41" s="22" t="n">
        <f aca="false">H41+I32</f>
        <v>22.2385406270052</v>
      </c>
      <c r="J41" s="22" t="n">
        <f aca="false">I41+J32</f>
        <v>26.3187645489503</v>
      </c>
      <c r="K41" s="22" t="n">
        <f aca="false">J41+K32</f>
        <v>30.5417963081636</v>
      </c>
      <c r="L41" s="22" t="n">
        <f aca="false">K41+L32</f>
        <v>34.9126341789493</v>
      </c>
    </row>
    <row r="42" customFormat="false" ht="15" hidden="false" customHeight="false" outlineLevel="0" collapsed="false">
      <c r="A42" s="6"/>
      <c r="B42" s="23" t="s">
        <v>172</v>
      </c>
      <c r="C42" s="24" t="n">
        <f aca="false">SUM(C35:C41)</f>
        <v>13.5775</v>
      </c>
      <c r="D42" s="24" t="n">
        <f aca="false">SUM(D35:D41)</f>
        <v>28.537838375</v>
      </c>
      <c r="E42" s="24" t="n">
        <f aca="false">SUM(E35:E41)</f>
        <v>45.3187701195</v>
      </c>
      <c r="F42" s="24" t="n">
        <f aca="false">SUM(F35:F41)</f>
        <v>80.6369340776366</v>
      </c>
      <c r="G42" s="24" t="n">
        <f aca="false">SUM(G35:G41)</f>
        <v>124.240008625418</v>
      </c>
      <c r="H42" s="24" t="n">
        <f aca="false">SUM(H35:H41)</f>
        <v>172.952159939749</v>
      </c>
      <c r="I42" s="24" t="n">
        <f aca="false">SUM(I35:I41)</f>
        <v>226.06089564603</v>
      </c>
      <c r="J42" s="24" t="n">
        <f aca="false">SUM(J35:J41)</f>
        <v>281.630244604993</v>
      </c>
      <c r="K42" s="24" t="n">
        <f aca="false">SUM(K35:K41)</f>
        <v>338.414275960304</v>
      </c>
      <c r="L42" s="24" t="n">
        <f aca="false">SUM(L35:L41)</f>
        <v>394.994205664737</v>
      </c>
    </row>
    <row r="43" customFormat="false" ht="15" hidden="false" customHeight="false" outlineLevel="0" collapsed="false">
      <c r="A43" s="6"/>
      <c r="B43" s="6"/>
      <c r="C43" s="6"/>
      <c r="D43" s="6"/>
      <c r="E43" s="6"/>
      <c r="F43" s="6"/>
      <c r="G43" s="6"/>
      <c r="H43" s="6"/>
      <c r="I43" s="6"/>
      <c r="J43" s="6"/>
      <c r="K43" s="6"/>
      <c r="L43" s="6"/>
    </row>
    <row r="44" customFormat="false" ht="15" hidden="false" customHeight="false" outlineLevel="0" collapsed="false">
      <c r="A44" s="6"/>
      <c r="B44" s="36" t="s">
        <v>49</v>
      </c>
      <c r="C44" s="37" t="n">
        <f aca="false">C26-C8</f>
        <v>-6.09375</v>
      </c>
      <c r="D44" s="37" t="n">
        <f aca="false">D26-D8</f>
        <v>-9.6484375</v>
      </c>
      <c r="E44" s="37" t="n">
        <f aca="false">E26-E8</f>
        <v>-11.298828125</v>
      </c>
      <c r="F44" s="37" t="n">
        <f aca="false">F26-F8</f>
        <v>4.96190307421875</v>
      </c>
      <c r="G44" s="37" t="n">
        <f aca="false">G26-G8</f>
        <v>6.95081600152344</v>
      </c>
      <c r="H44" s="37" t="n">
        <f aca="false">H26-H8</f>
        <v>11.6729961822527</v>
      </c>
      <c r="I44" s="37" t="n">
        <f aca="false">I26-I8</f>
        <v>15.2187732015032</v>
      </c>
      <c r="J44" s="37" t="n">
        <f aca="false">J26-J8</f>
        <v>16.8855812035131</v>
      </c>
      <c r="K44" s="37" t="n">
        <f aca="false">K26-K8</f>
        <v>17.4932601830328</v>
      </c>
      <c r="L44" s="37" t="n">
        <f aca="false">L26-L8</f>
        <v>17.2464691444287</v>
      </c>
    </row>
    <row r="45" customFormat="false" ht="15" hidden="false" customHeight="false" outlineLevel="0" collapsed="false">
      <c r="A45" s="6"/>
      <c r="B45" s="20" t="s">
        <v>50</v>
      </c>
      <c r="C45" s="22" t="n">
        <f aca="false">C27-C9</f>
        <v>-2.34</v>
      </c>
      <c r="D45" s="22" t="n">
        <f aca="false">D27-D9</f>
        <v>-3.822</v>
      </c>
      <c r="E45" s="22" t="n">
        <f aca="false">E27-E9</f>
        <v>-4.6176</v>
      </c>
      <c r="F45" s="22" t="n">
        <f aca="false">F27-F9</f>
        <v>-4.86408</v>
      </c>
      <c r="G45" s="22" t="n">
        <f aca="false">G27-G9</f>
        <v>0.451370400000001</v>
      </c>
      <c r="H45" s="22" t="n">
        <f aca="false">H27-H9</f>
        <v>2.60153556</v>
      </c>
      <c r="I45" s="22" t="n">
        <f aca="false">I27-I9</f>
        <v>4.9196325048</v>
      </c>
      <c r="J45" s="22" t="n">
        <f aca="false">J27-J9</f>
        <v>6.882086695224</v>
      </c>
      <c r="K45" s="22" t="n">
        <f aca="false">K27-K9</f>
        <v>8.36541162636192</v>
      </c>
      <c r="L45" s="22" t="n">
        <f aca="false">L27-L9</f>
        <v>9.05655428329754</v>
      </c>
    </row>
    <row r="46" customFormat="false" ht="15" hidden="false" customHeight="false" outlineLevel="0" collapsed="false">
      <c r="A46" s="6"/>
      <c r="B46" s="20" t="s">
        <v>51</v>
      </c>
      <c r="C46" s="22" t="n">
        <f aca="false">C28-C10</f>
        <v>-5.125</v>
      </c>
      <c r="D46" s="22" t="n">
        <f aca="false">D28-D10</f>
        <v>-3.473</v>
      </c>
      <c r="E46" s="22" t="n">
        <f aca="false">E28-E10</f>
        <v>-1.883213</v>
      </c>
      <c r="F46" s="22" t="n">
        <f aca="false">F28-F10</f>
        <v>-0.356012278</v>
      </c>
      <c r="G46" s="22" t="n">
        <f aca="false">G28-G10</f>
        <v>1.108226648332</v>
      </c>
      <c r="H46" s="22" t="n">
        <f aca="false">H28-H10</f>
        <v>3.75912600822199</v>
      </c>
      <c r="I46" s="22" t="n">
        <f aca="false">I28-I10</f>
        <v>3.78168076427132</v>
      </c>
      <c r="J46" s="22" t="n">
        <f aca="false">J28-J10</f>
        <v>3.80437084885695</v>
      </c>
      <c r="K46" s="22" t="n">
        <f aca="false">K28-K10</f>
        <v>3.82719707395009</v>
      </c>
      <c r="L46" s="22" t="n">
        <f aca="false">L28-L10</f>
        <v>3.85016025639379</v>
      </c>
    </row>
    <row r="47" customFormat="false" ht="15" hidden="false" customHeight="false" outlineLevel="0" collapsed="false">
      <c r="A47" s="6"/>
      <c r="B47" s="20" t="s">
        <v>52</v>
      </c>
      <c r="C47" s="22" t="n">
        <f aca="false">C29-C11</f>
        <v>-0.50625</v>
      </c>
      <c r="D47" s="22" t="n">
        <f aca="false">D29-D11</f>
        <v>-2.483503125</v>
      </c>
      <c r="E47" s="22" t="n">
        <f aca="false">E29-E11</f>
        <v>-3.1208478375</v>
      </c>
      <c r="F47" s="22" t="n">
        <f aca="false">F29-F11</f>
        <v>-2.77146791080313</v>
      </c>
      <c r="G47" s="22" t="n">
        <f aca="false">G29-G11</f>
        <v>-1.72615726970602</v>
      </c>
      <c r="H47" s="22" t="n">
        <f aca="false">H29-H11</f>
        <v>0.392088365201724</v>
      </c>
      <c r="I47" s="22" t="n">
        <f aca="false">I29-I11</f>
        <v>1.97756249775758</v>
      </c>
      <c r="J47" s="22" t="n">
        <f aca="false">J29-J11</f>
        <v>3.1944457848681</v>
      </c>
      <c r="K47" s="22" t="n">
        <f aca="false">K29-K11</f>
        <v>4.0845411678127</v>
      </c>
      <c r="L47" s="22" t="n">
        <f aca="false">L29-L11</f>
        <v>4.76562235965444</v>
      </c>
    </row>
    <row r="48" customFormat="false" ht="15" hidden="false" customHeight="false" outlineLevel="0" collapsed="false">
      <c r="A48" s="6"/>
      <c r="B48" s="20" t="s">
        <v>53</v>
      </c>
      <c r="C48" s="22" t="n">
        <f aca="false">C30-C12</f>
        <v>0.325</v>
      </c>
      <c r="D48" s="22" t="n">
        <f aca="false">D30-D12</f>
        <v>-0.819455</v>
      </c>
      <c r="E48" s="22" t="n">
        <f aca="false">E30-E12</f>
        <v>-1.25665579</v>
      </c>
      <c r="F48" s="22" t="n">
        <f aca="false">F30-F12</f>
        <v>-1.14237782685</v>
      </c>
      <c r="G48" s="22" t="n">
        <f aca="false">G30-G12</f>
        <v>-0.642235629252749</v>
      </c>
      <c r="H48" s="22" t="n">
        <f aca="false">H30-H12</f>
        <v>0.469136878308459</v>
      </c>
      <c r="I48" s="22" t="n">
        <f aca="false">I30-I12</f>
        <v>1.37297876508309</v>
      </c>
      <c r="J48" s="22" t="n">
        <f aca="false">J30-J12</f>
        <v>2.11101731343933</v>
      </c>
      <c r="K48" s="22" t="n">
        <f aca="false">K30-K12</f>
        <v>2.71663766664492</v>
      </c>
      <c r="L48" s="22" t="n">
        <f aca="false">L30-L12</f>
        <v>3.17943264104099</v>
      </c>
    </row>
    <row r="49" customFormat="false" ht="15" hidden="false" customHeight="false" outlineLevel="0" collapsed="false">
      <c r="A49" s="6"/>
      <c r="B49" s="20" t="s">
        <v>54</v>
      </c>
      <c r="C49" s="22" t="n">
        <f aca="false">C31-C13</f>
        <v>-0.162499999999999</v>
      </c>
      <c r="D49" s="22" t="n">
        <f aca="false">D31-D13</f>
        <v>-1.879891</v>
      </c>
      <c r="E49" s="22" t="n">
        <f aca="false">E31-E13</f>
        <v>-2.144374128</v>
      </c>
      <c r="F49" s="22" t="n">
        <f aca="false">F31-F13</f>
        <v>-1.421803622304</v>
      </c>
      <c r="G49" s="22" t="n">
        <f aca="false">G31-G13</f>
        <v>-0.0861396195054729</v>
      </c>
      <c r="H49" s="22" t="n">
        <f aca="false">H31-H13</f>
        <v>2.26248139494343</v>
      </c>
      <c r="I49" s="22" t="n">
        <f aca="false">I31-I13</f>
        <v>3.94832612937241</v>
      </c>
      <c r="J49" s="22" t="n">
        <f aca="false">J31-J13</f>
        <v>5.02001279115492</v>
      </c>
      <c r="K49" s="22" t="n">
        <f aca="false">K31-K13</f>
        <v>5.7611687164003</v>
      </c>
      <c r="L49" s="22" t="n">
        <f aca="false">L31-L13</f>
        <v>6.2709892250217</v>
      </c>
    </row>
    <row r="50" customFormat="false" ht="15" hidden="false" customHeight="false" outlineLevel="0" collapsed="false">
      <c r="A50" s="6"/>
      <c r="B50" s="20" t="s">
        <v>55</v>
      </c>
      <c r="C50" s="22" t="n">
        <f aca="false">C32-C14</f>
        <v>-9.1125</v>
      </c>
      <c r="D50" s="22" t="n">
        <f aca="false">D32-D14</f>
        <v>-6.813375</v>
      </c>
      <c r="E50" s="22" t="n">
        <f aca="false">E32-E14</f>
        <v>-4.557624375</v>
      </c>
      <c r="F50" s="22" t="n">
        <f aca="false">F32-F14</f>
        <v>-2.346766228125</v>
      </c>
      <c r="G50" s="22" t="n">
        <f aca="false">G32-G14</f>
        <v>-0.182371796109375</v>
      </c>
      <c r="H50" s="22" t="n">
        <f aca="false">H32-H14</f>
        <v>3.8089326910268</v>
      </c>
      <c r="I50" s="22" t="n">
        <f aca="false">I32-I14</f>
        <v>3.94224533521273</v>
      </c>
      <c r="J50" s="22" t="n">
        <f aca="false">J32-J14</f>
        <v>4.08022392194518</v>
      </c>
      <c r="K50" s="22" t="n">
        <f aca="false">K32-K14</f>
        <v>4.22303175921326</v>
      </c>
      <c r="L50" s="22" t="n">
        <f aca="false">L32-L14</f>
        <v>4.37083787078572</v>
      </c>
    </row>
    <row r="51" customFormat="false" ht="15" hidden="false" customHeight="false" outlineLevel="0" collapsed="false">
      <c r="A51" s="6"/>
      <c r="B51" s="23" t="s">
        <v>173</v>
      </c>
      <c r="C51" s="24" t="n">
        <f aca="false">SUM(C44:C50)</f>
        <v>-23.015</v>
      </c>
      <c r="D51" s="24" t="n">
        <f aca="false">SUM(D44:D50)</f>
        <v>-28.939661625</v>
      </c>
      <c r="E51" s="24" t="n">
        <f aca="false">SUM(E44:E50)</f>
        <v>-28.8791432555</v>
      </c>
      <c r="F51" s="24" t="n">
        <f aca="false">SUM(F44:F50)</f>
        <v>-7.94060479186338</v>
      </c>
      <c r="G51" s="24" t="n">
        <f aca="false">SUM(G44:G50)</f>
        <v>5.87350873528183</v>
      </c>
      <c r="H51" s="24" t="n">
        <f aca="false">SUM(H44:H50)</f>
        <v>24.9662970799551</v>
      </c>
      <c r="I51" s="24" t="n">
        <f aca="false">SUM(I44:I50)</f>
        <v>35.1611991980004</v>
      </c>
      <c r="J51" s="24" t="n">
        <f aca="false">SUM(J44:J50)</f>
        <v>41.9777385590016</v>
      </c>
      <c r="K51" s="24" t="n">
        <f aca="false">SUM(K44:K50)</f>
        <v>46.471248193416</v>
      </c>
      <c r="L51" s="24" t="n">
        <f aca="false">SUM(L44:L50)</f>
        <v>48.7400657806229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8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2" min="3" style="0" width="13"/>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174</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175</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c r="J4" s="6"/>
      <c r="K4" s="6"/>
      <c r="L4" s="6"/>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7" t="s">
        <v>47</v>
      </c>
      <c r="C6" s="19" t="n">
        <v>1</v>
      </c>
      <c r="D6" s="19" t="n">
        <v>2</v>
      </c>
      <c r="E6" s="19" t="n">
        <v>3</v>
      </c>
      <c r="F6" s="19" t="n">
        <v>4</v>
      </c>
      <c r="G6" s="19" t="n">
        <v>5</v>
      </c>
      <c r="H6" s="19" t="n">
        <v>6</v>
      </c>
      <c r="I6" s="19" t="n">
        <v>7</v>
      </c>
      <c r="J6" s="19" t="n">
        <v>8</v>
      </c>
      <c r="K6" s="19" t="n">
        <v>9</v>
      </c>
      <c r="L6" s="19" t="n">
        <v>10</v>
      </c>
    </row>
    <row r="7" customFormat="false" ht="15" hidden="false" customHeight="false" outlineLevel="0" collapsed="false">
      <c r="A7" s="6"/>
      <c r="B7" s="6"/>
      <c r="C7" s="6"/>
      <c r="D7" s="6"/>
      <c r="E7" s="6"/>
      <c r="F7" s="6"/>
      <c r="G7" s="6"/>
      <c r="H7" s="6"/>
      <c r="I7" s="6"/>
      <c r="J7" s="6"/>
      <c r="K7" s="6"/>
      <c r="L7" s="6"/>
    </row>
    <row r="8" customFormat="false" ht="15" hidden="false" customHeight="false" outlineLevel="0" collapsed="false">
      <c r="A8" s="6"/>
      <c r="B8" s="14" t="s">
        <v>49</v>
      </c>
      <c r="C8" s="15"/>
      <c r="D8" s="15"/>
      <c r="E8" s="15"/>
      <c r="F8" s="15"/>
      <c r="G8" s="15"/>
      <c r="H8" s="15"/>
      <c r="I8" s="15"/>
      <c r="J8" s="15"/>
      <c r="K8" s="15"/>
      <c r="L8" s="15"/>
    </row>
    <row r="9" customFormat="false" ht="15" hidden="false" customHeight="false" outlineLevel="0" collapsed="false">
      <c r="A9" s="6"/>
      <c r="B9" s="20" t="s">
        <v>61</v>
      </c>
      <c r="C9" s="22" t="n">
        <f aca="false">OpenNAV_PE</f>
        <v>87.5</v>
      </c>
      <c r="D9" s="22" t="n">
        <f aca="false">C16</f>
        <v>88.62765625</v>
      </c>
      <c r="E9" s="22" t="n">
        <f aca="false">D16</f>
        <v>94.6681625</v>
      </c>
      <c r="F9" s="22" t="n">
        <f aca="false">E16</f>
        <v>109.885994453125</v>
      </c>
      <c r="G9" s="22" t="n">
        <f aca="false">F16</f>
        <v>117.485420478906</v>
      </c>
      <c r="H9" s="22" t="n">
        <f aca="false">G16</f>
        <v>131.179959899914</v>
      </c>
      <c r="I9" s="22" t="n">
        <f aca="false">H16</f>
        <v>141.478477023694</v>
      </c>
      <c r="J9" s="22" t="n">
        <f aca="false">I16</f>
        <v>142.585533117008</v>
      </c>
      <c r="K9" s="22" t="n">
        <f aca="false">J16</f>
        <v>139.132978373742</v>
      </c>
      <c r="L9" s="22" t="n">
        <f aca="false">K16</f>
        <v>131.859893828001</v>
      </c>
    </row>
    <row r="10" customFormat="false" ht="15" hidden="false" customHeight="false" outlineLevel="0" collapsed="false">
      <c r="A10" s="6"/>
      <c r="B10" s="20" t="s">
        <v>176</v>
      </c>
      <c r="C10" s="22" t="n">
        <f aca="false">Capital_Activity!C8</f>
        <v>6.09375</v>
      </c>
      <c r="D10" s="22" t="n">
        <f aca="false">Capital_Activity!D8</f>
        <v>9.6484375</v>
      </c>
      <c r="E10" s="22" t="n">
        <f aca="false">Capital_Activity!E8</f>
        <v>11.298828125</v>
      </c>
      <c r="F10" s="22" t="n">
        <f aca="false">Capital_Activity!F8</f>
        <v>11.52099609375</v>
      </c>
      <c r="G10" s="22" t="n">
        <f aca="false">Capital_Activity!G8</f>
        <v>10.6719970703125</v>
      </c>
      <c r="H10" s="22" t="n">
        <f aca="false">Capital_Activity!H8</f>
        <v>8.00399780273438</v>
      </c>
      <c r="I10" s="22" t="n">
        <f aca="false">Capital_Activity!I8</f>
        <v>6.00299835205078</v>
      </c>
      <c r="J10" s="22" t="n">
        <f aca="false">Capital_Activity!J8</f>
        <v>4.50224876403809</v>
      </c>
      <c r="K10" s="22" t="n">
        <f aca="false">Capital_Activity!K8</f>
        <v>3.37668657302856</v>
      </c>
      <c r="L10" s="22" t="n">
        <f aca="false">Capital_Activity!L8</f>
        <v>2.53251492977142</v>
      </c>
    </row>
    <row r="11" customFormat="false" ht="15" hidden="false" customHeight="false" outlineLevel="0" collapsed="false">
      <c r="A11" s="6"/>
      <c r="B11" s="38" t="s">
        <v>177</v>
      </c>
      <c r="C11" s="39" t="n">
        <f aca="false">OpenNAV_PE</f>
        <v>87.5</v>
      </c>
      <c r="D11" s="39" t="n">
        <f aca="false">MAX(C11,C16)</f>
        <v>88.62765625</v>
      </c>
      <c r="E11" s="39" t="n">
        <f aca="false">MAX(D11,D16)</f>
        <v>94.6681625</v>
      </c>
      <c r="F11" s="39" t="n">
        <f aca="false">MAX(E11,E16)</f>
        <v>109.885994453125</v>
      </c>
      <c r="G11" s="39" t="n">
        <f aca="false">MAX(F11,F16)</f>
        <v>117.485420478906</v>
      </c>
      <c r="H11" s="39" t="n">
        <f aca="false">MAX(G11,G16)</f>
        <v>131.179959899914</v>
      </c>
      <c r="I11" s="39" t="n">
        <f aca="false">MAX(H11,H16)</f>
        <v>141.478477023694</v>
      </c>
      <c r="J11" s="39" t="n">
        <f aca="false">MAX(I11,I16)</f>
        <v>142.585533117008</v>
      </c>
      <c r="K11" s="39" t="n">
        <f aca="false">MAX(J11,J16)</f>
        <v>142.585533117008</v>
      </c>
      <c r="L11" s="39" t="n">
        <f aca="false">MAX(K11,K16)</f>
        <v>142.585533117008</v>
      </c>
    </row>
    <row r="12" customFormat="false" ht="15" hidden="false" customHeight="false" outlineLevel="0" collapsed="false">
      <c r="A12" s="6"/>
      <c r="B12" s="20" t="s">
        <v>178</v>
      </c>
      <c r="C12" s="22" t="n">
        <f aca="false">(C9+0.5*C10)*INDEX(RetVec_PE,1,1)</f>
        <v>-4.52734375</v>
      </c>
      <c r="D12" s="22" t="n">
        <f aca="false">(D9+0.5*D10)*INDEX(RetVec_PE,1,2)</f>
        <v>-2.80355625</v>
      </c>
      <c r="E12" s="22" t="n">
        <f aca="false">(E9+0.5*E10)*INDEX(RetVec_PE,1,3)</f>
        <v>5.015878828125</v>
      </c>
      <c r="F12" s="22" t="n">
        <f aca="false">(F9+0.5*F10)*INDEX(RetVec_PE,1,4)</f>
        <v>13.8775791</v>
      </c>
      <c r="G12" s="22" t="n">
        <f aca="false">(G9+0.5*G10)*INDEX(RetVec_PE,1,5)</f>
        <v>22.1078554225313</v>
      </c>
      <c r="H12" s="22" t="n">
        <f aca="false">(H9+0.5*H10)*INDEX(RetVec_PE,1,6)</f>
        <v>24.3327525842306</v>
      </c>
      <c r="I12" s="22" t="n">
        <f aca="false">(I9+0.5*I10)*INDEX(RetVec_PE,1,7)</f>
        <v>23.116796191955</v>
      </c>
      <c r="J12" s="22" t="n">
        <f aca="false">(J9+0.5*J10)*INDEX(RetVec_PE,1,8)</f>
        <v>20.2771320498638</v>
      </c>
      <c r="K12" s="22" t="n">
        <f aca="false">(K9+0.5*K10)*INDEX(RetVec_PE,1,9)</f>
        <v>16.8985585992308</v>
      </c>
      <c r="L12" s="22" t="n">
        <f aca="false">(L9+0.5*L10)*INDEX(RetVec_PE,1,10)</f>
        <v>13.3126151292886</v>
      </c>
    </row>
    <row r="13" customFormat="false" ht="15" hidden="false" customHeight="false" outlineLevel="0" collapsed="false">
      <c r="A13" s="6"/>
      <c r="B13" s="20" t="s">
        <v>179</v>
      </c>
      <c r="C13" s="22" t="n">
        <f aca="false">IF(AND(FeeBasis_PE=1,1&lt;=InvestPeriod_PE),Allocation_Strategy!C29*Mgmt_PE,C9*Mgmt_PE)</f>
        <v>0.43875</v>
      </c>
      <c r="D13" s="22" t="n">
        <f aca="false">IF(AND(FeeBasis_PE=1,2&lt;=InvestPeriod_PE),Allocation_Strategy!D29*Mgmt_PE,D9*Mgmt_PE)</f>
        <v>0.804375</v>
      </c>
      <c r="E13" s="22" t="n">
        <f aca="false">IF(AND(FeeBasis_PE=1,3&lt;=InvestPeriod_PE),Allocation_Strategy!E29*Mgmt_PE,E9*Mgmt_PE)</f>
        <v>1.096875</v>
      </c>
      <c r="F13" s="22" t="n">
        <f aca="false">IF(AND(FeeBasis_PE=1,4&lt;=InvestPeriod_PE),Allocation_Strategy!F29*Mgmt_PE,F9*Mgmt_PE)</f>
        <v>1.31625</v>
      </c>
      <c r="G13" s="22" t="n">
        <f aca="false">IF(AND(FeeBasis_PE=1,5&lt;=InvestPeriod_PE),Allocation_Strategy!G29*Mgmt_PE,G9*Mgmt_PE)</f>
        <v>1.4625</v>
      </c>
      <c r="H13" s="22" t="n">
        <f aca="false">IF(AND(FeeBasis_PE=1,6&lt;=InvestPeriod_PE),Allocation_Strategy!H29*Mgmt_PE,H9*Mgmt_PE)</f>
        <v>2.36123927819845</v>
      </c>
      <c r="I13" s="22" t="n">
        <f aca="false">IF(AND(FeeBasis_PE=1,7&lt;=InvestPeriod_PE),Allocation_Strategy!I29*Mgmt_PE,I9*Mgmt_PE)</f>
        <v>2.54661258642648</v>
      </c>
      <c r="J13" s="22" t="n">
        <f aca="false">IF(AND(FeeBasis_PE=1,8&lt;=InvestPeriod_PE),Allocation_Strategy!J29*Mgmt_PE,J9*Mgmt_PE)</f>
        <v>2.56653959610614</v>
      </c>
      <c r="K13" s="22" t="n">
        <f aca="false">IF(AND(FeeBasis_PE=1,9&lt;=InvestPeriod_PE),Allocation_Strategy!K29*Mgmt_PE,K9*Mgmt_PE)</f>
        <v>2.50439361072736</v>
      </c>
      <c r="L13" s="22" t="n">
        <f aca="false">IF(AND(FeeBasis_PE=1,10&lt;=InvestPeriod_PE),Allocation_Strategy!L29*Mgmt_PE,L9*Mgmt_PE)</f>
        <v>2.37347808890401</v>
      </c>
    </row>
    <row r="14" customFormat="false" ht="15" hidden="false" customHeight="false" outlineLevel="0" collapsed="false">
      <c r="A14" s="6"/>
      <c r="B14" s="20" t="s">
        <v>180</v>
      </c>
      <c r="C14" s="22" t="n">
        <f aca="false">IF(PerfBasis_PE=2,MAX(0,Capital_Activity!C26*Perf_PE*MAX(0,SIGN(Capital_Activity!C35-Capital_Activity!C17))),MAX(0,(C12-C9*Hurdle_PE)*Perf_PE))</f>
        <v>0</v>
      </c>
      <c r="D14" s="22" t="n">
        <f aca="false">IF(PerfBasis_PE=2,MAX(0,Capital_Activity!D26*Perf_PE*MAX(0,SIGN(Capital_Activity!D35-Capital_Activity!D17))),MAX(0,(D12-D9*Hurdle_PE)*Perf_PE))</f>
        <v>0</v>
      </c>
      <c r="E14" s="22" t="n">
        <f aca="false">IF(PerfBasis_PE=2,MAX(0,Capital_Activity!E26*Perf_PE*MAX(0,SIGN(Capital_Activity!E35-Capital_Activity!E17))),MAX(0,(E12-E9*Hurdle_PE)*Perf_PE))</f>
        <v>0</v>
      </c>
      <c r="F14" s="22" t="n">
        <f aca="false">IF(PerfBasis_PE=2,MAX(0,Capital_Activity!F26*Perf_PE*MAX(0,SIGN(Capital_Activity!F35-Capital_Activity!F17))),MAX(0,(F12-F9*Hurdle_PE)*Perf_PE))</f>
        <v>0</v>
      </c>
      <c r="G14" s="22" t="n">
        <f aca="false">IF(PerfBasis_PE=2,MAX(0,Capital_Activity!G26*Perf_PE*MAX(0,SIGN(Capital_Activity!G35-Capital_Activity!G17))),MAX(0,(G12-G9*Hurdle_PE)*Perf_PE))</f>
        <v>0</v>
      </c>
      <c r="H14" s="22" t="n">
        <f aca="false">IF(PerfBasis_PE=2,MAX(0,Capital_Activity!H26*Perf_PE*MAX(0,SIGN(Capital_Activity!H35-Capital_Activity!H17))),MAX(0,(H12-H9*Hurdle_PE)*Perf_PE))</f>
        <v>0</v>
      </c>
      <c r="I14" s="22" t="n">
        <f aca="false">IF(PerfBasis_PE=2,MAX(0,Capital_Activity!I26*Perf_PE*MAX(0,SIGN(Capital_Activity!I35-Capital_Activity!I17))),MAX(0,(I12-I9*Hurdle_PE)*Perf_PE))</f>
        <v>4.24435431071081</v>
      </c>
      <c r="J14" s="22" t="n">
        <f aca="false">IF(PerfBasis_PE=2,MAX(0,Capital_Activity!J26*Perf_PE*MAX(0,SIGN(Capital_Activity!J35-Capital_Activity!J17))),MAX(0,(J12-J9*Hurdle_PE)*Perf_PE))</f>
        <v>4.27756599351024</v>
      </c>
      <c r="K14" s="22" t="n">
        <f aca="false">IF(PerfBasis_PE=2,MAX(0,Capital_Activity!K26*Perf_PE*MAX(0,SIGN(Capital_Activity!K35-Capital_Activity!K17))),MAX(0,(K12-K9*Hurdle_PE)*Perf_PE))</f>
        <v>4.17398935121227</v>
      </c>
      <c r="L14" s="22" t="n">
        <f aca="false">IF(PerfBasis_PE=2,MAX(0,Capital_Activity!L26*Perf_PE*MAX(0,SIGN(Capital_Activity!L35-Capital_Activity!L17))),MAX(0,(L12-L9*Hurdle_PE)*Perf_PE))</f>
        <v>3.95579681484002</v>
      </c>
    </row>
    <row r="15" customFormat="false" ht="15" hidden="false" customHeight="false" outlineLevel="0" collapsed="false">
      <c r="A15" s="6"/>
      <c r="B15" s="20" t="s">
        <v>181</v>
      </c>
      <c r="C15" s="22" t="n">
        <f aca="false">Capital_Activity!C26</f>
        <v>0</v>
      </c>
      <c r="D15" s="22" t="n">
        <f aca="false">Capital_Activity!D26</f>
        <v>0</v>
      </c>
      <c r="E15" s="22" t="n">
        <f aca="false">Capital_Activity!E26</f>
        <v>0</v>
      </c>
      <c r="F15" s="22" t="n">
        <f aca="false">Capital_Activity!F26</f>
        <v>16.4828991679688</v>
      </c>
      <c r="G15" s="22" t="n">
        <f aca="false">Capital_Activity!G26</f>
        <v>17.6228130718359</v>
      </c>
      <c r="H15" s="22" t="n">
        <f aca="false">Capital_Activity!H26</f>
        <v>19.6769939849871</v>
      </c>
      <c r="I15" s="22" t="n">
        <f aca="false">Capital_Activity!I26</f>
        <v>21.221771553554</v>
      </c>
      <c r="J15" s="22" t="n">
        <f aca="false">Capital_Activity!J26</f>
        <v>21.3878299675512</v>
      </c>
      <c r="K15" s="22" t="n">
        <f aca="false">Capital_Activity!K26</f>
        <v>20.8699467560613</v>
      </c>
      <c r="L15" s="22" t="n">
        <f aca="false">Capital_Activity!L26</f>
        <v>19.7789840742001</v>
      </c>
    </row>
    <row r="16" customFormat="false" ht="15" hidden="false" customHeight="false" outlineLevel="0" collapsed="false">
      <c r="A16" s="6"/>
      <c r="B16" s="40" t="s">
        <v>67</v>
      </c>
      <c r="C16" s="41" t="n">
        <f aca="false">C9+C10+C12-C13-C14-C15</f>
        <v>88.62765625</v>
      </c>
      <c r="D16" s="41" t="n">
        <f aca="false">D9+D10+D12-D13-D14-D15</f>
        <v>94.6681625</v>
      </c>
      <c r="E16" s="41" t="n">
        <f aca="false">E9+E10+E12-E13-E14-E15</f>
        <v>109.885994453125</v>
      </c>
      <c r="F16" s="41" t="n">
        <f aca="false">F9+F10+F12-F13-F14-F15</f>
        <v>117.485420478906</v>
      </c>
      <c r="G16" s="41" t="n">
        <f aca="false">G9+G10+G12-G13-G14-G15</f>
        <v>131.179959899914</v>
      </c>
      <c r="H16" s="41" t="n">
        <f aca="false">H9+H10+H12-H13-H14-H15</f>
        <v>141.478477023694</v>
      </c>
      <c r="I16" s="41" t="n">
        <f aca="false">I9+I10+I12-I13-I14-I15</f>
        <v>142.585533117008</v>
      </c>
      <c r="J16" s="41" t="n">
        <f aca="false">J9+J10+J12-J13-J14-J15</f>
        <v>139.132978373742</v>
      </c>
      <c r="K16" s="41" t="n">
        <f aca="false">K9+K10+K12-K13-K14-K15</f>
        <v>131.859893828001</v>
      </c>
      <c r="L16" s="41" t="n">
        <f aca="false">L9+L10+L12-L13-L14-L15</f>
        <v>121.596764909117</v>
      </c>
    </row>
    <row r="17" customFormat="false" ht="15" hidden="false" customHeight="false" outlineLevel="0" collapsed="false">
      <c r="A17" s="6"/>
      <c r="B17" s="6"/>
      <c r="C17" s="6"/>
      <c r="D17" s="6"/>
      <c r="E17" s="6"/>
      <c r="F17" s="6"/>
      <c r="G17" s="6"/>
      <c r="H17" s="6"/>
      <c r="I17" s="6"/>
      <c r="J17" s="6"/>
      <c r="K17" s="6"/>
      <c r="L17" s="6"/>
    </row>
    <row r="18" customFormat="false" ht="15" hidden="false" customHeight="false" outlineLevel="0" collapsed="false">
      <c r="A18" s="6"/>
      <c r="B18" s="14" t="s">
        <v>50</v>
      </c>
      <c r="C18" s="15"/>
      <c r="D18" s="15"/>
      <c r="E18" s="15"/>
      <c r="F18" s="15"/>
      <c r="G18" s="15"/>
      <c r="H18" s="15"/>
      <c r="I18" s="15"/>
      <c r="J18" s="15"/>
      <c r="K18" s="15"/>
      <c r="L18" s="15"/>
    </row>
    <row r="19" customFormat="false" ht="15" hidden="false" customHeight="false" outlineLevel="0" collapsed="false">
      <c r="A19" s="6"/>
      <c r="B19" s="20" t="s">
        <v>61</v>
      </c>
      <c r="C19" s="22" t="n">
        <f aca="false">OpenNAV_VC</f>
        <v>39</v>
      </c>
      <c r="D19" s="22" t="n">
        <f aca="false">C26</f>
        <v>37.089</v>
      </c>
      <c r="E19" s="22" t="n">
        <f aca="false">D26</f>
        <v>38.532</v>
      </c>
      <c r="F19" s="22" t="n">
        <f aca="false">E26</f>
        <v>42.5646</v>
      </c>
      <c r="G19" s="22" t="n">
        <f aca="false">F26</f>
        <v>51.226344</v>
      </c>
      <c r="H19" s="22" t="n">
        <f aca="false">G26</f>
        <v>63.3854676</v>
      </c>
      <c r="I19" s="22" t="n">
        <f aca="false">H26</f>
        <v>79.092414648</v>
      </c>
      <c r="J19" s="22" t="n">
        <f aca="false">I26</f>
        <v>92.73773863224</v>
      </c>
      <c r="K19" s="22" t="n">
        <f aca="false">J26</f>
        <v>102.787613607619</v>
      </c>
      <c r="L19" s="22" t="n">
        <f aca="false">K26</f>
        <v>105.872340708175</v>
      </c>
    </row>
    <row r="20" customFormat="false" ht="15" hidden="false" customHeight="false" outlineLevel="0" collapsed="false">
      <c r="A20" s="6"/>
      <c r="B20" s="20" t="s">
        <v>176</v>
      </c>
      <c r="C20" s="22" t="n">
        <f aca="false">Capital_Activity!C9</f>
        <v>2.34</v>
      </c>
      <c r="D20" s="22" t="n">
        <f aca="false">Capital_Activity!D9</f>
        <v>3.822</v>
      </c>
      <c r="E20" s="22" t="n">
        <f aca="false">Capital_Activity!E9</f>
        <v>4.6176</v>
      </c>
      <c r="F20" s="22" t="n">
        <f aca="false">Capital_Activity!F9</f>
        <v>4.86408</v>
      </c>
      <c r="G20" s="22" t="n">
        <f aca="false">Capital_Activity!G9</f>
        <v>4.671264</v>
      </c>
      <c r="H20" s="22" t="n">
        <f aca="false">Capital_Activity!H9</f>
        <v>3.7370112</v>
      </c>
      <c r="I20" s="22" t="n">
        <f aca="false">Capital_Activity!I9</f>
        <v>2.98960896</v>
      </c>
      <c r="J20" s="22" t="n">
        <f aca="false">Capital_Activity!J9</f>
        <v>2.391687168</v>
      </c>
      <c r="K20" s="22" t="n">
        <f aca="false">Capital_Activity!K9</f>
        <v>1.9133497344</v>
      </c>
      <c r="L20" s="22" t="n">
        <f aca="false">Capital_Activity!L9</f>
        <v>1.53067978752</v>
      </c>
    </row>
    <row r="21" customFormat="false" ht="15" hidden="false" customHeight="false" outlineLevel="0" collapsed="false">
      <c r="A21" s="6"/>
      <c r="B21" s="38" t="s">
        <v>177</v>
      </c>
      <c r="C21" s="39" t="n">
        <f aca="false">OpenNAV_VC</f>
        <v>39</v>
      </c>
      <c r="D21" s="39" t="n">
        <f aca="false">MAX(C21,C26)</f>
        <v>39</v>
      </c>
      <c r="E21" s="39" t="n">
        <f aca="false">MAX(D21,D26)</f>
        <v>39</v>
      </c>
      <c r="F21" s="39" t="n">
        <f aca="false">MAX(E21,E26)</f>
        <v>42.5646</v>
      </c>
      <c r="G21" s="39" t="n">
        <f aca="false">MAX(F21,F26)</f>
        <v>51.226344</v>
      </c>
      <c r="H21" s="39" t="n">
        <f aca="false">MAX(G21,G26)</f>
        <v>63.3854676</v>
      </c>
      <c r="I21" s="39" t="n">
        <f aca="false">MAX(H21,H26)</f>
        <v>79.092414648</v>
      </c>
      <c r="J21" s="39" t="n">
        <f aca="false">MAX(I21,I26)</f>
        <v>92.73773863224</v>
      </c>
      <c r="K21" s="39" t="n">
        <f aca="false">MAX(J21,J26)</f>
        <v>102.787613607619</v>
      </c>
      <c r="L21" s="39" t="n">
        <f aca="false">MAX(K21,K26)</f>
        <v>105.872340708175</v>
      </c>
    </row>
    <row r="22" customFormat="false" ht="15" hidden="false" customHeight="false" outlineLevel="0" collapsed="false">
      <c r="A22" s="6"/>
      <c r="B22" s="20" t="s">
        <v>178</v>
      </c>
      <c r="C22" s="22" t="n">
        <f aca="false">(C19+0.5*C20)*INDEX(RetVec_VC,1,1)</f>
        <v>-4.017</v>
      </c>
      <c r="D22" s="22" t="n">
        <f aca="false">(D19+0.5*D20)*INDEX(RetVec_VC,1,2)</f>
        <v>-1.95</v>
      </c>
      <c r="E22" s="22" t="n">
        <f aca="false">(E19+0.5*E20)*INDEX(RetVec_VC,1,3)</f>
        <v>0</v>
      </c>
      <c r="F22" s="22" t="n">
        <f aca="false">(F19+0.5*F20)*INDEX(RetVec_VC,1,4)</f>
        <v>4.499664</v>
      </c>
      <c r="G22" s="22" t="n">
        <f aca="false">(G19+0.5*G20)*INDEX(RetVec_VC,1,5)</f>
        <v>13.390494</v>
      </c>
      <c r="H22" s="22" t="n">
        <f aca="false">(H19+0.5*H20)*INDEX(RetVec_VC,1,6)</f>
        <v>19.57619196</v>
      </c>
      <c r="I22" s="22" t="n">
        <f aca="false">(I19+0.5*I20)*INDEX(RetVec_VC,1,7)</f>
        <v>20.146804782</v>
      </c>
      <c r="J22" s="22" t="n">
        <f aca="false">(J19+0.5*J20)*INDEX(RetVec_VC,1,8)</f>
        <v>18.786716443248</v>
      </c>
      <c r="K22" s="22" t="n">
        <f aca="false">(K19+0.5*K20)*INDEX(RetVec_VC,1,9)</f>
        <v>15.5616432712229</v>
      </c>
      <c r="L22" s="22" t="n">
        <f aca="false">(L19+0.5*L20)*INDEX(RetVec_VC,1,10)</f>
        <v>10.6637680601935</v>
      </c>
    </row>
    <row r="23" customFormat="false" ht="15" hidden="false" customHeight="false" outlineLevel="0" collapsed="false">
      <c r="A23" s="6"/>
      <c r="B23" s="20" t="s">
        <v>179</v>
      </c>
      <c r="C23" s="22" t="n">
        <f aca="false">IF(AND(FeeBasis_VC=1,1&lt;=InvestPeriod_VC),Allocation_Strategy!C30*Mgmt_VC,C19*Mgmt_VC)</f>
        <v>0.234</v>
      </c>
      <c r="D23" s="22" t="n">
        <f aca="false">IF(AND(FeeBasis_VC=1,2&lt;=InvestPeriod_VC),Allocation_Strategy!D30*Mgmt_VC,D19*Mgmt_VC)</f>
        <v>0.429</v>
      </c>
      <c r="E23" s="22" t="n">
        <f aca="false">IF(AND(FeeBasis_VC=1,3&lt;=InvestPeriod_VC),Allocation_Strategy!E30*Mgmt_VC,E19*Mgmt_VC)</f>
        <v>0.585</v>
      </c>
      <c r="F23" s="22" t="n">
        <f aca="false">IF(AND(FeeBasis_VC=1,4&lt;=InvestPeriod_VC),Allocation_Strategy!F30*Mgmt_VC,F19*Mgmt_VC)</f>
        <v>0.702</v>
      </c>
      <c r="G23" s="22" t="n">
        <f aca="false">IF(AND(FeeBasis_VC=1,5&lt;=InvestPeriod_VC),Allocation_Strategy!G30*Mgmt_VC,G19*Mgmt_VC)</f>
        <v>0.78</v>
      </c>
      <c r="H23" s="22" t="n">
        <f aca="false">IF(AND(FeeBasis_VC=1,6&lt;=InvestPeriod_VC),Allocation_Strategy!H30*Mgmt_VC,H19*Mgmt_VC)</f>
        <v>1.267709352</v>
      </c>
      <c r="I23" s="22" t="n">
        <f aca="false">IF(AND(FeeBasis_VC=1,7&lt;=InvestPeriod_VC),Allocation_Strategy!I30*Mgmt_VC,I19*Mgmt_VC)</f>
        <v>1.58184829296</v>
      </c>
      <c r="J23" s="22" t="n">
        <f aca="false">IF(AND(FeeBasis_VC=1,8&lt;=InvestPeriod_VC),Allocation_Strategy!J30*Mgmt_VC,J19*Mgmt_VC)</f>
        <v>1.8547547726448</v>
      </c>
      <c r="K23" s="22" t="n">
        <f aca="false">IF(AND(FeeBasis_VC=1,9&lt;=InvestPeriod_VC),Allocation_Strategy!K30*Mgmt_VC,K19*Mgmt_VC)</f>
        <v>2.05575227215238</v>
      </c>
      <c r="L23" s="22" t="n">
        <f aca="false">IF(AND(FeeBasis_VC=1,10&lt;=InvestPeriod_VC),Allocation_Strategy!L30*Mgmt_VC,L19*Mgmt_VC)</f>
        <v>2.11744681416351</v>
      </c>
    </row>
    <row r="24" customFormat="false" ht="15" hidden="false" customHeight="false" outlineLevel="0" collapsed="false">
      <c r="A24" s="6"/>
      <c r="B24" s="20" t="s">
        <v>180</v>
      </c>
      <c r="C24" s="22" t="n">
        <f aca="false">IF(PerfBasis_VC=2,MAX(0,Capital_Activity!C27*Perf_VC*MAX(0,SIGN(Capital_Activity!C36-Capital_Activity!C18))),MAX(0,(C22-C19*Hurdle_VC)*Perf_VC))</f>
        <v>0</v>
      </c>
      <c r="D24" s="22" t="n">
        <f aca="false">IF(PerfBasis_VC=2,MAX(0,Capital_Activity!D27*Perf_VC*MAX(0,SIGN(Capital_Activity!D36-Capital_Activity!D18))),MAX(0,(D22-D19*Hurdle_VC)*Perf_VC))</f>
        <v>0</v>
      </c>
      <c r="E24" s="22" t="n">
        <f aca="false">IF(PerfBasis_VC=2,MAX(0,Capital_Activity!E27*Perf_VC*MAX(0,SIGN(Capital_Activity!E36-Capital_Activity!E18))),MAX(0,(E22-E19*Hurdle_VC)*Perf_VC))</f>
        <v>0</v>
      </c>
      <c r="F24" s="22" t="n">
        <f aca="false">IF(PerfBasis_VC=2,MAX(0,Capital_Activity!F27*Perf_VC*MAX(0,SIGN(Capital_Activity!F36-Capital_Activity!F18))),MAX(0,(F22-F19*Hurdle_VC)*Perf_VC))</f>
        <v>0</v>
      </c>
      <c r="G24" s="22" t="n">
        <f aca="false">IF(PerfBasis_VC=2,MAX(0,Capital_Activity!G27*Perf_VC*MAX(0,SIGN(Capital_Activity!G36-Capital_Activity!G18))),MAX(0,(G22-G19*Hurdle_VC)*Perf_VC))</f>
        <v>0</v>
      </c>
      <c r="H24" s="22" t="n">
        <f aca="false">IF(PerfBasis_VC=2,MAX(0,Capital_Activity!H27*Perf_VC*MAX(0,SIGN(Capital_Activity!H36-Capital_Activity!H18))),MAX(0,(H22-H19*Hurdle_VC)*Perf_VC))</f>
        <v>0</v>
      </c>
      <c r="I24" s="22" t="n">
        <f aca="false">IF(PerfBasis_VC=2,MAX(0,Capital_Activity!I27*Perf_VC*MAX(0,SIGN(Capital_Activity!I36-Capital_Activity!I18))),MAX(0,(I22-I19*Hurdle_VC)*Perf_VC))</f>
        <v>0</v>
      </c>
      <c r="J24" s="22" t="n">
        <f aca="false">IF(PerfBasis_VC=2,MAX(0,Capital_Activity!J27*Perf_VC*MAX(0,SIGN(Capital_Activity!J36-Capital_Activity!J18))),MAX(0,(J22-J19*Hurdle_VC)*Perf_VC))</f>
        <v>0</v>
      </c>
      <c r="K24" s="22" t="n">
        <f aca="false">IF(PerfBasis_VC=2,MAX(0,Capital_Activity!K27*Perf_VC*MAX(0,SIGN(Capital_Activity!K36-Capital_Activity!K18))),MAX(0,(K22-K19*Hurdle_VC)*Perf_VC))</f>
        <v>2.05575227215238</v>
      </c>
      <c r="L24" s="22" t="n">
        <f aca="false">IF(PerfBasis_VC=2,MAX(0,Capital_Activity!L27*Perf_VC*MAX(0,SIGN(Capital_Activity!L36-Capital_Activity!L18))),MAX(0,(L22-L19*Hurdle_VC)*Perf_VC))</f>
        <v>2.11744681416351</v>
      </c>
    </row>
    <row r="25" customFormat="false" ht="15" hidden="false" customHeight="false" outlineLevel="0" collapsed="false">
      <c r="A25" s="6"/>
      <c r="B25" s="20" t="s">
        <v>181</v>
      </c>
      <c r="C25" s="22" t="n">
        <f aca="false">Capital_Activity!C27</f>
        <v>0</v>
      </c>
      <c r="D25" s="22" t="n">
        <f aca="false">Capital_Activity!D27</f>
        <v>0</v>
      </c>
      <c r="E25" s="22" t="n">
        <f aca="false">Capital_Activity!E27</f>
        <v>0</v>
      </c>
      <c r="F25" s="22" t="n">
        <f aca="false">Capital_Activity!F27</f>
        <v>0</v>
      </c>
      <c r="G25" s="22" t="n">
        <f aca="false">Capital_Activity!G27</f>
        <v>5.1226344</v>
      </c>
      <c r="H25" s="22" t="n">
        <f aca="false">Capital_Activity!H27</f>
        <v>6.33854676</v>
      </c>
      <c r="I25" s="22" t="n">
        <f aca="false">Capital_Activity!I27</f>
        <v>7.9092414648</v>
      </c>
      <c r="J25" s="22" t="n">
        <f aca="false">Capital_Activity!J27</f>
        <v>9.273773863224</v>
      </c>
      <c r="K25" s="22" t="n">
        <f aca="false">Capital_Activity!K27</f>
        <v>10.2787613607619</v>
      </c>
      <c r="L25" s="22" t="n">
        <f aca="false">Capital_Activity!L27</f>
        <v>10.5872340708175</v>
      </c>
    </row>
    <row r="26" customFormat="false" ht="15" hidden="false" customHeight="false" outlineLevel="0" collapsed="false">
      <c r="A26" s="6"/>
      <c r="B26" s="40" t="s">
        <v>67</v>
      </c>
      <c r="C26" s="41" t="n">
        <f aca="false">C19+C20+C22-C23-C24-C25</f>
        <v>37.089</v>
      </c>
      <c r="D26" s="41" t="n">
        <f aca="false">D19+D20+D22-D23-D24-D25</f>
        <v>38.532</v>
      </c>
      <c r="E26" s="41" t="n">
        <f aca="false">E19+E20+E22-E23-E24-E25</f>
        <v>42.5646</v>
      </c>
      <c r="F26" s="41" t="n">
        <f aca="false">F19+F20+F22-F23-F24-F25</f>
        <v>51.226344</v>
      </c>
      <c r="G26" s="41" t="n">
        <f aca="false">G19+G20+G22-G23-G24-G25</f>
        <v>63.3854676</v>
      </c>
      <c r="H26" s="41" t="n">
        <f aca="false">H19+H20+H22-H23-H24-H25</f>
        <v>79.092414648</v>
      </c>
      <c r="I26" s="41" t="n">
        <f aca="false">I19+I20+I22-I23-I24-I25</f>
        <v>92.73773863224</v>
      </c>
      <c r="J26" s="41" t="n">
        <f aca="false">J19+J20+J22-J23-J24-J25</f>
        <v>102.787613607619</v>
      </c>
      <c r="K26" s="41" t="n">
        <f aca="false">K19+K20+K22-K23-K24-K25</f>
        <v>105.872340708175</v>
      </c>
      <c r="L26" s="41" t="n">
        <f aca="false">L19+L20+L22-L23-L24-L25</f>
        <v>103.244660856744</v>
      </c>
    </row>
    <row r="27" customFormat="false" ht="15" hidden="false" customHeight="false" outlineLevel="0" collapsed="false">
      <c r="A27" s="6"/>
      <c r="B27" s="6"/>
      <c r="C27" s="6"/>
      <c r="D27" s="6"/>
      <c r="E27" s="6"/>
      <c r="F27" s="6"/>
      <c r="G27" s="6"/>
      <c r="H27" s="6"/>
      <c r="I27" s="6"/>
      <c r="J27" s="6"/>
      <c r="K27" s="6"/>
      <c r="L27" s="6"/>
    </row>
    <row r="28" customFormat="false" ht="15" hidden="false" customHeight="false" outlineLevel="0" collapsed="false">
      <c r="A28" s="6"/>
      <c r="B28" s="14" t="s">
        <v>51</v>
      </c>
      <c r="C28" s="15"/>
      <c r="D28" s="15"/>
      <c r="E28" s="15"/>
      <c r="F28" s="15"/>
      <c r="G28" s="15"/>
      <c r="H28" s="15"/>
      <c r="I28" s="15"/>
      <c r="J28" s="15"/>
      <c r="K28" s="15"/>
      <c r="L28" s="15"/>
    </row>
    <row r="29" customFormat="false" ht="15" hidden="false" customHeight="false" outlineLevel="0" collapsed="false">
      <c r="A29" s="6"/>
      <c r="B29" s="20" t="s">
        <v>61</v>
      </c>
      <c r="C29" s="22" t="n">
        <f aca="false">OpenNAV_HF</f>
        <v>47.5</v>
      </c>
      <c r="D29" s="22" t="n">
        <f aca="false">C36</f>
        <v>55.54</v>
      </c>
      <c r="E29" s="22" t="n">
        <f aca="false">D36</f>
        <v>62.33574</v>
      </c>
      <c r="F29" s="22" t="n">
        <f aca="false">E36</f>
        <v>67.87975444</v>
      </c>
      <c r="G29" s="22" t="n">
        <f aca="false">F36</f>
        <v>72.16453296664</v>
      </c>
      <c r="H29" s="22" t="n">
        <f aca="false">G36</f>
        <v>75.1825201644398</v>
      </c>
      <c r="I29" s="22" t="n">
        <f aca="false">H36</f>
        <v>75.6336152854265</v>
      </c>
      <c r="J29" s="22" t="n">
        <f aca="false">I36</f>
        <v>76.0874169771391</v>
      </c>
      <c r="K29" s="22" t="n">
        <f aca="false">J36</f>
        <v>76.5439414790019</v>
      </c>
      <c r="L29" s="22" t="n">
        <f aca="false">K36</f>
        <v>77.0032051278759</v>
      </c>
    </row>
    <row r="30" customFormat="false" ht="15" hidden="false" customHeight="false" outlineLevel="0" collapsed="false">
      <c r="A30" s="6"/>
      <c r="B30" s="20" t="s">
        <v>176</v>
      </c>
      <c r="C30" s="22" t="n">
        <f aca="false">Capital_Activity!C10</f>
        <v>7.5</v>
      </c>
      <c r="D30" s="22" t="n">
        <f aca="false">Capital_Activity!D10</f>
        <v>6.25</v>
      </c>
      <c r="E30" s="22" t="n">
        <f aca="false">Capital_Activity!E10</f>
        <v>5</v>
      </c>
      <c r="F30" s="22" t="n">
        <f aca="false">Capital_Activity!F10</f>
        <v>3.75</v>
      </c>
      <c r="G30" s="22" t="n">
        <f aca="false">Capital_Activity!G10</f>
        <v>2.5</v>
      </c>
      <c r="H30" s="22" t="n">
        <f aca="false">Capital_Activity!H10</f>
        <v>0</v>
      </c>
      <c r="I30" s="22" t="n">
        <f aca="false">Capital_Activity!I10</f>
        <v>0</v>
      </c>
      <c r="J30" s="22" t="n">
        <f aca="false">Capital_Activity!J10</f>
        <v>0</v>
      </c>
      <c r="K30" s="22" t="n">
        <f aca="false">Capital_Activity!K10</f>
        <v>0</v>
      </c>
      <c r="L30" s="22" t="n">
        <f aca="false">Capital_Activity!L10</f>
        <v>0</v>
      </c>
    </row>
    <row r="31" customFormat="false" ht="15" hidden="false" customHeight="false" outlineLevel="0" collapsed="false">
      <c r="A31" s="6"/>
      <c r="B31" s="38" t="s">
        <v>177</v>
      </c>
      <c r="C31" s="39" t="n">
        <f aca="false">OpenNAV_HF</f>
        <v>47.5</v>
      </c>
      <c r="D31" s="39" t="n">
        <f aca="false">MAX(C31,C36)</f>
        <v>55.54</v>
      </c>
      <c r="E31" s="39" t="n">
        <f aca="false">MAX(D31,D36)</f>
        <v>62.33574</v>
      </c>
      <c r="F31" s="39" t="n">
        <f aca="false">MAX(E31,E36)</f>
        <v>67.87975444</v>
      </c>
      <c r="G31" s="39" t="n">
        <f aca="false">MAX(F31,F36)</f>
        <v>72.16453296664</v>
      </c>
      <c r="H31" s="39" t="n">
        <f aca="false">MAX(G31,G36)</f>
        <v>75.1825201644398</v>
      </c>
      <c r="I31" s="39" t="n">
        <f aca="false">MAX(H31,H36)</f>
        <v>75.6336152854265</v>
      </c>
      <c r="J31" s="39" t="n">
        <f aca="false">MAX(I31,I36)</f>
        <v>76.0874169771391</v>
      </c>
      <c r="K31" s="39" t="n">
        <f aca="false">MAX(J31,J36)</f>
        <v>76.5439414790019</v>
      </c>
      <c r="L31" s="39" t="n">
        <f aca="false">MAX(K31,K36)</f>
        <v>77.0032051278759</v>
      </c>
    </row>
    <row r="32" customFormat="false" ht="15" hidden="false" customHeight="false" outlineLevel="0" collapsed="false">
      <c r="A32" s="6"/>
      <c r="B32" s="20" t="s">
        <v>178</v>
      </c>
      <c r="C32" s="22" t="n">
        <f aca="false">(C29+0.5*C30)*INDEX(RetVec_HF,1,1)</f>
        <v>4.1</v>
      </c>
      <c r="D32" s="22" t="n">
        <f aca="false">(D29+0.5*D30)*INDEX(RetVec_HF,1,2)</f>
        <v>4.6932</v>
      </c>
      <c r="E32" s="22" t="n">
        <f aca="false">(E29+0.5*E30)*INDEX(RetVec_HF,1,3)</f>
        <v>5.1868592</v>
      </c>
      <c r="F32" s="22" t="n">
        <f aca="false">(F29+0.5*F30)*INDEX(RetVec_HF,1,4)</f>
        <v>5.5803803552</v>
      </c>
      <c r="G32" s="22" t="n">
        <f aca="false">(G29+0.5*G30)*INDEX(RetVec_HF,1,5)</f>
        <v>5.8731626373312</v>
      </c>
      <c r="H32" s="22" t="n">
        <f aca="false">(H29+0.5*H30)*INDEX(RetVec_HF,1,6)</f>
        <v>6.01460161315519</v>
      </c>
      <c r="I32" s="22" t="n">
        <f aca="false">(I29+0.5*I30)*INDEX(RetVec_HF,1,7)</f>
        <v>6.05068922283412</v>
      </c>
      <c r="J32" s="22" t="n">
        <f aca="false">(J29+0.5*J30)*INDEX(RetVec_HF,1,8)</f>
        <v>6.08699335817112</v>
      </c>
      <c r="K32" s="22" t="n">
        <f aca="false">(K29+0.5*K30)*INDEX(RetVec_HF,1,9)</f>
        <v>6.12351531832015</v>
      </c>
      <c r="L32" s="22" t="n">
        <f aca="false">(L29+0.5*L30)*INDEX(RetVec_HF,1,10)</f>
        <v>6.16025641023007</v>
      </c>
    </row>
    <row r="33" customFormat="false" ht="15" hidden="false" customHeight="false" outlineLevel="0" collapsed="false">
      <c r="A33" s="6"/>
      <c r="B33" s="20" t="s">
        <v>179</v>
      </c>
      <c r="C33" s="22" t="n">
        <f aca="false">IF(AND(FeeBasis_HF=1,1&lt;=InvestPeriod_HF),Allocation_Strategy!C31*Mgmt_HF,C29*Mgmt_HF)</f>
        <v>0.57</v>
      </c>
      <c r="D33" s="22" t="n">
        <f aca="false">IF(AND(FeeBasis_HF=1,2&lt;=InvestPeriod_HF),Allocation_Strategy!D31*Mgmt_HF,D29*Mgmt_HF)</f>
        <v>0.66648</v>
      </c>
      <c r="E33" s="22" t="n">
        <f aca="false">IF(AND(FeeBasis_HF=1,3&lt;=InvestPeriod_HF),Allocation_Strategy!E31*Mgmt_HF,E29*Mgmt_HF)</f>
        <v>0.74802888</v>
      </c>
      <c r="F33" s="22" t="n">
        <f aca="false">IF(AND(FeeBasis_HF=1,4&lt;=InvestPeriod_HF),Allocation_Strategy!F31*Mgmt_HF,F29*Mgmt_HF)</f>
        <v>0.81455705328</v>
      </c>
      <c r="G33" s="22" t="n">
        <f aca="false">IF(AND(FeeBasis_HF=1,5&lt;=InvestPeriod_HF),Allocation_Strategy!G31*Mgmt_HF,G29*Mgmt_HF)</f>
        <v>0.86597439559968</v>
      </c>
      <c r="H33" s="22" t="n">
        <f aca="false">IF(AND(FeeBasis_HF=1,6&lt;=InvestPeriod_HF),Allocation_Strategy!H31*Mgmt_HF,H29*Mgmt_HF)</f>
        <v>0.902190241973278</v>
      </c>
      <c r="I33" s="22" t="n">
        <f aca="false">IF(AND(FeeBasis_HF=1,7&lt;=InvestPeriod_HF),Allocation_Strategy!I31*Mgmt_HF,I29*Mgmt_HF)</f>
        <v>0.907603383425118</v>
      </c>
      <c r="J33" s="22" t="n">
        <f aca="false">IF(AND(FeeBasis_HF=1,8&lt;=InvestPeriod_HF),Allocation_Strategy!J31*Mgmt_HF,J29*Mgmt_HF)</f>
        <v>0.913049003725669</v>
      </c>
      <c r="K33" s="22" t="n">
        <f aca="false">IF(AND(FeeBasis_HF=1,9&lt;=InvestPeriod_HF),Allocation_Strategy!K31*Mgmt_HF,K29*Mgmt_HF)</f>
        <v>0.918527297748023</v>
      </c>
      <c r="L33" s="22" t="n">
        <f aca="false">IF(AND(FeeBasis_HF=1,10&lt;=InvestPeriod_HF),Allocation_Strategy!L31*Mgmt_HF,L29*Mgmt_HF)</f>
        <v>0.924038461534511</v>
      </c>
    </row>
    <row r="34" customFormat="false" ht="15" hidden="false" customHeight="false" outlineLevel="0" collapsed="false">
      <c r="A34" s="6"/>
      <c r="B34" s="20" t="s">
        <v>180</v>
      </c>
      <c r="C34" s="22" t="n">
        <f aca="false">IF(PerfBasis_HF=2,MAX(0,Capital_Activity!C28*Perf_HF*MAX(0,SIGN(Capital_Activity!C37-Capital_Activity!C19))),MAX(0,(C29+C32-MAX(C31,C29)-C29*Hurdle_HF)*Perf_HF))</f>
        <v>0.615</v>
      </c>
      <c r="D34" s="22" t="n">
        <f aca="false">IF(PerfBasis_HF=2,MAX(0,Capital_Activity!D28*Perf_HF*MAX(0,SIGN(Capital_Activity!D37-Capital_Activity!D19))),MAX(0,(D29+D32-MAX(D31,D29)-D29*Hurdle_HF)*Perf_HF))</f>
        <v>0.70398</v>
      </c>
      <c r="E34" s="22" t="n">
        <f aca="false">IF(PerfBasis_HF=2,MAX(0,Capital_Activity!E28*Perf_HF*MAX(0,SIGN(Capital_Activity!E37-Capital_Activity!E19))),MAX(0,(E29+E32-MAX(E31,E29)-E29*Hurdle_HF)*Perf_HF))</f>
        <v>0.77802888</v>
      </c>
      <c r="F34" s="22" t="n">
        <f aca="false">IF(PerfBasis_HF=2,MAX(0,Capital_Activity!F28*Perf_HF*MAX(0,SIGN(Capital_Activity!F37-Capital_Activity!F19))),MAX(0,(F29+F32-MAX(F31,F29)-F29*Hurdle_HF)*Perf_HF))</f>
        <v>0.837057053280001</v>
      </c>
      <c r="G34" s="22" t="n">
        <f aca="false">IF(PerfBasis_HF=2,MAX(0,Capital_Activity!G28*Perf_HF*MAX(0,SIGN(Capital_Activity!G37-Capital_Activity!G19))),MAX(0,(G29+G32-MAX(G31,G29)-G29*Hurdle_HF)*Perf_HF))</f>
        <v>0.880974395599681</v>
      </c>
      <c r="H34" s="22" t="n">
        <f aca="false">IF(PerfBasis_HF=2,MAX(0,Capital_Activity!H28*Perf_HF*MAX(0,SIGN(Capital_Activity!H37-Capital_Activity!H19))),MAX(0,(H29+H32-MAX(H31,H29)-H29*Hurdle_HF)*Perf_HF))</f>
        <v>0.902190241973279</v>
      </c>
      <c r="I34" s="22" t="n">
        <f aca="false">IF(PerfBasis_HF=2,MAX(0,Capital_Activity!I28*Perf_HF*MAX(0,SIGN(Capital_Activity!I37-Capital_Activity!I19))),MAX(0,(I29+I32-MAX(I31,I29)-I29*Hurdle_HF)*Perf_HF))</f>
        <v>0.907603383425118</v>
      </c>
      <c r="J34" s="22" t="n">
        <f aca="false">IF(PerfBasis_HF=2,MAX(0,Capital_Activity!J28*Perf_HF*MAX(0,SIGN(Capital_Activity!J37-Capital_Activity!J19))),MAX(0,(J29+J32-MAX(J31,J29)-J29*Hurdle_HF)*Perf_HF))</f>
        <v>0.913049003725669</v>
      </c>
      <c r="K34" s="22" t="n">
        <f aca="false">IF(PerfBasis_HF=2,MAX(0,Capital_Activity!K28*Perf_HF*MAX(0,SIGN(Capital_Activity!K37-Capital_Activity!K19))),MAX(0,(K29+K32-MAX(K31,K29)-K29*Hurdle_HF)*Perf_HF))</f>
        <v>0.918527297748022</v>
      </c>
      <c r="L34" s="22" t="n">
        <f aca="false">IF(PerfBasis_HF=2,MAX(0,Capital_Activity!L28*Perf_HF*MAX(0,SIGN(Capital_Activity!L37-Capital_Activity!L19))),MAX(0,(L29+L32-MAX(L31,L29)-L29*Hurdle_HF)*Perf_HF))</f>
        <v>0.924038461534511</v>
      </c>
    </row>
    <row r="35" customFormat="false" ht="15" hidden="false" customHeight="false" outlineLevel="0" collapsed="false">
      <c r="A35" s="6"/>
      <c r="B35" s="20" t="s">
        <v>181</v>
      </c>
      <c r="C35" s="22" t="n">
        <f aca="false">Capital_Activity!C28</f>
        <v>2.375</v>
      </c>
      <c r="D35" s="22" t="n">
        <f aca="false">Capital_Activity!D28</f>
        <v>2.777</v>
      </c>
      <c r="E35" s="22" t="n">
        <f aca="false">Capital_Activity!E28</f>
        <v>3.116787</v>
      </c>
      <c r="F35" s="22" t="n">
        <f aca="false">Capital_Activity!F28</f>
        <v>3.393987722</v>
      </c>
      <c r="G35" s="22" t="n">
        <f aca="false">Capital_Activity!G28</f>
        <v>3.608226648332</v>
      </c>
      <c r="H35" s="22" t="n">
        <f aca="false">Capital_Activity!H28</f>
        <v>3.75912600822199</v>
      </c>
      <c r="I35" s="22" t="n">
        <f aca="false">Capital_Activity!I28</f>
        <v>3.78168076427132</v>
      </c>
      <c r="J35" s="22" t="n">
        <f aca="false">Capital_Activity!J28</f>
        <v>3.80437084885695</v>
      </c>
      <c r="K35" s="22" t="n">
        <f aca="false">Capital_Activity!K28</f>
        <v>3.82719707395009</v>
      </c>
      <c r="L35" s="22" t="n">
        <f aca="false">Capital_Activity!L28</f>
        <v>3.85016025639379</v>
      </c>
    </row>
    <row r="36" customFormat="false" ht="15" hidden="false" customHeight="false" outlineLevel="0" collapsed="false">
      <c r="A36" s="6"/>
      <c r="B36" s="40" t="s">
        <v>67</v>
      </c>
      <c r="C36" s="41" t="n">
        <f aca="false">C29+C30+C32-C33-C34-C35</f>
        <v>55.54</v>
      </c>
      <c r="D36" s="41" t="n">
        <f aca="false">D29+D30+D32-D33-D34-D35</f>
        <v>62.33574</v>
      </c>
      <c r="E36" s="41" t="n">
        <f aca="false">E29+E30+E32-E33-E34-E35</f>
        <v>67.87975444</v>
      </c>
      <c r="F36" s="41" t="n">
        <f aca="false">F29+F30+F32-F33-F34-F35</f>
        <v>72.16453296664</v>
      </c>
      <c r="G36" s="41" t="n">
        <f aca="false">G29+G30+G32-G33-G34-G35</f>
        <v>75.1825201644398</v>
      </c>
      <c r="H36" s="41" t="n">
        <f aca="false">H29+H30+H32-H33-H34-H35</f>
        <v>75.6336152854265</v>
      </c>
      <c r="I36" s="41" t="n">
        <f aca="false">I29+I30+I32-I33-I34-I35</f>
        <v>76.0874169771391</v>
      </c>
      <c r="J36" s="41" t="n">
        <f aca="false">J29+J30+J32-J33-J34-J35</f>
        <v>76.5439414790019</v>
      </c>
      <c r="K36" s="41" t="n">
        <f aca="false">K29+K30+K32-K33-K34-K35</f>
        <v>77.0032051278759</v>
      </c>
      <c r="L36" s="41" t="n">
        <f aca="false">L29+L30+L32-L33-L34-L35</f>
        <v>77.4652243586432</v>
      </c>
    </row>
    <row r="37" customFormat="false" ht="15" hidden="false" customHeight="false" outlineLevel="0" collapsed="false">
      <c r="A37" s="6"/>
      <c r="B37" s="6"/>
      <c r="C37" s="6"/>
      <c r="D37" s="6"/>
      <c r="E37" s="6"/>
      <c r="F37" s="6"/>
      <c r="G37" s="6"/>
      <c r="H37" s="6"/>
      <c r="I37" s="6"/>
      <c r="J37" s="6"/>
      <c r="K37" s="6"/>
      <c r="L37" s="6"/>
    </row>
    <row r="38" customFormat="false" ht="15" hidden="false" customHeight="false" outlineLevel="0" collapsed="false">
      <c r="A38" s="6"/>
      <c r="B38" s="14" t="s">
        <v>52</v>
      </c>
      <c r="C38" s="15"/>
      <c r="D38" s="15"/>
      <c r="E38" s="15"/>
      <c r="F38" s="15"/>
      <c r="G38" s="15"/>
      <c r="H38" s="15"/>
      <c r="I38" s="15"/>
      <c r="J38" s="15"/>
      <c r="K38" s="15"/>
      <c r="L38" s="15"/>
    </row>
    <row r="39" customFormat="false" ht="15" hidden="false" customHeight="false" outlineLevel="0" collapsed="false">
      <c r="A39" s="6"/>
      <c r="B39" s="20" t="s">
        <v>61</v>
      </c>
      <c r="C39" s="22" t="n">
        <f aca="false">OpenNAV_RE</f>
        <v>52.5</v>
      </c>
      <c r="D39" s="22" t="n">
        <f aca="false">C46</f>
        <v>55.09265625</v>
      </c>
      <c r="E39" s="22" t="n">
        <f aca="false">D46</f>
        <v>60.974150625</v>
      </c>
      <c r="F39" s="22" t="n">
        <f aca="false">E46</f>
        <v>69.0188290907812</v>
      </c>
      <c r="G39" s="22" t="n">
        <f aca="false">F46</f>
        <v>77.9506828746914</v>
      </c>
      <c r="H39" s="22" t="n">
        <f aca="false">G46</f>
        <v>86.5747841140392</v>
      </c>
      <c r="I39" s="22" t="n">
        <f aca="false">H46</f>
        <v>92.9893584831342</v>
      </c>
      <c r="J39" s="22" t="n">
        <f aca="false">I46</f>
        <v>98.2632507215159</v>
      </c>
      <c r="K39" s="22" t="n">
        <f aca="false">J46</f>
        <v>101.842551860497</v>
      </c>
      <c r="L39" s="22" t="n">
        <f aca="false">K46</f>
        <v>104.752188625288</v>
      </c>
    </row>
    <row r="40" customFormat="false" ht="15" hidden="false" customHeight="false" outlineLevel="0" collapsed="false">
      <c r="A40" s="6"/>
      <c r="B40" s="20" t="s">
        <v>176</v>
      </c>
      <c r="C40" s="22" t="n">
        <f aca="false">Capital_Activity!C11</f>
        <v>3.65625</v>
      </c>
      <c r="D40" s="22" t="n">
        <f aca="false">Capital_Activity!D11</f>
        <v>5.7890625</v>
      </c>
      <c r="E40" s="22" t="n">
        <f aca="false">Capital_Activity!E11</f>
        <v>6.779296875</v>
      </c>
      <c r="F40" s="22" t="n">
        <f aca="false">Capital_Activity!F11</f>
        <v>6.91259765625</v>
      </c>
      <c r="G40" s="22" t="n">
        <f aca="false">Capital_Activity!G11</f>
        <v>6.4031982421875</v>
      </c>
      <c r="H40" s="22" t="n">
        <f aca="false">Capital_Activity!H11</f>
        <v>4.80239868164063</v>
      </c>
      <c r="I40" s="22" t="n">
        <f aca="false">Capital_Activity!I11</f>
        <v>3.60179901123047</v>
      </c>
      <c r="J40" s="22" t="n">
        <f aca="false">Capital_Activity!J11</f>
        <v>2.70134925842285</v>
      </c>
      <c r="K40" s="22" t="n">
        <f aca="false">Capital_Activity!K11</f>
        <v>2.02601194381714</v>
      </c>
      <c r="L40" s="22" t="n">
        <f aca="false">Capital_Activity!L11</f>
        <v>1.51950895786285</v>
      </c>
    </row>
    <row r="41" customFormat="false" ht="15" hidden="false" customHeight="false" outlineLevel="0" collapsed="false">
      <c r="A41" s="6"/>
      <c r="B41" s="38" t="s">
        <v>177</v>
      </c>
      <c r="C41" s="39" t="n">
        <f aca="false">OpenNAV_RE</f>
        <v>52.5</v>
      </c>
      <c r="D41" s="39" t="n">
        <f aca="false">MAX(C41,C46)</f>
        <v>55.09265625</v>
      </c>
      <c r="E41" s="39" t="n">
        <f aca="false">MAX(D41,D46)</f>
        <v>60.974150625</v>
      </c>
      <c r="F41" s="39" t="n">
        <f aca="false">MAX(E41,E46)</f>
        <v>69.0188290907812</v>
      </c>
      <c r="G41" s="39" t="n">
        <f aca="false">MAX(F41,F46)</f>
        <v>77.9506828746914</v>
      </c>
      <c r="H41" s="39" t="n">
        <f aca="false">MAX(G41,G46)</f>
        <v>86.5747841140392</v>
      </c>
      <c r="I41" s="39" t="n">
        <f aca="false">MAX(H41,H46)</f>
        <v>92.9893584831342</v>
      </c>
      <c r="J41" s="39" t="n">
        <f aca="false">MAX(I41,I46)</f>
        <v>98.2632507215159</v>
      </c>
      <c r="K41" s="39" t="n">
        <f aca="false">MAX(J41,J46)</f>
        <v>101.842551860497</v>
      </c>
      <c r="L41" s="39" t="n">
        <f aca="false">MAX(K41,K46)</f>
        <v>104.752188625288</v>
      </c>
    </row>
    <row r="42" customFormat="false" ht="15" hidden="false" customHeight="false" outlineLevel="0" collapsed="false">
      <c r="A42" s="6"/>
      <c r="B42" s="20" t="s">
        <v>178</v>
      </c>
      <c r="C42" s="22" t="n">
        <f aca="false">(C39+0.5*C40)*INDEX(RetVec_RE,1,1)</f>
        <v>2.71640625</v>
      </c>
      <c r="D42" s="22" t="n">
        <f aca="false">(D39+0.5*D40)*INDEX(RetVec_RE,1,2)</f>
        <v>4.059103125</v>
      </c>
      <c r="E42" s="22" t="n">
        <f aca="false">(E39+0.5*E40)*INDEX(RetVec_RE,1,3)</f>
        <v>5.792741915625</v>
      </c>
      <c r="F42" s="22" t="n">
        <f aca="false">(F39+0.5*F40)*INDEX(RetVec_RE,1,4)</f>
        <v>7.24751279189063</v>
      </c>
      <c r="G42" s="22" t="n">
        <f aca="false">(G39+0.5*G40)*INDEX(RetVec_RE,1,5)</f>
        <v>8.11522819957852</v>
      </c>
      <c r="H42" s="22" t="n">
        <f aca="false">(H39+0.5*H40)*INDEX(RetVec_RE,1,6)</f>
        <v>8.00783851093735</v>
      </c>
      <c r="I42" s="22" t="n">
        <f aca="false">(I39+0.5*I40)*INDEX(RetVec_RE,1,7)</f>
        <v>8.53112321898745</v>
      </c>
      <c r="J42" s="22" t="n">
        <f aca="false">(J39+0.5*J40)*INDEX(RetVec_RE,1,8)</f>
        <v>7.96911402805819</v>
      </c>
      <c r="K42" s="22" t="n">
        <f aca="false">(K39+0.5*K40)*INDEX(RetVec_RE,1,9)</f>
        <v>8.22844462659247</v>
      </c>
      <c r="L42" s="22" t="n">
        <f aca="false">(L39+0.5*L40)*INDEX(RetVec_RE,1,10)</f>
        <v>7.38583601729537</v>
      </c>
    </row>
    <row r="43" customFormat="false" ht="15" hidden="false" customHeight="false" outlineLevel="0" collapsed="false">
      <c r="A43" s="6"/>
      <c r="B43" s="20" t="s">
        <v>179</v>
      </c>
      <c r="C43" s="22" t="n">
        <f aca="false">IF(AND(FeeBasis_RE=1,1&lt;=InvestPeriod_RE),Allocation_Strategy!C32*Mgmt_RE,C39*Mgmt_RE)</f>
        <v>0.63</v>
      </c>
      <c r="D43" s="22" t="n">
        <f aca="false">IF(AND(FeeBasis_RE=1,2&lt;=InvestPeriod_RE),Allocation_Strategy!D32*Mgmt_RE,D39*Mgmt_RE)</f>
        <v>0.661111875</v>
      </c>
      <c r="E43" s="22" t="n">
        <f aca="false">IF(AND(FeeBasis_RE=1,3&lt;=InvestPeriod_RE),Allocation_Strategy!E32*Mgmt_RE,E39*Mgmt_RE)</f>
        <v>0.7316898075</v>
      </c>
      <c r="F43" s="22" t="n">
        <f aca="false">IF(AND(FeeBasis_RE=1,4&lt;=InvestPeriod_RE),Allocation_Strategy!F32*Mgmt_RE,F39*Mgmt_RE)</f>
        <v>0.828225949089375</v>
      </c>
      <c r="G43" s="22" t="n">
        <f aca="false">IF(AND(FeeBasis_RE=1,5&lt;=InvestPeriod_RE),Allocation_Strategy!G32*Mgmt_RE,G39*Mgmt_RE)</f>
        <v>0.935408194496297</v>
      </c>
      <c r="H43" s="22" t="n">
        <f aca="false">IF(AND(FeeBasis_RE=1,6&lt;=InvestPeriod_RE),Allocation_Strategy!H32*Mgmt_RE,H39*Mgmt_RE)</f>
        <v>1.03889740936847</v>
      </c>
      <c r="I43" s="22" t="n">
        <f aca="false">IF(AND(FeeBasis_RE=1,7&lt;=InvestPeriod_RE),Allocation_Strategy!I32*Mgmt_RE,I39*Mgmt_RE)</f>
        <v>1.11587230179761</v>
      </c>
      <c r="J43" s="22" t="n">
        <f aca="false">IF(AND(FeeBasis_RE=1,8&lt;=InvestPeriod_RE),Allocation_Strategy!J32*Mgmt_RE,J39*Mgmt_RE)</f>
        <v>1.17915900865819</v>
      </c>
      <c r="K43" s="22" t="n">
        <f aca="false">IF(AND(FeeBasis_RE=1,9&lt;=InvestPeriod_RE),Allocation_Strategy!K32*Mgmt_RE,K39*Mgmt_RE)</f>
        <v>1.22211062232597</v>
      </c>
      <c r="L43" s="22" t="n">
        <f aca="false">IF(AND(FeeBasis_RE=1,10&lt;=InvestPeriod_RE),Allocation_Strategy!L32*Mgmt_RE,L39*Mgmt_RE)</f>
        <v>1.25702626350346</v>
      </c>
    </row>
    <row r="44" customFormat="false" ht="15" hidden="false" customHeight="false" outlineLevel="0" collapsed="false">
      <c r="A44" s="6"/>
      <c r="B44" s="20" t="s">
        <v>180</v>
      </c>
      <c r="C44" s="22" t="n">
        <f aca="false">IF(PerfBasis_RE=2,MAX(0,Capital_Activity!C29*Perf_RE*MAX(0,SIGN(Capital_Activity!C38-Capital_Activity!C20))),MAX(0,(C39+C42-MAX(C41,C39)-C39*Hurdle_RE)*Perf_RE))</f>
        <v>0</v>
      </c>
      <c r="D44" s="22" t="n">
        <f aca="false">IF(PerfBasis_RE=2,MAX(0,Capital_Activity!D29*Perf_RE*MAX(0,SIGN(Capital_Activity!D38-Capital_Activity!D20))),MAX(0,(D39+D42-MAX(D41,D39)-D39*Hurdle_RE)*Perf_RE))</f>
        <v>0</v>
      </c>
      <c r="E44" s="22" t="n">
        <f aca="false">IF(PerfBasis_RE=2,MAX(0,Capital_Activity!E29*Perf_RE*MAX(0,SIGN(Capital_Activity!E38-Capital_Activity!E20))),MAX(0,(E39+E42-MAX(E41,E39)-E39*Hurdle_RE)*Perf_RE))</f>
        <v>0.13722147984375</v>
      </c>
      <c r="F44" s="22" t="n">
        <f aca="false">IF(PerfBasis_RE=2,MAX(0,Capital_Activity!F29*Perf_RE*MAX(0,SIGN(Capital_Activity!F38-Capital_Activity!F20))),MAX(0,(F39+F42-MAX(F41,F39)-F39*Hurdle_RE)*Perf_RE))</f>
        <v>0.258900969694219</v>
      </c>
      <c r="G44" s="22" t="n">
        <f aca="false">IF(PerfBasis_RE=2,MAX(0,Capital_Activity!G29*Perf_RE*MAX(0,SIGN(Capital_Activity!G38-Capital_Activity!G20))),MAX(0,(G39+G42-MAX(G41,G39)-G39*Hurdle_RE)*Perf_RE))</f>
        <v>0.28187603544048</v>
      </c>
      <c r="H44" s="22" t="n">
        <f aca="false">IF(PerfBasis_RE=2,MAX(0,Capital_Activity!H29*Perf_RE*MAX(0,SIGN(Capital_Activity!H38-Capital_Activity!H20))),MAX(0,(H39+H42-MAX(H41,H39)-H39*Hurdle_RE)*Perf_RE))</f>
        <v>0.162278367272132</v>
      </c>
      <c r="I44" s="22" t="n">
        <f aca="false">IF(PerfBasis_RE=2,MAX(0,Capital_Activity!I29*Perf_RE*MAX(0,SIGN(Capital_Activity!I38-Capital_Activity!I20))),MAX(0,(I39+I42-MAX(I41,I39)-I39*Hurdle_RE)*Perf_RE))</f>
        <v>0.163796181050507</v>
      </c>
      <c r="J44" s="22" t="n">
        <f aca="false">IF(PerfBasis_RE=2,MAX(0,Capital_Activity!J29*Perf_RE*MAX(0,SIGN(Capital_Activity!J38-Capital_Activity!J20))),MAX(0,(J39+J42-MAX(J41,J39)-J39*Hurdle_RE)*Perf_RE))</f>
        <v>0.0162080955505367</v>
      </c>
      <c r="K44" s="22" t="n">
        <f aca="false">IF(PerfBasis_RE=2,MAX(0,Capital_Activity!K29*Perf_RE*MAX(0,SIGN(Capital_Activity!K38-Capital_Activity!K20))),MAX(0,(K39+K42-MAX(K41,K39)-K39*Hurdle_RE)*Perf_RE))</f>
        <v>0.012156071662902</v>
      </c>
      <c r="L44" s="22" t="n">
        <f aca="false">IF(PerfBasis_RE=2,MAX(0,Capital_Activity!L29*Perf_RE*MAX(0,SIGN(Capital_Activity!L38-Capital_Activity!L20))),MAX(0,(L39+L42-MAX(L41,L39)-L39*Hurdle_RE)*Perf_RE))</f>
        <v>0</v>
      </c>
    </row>
    <row r="45" customFormat="false" ht="15" hidden="false" customHeight="false" outlineLevel="0" collapsed="false">
      <c r="A45" s="6"/>
      <c r="B45" s="20" t="s">
        <v>181</v>
      </c>
      <c r="C45" s="22" t="n">
        <f aca="false">Capital_Activity!C29</f>
        <v>3.15</v>
      </c>
      <c r="D45" s="22" t="n">
        <f aca="false">Capital_Activity!D29</f>
        <v>3.305559375</v>
      </c>
      <c r="E45" s="22" t="n">
        <f aca="false">Capital_Activity!E29</f>
        <v>3.6584490375</v>
      </c>
      <c r="F45" s="22" t="n">
        <f aca="false">Capital_Activity!F29</f>
        <v>4.14112974544687</v>
      </c>
      <c r="G45" s="22" t="n">
        <f aca="false">Capital_Activity!G29</f>
        <v>4.67704097248148</v>
      </c>
      <c r="H45" s="22" t="n">
        <f aca="false">Capital_Activity!H29</f>
        <v>5.19448704684235</v>
      </c>
      <c r="I45" s="22" t="n">
        <f aca="false">Capital_Activity!I29</f>
        <v>5.57936150898805</v>
      </c>
      <c r="J45" s="22" t="n">
        <f aca="false">Capital_Activity!J29</f>
        <v>5.89579504329096</v>
      </c>
      <c r="K45" s="22" t="n">
        <f aca="false">Capital_Activity!K29</f>
        <v>6.11055311162984</v>
      </c>
      <c r="L45" s="22" t="n">
        <f aca="false">Capital_Activity!L29</f>
        <v>6.28513131751729</v>
      </c>
    </row>
    <row r="46" customFormat="false" ht="15" hidden="false" customHeight="false" outlineLevel="0" collapsed="false">
      <c r="A46" s="6"/>
      <c r="B46" s="40" t="s">
        <v>67</v>
      </c>
      <c r="C46" s="41" t="n">
        <f aca="false">C39+C40+C42-C43-C44-C45</f>
        <v>55.09265625</v>
      </c>
      <c r="D46" s="41" t="n">
        <f aca="false">D39+D40+D42-D43-D44-D45</f>
        <v>60.974150625</v>
      </c>
      <c r="E46" s="41" t="n">
        <f aca="false">E39+E40+E42-E43-E44-E45</f>
        <v>69.0188290907812</v>
      </c>
      <c r="F46" s="41" t="n">
        <f aca="false">F39+F40+F42-F43-F44-F45</f>
        <v>77.9506828746914</v>
      </c>
      <c r="G46" s="41" t="n">
        <f aca="false">G39+G40+G42-G43-G44-G45</f>
        <v>86.5747841140392</v>
      </c>
      <c r="H46" s="41" t="n">
        <f aca="false">H39+H40+H42-H43-H44-H45</f>
        <v>92.9893584831342</v>
      </c>
      <c r="I46" s="41" t="n">
        <f aca="false">I39+I40+I42-I43-I44-I45</f>
        <v>98.2632507215159</v>
      </c>
      <c r="J46" s="41" t="n">
        <f aca="false">J39+J40+J42-J43-J44-J45</f>
        <v>101.842551860497</v>
      </c>
      <c r="K46" s="41" t="n">
        <f aca="false">K39+K40+K42-K43-K44-K45</f>
        <v>104.752188625288</v>
      </c>
      <c r="L46" s="41" t="n">
        <f aca="false">L39+L40+L42-L43-L44-L45</f>
        <v>106.115376019426</v>
      </c>
    </row>
    <row r="47" customFormat="false" ht="15" hidden="false" customHeight="false" outlineLevel="0" collapsed="false">
      <c r="A47" s="6"/>
      <c r="B47" s="6"/>
      <c r="C47" s="6"/>
      <c r="D47" s="6"/>
      <c r="E47" s="6"/>
      <c r="F47" s="6"/>
      <c r="G47" s="6"/>
      <c r="H47" s="6"/>
      <c r="I47" s="6"/>
      <c r="J47" s="6"/>
      <c r="K47" s="6"/>
      <c r="L47" s="6"/>
    </row>
    <row r="48" customFormat="false" ht="15" hidden="false" customHeight="false" outlineLevel="0" collapsed="false">
      <c r="A48" s="6"/>
      <c r="B48" s="14" t="s">
        <v>53</v>
      </c>
      <c r="C48" s="15"/>
      <c r="D48" s="15"/>
      <c r="E48" s="15"/>
      <c r="F48" s="15"/>
      <c r="G48" s="15"/>
      <c r="H48" s="15"/>
      <c r="I48" s="15"/>
      <c r="J48" s="15"/>
      <c r="K48" s="15"/>
      <c r="L48" s="15"/>
    </row>
    <row r="49" customFormat="false" ht="15" hidden="false" customHeight="false" outlineLevel="0" collapsed="false">
      <c r="A49" s="6"/>
      <c r="B49" s="20" t="s">
        <v>61</v>
      </c>
      <c r="C49" s="22" t="n">
        <f aca="false">OpenNAV_Infra</f>
        <v>32.5</v>
      </c>
      <c r="D49" s="22" t="n">
        <f aca="false">C56</f>
        <v>33.7935</v>
      </c>
      <c r="E49" s="22" t="n">
        <f aca="false">D56</f>
        <v>37.019203</v>
      </c>
      <c r="F49" s="22" t="n">
        <f aca="false">E56</f>
        <v>41.586031045</v>
      </c>
      <c r="G49" s="22" t="n">
        <f aca="false">F56</f>
        <v>46.435491010675</v>
      </c>
      <c r="H49" s="22" t="n">
        <f aca="false">G56</f>
        <v>51.1901839758351</v>
      </c>
      <c r="I49" s="22" t="n">
        <f aca="false">H56</f>
        <v>55.2045652154727</v>
      </c>
      <c r="J49" s="22" t="n">
        <f aca="false">I56</f>
        <v>58.6298564777048</v>
      </c>
      <c r="K49" s="22" t="n">
        <f aca="false">J56</f>
        <v>61.5870825520703</v>
      </c>
      <c r="L49" s="22" t="n">
        <f aca="false">K56</f>
        <v>63.6428447234428</v>
      </c>
    </row>
    <row r="50" customFormat="false" ht="15" hidden="false" customHeight="false" outlineLevel="0" collapsed="false">
      <c r="A50" s="6"/>
      <c r="B50" s="20" t="s">
        <v>176</v>
      </c>
      <c r="C50" s="22" t="n">
        <f aca="false">Capital_Activity!C12</f>
        <v>1.95</v>
      </c>
      <c r="D50" s="22" t="n">
        <f aca="false">Capital_Activity!D12</f>
        <v>3.185</v>
      </c>
      <c r="E50" s="22" t="n">
        <f aca="false">Capital_Activity!E12</f>
        <v>3.848</v>
      </c>
      <c r="F50" s="22" t="n">
        <f aca="false">Capital_Activity!F12</f>
        <v>4.0534</v>
      </c>
      <c r="G50" s="22" t="n">
        <f aca="false">Capital_Activity!G12</f>
        <v>3.89272</v>
      </c>
      <c r="H50" s="22" t="n">
        <f aca="false">Capital_Activity!H12</f>
        <v>3.114176</v>
      </c>
      <c r="I50" s="22" t="n">
        <f aca="false">Capital_Activity!I12</f>
        <v>2.4913408</v>
      </c>
      <c r="J50" s="22" t="n">
        <f aca="false">Capital_Activity!J12</f>
        <v>1.99307264</v>
      </c>
      <c r="K50" s="22" t="n">
        <f aca="false">Capital_Activity!K12</f>
        <v>1.594458112</v>
      </c>
      <c r="L50" s="22" t="n">
        <f aca="false">Capital_Activity!L12</f>
        <v>1.2755664896</v>
      </c>
    </row>
    <row r="51" customFormat="false" ht="15" hidden="false" customHeight="false" outlineLevel="0" collapsed="false">
      <c r="A51" s="6"/>
      <c r="B51" s="38" t="s">
        <v>177</v>
      </c>
      <c r="C51" s="39" t="n">
        <f aca="false">OpenNAV_Infra</f>
        <v>32.5</v>
      </c>
      <c r="D51" s="39" t="n">
        <f aca="false">MAX(C51,C56)</f>
        <v>33.7935</v>
      </c>
      <c r="E51" s="39" t="n">
        <f aca="false">MAX(D51,D56)</f>
        <v>37.019203</v>
      </c>
      <c r="F51" s="39" t="n">
        <f aca="false">MAX(E51,E56)</f>
        <v>41.586031045</v>
      </c>
      <c r="G51" s="39" t="n">
        <f aca="false">MAX(F51,F56)</f>
        <v>46.435491010675</v>
      </c>
      <c r="H51" s="39" t="n">
        <f aca="false">MAX(G51,G56)</f>
        <v>51.1901839758351</v>
      </c>
      <c r="I51" s="39" t="n">
        <f aca="false">MAX(H51,H56)</f>
        <v>55.2045652154727</v>
      </c>
      <c r="J51" s="39" t="n">
        <f aca="false">MAX(I51,I56)</f>
        <v>58.6298564777048</v>
      </c>
      <c r="K51" s="39" t="n">
        <f aca="false">MAX(J51,J56)</f>
        <v>61.5870825520703</v>
      </c>
      <c r="L51" s="39" t="n">
        <f aca="false">MAX(K51,K56)</f>
        <v>63.6428447234428</v>
      </c>
    </row>
    <row r="52" customFormat="false" ht="15" hidden="false" customHeight="false" outlineLevel="0" collapsed="false">
      <c r="A52" s="6"/>
      <c r="B52" s="20" t="s">
        <v>178</v>
      </c>
      <c r="C52" s="22" t="n">
        <f aca="false">(C49+0.5*C50)*INDEX(RetVec_Infra,1,1)</f>
        <v>2.0085</v>
      </c>
      <c r="D52" s="22" t="n">
        <f aca="false">(D49+0.5*D50)*INDEX(RetVec_Infra,1,2)</f>
        <v>2.83088</v>
      </c>
      <c r="E52" s="22" t="n">
        <f aca="false">(E49+0.5*E50)*INDEX(RetVec_Infra,1,3)</f>
        <v>3.8943203</v>
      </c>
      <c r="F52" s="22" t="n">
        <f aca="false">(F49+0.5*F50)*INDEX(RetVec_Infra,1,4)</f>
        <v>4.3612731045</v>
      </c>
      <c r="G52" s="22" t="n">
        <f aca="false">(G49+0.5*G50)*INDEX(RetVec_Infra,1,5)</f>
        <v>4.8381851010675</v>
      </c>
      <c r="H52" s="22" t="n">
        <f aca="false">(H49+0.5*H50)*INDEX(RetVec_Infra,1,6)</f>
        <v>5.27472719758351</v>
      </c>
      <c r="I52" s="22" t="n">
        <f aca="false">(I49+0.5*I50)*INDEX(RetVec_Infra,1,7)</f>
        <v>5.64502356154727</v>
      </c>
      <c r="J52" s="22" t="n">
        <f aca="false">(J49+0.5*J50)*INDEX(RetVec_Infra,1,8)</f>
        <v>5.96263927977048</v>
      </c>
      <c r="K52" s="22" t="n">
        <f aca="false">(K49+0.5*K50)*INDEX(RetVec_Infra,1,9)</f>
        <v>5.61458804472633</v>
      </c>
      <c r="L52" s="22" t="n">
        <f aca="false">(L49+0.5*L50)*INDEX(RetVec_Infra,1,10)</f>
        <v>5.78525651714185</v>
      </c>
    </row>
    <row r="53" customFormat="false" ht="15" hidden="false" customHeight="false" outlineLevel="0" collapsed="false">
      <c r="A53" s="6"/>
      <c r="B53" s="20" t="s">
        <v>179</v>
      </c>
      <c r="C53" s="22" t="n">
        <f aca="false">IF(AND(FeeBasis_Infra=1,1&lt;=InvestPeriod_Infra),Allocation_Strategy!C33*Mgmt_Infra,C49*Mgmt_Infra)</f>
        <v>0.39</v>
      </c>
      <c r="D53" s="22" t="n">
        <f aca="false">IF(AND(FeeBasis_Infra=1,2&lt;=InvestPeriod_Infra),Allocation_Strategy!D33*Mgmt_Infra,D49*Mgmt_Infra)</f>
        <v>0.405522</v>
      </c>
      <c r="E53" s="22" t="n">
        <f aca="false">IF(AND(FeeBasis_Infra=1,3&lt;=InvestPeriod_Infra),Allocation_Strategy!E33*Mgmt_Infra,E49*Mgmt_Infra)</f>
        <v>0.444230436</v>
      </c>
      <c r="F53" s="22" t="n">
        <f aca="false">IF(AND(FeeBasis_Infra=1,4&lt;=InvestPeriod_Infra),Allocation_Strategy!F33*Mgmt_Infra,F49*Mgmt_Infra)</f>
        <v>0.49903237254</v>
      </c>
      <c r="G53" s="22" t="n">
        <f aca="false">IF(AND(FeeBasis_Infra=1,5&lt;=InvestPeriod_Infra),Allocation_Strategy!G33*Mgmt_Infra,G49*Mgmt_Infra)</f>
        <v>0.5572258921281</v>
      </c>
      <c r="H53" s="22" t="n">
        <f aca="false">IF(AND(FeeBasis_Infra=1,6&lt;=InvestPeriod_Infra),Allocation_Strategy!H33*Mgmt_Infra,H49*Mgmt_Infra)</f>
        <v>0.614282207710022</v>
      </c>
      <c r="I53" s="22" t="n">
        <f aca="false">IF(AND(FeeBasis_Infra=1,7&lt;=InvestPeriod_Infra),Allocation_Strategy!I33*Mgmt_Infra,I49*Mgmt_Infra)</f>
        <v>0.662454782585672</v>
      </c>
      <c r="J53" s="22" t="n">
        <f aca="false">IF(AND(FeeBasis_Infra=1,8&lt;=InvestPeriod_Infra),Allocation_Strategy!J33*Mgmt_Infra,J49*Mgmt_Infra)</f>
        <v>0.703558277732457</v>
      </c>
      <c r="K53" s="22" t="n">
        <f aca="false">IF(AND(FeeBasis_Infra=1,9&lt;=InvestPeriod_Infra),Allocation_Strategy!K33*Mgmt_Infra,K49*Mgmt_Infra)</f>
        <v>0.739044990624844</v>
      </c>
      <c r="L53" s="22" t="n">
        <f aca="false">IF(AND(FeeBasis_Infra=1,10&lt;=InvestPeriod_Infra),Allocation_Strategy!L33*Mgmt_Infra,L49*Mgmt_Infra)</f>
        <v>0.763714136681313</v>
      </c>
    </row>
    <row r="54" customFormat="false" ht="15" hidden="false" customHeight="false" outlineLevel="0" collapsed="false">
      <c r="A54" s="6"/>
      <c r="B54" s="20" t="s">
        <v>180</v>
      </c>
      <c r="C54" s="22" t="n">
        <f aca="false">IF(PerfBasis_Infra=2,MAX(0,Capital_Activity!C30*Perf_Infra*MAX(0,SIGN(Capital_Activity!C39-Capital_Activity!C21))),MAX(0,(C49+C52-MAX(C51,C49)-C49*Hurdle_Infra)*Perf_Infra))</f>
        <v>0</v>
      </c>
      <c r="D54" s="22" t="n">
        <f aca="false">IF(PerfBasis_Infra=2,MAX(0,Capital_Activity!D30*Perf_Infra*MAX(0,SIGN(Capital_Activity!D39-Capital_Activity!D21))),MAX(0,(D49+D52-MAX(D51,D49)-D49*Hurdle_Infra)*Perf_Infra))</f>
        <v>0.01911</v>
      </c>
      <c r="E54" s="22" t="n">
        <f aca="false">IF(PerfBasis_Infra=2,MAX(0,Capital_Activity!E30*Perf_Infra*MAX(0,SIGN(Capital_Activity!E39-Capital_Activity!E21))),MAX(0,(E49+E52-MAX(E51,E49)-E49*Hurdle_Infra)*Perf_Infra))</f>
        <v>0.139917609</v>
      </c>
      <c r="F54" s="22" t="n">
        <f aca="false">IF(PerfBasis_Infra=2,MAX(0,Capital_Activity!F30*Perf_Infra*MAX(0,SIGN(Capital_Activity!F39-Capital_Activity!F21))),MAX(0,(F49+F52-MAX(F51,F49)-F49*Hurdle_Infra)*Perf_Infra))</f>
        <v>0.155158593135</v>
      </c>
      <c r="G54" s="22" t="n">
        <f aca="false">IF(PerfBasis_Infra=2,MAX(0,Capital_Activity!G30*Perf_Infra*MAX(0,SIGN(Capital_Activity!G39-Capital_Activity!G21))),MAX(0,(G49+G52-MAX(G51,G49)-G49*Hurdle_Infra)*Perf_Infra))</f>
        <v>0.168501873032025</v>
      </c>
      <c r="H54" s="22" t="n">
        <f aca="false">IF(PerfBasis_Infra=2,MAX(0,Capital_Activity!H30*Perf_Infra*MAX(0,SIGN(Capital_Activity!H39-Capital_Activity!H21))),MAX(0,(H49+H52-MAX(H51,H49)-H49*Hurdle_Infra)*Perf_Infra))</f>
        <v>0.176926871927506</v>
      </c>
      <c r="I54" s="22" t="n">
        <f aca="false">IF(PerfBasis_Infra=2,MAX(0,Capital_Activity!I30*Perf_Infra*MAX(0,SIGN(Capital_Activity!I39-Capital_Activity!I21))),MAX(0,(I49+I52-MAX(I51,I49)-I49*Hurdle_Infra)*Perf_Infra))</f>
        <v>0.184298751646417</v>
      </c>
      <c r="J54" s="22" t="n">
        <f aca="false">IF(PerfBasis_Infra=2,MAX(0,Capital_Activity!J30*Perf_Infra*MAX(0,SIGN(Capital_Activity!J39-Capital_Activity!J21))),MAX(0,(J49+J52-MAX(J51,J49)-J49*Hurdle_Infra)*Perf_Infra))</f>
        <v>0.190837614233114</v>
      </c>
      <c r="K54" s="22" t="n">
        <f aca="false">IF(PerfBasis_Infra=2,MAX(0,Capital_Activity!K30*Perf_Infra*MAX(0,SIGN(Capital_Activity!K39-Capital_Activity!K21))),MAX(0,(K49+K52-MAX(K51,K49)-K49*Hurdle_Infra)*Perf_Infra))</f>
        <v>0.103143216084105</v>
      </c>
      <c r="L54" s="22" t="n">
        <f aca="false">IF(PerfBasis_Infra=2,MAX(0,Capital_Activity!L30*Perf_Infra*MAX(0,SIGN(Capital_Activity!L39-Capital_Activity!L21))),MAX(0,(L49+L52-MAX(L51,L49)-L49*Hurdle_Infra)*Perf_Infra))</f>
        <v>0.104074340889964</v>
      </c>
    </row>
    <row r="55" customFormat="false" ht="15" hidden="false" customHeight="false" outlineLevel="0" collapsed="false">
      <c r="A55" s="6"/>
      <c r="B55" s="20" t="s">
        <v>181</v>
      </c>
      <c r="C55" s="22" t="n">
        <f aca="false">Capital_Activity!C30</f>
        <v>2.275</v>
      </c>
      <c r="D55" s="22" t="n">
        <f aca="false">Capital_Activity!D30</f>
        <v>2.365545</v>
      </c>
      <c r="E55" s="22" t="n">
        <f aca="false">Capital_Activity!E30</f>
        <v>2.59134421</v>
      </c>
      <c r="F55" s="22" t="n">
        <f aca="false">Capital_Activity!F30</f>
        <v>2.91102217315</v>
      </c>
      <c r="G55" s="22" t="n">
        <f aca="false">Capital_Activity!G30</f>
        <v>3.25048437074725</v>
      </c>
      <c r="H55" s="22" t="n">
        <f aca="false">Capital_Activity!H30</f>
        <v>3.58331287830846</v>
      </c>
      <c r="I55" s="22" t="n">
        <f aca="false">Capital_Activity!I30</f>
        <v>3.86431956508309</v>
      </c>
      <c r="J55" s="22" t="n">
        <f aca="false">Capital_Activity!J30</f>
        <v>4.10408995343933</v>
      </c>
      <c r="K55" s="22" t="n">
        <f aca="false">Capital_Activity!K30</f>
        <v>4.31109577864492</v>
      </c>
      <c r="L55" s="22" t="n">
        <f aca="false">Capital_Activity!L30</f>
        <v>4.45499913064099</v>
      </c>
    </row>
    <row r="56" customFormat="false" ht="15" hidden="false" customHeight="false" outlineLevel="0" collapsed="false">
      <c r="A56" s="6"/>
      <c r="B56" s="40" t="s">
        <v>67</v>
      </c>
      <c r="C56" s="41" t="n">
        <f aca="false">C49+C50+C52-C53-C54-C55</f>
        <v>33.7935</v>
      </c>
      <c r="D56" s="41" t="n">
        <f aca="false">D49+D50+D52-D53-D54-D55</f>
        <v>37.019203</v>
      </c>
      <c r="E56" s="41" t="n">
        <f aca="false">E49+E50+E52-E53-E54-E55</f>
        <v>41.586031045</v>
      </c>
      <c r="F56" s="41" t="n">
        <f aca="false">F49+F50+F52-F53-F54-F55</f>
        <v>46.435491010675</v>
      </c>
      <c r="G56" s="41" t="n">
        <f aca="false">G49+G50+G52-G53-G54-G55</f>
        <v>51.1901839758351</v>
      </c>
      <c r="H56" s="41" t="n">
        <f aca="false">H49+H50+H52-H53-H54-H55</f>
        <v>55.2045652154727</v>
      </c>
      <c r="I56" s="41" t="n">
        <f aca="false">I49+I50+I52-I53-I54-I55</f>
        <v>58.6298564777048</v>
      </c>
      <c r="J56" s="41" t="n">
        <f aca="false">J49+J50+J52-J53-J54-J55</f>
        <v>61.5870825520703</v>
      </c>
      <c r="K56" s="41" t="n">
        <f aca="false">K49+K50+K52-K53-K54-K55</f>
        <v>63.6428447234428</v>
      </c>
      <c r="L56" s="41" t="n">
        <f aca="false">L49+L50+L52-L53-L54-L55</f>
        <v>65.3808801219723</v>
      </c>
    </row>
    <row r="57" customFormat="false" ht="15" hidden="false" customHeight="false" outlineLevel="0" collapsed="false">
      <c r="A57" s="6"/>
      <c r="B57" s="6"/>
      <c r="C57" s="6"/>
      <c r="D57" s="6"/>
      <c r="E57" s="6"/>
      <c r="F57" s="6"/>
      <c r="G57" s="6"/>
      <c r="H57" s="6"/>
      <c r="I57" s="6"/>
      <c r="J57" s="6"/>
      <c r="K57" s="6"/>
      <c r="L57" s="6"/>
    </row>
    <row r="58" customFormat="false" ht="15" hidden="false" customHeight="false" outlineLevel="0" collapsed="false">
      <c r="A58" s="6"/>
      <c r="B58" s="14" t="s">
        <v>54</v>
      </c>
      <c r="C58" s="15"/>
      <c r="D58" s="15"/>
      <c r="E58" s="15"/>
      <c r="F58" s="15"/>
      <c r="G58" s="15"/>
      <c r="H58" s="15"/>
      <c r="I58" s="15"/>
      <c r="J58" s="15"/>
      <c r="K58" s="15"/>
      <c r="L58" s="15"/>
    </row>
    <row r="59" customFormat="false" ht="15" hidden="false" customHeight="false" outlineLevel="0" collapsed="false">
      <c r="A59" s="6"/>
      <c r="B59" s="20" t="s">
        <v>61</v>
      </c>
      <c r="C59" s="22" t="n">
        <f aca="false">OpenNAV_PC</f>
        <v>45.5</v>
      </c>
      <c r="D59" s="22" t="n">
        <f aca="false">C66</f>
        <v>49.3826125</v>
      </c>
      <c r="E59" s="22" t="n">
        <f aca="false">D66</f>
        <v>55.8996984</v>
      </c>
      <c r="F59" s="22" t="n">
        <f aca="false">E66</f>
        <v>63.8861422212</v>
      </c>
      <c r="G59" s="22" t="n">
        <f aca="false">F66</f>
        <v>71.9280860061816</v>
      </c>
      <c r="H59" s="22" t="n">
        <f aca="false">G66</f>
        <v>79.3843993117929</v>
      </c>
      <c r="I59" s="22" t="n">
        <f aca="false">H66</f>
        <v>85.1264439296551</v>
      </c>
      <c r="J59" s="22" t="n">
        <f aca="false">I66</f>
        <v>87.7908170081865</v>
      </c>
      <c r="K59" s="22" t="n">
        <f aca="false">J66</f>
        <v>89.5430689381288</v>
      </c>
      <c r="L59" s="22" t="n">
        <f aca="false">K66</f>
        <v>90.6572873009588</v>
      </c>
    </row>
    <row r="60" customFormat="false" ht="15" hidden="false" customHeight="false" outlineLevel="0" collapsed="false">
      <c r="A60" s="6"/>
      <c r="B60" s="20" t="s">
        <v>176</v>
      </c>
      <c r="C60" s="22" t="n">
        <f aca="false">Capital_Activity!C13</f>
        <v>3.8025</v>
      </c>
      <c r="D60" s="22" t="n">
        <f aca="false">Capital_Activity!D13</f>
        <v>5.8305</v>
      </c>
      <c r="E60" s="22" t="n">
        <f aca="false">Capital_Activity!E13</f>
        <v>6.61635</v>
      </c>
      <c r="F60" s="22" t="n">
        <f aca="false">Capital_Activity!F13</f>
        <v>6.532695</v>
      </c>
      <c r="G60" s="22" t="n">
        <f aca="false">Capital_Activity!G13</f>
        <v>5.8403865</v>
      </c>
      <c r="H60" s="22" t="n">
        <f aca="false">Capital_Activity!H13</f>
        <v>4.08827055</v>
      </c>
      <c r="I60" s="22" t="n">
        <f aca="false">Capital_Activity!I13</f>
        <v>2.861789385</v>
      </c>
      <c r="J60" s="22" t="n">
        <f aca="false">Capital_Activity!J13</f>
        <v>2.0032525695</v>
      </c>
      <c r="K60" s="22" t="n">
        <f aca="false">Capital_Activity!K13</f>
        <v>1.40227679865</v>
      </c>
      <c r="L60" s="22" t="n">
        <f aca="false">Capital_Activity!L13</f>
        <v>0.981593759054999</v>
      </c>
    </row>
    <row r="61" customFormat="false" ht="15" hidden="false" customHeight="false" outlineLevel="0" collapsed="false">
      <c r="A61" s="6"/>
      <c r="B61" s="38" t="s">
        <v>177</v>
      </c>
      <c r="C61" s="39" t="n">
        <f aca="false">OpenNAV_PC</f>
        <v>45.5</v>
      </c>
      <c r="D61" s="39" t="n">
        <f aca="false">MAX(C61,C66)</f>
        <v>49.3826125</v>
      </c>
      <c r="E61" s="39" t="n">
        <f aca="false">MAX(D61,D66)</f>
        <v>55.8996984</v>
      </c>
      <c r="F61" s="39" t="n">
        <f aca="false">MAX(E61,E66)</f>
        <v>63.8861422212</v>
      </c>
      <c r="G61" s="39" t="n">
        <f aca="false">MAX(F61,F66)</f>
        <v>71.9280860061816</v>
      </c>
      <c r="H61" s="39" t="n">
        <f aca="false">MAX(G61,G66)</f>
        <v>79.3843993117929</v>
      </c>
      <c r="I61" s="39" t="n">
        <f aca="false">MAX(H61,H66)</f>
        <v>85.1264439296551</v>
      </c>
      <c r="J61" s="39" t="n">
        <f aca="false">MAX(I61,I66)</f>
        <v>87.7908170081865</v>
      </c>
      <c r="K61" s="39" t="n">
        <f aca="false">MAX(J61,J66)</f>
        <v>89.5430689381288</v>
      </c>
      <c r="L61" s="39" t="n">
        <f aca="false">MAX(K61,K66)</f>
        <v>90.6572873009588</v>
      </c>
    </row>
    <row r="62" customFormat="false" ht="15" hidden="false" customHeight="false" outlineLevel="0" collapsed="false">
      <c r="A62" s="6"/>
      <c r="B62" s="20" t="s">
        <v>178</v>
      </c>
      <c r="C62" s="22" t="n">
        <f aca="false">(C59+0.5*C60)*INDEX(RetVec_PC,1,1)</f>
        <v>4.2661125</v>
      </c>
      <c r="D62" s="22" t="n">
        <f aca="false">(D59+0.5*D60)*INDEX(RetVec_PC,1,2)</f>
        <v>5.22978625</v>
      </c>
      <c r="E62" s="22" t="n">
        <f aca="false">(E59+0.5*E60)*INDEX(RetVec_PC,1,3)</f>
        <v>6.512866074</v>
      </c>
      <c r="F62" s="22" t="n">
        <f aca="false">(F59+0.5*F60)*INDEX(RetVec_PC,1,4)</f>
        <v>7.386773869332</v>
      </c>
      <c r="G62" s="22" t="n">
        <f aca="false">(G59+0.5*G60)*INDEX(RetVec_PC,1,5)</f>
        <v>8.23331071817997</v>
      </c>
      <c r="H62" s="22" t="n">
        <f aca="false">(H59+0.5*H60)*INDEX(RetVec_PC,1,6)</f>
        <v>8.95713880454722</v>
      </c>
      <c r="I62" s="22" t="n">
        <f aca="false">(I59+0.5*I60)*INDEX(RetVec_PC,1,7)</f>
        <v>8.65573386221552</v>
      </c>
      <c r="J62" s="22" t="n">
        <f aca="false">(J59+0.5*J60)*INDEX(RetVec_PC,1,8)</f>
        <v>8.87924432929365</v>
      </c>
      <c r="K62" s="22" t="n">
        <f aca="false">(K59+0.5*K60)*INDEX(RetVec_PC,1,9)</f>
        <v>9.02442073374538</v>
      </c>
      <c r="L62" s="22" t="n">
        <f aca="false">(L59+0.5*L60)*INDEX(RetVec_PC,1,10)</f>
        <v>8.20332757624376</v>
      </c>
    </row>
    <row r="63" customFormat="false" ht="15" hidden="false" customHeight="false" outlineLevel="0" collapsed="false">
      <c r="A63" s="6"/>
      <c r="B63" s="20" t="s">
        <v>179</v>
      </c>
      <c r="C63" s="22" t="n">
        <f aca="false">IF(AND(FeeBasis_PC=1,1&lt;=InvestPeriod_PC),Allocation_Strategy!C34*Mgmt_PC,C59*Mgmt_PC)</f>
        <v>0.546</v>
      </c>
      <c r="D63" s="22" t="n">
        <f aca="false">IF(AND(FeeBasis_PC=1,2&lt;=InvestPeriod_PC),Allocation_Strategy!D34*Mgmt_PC,D59*Mgmt_PC)</f>
        <v>0.59259135</v>
      </c>
      <c r="E63" s="22" t="n">
        <f aca="false">IF(AND(FeeBasis_PC=1,3&lt;=InvestPeriod_PC),Allocation_Strategy!E34*Mgmt_PC,E59*Mgmt_PC)</f>
        <v>0.6707963808</v>
      </c>
      <c r="F63" s="22" t="n">
        <f aca="false">IF(AND(FeeBasis_PC=1,4&lt;=InvestPeriod_PC),Allocation_Strategy!F34*Mgmt_PC,F59*Mgmt_PC)</f>
        <v>0.7666337066544</v>
      </c>
      <c r="G63" s="22" t="n">
        <f aca="false">IF(AND(FeeBasis_PC=1,5&lt;=InvestPeriod_PC),Allocation_Strategy!G34*Mgmt_PC,G59*Mgmt_PC)</f>
        <v>0.863137032074179</v>
      </c>
      <c r="H63" s="22" t="n">
        <f aca="false">IF(AND(FeeBasis_PC=1,6&lt;=InvestPeriod_PC),Allocation_Strategy!H34*Mgmt_PC,H59*Mgmt_PC)</f>
        <v>0.952612791741514</v>
      </c>
      <c r="I63" s="22" t="n">
        <f aca="false">IF(AND(FeeBasis_PC=1,7&lt;=InvestPeriod_PC),Allocation_Strategy!I34*Mgmt_PC,I59*Mgmt_PC)</f>
        <v>1.02151732715586</v>
      </c>
      <c r="J63" s="22" t="n">
        <f aca="false">IF(AND(FeeBasis_PC=1,8&lt;=InvestPeriod_PC),Allocation_Strategy!J34*Mgmt_PC,J59*Mgmt_PC)</f>
        <v>1.05348980409824</v>
      </c>
      <c r="K63" s="22" t="n">
        <f aca="false">IF(AND(FeeBasis_PC=1,9&lt;=InvestPeriod_PC),Allocation_Strategy!K34*Mgmt_PC,K59*Mgmt_PC)</f>
        <v>1.07451682725755</v>
      </c>
      <c r="L63" s="22" t="n">
        <f aca="false">IF(AND(FeeBasis_PC=1,10&lt;=InvestPeriod_PC),Allocation_Strategy!L34*Mgmt_PC,L59*Mgmt_PC)</f>
        <v>1.08788744761151</v>
      </c>
    </row>
    <row r="64" customFormat="false" ht="15" hidden="false" customHeight="false" outlineLevel="0" collapsed="false">
      <c r="A64" s="6"/>
      <c r="B64" s="20" t="s">
        <v>180</v>
      </c>
      <c r="C64" s="22" t="n">
        <f aca="false">IF(PerfBasis_PC=2,MAX(0,Capital_Activity!C31*Perf_PC*MAX(0,SIGN(Capital_Activity!C40-Capital_Activity!C22))),MAX(0,(C59+C62-MAX(C61,C59)-C59*Hurdle_PC)*Perf_PC))</f>
        <v>0</v>
      </c>
      <c r="D64" s="22" t="n">
        <f aca="false">IF(PerfBasis_PC=2,MAX(0,Capital_Activity!D31*Perf_PC*MAX(0,SIGN(Capital_Activity!D40-Capital_Activity!D22))),MAX(0,(D59+D62-MAX(D61,D59)-D59*Hurdle_PC)*Perf_PC))</f>
        <v>0</v>
      </c>
      <c r="E64" s="22" t="n">
        <f aca="false">IF(PerfBasis_PC=2,MAX(0,Capital_Activity!E31*Perf_PC*MAX(0,SIGN(Capital_Activity!E40-Capital_Activity!E22))),MAX(0,(E59+E62-MAX(E61,E59)-E59*Hurdle_PC)*Perf_PC))</f>
        <v>0</v>
      </c>
      <c r="F64" s="22" t="n">
        <f aca="false">IF(PerfBasis_PC=2,MAX(0,Capital_Activity!F31*Perf_PC*MAX(0,SIGN(Capital_Activity!F40-Capital_Activity!F22))),MAX(0,(F59+F62-MAX(F61,F59)-F59*Hurdle_PC)*Perf_PC))</f>
        <v>0</v>
      </c>
      <c r="G64" s="22" t="n">
        <f aca="false">IF(PerfBasis_PC=2,MAX(0,Capital_Activity!G31*Perf_PC*MAX(0,SIGN(Capital_Activity!G40-Capital_Activity!G22))),MAX(0,(G59+G62-MAX(G61,G59)-G59*Hurdle_PC)*Perf_PC))</f>
        <v>0</v>
      </c>
      <c r="H64" s="22" t="n">
        <f aca="false">IF(PerfBasis_PC=2,MAX(0,Capital_Activity!H31*Perf_PC*MAX(0,SIGN(Capital_Activity!H40-Capital_Activity!H22))),MAX(0,(H59+H62-MAX(H61,H59)-H59*Hurdle_PC)*Perf_PC))</f>
        <v>0</v>
      </c>
      <c r="I64" s="22" t="n">
        <f aca="false">IF(PerfBasis_PC=2,MAX(0,Capital_Activity!I31*Perf_PC*MAX(0,SIGN(Capital_Activity!I40-Capital_Activity!I22))),MAX(0,(I59+I62-MAX(I61,I59)-I59*Hurdle_PC)*Perf_PC))</f>
        <v>1.02151732715586</v>
      </c>
      <c r="J64" s="22" t="n">
        <f aca="false">IF(PerfBasis_PC=2,MAX(0,Capital_Activity!J31*Perf_PC*MAX(0,SIGN(Capital_Activity!J40-Capital_Activity!J22))),MAX(0,(J59+J62-MAX(J61,J59)-J59*Hurdle_PC)*Perf_PC))</f>
        <v>1.05348980409824</v>
      </c>
      <c r="K64" s="22" t="n">
        <f aca="false">IF(PerfBasis_PC=2,MAX(0,Capital_Activity!K31*Perf_PC*MAX(0,SIGN(Capital_Activity!K40-Capital_Activity!K22))),MAX(0,(K59+K62-MAX(K61,K59)-K59*Hurdle_PC)*Perf_PC))</f>
        <v>1.07451682725755</v>
      </c>
      <c r="L64" s="22" t="n">
        <f aca="false">IF(PerfBasis_PC=2,MAX(0,Capital_Activity!L31*Perf_PC*MAX(0,SIGN(Capital_Activity!L40-Capital_Activity!L22))),MAX(0,(L59+L62-MAX(L61,L59)-L59*Hurdle_PC)*Perf_PC))</f>
        <v>1.08788744761151</v>
      </c>
    </row>
    <row r="65" customFormat="false" ht="15" hidden="false" customHeight="false" outlineLevel="0" collapsed="false">
      <c r="A65" s="6"/>
      <c r="B65" s="20" t="s">
        <v>181</v>
      </c>
      <c r="C65" s="22" t="n">
        <f aca="false">Capital_Activity!C31</f>
        <v>3.64</v>
      </c>
      <c r="D65" s="22" t="n">
        <f aca="false">Capital_Activity!D31</f>
        <v>3.950609</v>
      </c>
      <c r="E65" s="22" t="n">
        <f aca="false">Capital_Activity!E31</f>
        <v>4.471975872</v>
      </c>
      <c r="F65" s="22" t="n">
        <f aca="false">Capital_Activity!F31</f>
        <v>5.110891377696</v>
      </c>
      <c r="G65" s="22" t="n">
        <f aca="false">Capital_Activity!G31</f>
        <v>5.75424688049453</v>
      </c>
      <c r="H65" s="22" t="n">
        <f aca="false">Capital_Activity!H31</f>
        <v>6.35075194494343</v>
      </c>
      <c r="I65" s="22" t="n">
        <f aca="false">Capital_Activity!I31</f>
        <v>6.81011551437241</v>
      </c>
      <c r="J65" s="22" t="n">
        <f aca="false">Capital_Activity!J31</f>
        <v>7.02326536065492</v>
      </c>
      <c r="K65" s="22" t="n">
        <f aca="false">Capital_Activity!K31</f>
        <v>7.1634455150503</v>
      </c>
      <c r="L65" s="22" t="n">
        <f aca="false">Capital_Activity!L31</f>
        <v>7.2525829840767</v>
      </c>
    </row>
    <row r="66" customFormat="false" ht="15" hidden="false" customHeight="false" outlineLevel="0" collapsed="false">
      <c r="A66" s="6"/>
      <c r="B66" s="40" t="s">
        <v>67</v>
      </c>
      <c r="C66" s="41" t="n">
        <f aca="false">C59+C60+C62-C63-C64-C65</f>
        <v>49.3826125</v>
      </c>
      <c r="D66" s="41" t="n">
        <f aca="false">D59+D60+D62-D63-D64-D65</f>
        <v>55.8996984</v>
      </c>
      <c r="E66" s="41" t="n">
        <f aca="false">E59+E60+E62-E63-E64-E65</f>
        <v>63.8861422212</v>
      </c>
      <c r="F66" s="41" t="n">
        <f aca="false">F59+F60+F62-F63-F64-F65</f>
        <v>71.9280860061816</v>
      </c>
      <c r="G66" s="41" t="n">
        <f aca="false">G59+G60+G62-G63-G64-G65</f>
        <v>79.3843993117929</v>
      </c>
      <c r="H66" s="41" t="n">
        <f aca="false">H59+H60+H62-H63-H64-H65</f>
        <v>85.1264439296551</v>
      </c>
      <c r="I66" s="41" t="n">
        <f aca="false">I59+I60+I62-I63-I64-I65</f>
        <v>87.7908170081865</v>
      </c>
      <c r="J66" s="41" t="n">
        <f aca="false">J59+J60+J62-J63-J64-J65</f>
        <v>89.5430689381288</v>
      </c>
      <c r="K66" s="41" t="n">
        <f aca="false">K59+K60+K62-K63-K64-K65</f>
        <v>90.6572873009588</v>
      </c>
      <c r="L66" s="41" t="n">
        <f aca="false">L59+L60+L62-L63-L64-L65</f>
        <v>90.4138507569578</v>
      </c>
    </row>
    <row r="67" customFormat="false" ht="15" hidden="false" customHeight="false" outlineLevel="0" collapsed="false">
      <c r="A67" s="6"/>
      <c r="B67" s="6"/>
      <c r="C67" s="6"/>
      <c r="D67" s="6"/>
      <c r="E67" s="6"/>
      <c r="F67" s="6"/>
      <c r="G67" s="6"/>
      <c r="H67" s="6"/>
      <c r="I67" s="6"/>
      <c r="J67" s="6"/>
      <c r="K67" s="6"/>
      <c r="L67" s="6"/>
    </row>
    <row r="68" customFormat="false" ht="15" hidden="false" customHeight="false" outlineLevel="0" collapsed="false">
      <c r="A68" s="6"/>
      <c r="B68" s="14" t="s">
        <v>55</v>
      </c>
      <c r="C68" s="15"/>
      <c r="D68" s="15"/>
      <c r="E68" s="15"/>
      <c r="F68" s="15"/>
      <c r="G68" s="15"/>
      <c r="H68" s="15"/>
      <c r="I68" s="15"/>
      <c r="J68" s="15"/>
      <c r="K68" s="15"/>
      <c r="L68" s="15"/>
    </row>
    <row r="69" customFormat="false" ht="15" hidden="false" customHeight="false" outlineLevel="0" collapsed="false">
      <c r="A69" s="6"/>
      <c r="B69" s="20" t="s">
        <v>61</v>
      </c>
      <c r="C69" s="22" t="n">
        <f aca="false">OpenNAV_Liq</f>
        <v>71.25</v>
      </c>
      <c r="D69" s="22" t="n">
        <f aca="false">C76</f>
        <v>85.3875</v>
      </c>
      <c r="E69" s="22" t="n">
        <f aca="false">D76</f>
        <v>98.0791875</v>
      </c>
      <c r="F69" s="22" t="n">
        <f aca="false">E76</f>
        <v>109.2744590625</v>
      </c>
      <c r="G69" s="22" t="n">
        <f aca="false">F76</f>
        <v>118.920940129688</v>
      </c>
      <c r="H69" s="22" t="n">
        <f aca="false">G76</f>
        <v>126.964423034227</v>
      </c>
      <c r="I69" s="22" t="n">
        <f aca="false">H76</f>
        <v>131.408177840425</v>
      </c>
      <c r="J69" s="22" t="n">
        <f aca="false">I76</f>
        <v>136.007464064839</v>
      </c>
      <c r="K69" s="22" t="n">
        <f aca="false">J76</f>
        <v>140.767725307109</v>
      </c>
      <c r="L69" s="22" t="n">
        <f aca="false">K76</f>
        <v>145.694595692858</v>
      </c>
    </row>
    <row r="70" customFormat="false" ht="15" hidden="false" customHeight="false" outlineLevel="0" collapsed="false">
      <c r="A70" s="6"/>
      <c r="B70" s="20" t="s">
        <v>176</v>
      </c>
      <c r="C70" s="22" t="n">
        <f aca="false">Capital_Activity!C14</f>
        <v>11.25</v>
      </c>
      <c r="D70" s="22" t="n">
        <f aca="false">Capital_Activity!D14</f>
        <v>9.375</v>
      </c>
      <c r="E70" s="22" t="n">
        <f aca="false">Capital_Activity!E14</f>
        <v>7.5</v>
      </c>
      <c r="F70" s="22" t="n">
        <f aca="false">Capital_Activity!F14</f>
        <v>5.625</v>
      </c>
      <c r="G70" s="22" t="n">
        <f aca="false">Capital_Activity!G14</f>
        <v>3.75</v>
      </c>
      <c r="H70" s="22" t="n">
        <f aca="false">Capital_Activity!H14</f>
        <v>0</v>
      </c>
      <c r="I70" s="22" t="n">
        <f aca="false">Capital_Activity!I14</f>
        <v>0</v>
      </c>
      <c r="J70" s="22" t="n">
        <f aca="false">Capital_Activity!J14</f>
        <v>0</v>
      </c>
      <c r="K70" s="22" t="n">
        <f aca="false">Capital_Activity!K14</f>
        <v>0</v>
      </c>
      <c r="L70" s="22" t="n">
        <f aca="false">Capital_Activity!L14</f>
        <v>0</v>
      </c>
    </row>
    <row r="71" customFormat="false" ht="15" hidden="false" customHeight="false" outlineLevel="0" collapsed="false">
      <c r="A71" s="6"/>
      <c r="B71" s="38" t="s">
        <v>177</v>
      </c>
      <c r="C71" s="39" t="n">
        <f aca="false">OpenNAV_Liq</f>
        <v>71.25</v>
      </c>
      <c r="D71" s="39" t="n">
        <f aca="false">MAX(C71,C76)</f>
        <v>85.3875</v>
      </c>
      <c r="E71" s="39" t="n">
        <f aca="false">MAX(D71,D76)</f>
        <v>98.0791875</v>
      </c>
      <c r="F71" s="39" t="n">
        <f aca="false">MAX(E71,E76)</f>
        <v>109.2744590625</v>
      </c>
      <c r="G71" s="39" t="n">
        <f aca="false">MAX(F71,F76)</f>
        <v>118.920940129688</v>
      </c>
      <c r="H71" s="39" t="n">
        <f aca="false">MAX(G71,G76)</f>
        <v>126.964423034227</v>
      </c>
      <c r="I71" s="39" t="n">
        <f aca="false">MAX(H71,H76)</f>
        <v>131.408177840425</v>
      </c>
      <c r="J71" s="39" t="n">
        <f aca="false">MAX(I71,I76)</f>
        <v>136.007464064839</v>
      </c>
      <c r="K71" s="39" t="n">
        <f aca="false">MAX(J71,J76)</f>
        <v>140.767725307109</v>
      </c>
      <c r="L71" s="39" t="n">
        <f aca="false">MAX(K71,K76)</f>
        <v>145.694595692858</v>
      </c>
    </row>
    <row r="72" customFormat="false" ht="15" hidden="false" customHeight="false" outlineLevel="0" collapsed="false">
      <c r="A72" s="6"/>
      <c r="B72" s="20" t="s">
        <v>178</v>
      </c>
      <c r="C72" s="22" t="n">
        <f aca="false">(C69+0.5*C70)*INDEX(RetVec_Liq,1,1)</f>
        <v>5.38125</v>
      </c>
      <c r="D72" s="22" t="n">
        <f aca="false">(D69+0.5*D70)*INDEX(RetVec_Liq,1,2)</f>
        <v>6.30525</v>
      </c>
      <c r="E72" s="22" t="n">
        <f aca="false">(E69+0.5*E70)*INDEX(RetVec_Liq,1,3)</f>
        <v>7.128043125</v>
      </c>
      <c r="F72" s="22" t="n">
        <f aca="false">(F69+0.5*F70)*INDEX(RetVec_Liq,1,4)</f>
        <v>7.846087134375</v>
      </c>
      <c r="G72" s="22" t="n">
        <f aca="false">(G69+0.5*G70)*INDEX(RetVec_Liq,1,5)</f>
        <v>8.45571580907813</v>
      </c>
      <c r="H72" s="22" t="n">
        <f aca="false">(H69+0.5*H70)*INDEX(RetVec_Liq,1,6)</f>
        <v>8.88750961239586</v>
      </c>
      <c r="I72" s="22" t="n">
        <f aca="false">(I69+0.5*I70)*INDEX(RetVec_Liq,1,7)</f>
        <v>9.19857244882972</v>
      </c>
      <c r="J72" s="22" t="n">
        <f aca="false">(J69+0.5*J70)*INDEX(RetVec_Liq,1,8)</f>
        <v>9.52052248453875</v>
      </c>
      <c r="K72" s="22" t="n">
        <f aca="false">(K69+0.5*K70)*INDEX(RetVec_Liq,1,9)</f>
        <v>9.85374077149761</v>
      </c>
      <c r="L72" s="22" t="n">
        <f aca="false">(L69+0.5*L70)*INDEX(RetVec_Liq,1,10)</f>
        <v>10.1986216985</v>
      </c>
    </row>
    <row r="73" customFormat="false" ht="15" hidden="false" customHeight="false" outlineLevel="0" collapsed="false">
      <c r="A73" s="6"/>
      <c r="B73" s="20" t="s">
        <v>179</v>
      </c>
      <c r="C73" s="22" t="n">
        <f aca="false">IF(AND(FeeBasis_Liq=1,1&lt;=InvestPeriod_Liq),Allocation_Strategy!C35*Mgmt_Liq,C69*Mgmt_Liq)</f>
        <v>0.35625</v>
      </c>
      <c r="D73" s="22" t="n">
        <f aca="false">IF(AND(FeeBasis_Liq=1,2&lt;=InvestPeriod_Liq),Allocation_Strategy!D35*Mgmt_Liq,D69*Mgmt_Liq)</f>
        <v>0.4269375</v>
      </c>
      <c r="E73" s="22" t="n">
        <f aca="false">IF(AND(FeeBasis_Liq=1,3&lt;=InvestPeriod_Liq),Allocation_Strategy!E35*Mgmt_Liq,E69*Mgmt_Liq)</f>
        <v>0.4903959375</v>
      </c>
      <c r="F73" s="22" t="n">
        <f aca="false">IF(AND(FeeBasis_Liq=1,4&lt;=InvestPeriod_Liq),Allocation_Strategy!F35*Mgmt_Liq,F69*Mgmt_Liq)</f>
        <v>0.5463722953125</v>
      </c>
      <c r="G73" s="22" t="n">
        <f aca="false">IF(AND(FeeBasis_Liq=1,5&lt;=InvestPeriod_Liq),Allocation_Strategy!G35*Mgmt_Liq,G69*Mgmt_Liq)</f>
        <v>0.594604700648438</v>
      </c>
      <c r="H73" s="22" t="n">
        <f aca="false">IF(AND(FeeBasis_Liq=1,6&lt;=InvestPeriod_Liq),Allocation_Strategy!H35*Mgmt_Liq,H69*Mgmt_Liq)</f>
        <v>0.634822115171133</v>
      </c>
      <c r="I73" s="22" t="n">
        <f aca="false">IF(AND(FeeBasis_Liq=1,7&lt;=InvestPeriod_Liq),Allocation_Strategy!I35*Mgmt_Liq,I69*Mgmt_Liq)</f>
        <v>0.657040889202122</v>
      </c>
      <c r="J73" s="22" t="n">
        <f aca="false">IF(AND(FeeBasis_Liq=1,8&lt;=InvestPeriod_Liq),Allocation_Strategy!J35*Mgmt_Liq,J69*Mgmt_Liq)</f>
        <v>0.680037320324197</v>
      </c>
      <c r="K73" s="22" t="n">
        <f aca="false">IF(AND(FeeBasis_Liq=1,9&lt;=InvestPeriod_Liq),Allocation_Strategy!K35*Mgmt_Liq,K69*Mgmt_Liq)</f>
        <v>0.703838626535544</v>
      </c>
      <c r="L73" s="22" t="n">
        <f aca="false">IF(AND(FeeBasis_Liq=1,10&lt;=InvestPeriod_Liq),Allocation_Strategy!L35*Mgmt_Liq,L69*Mgmt_Liq)</f>
        <v>0.728472978464288</v>
      </c>
    </row>
    <row r="74" customFormat="false" ht="15" hidden="false" customHeight="false" outlineLevel="0" collapsed="false">
      <c r="A74" s="6"/>
      <c r="B74" s="20" t="s">
        <v>180</v>
      </c>
      <c r="C74" s="22" t="n">
        <f aca="false">IF(PerfBasis_Liq=2,MAX(0,Capital_Activity!C32*Perf_Liq*MAX(0,SIGN(Capital_Activity!C41-Capital_Activity!C23))),MAX(0,(C72-C69*Hurdle_Liq)*Perf_Liq))</f>
        <v>0</v>
      </c>
      <c r="D74" s="22" t="n">
        <f aca="false">IF(PerfBasis_Liq=2,MAX(0,Capital_Activity!D32*Perf_Liq*MAX(0,SIGN(Capital_Activity!D41-Capital_Activity!D23))),MAX(0,(D72-D69*Hurdle_Liq)*Perf_Liq))</f>
        <v>0</v>
      </c>
      <c r="E74" s="22" t="n">
        <f aca="false">IF(PerfBasis_Liq=2,MAX(0,Capital_Activity!E32*Perf_Liq*MAX(0,SIGN(Capital_Activity!E41-Capital_Activity!E23))),MAX(0,(E72-E69*Hurdle_Liq)*Perf_Liq))</f>
        <v>0</v>
      </c>
      <c r="F74" s="22" t="n">
        <f aca="false">IF(PerfBasis_Liq=2,MAX(0,Capital_Activity!F32*Perf_Liq*MAX(0,SIGN(Capital_Activity!F41-Capital_Activity!F23))),MAX(0,(F72-F69*Hurdle_Liq)*Perf_Liq))</f>
        <v>0</v>
      </c>
      <c r="G74" s="22" t="n">
        <f aca="false">IF(PerfBasis_Liq=2,MAX(0,Capital_Activity!G32*Perf_Liq*MAX(0,SIGN(Capital_Activity!G41-Capital_Activity!G23))),MAX(0,(G72-G69*Hurdle_Liq)*Perf_Liq))</f>
        <v>0</v>
      </c>
      <c r="H74" s="22" t="n">
        <f aca="false">IF(PerfBasis_Liq=2,MAX(0,Capital_Activity!H32*Perf_Liq*MAX(0,SIGN(Capital_Activity!H41-Capital_Activity!H23))),MAX(0,(H72-H69*Hurdle_Liq)*Perf_Liq))</f>
        <v>0</v>
      </c>
      <c r="I74" s="22" t="n">
        <f aca="false">IF(PerfBasis_Liq=2,MAX(0,Capital_Activity!I32*Perf_Liq*MAX(0,SIGN(Capital_Activity!I41-Capital_Activity!I23))),MAX(0,(I72-I69*Hurdle_Liq)*Perf_Liq))</f>
        <v>0</v>
      </c>
      <c r="J74" s="22" t="n">
        <f aca="false">IF(PerfBasis_Liq=2,MAX(0,Capital_Activity!J32*Perf_Liq*MAX(0,SIGN(Capital_Activity!J41-Capital_Activity!J23))),MAX(0,(J72-J69*Hurdle_Liq)*Perf_Liq))</f>
        <v>0</v>
      </c>
      <c r="K74" s="22" t="n">
        <f aca="false">IF(PerfBasis_Liq=2,MAX(0,Capital_Activity!K32*Perf_Liq*MAX(0,SIGN(Capital_Activity!K41-Capital_Activity!K23))),MAX(0,(K72-K69*Hurdle_Liq)*Perf_Liq))</f>
        <v>0</v>
      </c>
      <c r="L74" s="22" t="n">
        <f aca="false">IF(PerfBasis_Liq=2,MAX(0,Capital_Activity!L32*Perf_Liq*MAX(0,SIGN(Capital_Activity!L41-Capital_Activity!L23))),MAX(0,(L72-L69*Hurdle_Liq)*Perf_Liq))</f>
        <v>0</v>
      </c>
    </row>
    <row r="75" customFormat="false" ht="15" hidden="false" customHeight="false" outlineLevel="0" collapsed="false">
      <c r="A75" s="6"/>
      <c r="B75" s="20" t="s">
        <v>181</v>
      </c>
      <c r="C75" s="22" t="n">
        <f aca="false">Capital_Activity!C32</f>
        <v>2.1375</v>
      </c>
      <c r="D75" s="22" t="n">
        <f aca="false">Capital_Activity!D32</f>
        <v>2.561625</v>
      </c>
      <c r="E75" s="22" t="n">
        <f aca="false">Capital_Activity!E32</f>
        <v>2.942375625</v>
      </c>
      <c r="F75" s="22" t="n">
        <f aca="false">Capital_Activity!F32</f>
        <v>3.278233771875</v>
      </c>
      <c r="G75" s="22" t="n">
        <f aca="false">Capital_Activity!G32</f>
        <v>3.56762820389063</v>
      </c>
      <c r="H75" s="22" t="n">
        <f aca="false">Capital_Activity!H32</f>
        <v>3.8089326910268</v>
      </c>
      <c r="I75" s="22" t="n">
        <f aca="false">Capital_Activity!I32</f>
        <v>3.94224533521273</v>
      </c>
      <c r="J75" s="22" t="n">
        <f aca="false">Capital_Activity!J32</f>
        <v>4.08022392194518</v>
      </c>
      <c r="K75" s="22" t="n">
        <f aca="false">Capital_Activity!K32</f>
        <v>4.22303175921326</v>
      </c>
      <c r="L75" s="22" t="n">
        <f aca="false">Capital_Activity!L32</f>
        <v>4.37083787078572</v>
      </c>
    </row>
    <row r="76" customFormat="false" ht="15" hidden="false" customHeight="false" outlineLevel="0" collapsed="false">
      <c r="A76" s="6"/>
      <c r="B76" s="40" t="s">
        <v>67</v>
      </c>
      <c r="C76" s="41" t="n">
        <f aca="false">C69+C70+C72-C73-C74-C75</f>
        <v>85.3875</v>
      </c>
      <c r="D76" s="41" t="n">
        <f aca="false">D69+D70+D72-D73-D74-D75</f>
        <v>98.0791875</v>
      </c>
      <c r="E76" s="41" t="n">
        <f aca="false">E69+E70+E72-E73-E74-E75</f>
        <v>109.2744590625</v>
      </c>
      <c r="F76" s="41" t="n">
        <f aca="false">F69+F70+F72-F73-F74-F75</f>
        <v>118.920940129688</v>
      </c>
      <c r="G76" s="41" t="n">
        <f aca="false">G69+G70+G72-G73-G74-G75</f>
        <v>126.964423034227</v>
      </c>
      <c r="H76" s="41" t="n">
        <f aca="false">H69+H70+H72-H73-H74-H75</f>
        <v>131.408177840425</v>
      </c>
      <c r="I76" s="41" t="n">
        <f aca="false">I69+I70+I72-I73-I74-I75</f>
        <v>136.007464064839</v>
      </c>
      <c r="J76" s="41" t="n">
        <f aca="false">J69+J70+J72-J73-J74-J75</f>
        <v>140.767725307109</v>
      </c>
      <c r="K76" s="41" t="n">
        <f aca="false">K69+K70+K72-K73-K74-K75</f>
        <v>145.694595692858</v>
      </c>
      <c r="L76" s="41" t="n">
        <f aca="false">L69+L70+L72-L73-L74-L75</f>
        <v>150.793906542108</v>
      </c>
    </row>
    <row r="77" customFormat="false" ht="15" hidden="false" customHeight="false" outlineLevel="0" collapsed="false">
      <c r="A77" s="6"/>
      <c r="B77" s="6"/>
      <c r="C77" s="6"/>
      <c r="D77" s="6"/>
      <c r="E77" s="6"/>
      <c r="F77" s="6"/>
      <c r="G77" s="6"/>
      <c r="H77" s="6"/>
      <c r="I77" s="6"/>
      <c r="J77" s="6"/>
      <c r="K77" s="6"/>
      <c r="L77" s="6"/>
    </row>
    <row r="78" customFormat="false" ht="15" hidden="false" customHeight="false" outlineLevel="0" collapsed="false">
      <c r="A78" s="6"/>
      <c r="B78" s="14" t="s">
        <v>182</v>
      </c>
      <c r="C78" s="15"/>
      <c r="D78" s="15"/>
      <c r="E78" s="15"/>
      <c r="F78" s="15"/>
      <c r="G78" s="15"/>
      <c r="H78" s="15"/>
      <c r="I78" s="15"/>
      <c r="J78" s="15"/>
      <c r="K78" s="15"/>
      <c r="L78" s="15"/>
    </row>
    <row r="79" customFormat="false" ht="15" hidden="false" customHeight="false" outlineLevel="0" collapsed="false">
      <c r="A79" s="6"/>
      <c r="B79" s="20" t="s">
        <v>61</v>
      </c>
      <c r="C79" s="22" t="n">
        <f aca="false">C9+C19+C29+C39+C49+C59+C69</f>
        <v>375.75</v>
      </c>
      <c r="D79" s="22" t="n">
        <f aca="false">D9+D19+D29+D39+D49+D59+D69</f>
        <v>404.912925</v>
      </c>
      <c r="E79" s="22" t="n">
        <f aca="false">E9+E19+E29+E39+E49+E59+E69</f>
        <v>447.508142025</v>
      </c>
      <c r="F79" s="22" t="n">
        <f aca="false">F9+F19+F29+F39+F49+F59+F69</f>
        <v>504.095810312606</v>
      </c>
      <c r="G79" s="22" t="n">
        <f aca="false">G9+G19+G29+G39+G49+G59+G69</f>
        <v>556.111497466782</v>
      </c>
      <c r="H79" s="22" t="n">
        <f aca="false">H9+H19+H29+H39+H49+H59+H69</f>
        <v>613.861738100248</v>
      </c>
      <c r="I79" s="22" t="n">
        <f aca="false">I9+I19+I29+I39+I49+I59+I69</f>
        <v>660.933052425807</v>
      </c>
      <c r="J79" s="22" t="n">
        <f aca="false">J9+J19+J29+J39+J49+J59+J69</f>
        <v>692.102076998634</v>
      </c>
      <c r="K79" s="22" t="n">
        <f aca="false">K9+K19+K29+K39+K49+K59+K69</f>
        <v>712.204962118169</v>
      </c>
      <c r="L79" s="22" t="n">
        <f aca="false">L9+L19+L29+L39+L49+L59+L69</f>
        <v>719.482356006599</v>
      </c>
    </row>
    <row r="80" customFormat="false" ht="15" hidden="false" customHeight="false" outlineLevel="0" collapsed="false">
      <c r="A80" s="6"/>
      <c r="B80" s="20" t="s">
        <v>176</v>
      </c>
      <c r="C80" s="22" t="n">
        <f aca="false">C10+C20+C30+C40+C50+C60+C70</f>
        <v>36.5925</v>
      </c>
      <c r="D80" s="22" t="n">
        <f aca="false">D10+D20+D30+D40+D50+D60+D70</f>
        <v>43.9</v>
      </c>
      <c r="E80" s="22" t="n">
        <f aca="false">E10+E20+E30+E40+E50+E60+E70</f>
        <v>45.660075</v>
      </c>
      <c r="F80" s="22" t="n">
        <f aca="false">F10+F20+F30+F40+F50+F60+F70</f>
        <v>43.25876875</v>
      </c>
      <c r="G80" s="22" t="n">
        <f aca="false">G10+G20+G30+G40+G50+G60+G70</f>
        <v>37.7295658125</v>
      </c>
      <c r="H80" s="22" t="n">
        <f aca="false">H10+H20+H30+H40+H50+H60+H70</f>
        <v>23.745854234375</v>
      </c>
      <c r="I80" s="22" t="n">
        <f aca="false">I10+I20+I30+I40+I50+I60+I70</f>
        <v>17.9475365082813</v>
      </c>
      <c r="J80" s="22" t="n">
        <f aca="false">J10+J20+J30+J40+J50+J60+J70</f>
        <v>13.5916103999609</v>
      </c>
      <c r="K80" s="22" t="n">
        <f aca="false">K10+K20+K30+K40+K50+K60+K70</f>
        <v>10.3127831618957</v>
      </c>
      <c r="L80" s="22" t="n">
        <f aca="false">L10+L20+L30+L40+L50+L60+L70</f>
        <v>7.83986392380928</v>
      </c>
    </row>
    <row r="81" customFormat="false" ht="15" hidden="false" customHeight="false" outlineLevel="0" collapsed="false">
      <c r="A81" s="6"/>
      <c r="B81" s="20" t="s">
        <v>178</v>
      </c>
      <c r="C81" s="22" t="n">
        <f aca="false">C12+C22+C32+C42+C52+C62+C72</f>
        <v>9.927925</v>
      </c>
      <c r="D81" s="22" t="n">
        <f aca="false">D12+D22+D32+D42+D52+D62+D72</f>
        <v>18.364663125</v>
      </c>
      <c r="E81" s="22" t="n">
        <f aca="false">E12+E22+E32+E42+E52+E62+E72</f>
        <v>33.53070944275</v>
      </c>
      <c r="F81" s="22" t="n">
        <f aca="false">F12+F22+F32+F42+F52+F62+F72</f>
        <v>50.7992703552976</v>
      </c>
      <c r="G81" s="22" t="n">
        <f aca="false">G12+G22+G32+G42+G52+G62+G72</f>
        <v>71.0139518877666</v>
      </c>
      <c r="H81" s="22" t="n">
        <f aca="false">H12+H22+H32+H42+H52+H62+H72</f>
        <v>81.0507602828498</v>
      </c>
      <c r="I81" s="22" t="n">
        <f aca="false">I12+I22+I32+I42+I52+I62+I72</f>
        <v>81.3447432883691</v>
      </c>
      <c r="J81" s="22" t="n">
        <f aca="false">J12+J22+J32+J42+J52+J62+J72</f>
        <v>77.482361972944</v>
      </c>
      <c r="K81" s="22" t="n">
        <f aca="false">K12+K22+K32+K42+K52+K62+K72</f>
        <v>71.3049113653356</v>
      </c>
      <c r="L81" s="22" t="n">
        <f aca="false">L12+L22+L32+L42+L52+L62+L72</f>
        <v>61.7096814088933</v>
      </c>
    </row>
    <row r="82" customFormat="false" ht="15" hidden="false" customHeight="false" outlineLevel="0" collapsed="false">
      <c r="A82" s="6"/>
      <c r="B82" s="20" t="s">
        <v>183</v>
      </c>
      <c r="C82" s="22" t="n">
        <f aca="false">C13+C23+C33+C43+C53+C63+C73</f>
        <v>3.165</v>
      </c>
      <c r="D82" s="22" t="n">
        <f aca="false">D13+D23+D33+D43+D53+D63+D73</f>
        <v>3.986017725</v>
      </c>
      <c r="E82" s="22" t="n">
        <f aca="false">E13+E23+E33+E43+E53+E63+E73</f>
        <v>4.7670164418</v>
      </c>
      <c r="F82" s="22" t="n">
        <f aca="false">F13+F23+F33+F43+F53+F63+F73</f>
        <v>5.47307137687627</v>
      </c>
      <c r="G82" s="22" t="n">
        <f aca="false">G13+G23+G33+G43+G53+G63+G73</f>
        <v>6.05885021494669</v>
      </c>
      <c r="H82" s="22" t="n">
        <f aca="false">H13+H23+H33+H43+H53+H63+H73</f>
        <v>7.77175339616287</v>
      </c>
      <c r="I82" s="22" t="n">
        <f aca="false">I13+I23+I33+I43+I53+I63+I73</f>
        <v>8.49294956355287</v>
      </c>
      <c r="J82" s="22" t="n">
        <f aca="false">J13+J23+J33+J43+J53+J63+J73</f>
        <v>8.9505877832897</v>
      </c>
      <c r="K82" s="22" t="n">
        <f aca="false">K13+K23+K33+K43+K53+K63+K73</f>
        <v>9.21818424737167</v>
      </c>
      <c r="L82" s="22" t="n">
        <f aca="false">L13+L23+L33+L43+L53+L63+L73</f>
        <v>9.25206419086259</v>
      </c>
    </row>
    <row r="83" customFormat="false" ht="15" hidden="false" customHeight="false" outlineLevel="0" collapsed="false">
      <c r="A83" s="6"/>
      <c r="B83" s="20" t="s">
        <v>184</v>
      </c>
      <c r="C83" s="22" t="n">
        <f aca="false">C14+C24+C34+C44+C54+C64+C74</f>
        <v>0.615</v>
      </c>
      <c r="D83" s="22" t="n">
        <f aca="false">D14+D24+D34+D44+D54+D64+D74</f>
        <v>0.72309</v>
      </c>
      <c r="E83" s="22" t="n">
        <f aca="false">E14+E24+E34+E44+E54+E64+E74</f>
        <v>1.05516796884375</v>
      </c>
      <c r="F83" s="22" t="n">
        <f aca="false">F14+F24+F34+F44+F54+F64+F74</f>
        <v>1.25111661610922</v>
      </c>
      <c r="G83" s="22" t="n">
        <f aca="false">G14+G24+G34+G44+G54+G64+G74</f>
        <v>1.33135230407219</v>
      </c>
      <c r="H83" s="22" t="n">
        <f aca="false">H14+H24+H34+H44+H54+H64+H74</f>
        <v>1.24139548117292</v>
      </c>
      <c r="I83" s="22" t="n">
        <f aca="false">I14+I24+I34+I44+I54+I64+I74</f>
        <v>6.52156995398871</v>
      </c>
      <c r="J83" s="22" t="n">
        <f aca="false">J14+J24+J34+J44+J54+J64+J74</f>
        <v>6.4511505111178</v>
      </c>
      <c r="K83" s="22" t="n">
        <f aca="false">K14+K24+K34+K44+K54+K64+K74</f>
        <v>8.33808503611723</v>
      </c>
      <c r="L83" s="22" t="n">
        <f aca="false">L14+L24+L34+L44+L54+L64+L74</f>
        <v>8.18924387903951</v>
      </c>
    </row>
    <row r="84" customFormat="false" ht="15" hidden="false" customHeight="false" outlineLevel="0" collapsed="false">
      <c r="A84" s="6"/>
      <c r="B84" s="20" t="s">
        <v>181</v>
      </c>
      <c r="C84" s="22" t="n">
        <f aca="false">C15+C25+C35+C45+C55+C65+C75</f>
        <v>13.5775</v>
      </c>
      <c r="D84" s="22" t="n">
        <f aca="false">D15+D25+D35+D45+D55+D65+D75</f>
        <v>14.960338375</v>
      </c>
      <c r="E84" s="22" t="n">
        <f aca="false">E15+E25+E35+E45+E55+E65+E75</f>
        <v>16.7809317445</v>
      </c>
      <c r="F84" s="22" t="n">
        <f aca="false">F15+F25+F35+F45+F55+F65+F75</f>
        <v>35.3181639581366</v>
      </c>
      <c r="G84" s="22" t="n">
        <f aca="false">G15+G25+G35+G45+G55+G65+G75</f>
        <v>43.6030745477818</v>
      </c>
      <c r="H84" s="22" t="n">
        <f aca="false">H15+H25+H35+H45+H55+H65+H75</f>
        <v>48.7121513143301</v>
      </c>
      <c r="I84" s="22" t="n">
        <f aca="false">I15+I25+I35+I45+I55+I65+I75</f>
        <v>53.1087357062816</v>
      </c>
      <c r="J84" s="22" t="n">
        <f aca="false">J15+J25+J35+J45+J55+J65+J75</f>
        <v>55.5693489589625</v>
      </c>
      <c r="K84" s="22" t="n">
        <f aca="false">K15+K25+K35+K45+K55+K65+K75</f>
        <v>56.7840313553117</v>
      </c>
      <c r="L84" s="22" t="n">
        <f aca="false">L15+L25+L35+L45+L55+L65+L75</f>
        <v>56.5799297044321</v>
      </c>
    </row>
    <row r="85" customFormat="false" ht="15" hidden="false" customHeight="false" outlineLevel="0" collapsed="false">
      <c r="A85" s="6"/>
      <c r="B85" s="23" t="s">
        <v>67</v>
      </c>
      <c r="C85" s="24" t="n">
        <f aca="false">C16+C26+C36+C46+C56+C66+C76</f>
        <v>404.912925</v>
      </c>
      <c r="D85" s="24" t="n">
        <f aca="false">D16+D26+D36+D46+D56+D66+D76</f>
        <v>447.508142025</v>
      </c>
      <c r="E85" s="24" t="n">
        <f aca="false">E16+E26+E36+E46+E56+E66+E76</f>
        <v>504.095810312606</v>
      </c>
      <c r="F85" s="24" t="n">
        <f aca="false">F16+F26+F36+F46+F56+F66+F76</f>
        <v>556.111497466782</v>
      </c>
      <c r="G85" s="24" t="n">
        <f aca="false">G16+G26+G36+G46+G56+G66+G76</f>
        <v>613.861738100248</v>
      </c>
      <c r="H85" s="24" t="n">
        <f aca="false">H16+H26+H36+H46+H56+H66+H76</f>
        <v>660.933052425807</v>
      </c>
      <c r="I85" s="24" t="n">
        <f aca="false">I16+I26+I36+I46+I56+I66+I76</f>
        <v>692.102076998634</v>
      </c>
      <c r="J85" s="24" t="n">
        <f aca="false">J16+J26+J36+J46+J56+J66+J76</f>
        <v>712.204962118169</v>
      </c>
      <c r="K85" s="24" t="n">
        <f aca="false">K16+K26+K36+K46+K56+K66+K76</f>
        <v>719.482356006599</v>
      </c>
      <c r="L85" s="24" t="n">
        <f aca="false">L16+L26+L36+L46+L56+L66+L76</f>
        <v>715.010663564967</v>
      </c>
    </row>
    <row r="86" customFormat="false" ht="15" hidden="false" customHeight="false" outlineLevel="0" collapsed="false">
      <c r="A86" s="6"/>
      <c r="B86" s="6"/>
      <c r="C86" s="6"/>
      <c r="D86" s="6"/>
      <c r="E86" s="6"/>
      <c r="F86" s="6"/>
      <c r="G86" s="6"/>
      <c r="H86" s="6"/>
      <c r="I86" s="6"/>
      <c r="J86" s="6"/>
      <c r="K86" s="6"/>
      <c r="L86" s="6"/>
    </row>
    <row r="87" customFormat="false" ht="15" hidden="false" customHeight="false" outlineLevel="0" collapsed="false">
      <c r="A87" s="6"/>
      <c r="B87" s="42" t="s">
        <v>185</v>
      </c>
      <c r="C87" s="39" t="n">
        <f aca="false">(C79+C85)/2</f>
        <v>390.3314625</v>
      </c>
      <c r="D87" s="39" t="n">
        <f aca="false">(D79+D85)/2</f>
        <v>426.2105335125</v>
      </c>
      <c r="E87" s="39" t="n">
        <f aca="false">(E79+E85)/2</f>
        <v>475.801976168803</v>
      </c>
      <c r="F87" s="39" t="n">
        <f aca="false">(F79+F85)/2</f>
        <v>530.103653889694</v>
      </c>
      <c r="G87" s="39" t="n">
        <f aca="false">(G79+G85)/2</f>
        <v>584.986617783515</v>
      </c>
      <c r="H87" s="39" t="n">
        <f aca="false">(H79+H85)/2</f>
        <v>637.397395263027</v>
      </c>
      <c r="I87" s="39" t="n">
        <f aca="false">(I79+I85)/2</f>
        <v>676.51756471222</v>
      </c>
      <c r="J87" s="39" t="n">
        <f aca="false">(J79+J85)/2</f>
        <v>702.153519558401</v>
      </c>
      <c r="K87" s="39" t="n">
        <f aca="false">(K79+K85)/2</f>
        <v>715.843659062384</v>
      </c>
      <c r="L87" s="39" t="n">
        <f aca="false">(L79+L85)/2</f>
        <v>717.246509785783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AD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2" min="3" style="0" width="13"/>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186</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24</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c r="J4" s="6"/>
      <c r="K4" s="6"/>
      <c r="L4" s="6"/>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7" t="s">
        <v>47</v>
      </c>
      <c r="C6" s="19" t="n">
        <v>1</v>
      </c>
      <c r="D6" s="19" t="n">
        <v>2</v>
      </c>
      <c r="E6" s="19" t="n">
        <v>3</v>
      </c>
      <c r="F6" s="19" t="n">
        <v>4</v>
      </c>
      <c r="G6" s="19" t="n">
        <v>5</v>
      </c>
      <c r="H6" s="19" t="n">
        <v>6</v>
      </c>
      <c r="I6" s="19" t="n">
        <v>7</v>
      </c>
      <c r="J6" s="19" t="n">
        <v>8</v>
      </c>
      <c r="K6" s="19" t="n">
        <v>9</v>
      </c>
      <c r="L6" s="19" t="n">
        <v>10</v>
      </c>
    </row>
    <row r="7" customFormat="false" ht="15" hidden="false" customHeight="false" outlineLevel="0" collapsed="false">
      <c r="A7" s="6"/>
      <c r="B7" s="14" t="s">
        <v>187</v>
      </c>
      <c r="C7" s="15"/>
      <c r="D7" s="15"/>
      <c r="E7" s="15"/>
      <c r="F7" s="15"/>
      <c r="G7" s="15"/>
      <c r="H7" s="15"/>
      <c r="I7" s="15"/>
      <c r="J7" s="15"/>
      <c r="K7" s="15"/>
      <c r="L7" s="15"/>
    </row>
    <row r="8" customFormat="false" ht="15" hidden="false" customHeight="false" outlineLevel="0" collapsed="false">
      <c r="A8" s="6"/>
      <c r="B8" s="20" t="s">
        <v>49</v>
      </c>
      <c r="C8" s="22" t="n">
        <f aca="false">Portfolio_NAV!C13</f>
        <v>0.43875</v>
      </c>
      <c r="D8" s="22" t="n">
        <f aca="false">Portfolio_NAV!D13</f>
        <v>0.804375</v>
      </c>
      <c r="E8" s="22" t="n">
        <f aca="false">Portfolio_NAV!E13</f>
        <v>1.096875</v>
      </c>
      <c r="F8" s="22" t="n">
        <f aca="false">Portfolio_NAV!F13</f>
        <v>1.31625</v>
      </c>
      <c r="G8" s="22" t="n">
        <f aca="false">Portfolio_NAV!G13</f>
        <v>1.4625</v>
      </c>
      <c r="H8" s="22" t="n">
        <f aca="false">Portfolio_NAV!H13</f>
        <v>2.36123927819845</v>
      </c>
      <c r="I8" s="22" t="n">
        <f aca="false">Portfolio_NAV!I13</f>
        <v>2.54661258642648</v>
      </c>
      <c r="J8" s="22" t="n">
        <f aca="false">Portfolio_NAV!J13</f>
        <v>2.56653959610614</v>
      </c>
      <c r="K8" s="22" t="n">
        <f aca="false">Portfolio_NAV!K13</f>
        <v>2.50439361072736</v>
      </c>
      <c r="L8" s="22" t="n">
        <f aca="false">Portfolio_NAV!L13</f>
        <v>2.37347808890401</v>
      </c>
    </row>
    <row r="9" customFormat="false" ht="15" hidden="false" customHeight="false" outlineLevel="0" collapsed="false">
      <c r="A9" s="6"/>
      <c r="B9" s="20" t="s">
        <v>50</v>
      </c>
      <c r="C9" s="22" t="n">
        <f aca="false">Portfolio_NAV!C23</f>
        <v>0.234</v>
      </c>
      <c r="D9" s="22" t="n">
        <f aca="false">Portfolio_NAV!D23</f>
        <v>0.429</v>
      </c>
      <c r="E9" s="22" t="n">
        <f aca="false">Portfolio_NAV!E23</f>
        <v>0.585</v>
      </c>
      <c r="F9" s="22" t="n">
        <f aca="false">Portfolio_NAV!F23</f>
        <v>0.702</v>
      </c>
      <c r="G9" s="22" t="n">
        <f aca="false">Portfolio_NAV!G23</f>
        <v>0.78</v>
      </c>
      <c r="H9" s="22" t="n">
        <f aca="false">Portfolio_NAV!H23</f>
        <v>1.267709352</v>
      </c>
      <c r="I9" s="22" t="n">
        <f aca="false">Portfolio_NAV!I23</f>
        <v>1.58184829296</v>
      </c>
      <c r="J9" s="22" t="n">
        <f aca="false">Portfolio_NAV!J23</f>
        <v>1.8547547726448</v>
      </c>
      <c r="K9" s="22" t="n">
        <f aca="false">Portfolio_NAV!K23</f>
        <v>2.05575227215238</v>
      </c>
      <c r="L9" s="22" t="n">
        <f aca="false">Portfolio_NAV!L23</f>
        <v>2.11744681416351</v>
      </c>
    </row>
    <row r="10" customFormat="false" ht="15" hidden="false" customHeight="false" outlineLevel="0" collapsed="false">
      <c r="A10" s="6"/>
      <c r="B10" s="20" t="s">
        <v>51</v>
      </c>
      <c r="C10" s="22" t="n">
        <f aca="false">Portfolio_NAV!C33</f>
        <v>0.57</v>
      </c>
      <c r="D10" s="22" t="n">
        <f aca="false">Portfolio_NAV!D33</f>
        <v>0.66648</v>
      </c>
      <c r="E10" s="22" t="n">
        <f aca="false">Portfolio_NAV!E33</f>
        <v>0.74802888</v>
      </c>
      <c r="F10" s="22" t="n">
        <f aca="false">Portfolio_NAV!F33</f>
        <v>0.81455705328</v>
      </c>
      <c r="G10" s="22" t="n">
        <f aca="false">Portfolio_NAV!G33</f>
        <v>0.86597439559968</v>
      </c>
      <c r="H10" s="22" t="n">
        <f aca="false">Portfolio_NAV!H33</f>
        <v>0.902190241973278</v>
      </c>
      <c r="I10" s="22" t="n">
        <f aca="false">Portfolio_NAV!I33</f>
        <v>0.907603383425118</v>
      </c>
      <c r="J10" s="22" t="n">
        <f aca="false">Portfolio_NAV!J33</f>
        <v>0.913049003725669</v>
      </c>
      <c r="K10" s="22" t="n">
        <f aca="false">Portfolio_NAV!K33</f>
        <v>0.918527297748023</v>
      </c>
      <c r="L10" s="22" t="n">
        <f aca="false">Portfolio_NAV!L33</f>
        <v>0.924038461534511</v>
      </c>
    </row>
    <row r="11" customFormat="false" ht="15" hidden="false" customHeight="false" outlineLevel="0" collapsed="false">
      <c r="A11" s="6"/>
      <c r="B11" s="20" t="s">
        <v>52</v>
      </c>
      <c r="C11" s="22" t="n">
        <f aca="false">Portfolio_NAV!C43</f>
        <v>0.63</v>
      </c>
      <c r="D11" s="22" t="n">
        <f aca="false">Portfolio_NAV!D43</f>
        <v>0.661111875</v>
      </c>
      <c r="E11" s="22" t="n">
        <f aca="false">Portfolio_NAV!E43</f>
        <v>0.7316898075</v>
      </c>
      <c r="F11" s="22" t="n">
        <f aca="false">Portfolio_NAV!F43</f>
        <v>0.828225949089375</v>
      </c>
      <c r="G11" s="22" t="n">
        <f aca="false">Portfolio_NAV!G43</f>
        <v>0.935408194496297</v>
      </c>
      <c r="H11" s="22" t="n">
        <f aca="false">Portfolio_NAV!H43</f>
        <v>1.03889740936847</v>
      </c>
      <c r="I11" s="22" t="n">
        <f aca="false">Portfolio_NAV!I43</f>
        <v>1.11587230179761</v>
      </c>
      <c r="J11" s="22" t="n">
        <f aca="false">Portfolio_NAV!J43</f>
        <v>1.17915900865819</v>
      </c>
      <c r="K11" s="22" t="n">
        <f aca="false">Portfolio_NAV!K43</f>
        <v>1.22211062232597</v>
      </c>
      <c r="L11" s="22" t="n">
        <f aca="false">Portfolio_NAV!L43</f>
        <v>1.25702626350346</v>
      </c>
    </row>
    <row r="12" customFormat="false" ht="15" hidden="false" customHeight="false" outlineLevel="0" collapsed="false">
      <c r="A12" s="6"/>
      <c r="B12" s="20" t="s">
        <v>53</v>
      </c>
      <c r="C12" s="22" t="n">
        <f aca="false">Portfolio_NAV!C53</f>
        <v>0.39</v>
      </c>
      <c r="D12" s="22" t="n">
        <f aca="false">Portfolio_NAV!D53</f>
        <v>0.405522</v>
      </c>
      <c r="E12" s="22" t="n">
        <f aca="false">Portfolio_NAV!E53</f>
        <v>0.444230436</v>
      </c>
      <c r="F12" s="22" t="n">
        <f aca="false">Portfolio_NAV!F53</f>
        <v>0.49903237254</v>
      </c>
      <c r="G12" s="22" t="n">
        <f aca="false">Portfolio_NAV!G53</f>
        <v>0.5572258921281</v>
      </c>
      <c r="H12" s="22" t="n">
        <f aca="false">Portfolio_NAV!H53</f>
        <v>0.614282207710022</v>
      </c>
      <c r="I12" s="22" t="n">
        <f aca="false">Portfolio_NAV!I53</f>
        <v>0.662454782585672</v>
      </c>
      <c r="J12" s="22" t="n">
        <f aca="false">Portfolio_NAV!J53</f>
        <v>0.703558277732457</v>
      </c>
      <c r="K12" s="22" t="n">
        <f aca="false">Portfolio_NAV!K53</f>
        <v>0.739044990624844</v>
      </c>
      <c r="L12" s="22" t="n">
        <f aca="false">Portfolio_NAV!L53</f>
        <v>0.763714136681313</v>
      </c>
    </row>
    <row r="13" customFormat="false" ht="15" hidden="false" customHeight="false" outlineLevel="0" collapsed="false">
      <c r="A13" s="6"/>
      <c r="B13" s="20" t="s">
        <v>54</v>
      </c>
      <c r="C13" s="22" t="n">
        <f aca="false">Portfolio_NAV!C63</f>
        <v>0.546</v>
      </c>
      <c r="D13" s="22" t="n">
        <f aca="false">Portfolio_NAV!D63</f>
        <v>0.59259135</v>
      </c>
      <c r="E13" s="22" t="n">
        <f aca="false">Portfolio_NAV!E63</f>
        <v>0.6707963808</v>
      </c>
      <c r="F13" s="22" t="n">
        <f aca="false">Portfolio_NAV!F63</f>
        <v>0.7666337066544</v>
      </c>
      <c r="G13" s="22" t="n">
        <f aca="false">Portfolio_NAV!G63</f>
        <v>0.863137032074179</v>
      </c>
      <c r="H13" s="22" t="n">
        <f aca="false">Portfolio_NAV!H63</f>
        <v>0.952612791741514</v>
      </c>
      <c r="I13" s="22" t="n">
        <f aca="false">Portfolio_NAV!I63</f>
        <v>1.02151732715586</v>
      </c>
      <c r="J13" s="22" t="n">
        <f aca="false">Portfolio_NAV!J63</f>
        <v>1.05348980409824</v>
      </c>
      <c r="K13" s="22" t="n">
        <f aca="false">Portfolio_NAV!K63</f>
        <v>1.07451682725755</v>
      </c>
      <c r="L13" s="22" t="n">
        <f aca="false">Portfolio_NAV!L63</f>
        <v>1.08788744761151</v>
      </c>
    </row>
    <row r="14" customFormat="false" ht="15" hidden="false" customHeight="false" outlineLevel="0" collapsed="false">
      <c r="A14" s="6"/>
      <c r="B14" s="20" t="s">
        <v>55</v>
      </c>
      <c r="C14" s="22" t="n">
        <f aca="false">Portfolio_NAV!C73</f>
        <v>0.35625</v>
      </c>
      <c r="D14" s="22" t="n">
        <f aca="false">Portfolio_NAV!D73</f>
        <v>0.4269375</v>
      </c>
      <c r="E14" s="22" t="n">
        <f aca="false">Portfolio_NAV!E73</f>
        <v>0.4903959375</v>
      </c>
      <c r="F14" s="22" t="n">
        <f aca="false">Portfolio_NAV!F73</f>
        <v>0.5463722953125</v>
      </c>
      <c r="G14" s="22" t="n">
        <f aca="false">Portfolio_NAV!G73</f>
        <v>0.594604700648438</v>
      </c>
      <c r="H14" s="22" t="n">
        <f aca="false">Portfolio_NAV!H73</f>
        <v>0.634822115171133</v>
      </c>
      <c r="I14" s="22" t="n">
        <f aca="false">Portfolio_NAV!I73</f>
        <v>0.657040889202122</v>
      </c>
      <c r="J14" s="22" t="n">
        <f aca="false">Portfolio_NAV!J73</f>
        <v>0.680037320324197</v>
      </c>
      <c r="K14" s="22" t="n">
        <f aca="false">Portfolio_NAV!K73</f>
        <v>0.703838626535544</v>
      </c>
      <c r="L14" s="22" t="n">
        <f aca="false">Portfolio_NAV!L73</f>
        <v>0.728472978464288</v>
      </c>
    </row>
    <row r="15" customFormat="false" ht="15" hidden="false" customHeight="false" outlineLevel="0" collapsed="false">
      <c r="A15" s="6"/>
      <c r="B15" s="23" t="s">
        <v>188</v>
      </c>
      <c r="C15" s="24" t="n">
        <f aca="false">SUM(C8:C14)</f>
        <v>3.165</v>
      </c>
      <c r="D15" s="24" t="n">
        <f aca="false">SUM(D8:D14)</f>
        <v>3.986017725</v>
      </c>
      <c r="E15" s="24" t="n">
        <f aca="false">SUM(E8:E14)</f>
        <v>4.7670164418</v>
      </c>
      <c r="F15" s="24" t="n">
        <f aca="false">SUM(F8:F14)</f>
        <v>5.47307137687628</v>
      </c>
      <c r="G15" s="24" t="n">
        <f aca="false">SUM(G8:G14)</f>
        <v>6.05885021494669</v>
      </c>
      <c r="H15" s="24" t="n">
        <f aca="false">SUM(H8:H14)</f>
        <v>7.77175339616287</v>
      </c>
      <c r="I15" s="24" t="n">
        <f aca="false">SUM(I8:I14)</f>
        <v>8.49294956355287</v>
      </c>
      <c r="J15" s="24" t="n">
        <f aca="false">SUM(J8:J14)</f>
        <v>8.9505877832897</v>
      </c>
      <c r="K15" s="24" t="n">
        <f aca="false">SUM(K8:K14)</f>
        <v>9.21818424737167</v>
      </c>
      <c r="L15" s="24" t="n">
        <f aca="false">SUM(L8:L14)</f>
        <v>9.25206419086259</v>
      </c>
    </row>
    <row r="16" customFormat="false" ht="15" hidden="false" customHeight="false" outlineLevel="0" collapsed="false">
      <c r="A16" s="6"/>
      <c r="B16" s="14" t="s">
        <v>189</v>
      </c>
      <c r="C16" s="15"/>
      <c r="D16" s="15"/>
      <c r="E16" s="15"/>
      <c r="F16" s="15"/>
      <c r="G16" s="15"/>
      <c r="H16" s="15"/>
      <c r="I16" s="15"/>
      <c r="J16" s="15"/>
      <c r="K16" s="15"/>
      <c r="L16" s="15"/>
    </row>
    <row r="17" customFormat="false" ht="15" hidden="false" customHeight="false" outlineLevel="0" collapsed="false">
      <c r="A17" s="6"/>
      <c r="B17" s="20" t="s">
        <v>49</v>
      </c>
      <c r="C17" s="22" t="n">
        <f aca="false">Portfolio_NAV!C14</f>
        <v>0</v>
      </c>
      <c r="D17" s="22" t="n">
        <f aca="false">Portfolio_NAV!D14</f>
        <v>0</v>
      </c>
      <c r="E17" s="22" t="n">
        <f aca="false">Portfolio_NAV!E14</f>
        <v>0</v>
      </c>
      <c r="F17" s="22" t="n">
        <f aca="false">Portfolio_NAV!F14</f>
        <v>0</v>
      </c>
      <c r="G17" s="22" t="n">
        <f aca="false">Portfolio_NAV!G14</f>
        <v>0</v>
      </c>
      <c r="H17" s="22" t="n">
        <f aca="false">Portfolio_NAV!H14</f>
        <v>0</v>
      </c>
      <c r="I17" s="22" t="n">
        <f aca="false">Portfolio_NAV!I14</f>
        <v>4.24435431071081</v>
      </c>
      <c r="J17" s="22" t="n">
        <f aca="false">Portfolio_NAV!J14</f>
        <v>4.27756599351024</v>
      </c>
      <c r="K17" s="22" t="n">
        <f aca="false">Portfolio_NAV!K14</f>
        <v>4.17398935121227</v>
      </c>
      <c r="L17" s="22" t="n">
        <f aca="false">Portfolio_NAV!L14</f>
        <v>3.95579681484002</v>
      </c>
    </row>
    <row r="18" customFormat="false" ht="15" hidden="false" customHeight="false" outlineLevel="0" collapsed="false">
      <c r="A18" s="6"/>
      <c r="B18" s="20" t="s">
        <v>50</v>
      </c>
      <c r="C18" s="22" t="n">
        <f aca="false">Portfolio_NAV!C24</f>
        <v>0</v>
      </c>
      <c r="D18" s="22" t="n">
        <f aca="false">Portfolio_NAV!D24</f>
        <v>0</v>
      </c>
      <c r="E18" s="22" t="n">
        <f aca="false">Portfolio_NAV!E24</f>
        <v>0</v>
      </c>
      <c r="F18" s="22" t="n">
        <f aca="false">Portfolio_NAV!F24</f>
        <v>0</v>
      </c>
      <c r="G18" s="22" t="n">
        <f aca="false">Portfolio_NAV!G24</f>
        <v>0</v>
      </c>
      <c r="H18" s="22" t="n">
        <f aca="false">Portfolio_NAV!H24</f>
        <v>0</v>
      </c>
      <c r="I18" s="22" t="n">
        <f aca="false">Portfolio_NAV!I24</f>
        <v>0</v>
      </c>
      <c r="J18" s="22" t="n">
        <f aca="false">Portfolio_NAV!J24</f>
        <v>0</v>
      </c>
      <c r="K18" s="22" t="n">
        <f aca="false">Portfolio_NAV!K24</f>
        <v>2.05575227215238</v>
      </c>
      <c r="L18" s="22" t="n">
        <f aca="false">Portfolio_NAV!L24</f>
        <v>2.11744681416351</v>
      </c>
    </row>
    <row r="19" customFormat="false" ht="15" hidden="false" customHeight="false" outlineLevel="0" collapsed="false">
      <c r="A19" s="6"/>
      <c r="B19" s="20" t="s">
        <v>51</v>
      </c>
      <c r="C19" s="22" t="n">
        <f aca="false">Portfolio_NAV!C34</f>
        <v>0.615</v>
      </c>
      <c r="D19" s="22" t="n">
        <f aca="false">Portfolio_NAV!D34</f>
        <v>0.70398</v>
      </c>
      <c r="E19" s="22" t="n">
        <f aca="false">Portfolio_NAV!E34</f>
        <v>0.77802888</v>
      </c>
      <c r="F19" s="22" t="n">
        <f aca="false">Portfolio_NAV!F34</f>
        <v>0.837057053280001</v>
      </c>
      <c r="G19" s="22" t="n">
        <f aca="false">Portfolio_NAV!G34</f>
        <v>0.880974395599681</v>
      </c>
      <c r="H19" s="22" t="n">
        <f aca="false">Portfolio_NAV!H34</f>
        <v>0.902190241973279</v>
      </c>
      <c r="I19" s="22" t="n">
        <f aca="false">Portfolio_NAV!I34</f>
        <v>0.907603383425118</v>
      </c>
      <c r="J19" s="22" t="n">
        <f aca="false">Portfolio_NAV!J34</f>
        <v>0.913049003725669</v>
      </c>
      <c r="K19" s="22" t="n">
        <f aca="false">Portfolio_NAV!K34</f>
        <v>0.918527297748022</v>
      </c>
      <c r="L19" s="22" t="n">
        <f aca="false">Portfolio_NAV!L34</f>
        <v>0.924038461534511</v>
      </c>
    </row>
    <row r="20" customFormat="false" ht="15" hidden="false" customHeight="false" outlineLevel="0" collapsed="false">
      <c r="A20" s="6"/>
      <c r="B20" s="20" t="s">
        <v>52</v>
      </c>
      <c r="C20" s="22" t="n">
        <f aca="false">Portfolio_NAV!C44</f>
        <v>0</v>
      </c>
      <c r="D20" s="22" t="n">
        <f aca="false">Portfolio_NAV!D44</f>
        <v>0</v>
      </c>
      <c r="E20" s="22" t="n">
        <f aca="false">Portfolio_NAV!E44</f>
        <v>0.13722147984375</v>
      </c>
      <c r="F20" s="22" t="n">
        <f aca="false">Portfolio_NAV!F44</f>
        <v>0.258900969694219</v>
      </c>
      <c r="G20" s="22" t="n">
        <f aca="false">Portfolio_NAV!G44</f>
        <v>0.28187603544048</v>
      </c>
      <c r="H20" s="22" t="n">
        <f aca="false">Portfolio_NAV!H44</f>
        <v>0.162278367272132</v>
      </c>
      <c r="I20" s="22" t="n">
        <f aca="false">Portfolio_NAV!I44</f>
        <v>0.163796181050507</v>
      </c>
      <c r="J20" s="22" t="n">
        <f aca="false">Portfolio_NAV!J44</f>
        <v>0.0162080955505367</v>
      </c>
      <c r="K20" s="22" t="n">
        <f aca="false">Portfolio_NAV!K44</f>
        <v>0.012156071662902</v>
      </c>
      <c r="L20" s="22" t="n">
        <f aca="false">Portfolio_NAV!L44</f>
        <v>0</v>
      </c>
    </row>
    <row r="21" customFormat="false" ht="15" hidden="false" customHeight="false" outlineLevel="0" collapsed="false">
      <c r="A21" s="6"/>
      <c r="B21" s="20" t="s">
        <v>53</v>
      </c>
      <c r="C21" s="22" t="n">
        <f aca="false">Portfolio_NAV!C54</f>
        <v>0</v>
      </c>
      <c r="D21" s="22" t="n">
        <f aca="false">Portfolio_NAV!D54</f>
        <v>0.01911</v>
      </c>
      <c r="E21" s="22" t="n">
        <f aca="false">Portfolio_NAV!E54</f>
        <v>0.139917609</v>
      </c>
      <c r="F21" s="22" t="n">
        <f aca="false">Portfolio_NAV!F54</f>
        <v>0.155158593135</v>
      </c>
      <c r="G21" s="22" t="n">
        <f aca="false">Portfolio_NAV!G54</f>
        <v>0.168501873032025</v>
      </c>
      <c r="H21" s="22" t="n">
        <f aca="false">Portfolio_NAV!H54</f>
        <v>0.176926871927506</v>
      </c>
      <c r="I21" s="22" t="n">
        <f aca="false">Portfolio_NAV!I54</f>
        <v>0.184298751646417</v>
      </c>
      <c r="J21" s="22" t="n">
        <f aca="false">Portfolio_NAV!J54</f>
        <v>0.190837614233114</v>
      </c>
      <c r="K21" s="22" t="n">
        <f aca="false">Portfolio_NAV!K54</f>
        <v>0.103143216084105</v>
      </c>
      <c r="L21" s="22" t="n">
        <f aca="false">Portfolio_NAV!L54</f>
        <v>0.104074340889964</v>
      </c>
    </row>
    <row r="22" customFormat="false" ht="15" hidden="false" customHeight="false" outlineLevel="0" collapsed="false">
      <c r="A22" s="6"/>
      <c r="B22" s="20" t="s">
        <v>54</v>
      </c>
      <c r="C22" s="22" t="n">
        <f aca="false">Portfolio_NAV!C64</f>
        <v>0</v>
      </c>
      <c r="D22" s="22" t="n">
        <f aca="false">Portfolio_NAV!D64</f>
        <v>0</v>
      </c>
      <c r="E22" s="22" t="n">
        <f aca="false">Portfolio_NAV!E64</f>
        <v>0</v>
      </c>
      <c r="F22" s="22" t="n">
        <f aca="false">Portfolio_NAV!F64</f>
        <v>0</v>
      </c>
      <c r="G22" s="22" t="n">
        <f aca="false">Portfolio_NAV!G64</f>
        <v>0</v>
      </c>
      <c r="H22" s="22" t="n">
        <f aca="false">Portfolio_NAV!H64</f>
        <v>0</v>
      </c>
      <c r="I22" s="22" t="n">
        <f aca="false">Portfolio_NAV!I64</f>
        <v>1.02151732715586</v>
      </c>
      <c r="J22" s="22" t="n">
        <f aca="false">Portfolio_NAV!J64</f>
        <v>1.05348980409824</v>
      </c>
      <c r="K22" s="22" t="n">
        <f aca="false">Portfolio_NAV!K64</f>
        <v>1.07451682725755</v>
      </c>
      <c r="L22" s="22" t="n">
        <f aca="false">Portfolio_NAV!L64</f>
        <v>1.08788744761151</v>
      </c>
    </row>
    <row r="23" customFormat="false" ht="15" hidden="false" customHeight="false" outlineLevel="0" collapsed="false">
      <c r="A23" s="6"/>
      <c r="B23" s="20" t="s">
        <v>55</v>
      </c>
      <c r="C23" s="22" t="n">
        <f aca="false">Portfolio_NAV!C74</f>
        <v>0</v>
      </c>
      <c r="D23" s="22" t="n">
        <f aca="false">Portfolio_NAV!D74</f>
        <v>0</v>
      </c>
      <c r="E23" s="22" t="n">
        <f aca="false">Portfolio_NAV!E74</f>
        <v>0</v>
      </c>
      <c r="F23" s="22" t="n">
        <f aca="false">Portfolio_NAV!F74</f>
        <v>0</v>
      </c>
      <c r="G23" s="22" t="n">
        <f aca="false">Portfolio_NAV!G74</f>
        <v>0</v>
      </c>
      <c r="H23" s="22" t="n">
        <f aca="false">Portfolio_NAV!H74</f>
        <v>0</v>
      </c>
      <c r="I23" s="22" t="n">
        <f aca="false">Portfolio_NAV!I74</f>
        <v>0</v>
      </c>
      <c r="J23" s="22" t="n">
        <f aca="false">Portfolio_NAV!J74</f>
        <v>0</v>
      </c>
      <c r="K23" s="22" t="n">
        <f aca="false">Portfolio_NAV!K74</f>
        <v>0</v>
      </c>
      <c r="L23" s="22" t="n">
        <f aca="false">Portfolio_NAV!L74</f>
        <v>0</v>
      </c>
    </row>
    <row r="24" customFormat="false" ht="15" hidden="false" customHeight="false" outlineLevel="0" collapsed="false">
      <c r="A24" s="6"/>
      <c r="B24" s="23" t="s">
        <v>190</v>
      </c>
      <c r="C24" s="24" t="n">
        <f aca="false">SUM(C17:C23)</f>
        <v>0.615</v>
      </c>
      <c r="D24" s="24" t="n">
        <f aca="false">SUM(D17:D23)</f>
        <v>0.72309</v>
      </c>
      <c r="E24" s="24" t="n">
        <f aca="false">SUM(E17:E23)</f>
        <v>1.05516796884375</v>
      </c>
      <c r="F24" s="24" t="n">
        <f aca="false">SUM(F17:F23)</f>
        <v>1.25111661610922</v>
      </c>
      <c r="G24" s="24" t="n">
        <f aca="false">SUM(G17:G23)</f>
        <v>1.33135230407219</v>
      </c>
      <c r="H24" s="24" t="n">
        <f aca="false">SUM(H17:H23)</f>
        <v>1.24139548117292</v>
      </c>
      <c r="I24" s="24" t="n">
        <f aca="false">SUM(I17:I23)</f>
        <v>6.52156995398871</v>
      </c>
      <c r="J24" s="24" t="n">
        <f aca="false">SUM(J17:J23)</f>
        <v>6.4511505111178</v>
      </c>
      <c r="K24" s="24" t="n">
        <f aca="false">SUM(K17:K23)</f>
        <v>8.33808503611723</v>
      </c>
      <c r="L24" s="24" t="n">
        <f aca="false">SUM(L17:L23)</f>
        <v>8.18924387903951</v>
      </c>
    </row>
    <row r="25" customFormat="false" ht="15" hidden="false" customHeight="false" outlineLevel="0" collapsed="false">
      <c r="A25" s="6"/>
      <c r="B25" s="14" t="s">
        <v>191</v>
      </c>
      <c r="C25" s="15"/>
      <c r="D25" s="15"/>
      <c r="E25" s="15"/>
      <c r="F25" s="15"/>
      <c r="G25" s="15"/>
      <c r="H25" s="15"/>
      <c r="I25" s="15"/>
      <c r="J25" s="15"/>
      <c r="K25" s="15"/>
      <c r="L25" s="15"/>
    </row>
    <row r="26" customFormat="false" ht="15" hidden="false" customHeight="false" outlineLevel="0" collapsed="false">
      <c r="A26" s="6"/>
      <c r="B26" s="20" t="s">
        <v>49</v>
      </c>
      <c r="C26" s="22" t="n">
        <f aca="false">C8+C17</f>
        <v>0.43875</v>
      </c>
      <c r="D26" s="22" t="n">
        <f aca="false">D8+D17</f>
        <v>0.804375</v>
      </c>
      <c r="E26" s="22" t="n">
        <f aca="false">E8+E17</f>
        <v>1.096875</v>
      </c>
      <c r="F26" s="22" t="n">
        <f aca="false">F8+F17</f>
        <v>1.31625</v>
      </c>
      <c r="G26" s="22" t="n">
        <f aca="false">G8+G17</f>
        <v>1.4625</v>
      </c>
      <c r="H26" s="22" t="n">
        <f aca="false">H8+H17</f>
        <v>2.36123927819845</v>
      </c>
      <c r="I26" s="22" t="n">
        <f aca="false">I8+I17</f>
        <v>6.79096689713729</v>
      </c>
      <c r="J26" s="22" t="n">
        <f aca="false">J8+J17</f>
        <v>6.84410558961639</v>
      </c>
      <c r="K26" s="22" t="n">
        <f aca="false">K8+K17</f>
        <v>6.67838296193963</v>
      </c>
      <c r="L26" s="22" t="n">
        <f aca="false">L8+L17</f>
        <v>6.32927490374403</v>
      </c>
    </row>
    <row r="27" customFormat="false" ht="15" hidden="false" customHeight="false" outlineLevel="0" collapsed="false">
      <c r="A27" s="6"/>
      <c r="B27" s="20" t="s">
        <v>50</v>
      </c>
      <c r="C27" s="22" t="n">
        <f aca="false">C9+C18</f>
        <v>0.234</v>
      </c>
      <c r="D27" s="22" t="n">
        <f aca="false">D9+D18</f>
        <v>0.429</v>
      </c>
      <c r="E27" s="22" t="n">
        <f aca="false">E9+E18</f>
        <v>0.585</v>
      </c>
      <c r="F27" s="22" t="n">
        <f aca="false">F9+F18</f>
        <v>0.702</v>
      </c>
      <c r="G27" s="22" t="n">
        <f aca="false">G9+G18</f>
        <v>0.78</v>
      </c>
      <c r="H27" s="22" t="n">
        <f aca="false">H9+H18</f>
        <v>1.267709352</v>
      </c>
      <c r="I27" s="22" t="n">
        <f aca="false">I9+I18</f>
        <v>1.58184829296</v>
      </c>
      <c r="J27" s="22" t="n">
        <f aca="false">J9+J18</f>
        <v>1.8547547726448</v>
      </c>
      <c r="K27" s="22" t="n">
        <f aca="false">K9+K18</f>
        <v>4.11150454430477</v>
      </c>
      <c r="L27" s="22" t="n">
        <f aca="false">L9+L18</f>
        <v>4.23489362832702</v>
      </c>
    </row>
    <row r="28" customFormat="false" ht="15" hidden="false" customHeight="false" outlineLevel="0" collapsed="false">
      <c r="A28" s="6"/>
      <c r="B28" s="20" t="s">
        <v>51</v>
      </c>
      <c r="C28" s="22" t="n">
        <f aca="false">C10+C19</f>
        <v>1.185</v>
      </c>
      <c r="D28" s="22" t="n">
        <f aca="false">D10+D19</f>
        <v>1.37046</v>
      </c>
      <c r="E28" s="22" t="n">
        <f aca="false">E10+E19</f>
        <v>1.52605776</v>
      </c>
      <c r="F28" s="22" t="n">
        <f aca="false">F10+F19</f>
        <v>1.65161410656</v>
      </c>
      <c r="G28" s="22" t="n">
        <f aca="false">G10+G19</f>
        <v>1.74694879119936</v>
      </c>
      <c r="H28" s="22" t="n">
        <f aca="false">H10+H19</f>
        <v>1.80438048394656</v>
      </c>
      <c r="I28" s="22" t="n">
        <f aca="false">I10+I19</f>
        <v>1.81520676685024</v>
      </c>
      <c r="J28" s="22" t="n">
        <f aca="false">J10+J19</f>
        <v>1.82609800745134</v>
      </c>
      <c r="K28" s="22" t="n">
        <f aca="false">K10+K19</f>
        <v>1.83705459549604</v>
      </c>
      <c r="L28" s="22" t="n">
        <f aca="false">L10+L19</f>
        <v>1.84807692306902</v>
      </c>
    </row>
    <row r="29" customFormat="false" ht="15" hidden="false" customHeight="false" outlineLevel="0" collapsed="false">
      <c r="A29" s="6"/>
      <c r="B29" s="20" t="s">
        <v>52</v>
      </c>
      <c r="C29" s="22" t="n">
        <f aca="false">C11+C20</f>
        <v>0.63</v>
      </c>
      <c r="D29" s="22" t="n">
        <f aca="false">D11+D20</f>
        <v>0.661111875</v>
      </c>
      <c r="E29" s="22" t="n">
        <f aca="false">E11+E20</f>
        <v>0.86891128734375</v>
      </c>
      <c r="F29" s="22" t="n">
        <f aca="false">F11+F20</f>
        <v>1.08712691878359</v>
      </c>
      <c r="G29" s="22" t="n">
        <f aca="false">G11+G20</f>
        <v>1.21728422993678</v>
      </c>
      <c r="H29" s="22" t="n">
        <f aca="false">H11+H20</f>
        <v>1.2011757766406</v>
      </c>
      <c r="I29" s="22" t="n">
        <f aca="false">I11+I20</f>
        <v>1.27966848284812</v>
      </c>
      <c r="J29" s="22" t="n">
        <f aca="false">J11+J20</f>
        <v>1.19536710420873</v>
      </c>
      <c r="K29" s="22" t="n">
        <f aca="false">K11+K20</f>
        <v>1.23426669398887</v>
      </c>
      <c r="L29" s="22" t="n">
        <f aca="false">L11+L20</f>
        <v>1.25702626350346</v>
      </c>
    </row>
    <row r="30" customFormat="false" ht="15" hidden="false" customHeight="false" outlineLevel="0" collapsed="false">
      <c r="A30" s="6"/>
      <c r="B30" s="20" t="s">
        <v>53</v>
      </c>
      <c r="C30" s="22" t="n">
        <f aca="false">C12+C21</f>
        <v>0.39</v>
      </c>
      <c r="D30" s="22" t="n">
        <f aca="false">D12+D21</f>
        <v>0.424632</v>
      </c>
      <c r="E30" s="22" t="n">
        <f aca="false">E12+E21</f>
        <v>0.584148045000001</v>
      </c>
      <c r="F30" s="22" t="n">
        <f aca="false">F12+F21</f>
        <v>0.654190965675</v>
      </c>
      <c r="G30" s="22" t="n">
        <f aca="false">G12+G21</f>
        <v>0.725727765160125</v>
      </c>
      <c r="H30" s="22" t="n">
        <f aca="false">H12+H21</f>
        <v>0.791209079637527</v>
      </c>
      <c r="I30" s="22" t="n">
        <f aca="false">I12+I21</f>
        <v>0.846753534232089</v>
      </c>
      <c r="J30" s="22" t="n">
        <f aca="false">J12+J21</f>
        <v>0.894395891965571</v>
      </c>
      <c r="K30" s="22" t="n">
        <f aca="false">K12+K21</f>
        <v>0.842188206708949</v>
      </c>
      <c r="L30" s="22" t="n">
        <f aca="false">L12+L21</f>
        <v>0.867788477571277</v>
      </c>
    </row>
    <row r="31" customFormat="false" ht="15" hidden="false" customHeight="false" outlineLevel="0" collapsed="false">
      <c r="A31" s="6"/>
      <c r="B31" s="20" t="s">
        <v>54</v>
      </c>
      <c r="C31" s="22" t="n">
        <f aca="false">C13+C22</f>
        <v>0.546</v>
      </c>
      <c r="D31" s="22" t="n">
        <f aca="false">D13+D22</f>
        <v>0.59259135</v>
      </c>
      <c r="E31" s="22" t="n">
        <f aca="false">E13+E22</f>
        <v>0.6707963808</v>
      </c>
      <c r="F31" s="22" t="n">
        <f aca="false">F13+F22</f>
        <v>0.7666337066544</v>
      </c>
      <c r="G31" s="22" t="n">
        <f aca="false">G13+G22</f>
        <v>0.863137032074179</v>
      </c>
      <c r="H31" s="22" t="n">
        <f aca="false">H13+H22</f>
        <v>0.952612791741514</v>
      </c>
      <c r="I31" s="22" t="n">
        <f aca="false">I13+I22</f>
        <v>2.04303465431172</v>
      </c>
      <c r="J31" s="22" t="n">
        <f aca="false">J13+J22</f>
        <v>2.10697960819648</v>
      </c>
      <c r="K31" s="22" t="n">
        <f aca="false">K13+K22</f>
        <v>2.14903365451509</v>
      </c>
      <c r="L31" s="22" t="n">
        <f aca="false">L13+L22</f>
        <v>2.17577489522301</v>
      </c>
    </row>
    <row r="32" customFormat="false" ht="15" hidden="false" customHeight="false" outlineLevel="0" collapsed="false">
      <c r="A32" s="6"/>
      <c r="B32" s="20" t="s">
        <v>55</v>
      </c>
      <c r="C32" s="22" t="n">
        <f aca="false">C14+C23</f>
        <v>0.35625</v>
      </c>
      <c r="D32" s="22" t="n">
        <f aca="false">D14+D23</f>
        <v>0.4269375</v>
      </c>
      <c r="E32" s="22" t="n">
        <f aca="false">E14+E23</f>
        <v>0.4903959375</v>
      </c>
      <c r="F32" s="22" t="n">
        <f aca="false">F14+F23</f>
        <v>0.5463722953125</v>
      </c>
      <c r="G32" s="22" t="n">
        <f aca="false">G14+G23</f>
        <v>0.594604700648438</v>
      </c>
      <c r="H32" s="22" t="n">
        <f aca="false">H14+H23</f>
        <v>0.634822115171133</v>
      </c>
      <c r="I32" s="22" t="n">
        <f aca="false">I14+I23</f>
        <v>0.657040889202122</v>
      </c>
      <c r="J32" s="22" t="n">
        <f aca="false">J14+J23</f>
        <v>0.680037320324197</v>
      </c>
      <c r="K32" s="22" t="n">
        <f aca="false">K14+K23</f>
        <v>0.703838626535544</v>
      </c>
      <c r="L32" s="22" t="n">
        <f aca="false">L14+L23</f>
        <v>0.728472978464288</v>
      </c>
    </row>
    <row r="33" customFormat="false" ht="15" hidden="false" customHeight="false" outlineLevel="0" collapsed="false">
      <c r="A33" s="6"/>
      <c r="B33" s="23" t="s">
        <v>192</v>
      </c>
      <c r="C33" s="24" t="n">
        <f aca="false">SUM(C26:C32)</f>
        <v>3.78</v>
      </c>
      <c r="D33" s="24" t="n">
        <f aca="false">SUM(D26:D32)</f>
        <v>4.709107725</v>
      </c>
      <c r="E33" s="24" t="n">
        <f aca="false">SUM(E26:E32)</f>
        <v>5.82218441064375</v>
      </c>
      <c r="F33" s="24" t="n">
        <f aca="false">SUM(F26:F32)</f>
        <v>6.7241879929855</v>
      </c>
      <c r="G33" s="24" t="n">
        <f aca="false">SUM(G26:G32)</f>
        <v>7.39020251901888</v>
      </c>
      <c r="H33" s="24" t="n">
        <f aca="false">SUM(H26:H32)</f>
        <v>9.01314887733579</v>
      </c>
      <c r="I33" s="24" t="n">
        <f aca="false">SUM(I26:I32)</f>
        <v>15.0145195175416</v>
      </c>
      <c r="J33" s="24" t="n">
        <f aca="false">SUM(J26:J32)</f>
        <v>15.4017382944075</v>
      </c>
      <c r="K33" s="24" t="n">
        <f aca="false">SUM(K26:K32)</f>
        <v>17.5562692834889</v>
      </c>
      <c r="L33" s="24" t="n">
        <f aca="false">SUM(L26:L32)</f>
        <v>17.4413080699021</v>
      </c>
    </row>
    <row r="34" customFormat="false" ht="15" hidden="false" customHeight="false" outlineLevel="0" collapsed="false">
      <c r="A34" s="6"/>
      <c r="B34" s="6"/>
      <c r="C34" s="6"/>
      <c r="D34" s="6"/>
      <c r="E34" s="6"/>
      <c r="F34" s="6"/>
      <c r="G34" s="6"/>
      <c r="H34" s="6"/>
      <c r="I34" s="6"/>
      <c r="J34" s="6"/>
      <c r="K34" s="6"/>
      <c r="L34" s="6"/>
    </row>
    <row r="35" customFormat="false" ht="15" hidden="false" customHeight="false" outlineLevel="0" collapsed="false">
      <c r="A35" s="6"/>
      <c r="B35" s="26" t="s">
        <v>193</v>
      </c>
      <c r="C35" s="35" t="n">
        <f aca="false">IFERROR(C33/Portfolio_NAV!C87,0)</f>
        <v>0.00968407715788476</v>
      </c>
      <c r="D35" s="35" t="n">
        <f aca="false">IFERROR(D33/Portfolio_NAV!D87,0)</f>
        <v>0.0110487830654751</v>
      </c>
      <c r="E35" s="35" t="n">
        <f aca="false">IFERROR(E33/Portfolio_NAV!E87,0)</f>
        <v>0.0122365704689259</v>
      </c>
      <c r="F35" s="35" t="n">
        <f aca="false">IFERROR(F33/Portfolio_NAV!F87,0)</f>
        <v>0.0126846663735404</v>
      </c>
      <c r="G35" s="35" t="n">
        <f aca="false">IFERROR(G33/Portfolio_NAV!G87,0)</f>
        <v>0.0126331138086885</v>
      </c>
      <c r="H35" s="35" t="n">
        <f aca="false">IFERROR(H33/Portfolio_NAV!H87,0)</f>
        <v>0.0141405486503697</v>
      </c>
      <c r="I35" s="35" t="n">
        <f aca="false">IFERROR(I33/Portfolio_NAV!I87,0)</f>
        <v>0.0221938354607667</v>
      </c>
      <c r="J35" s="35" t="n">
        <f aca="false">IFERROR(J33/Portfolio_NAV!J87,0)</f>
        <v>0.0219350012004411</v>
      </c>
      <c r="K35" s="35" t="n">
        <f aca="false">IFERROR(K33/Portfolio_NAV!K87,0)</f>
        <v>0.024525284342791</v>
      </c>
      <c r="L35" s="35" t="n">
        <f aca="false">IFERROR(L33/Portfolio_NAV!L87,0)</f>
        <v>0.0243170344253208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7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2" min="3" style="0" width="13"/>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26</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194</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c r="J4" s="6"/>
      <c r="K4" s="6"/>
      <c r="L4" s="6"/>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7" t="s">
        <v>47</v>
      </c>
      <c r="C6" s="19" t="n">
        <v>1</v>
      </c>
      <c r="D6" s="19" t="n">
        <v>2</v>
      </c>
      <c r="E6" s="19" t="n">
        <v>3</v>
      </c>
      <c r="F6" s="19" t="n">
        <v>4</v>
      </c>
      <c r="G6" s="19" t="n">
        <v>5</v>
      </c>
      <c r="H6" s="19" t="n">
        <v>6</v>
      </c>
      <c r="I6" s="19" t="n">
        <v>7</v>
      </c>
      <c r="J6" s="19" t="n">
        <v>8</v>
      </c>
      <c r="K6" s="19" t="n">
        <v>9</v>
      </c>
      <c r="L6" s="19" t="n">
        <v>10</v>
      </c>
    </row>
    <row r="7" customFormat="false" ht="15" hidden="false" customHeight="false" outlineLevel="0" collapsed="false">
      <c r="A7" s="6"/>
      <c r="B7" s="14" t="s">
        <v>195</v>
      </c>
      <c r="C7" s="15"/>
      <c r="D7" s="15"/>
      <c r="E7" s="15"/>
      <c r="F7" s="15"/>
      <c r="G7" s="15"/>
      <c r="H7" s="15"/>
      <c r="I7" s="15"/>
      <c r="J7" s="15"/>
      <c r="K7" s="15"/>
      <c r="L7" s="15"/>
    </row>
    <row r="8" customFormat="false" ht="15" hidden="false" customHeight="false" outlineLevel="0" collapsed="false">
      <c r="A8" s="6"/>
      <c r="B8" s="20" t="s">
        <v>49</v>
      </c>
      <c r="C8" s="22" t="n">
        <f aca="false">Portfolio_NAV!C12</f>
        <v>-4.52734375</v>
      </c>
      <c r="D8" s="22" t="n">
        <f aca="false">Portfolio_NAV!D12</f>
        <v>-2.80355625</v>
      </c>
      <c r="E8" s="22" t="n">
        <f aca="false">Portfolio_NAV!E12</f>
        <v>5.015878828125</v>
      </c>
      <c r="F8" s="22" t="n">
        <f aca="false">Portfolio_NAV!F12</f>
        <v>13.8775791</v>
      </c>
      <c r="G8" s="22" t="n">
        <f aca="false">Portfolio_NAV!G12</f>
        <v>22.1078554225313</v>
      </c>
      <c r="H8" s="22" t="n">
        <f aca="false">Portfolio_NAV!H12</f>
        <v>24.3327525842306</v>
      </c>
      <c r="I8" s="22" t="n">
        <f aca="false">Portfolio_NAV!I12</f>
        <v>23.116796191955</v>
      </c>
      <c r="J8" s="22" t="n">
        <f aca="false">Portfolio_NAV!J12</f>
        <v>20.2771320498638</v>
      </c>
      <c r="K8" s="22" t="n">
        <f aca="false">Portfolio_NAV!K12</f>
        <v>16.8985585992308</v>
      </c>
      <c r="L8" s="22" t="n">
        <f aca="false">Portfolio_NAV!L12</f>
        <v>13.3126151292886</v>
      </c>
    </row>
    <row r="9" customFormat="false" ht="15" hidden="false" customHeight="false" outlineLevel="0" collapsed="false">
      <c r="A9" s="6"/>
      <c r="B9" s="20" t="s">
        <v>50</v>
      </c>
      <c r="C9" s="22" t="n">
        <f aca="false">Portfolio_NAV!C22</f>
        <v>-4.017</v>
      </c>
      <c r="D9" s="22" t="n">
        <f aca="false">Portfolio_NAV!D22</f>
        <v>-1.95</v>
      </c>
      <c r="E9" s="22" t="n">
        <f aca="false">Portfolio_NAV!E22</f>
        <v>0</v>
      </c>
      <c r="F9" s="22" t="n">
        <f aca="false">Portfolio_NAV!F22</f>
        <v>4.499664</v>
      </c>
      <c r="G9" s="22" t="n">
        <f aca="false">Portfolio_NAV!G22</f>
        <v>13.390494</v>
      </c>
      <c r="H9" s="22" t="n">
        <f aca="false">Portfolio_NAV!H22</f>
        <v>19.57619196</v>
      </c>
      <c r="I9" s="22" t="n">
        <f aca="false">Portfolio_NAV!I22</f>
        <v>20.146804782</v>
      </c>
      <c r="J9" s="22" t="n">
        <f aca="false">Portfolio_NAV!J22</f>
        <v>18.786716443248</v>
      </c>
      <c r="K9" s="22" t="n">
        <f aca="false">Portfolio_NAV!K22</f>
        <v>15.5616432712229</v>
      </c>
      <c r="L9" s="22" t="n">
        <f aca="false">Portfolio_NAV!L22</f>
        <v>10.6637680601935</v>
      </c>
    </row>
    <row r="10" customFormat="false" ht="15" hidden="false" customHeight="false" outlineLevel="0" collapsed="false">
      <c r="A10" s="6"/>
      <c r="B10" s="20" t="s">
        <v>51</v>
      </c>
      <c r="C10" s="22" t="n">
        <f aca="false">Portfolio_NAV!C32</f>
        <v>4.1</v>
      </c>
      <c r="D10" s="22" t="n">
        <f aca="false">Portfolio_NAV!D32</f>
        <v>4.6932</v>
      </c>
      <c r="E10" s="22" t="n">
        <f aca="false">Portfolio_NAV!E32</f>
        <v>5.1868592</v>
      </c>
      <c r="F10" s="22" t="n">
        <f aca="false">Portfolio_NAV!F32</f>
        <v>5.5803803552</v>
      </c>
      <c r="G10" s="22" t="n">
        <f aca="false">Portfolio_NAV!G32</f>
        <v>5.8731626373312</v>
      </c>
      <c r="H10" s="22" t="n">
        <f aca="false">Portfolio_NAV!H32</f>
        <v>6.01460161315519</v>
      </c>
      <c r="I10" s="22" t="n">
        <f aca="false">Portfolio_NAV!I32</f>
        <v>6.05068922283412</v>
      </c>
      <c r="J10" s="22" t="n">
        <f aca="false">Portfolio_NAV!J32</f>
        <v>6.08699335817112</v>
      </c>
      <c r="K10" s="22" t="n">
        <f aca="false">Portfolio_NAV!K32</f>
        <v>6.12351531832015</v>
      </c>
      <c r="L10" s="22" t="n">
        <f aca="false">Portfolio_NAV!L32</f>
        <v>6.16025641023007</v>
      </c>
    </row>
    <row r="11" customFormat="false" ht="15" hidden="false" customHeight="false" outlineLevel="0" collapsed="false">
      <c r="A11" s="6"/>
      <c r="B11" s="20" t="s">
        <v>52</v>
      </c>
      <c r="C11" s="22" t="n">
        <f aca="false">Portfolio_NAV!C42</f>
        <v>2.71640625</v>
      </c>
      <c r="D11" s="22" t="n">
        <f aca="false">Portfolio_NAV!D42</f>
        <v>4.059103125</v>
      </c>
      <c r="E11" s="22" t="n">
        <f aca="false">Portfolio_NAV!E42</f>
        <v>5.792741915625</v>
      </c>
      <c r="F11" s="22" t="n">
        <f aca="false">Portfolio_NAV!F42</f>
        <v>7.24751279189063</v>
      </c>
      <c r="G11" s="22" t="n">
        <f aca="false">Portfolio_NAV!G42</f>
        <v>8.11522819957852</v>
      </c>
      <c r="H11" s="22" t="n">
        <f aca="false">Portfolio_NAV!H42</f>
        <v>8.00783851093735</v>
      </c>
      <c r="I11" s="22" t="n">
        <f aca="false">Portfolio_NAV!I42</f>
        <v>8.53112321898745</v>
      </c>
      <c r="J11" s="22" t="n">
        <f aca="false">Portfolio_NAV!J42</f>
        <v>7.96911402805819</v>
      </c>
      <c r="K11" s="22" t="n">
        <f aca="false">Portfolio_NAV!K42</f>
        <v>8.22844462659247</v>
      </c>
      <c r="L11" s="22" t="n">
        <f aca="false">Portfolio_NAV!L42</f>
        <v>7.38583601729537</v>
      </c>
    </row>
    <row r="12" customFormat="false" ht="15" hidden="false" customHeight="false" outlineLevel="0" collapsed="false">
      <c r="A12" s="6"/>
      <c r="B12" s="20" t="s">
        <v>53</v>
      </c>
      <c r="C12" s="22" t="n">
        <f aca="false">Portfolio_NAV!C52</f>
        <v>2.0085</v>
      </c>
      <c r="D12" s="22" t="n">
        <f aca="false">Portfolio_NAV!D52</f>
        <v>2.83088</v>
      </c>
      <c r="E12" s="22" t="n">
        <f aca="false">Portfolio_NAV!E52</f>
        <v>3.8943203</v>
      </c>
      <c r="F12" s="22" t="n">
        <f aca="false">Portfolio_NAV!F52</f>
        <v>4.3612731045</v>
      </c>
      <c r="G12" s="22" t="n">
        <f aca="false">Portfolio_NAV!G52</f>
        <v>4.8381851010675</v>
      </c>
      <c r="H12" s="22" t="n">
        <f aca="false">Portfolio_NAV!H52</f>
        <v>5.27472719758351</v>
      </c>
      <c r="I12" s="22" t="n">
        <f aca="false">Portfolio_NAV!I52</f>
        <v>5.64502356154727</v>
      </c>
      <c r="J12" s="22" t="n">
        <f aca="false">Portfolio_NAV!J52</f>
        <v>5.96263927977048</v>
      </c>
      <c r="K12" s="22" t="n">
        <f aca="false">Portfolio_NAV!K52</f>
        <v>5.61458804472633</v>
      </c>
      <c r="L12" s="22" t="n">
        <f aca="false">Portfolio_NAV!L52</f>
        <v>5.78525651714185</v>
      </c>
    </row>
    <row r="13" customFormat="false" ht="15" hidden="false" customHeight="false" outlineLevel="0" collapsed="false">
      <c r="A13" s="6"/>
      <c r="B13" s="20" t="s">
        <v>54</v>
      </c>
      <c r="C13" s="22" t="n">
        <f aca="false">Portfolio_NAV!C62</f>
        <v>4.2661125</v>
      </c>
      <c r="D13" s="22" t="n">
        <f aca="false">Portfolio_NAV!D62</f>
        <v>5.22978625</v>
      </c>
      <c r="E13" s="22" t="n">
        <f aca="false">Portfolio_NAV!E62</f>
        <v>6.512866074</v>
      </c>
      <c r="F13" s="22" t="n">
        <f aca="false">Portfolio_NAV!F62</f>
        <v>7.386773869332</v>
      </c>
      <c r="G13" s="22" t="n">
        <f aca="false">Portfolio_NAV!G62</f>
        <v>8.23331071817997</v>
      </c>
      <c r="H13" s="22" t="n">
        <f aca="false">Portfolio_NAV!H62</f>
        <v>8.95713880454722</v>
      </c>
      <c r="I13" s="22" t="n">
        <f aca="false">Portfolio_NAV!I62</f>
        <v>8.65573386221552</v>
      </c>
      <c r="J13" s="22" t="n">
        <f aca="false">Portfolio_NAV!J62</f>
        <v>8.87924432929365</v>
      </c>
      <c r="K13" s="22" t="n">
        <f aca="false">Portfolio_NAV!K62</f>
        <v>9.02442073374538</v>
      </c>
      <c r="L13" s="22" t="n">
        <f aca="false">Portfolio_NAV!L62</f>
        <v>8.20332757624376</v>
      </c>
    </row>
    <row r="14" customFormat="false" ht="15" hidden="false" customHeight="false" outlineLevel="0" collapsed="false">
      <c r="A14" s="6"/>
      <c r="B14" s="20" t="s">
        <v>55</v>
      </c>
      <c r="C14" s="22" t="n">
        <f aca="false">Portfolio_NAV!C72</f>
        <v>5.38125</v>
      </c>
      <c r="D14" s="22" t="n">
        <f aca="false">Portfolio_NAV!D72</f>
        <v>6.30525</v>
      </c>
      <c r="E14" s="22" t="n">
        <f aca="false">Portfolio_NAV!E72</f>
        <v>7.128043125</v>
      </c>
      <c r="F14" s="22" t="n">
        <f aca="false">Portfolio_NAV!F72</f>
        <v>7.846087134375</v>
      </c>
      <c r="G14" s="22" t="n">
        <f aca="false">Portfolio_NAV!G72</f>
        <v>8.45571580907813</v>
      </c>
      <c r="H14" s="22" t="n">
        <f aca="false">Portfolio_NAV!H72</f>
        <v>8.88750961239586</v>
      </c>
      <c r="I14" s="22" t="n">
        <f aca="false">Portfolio_NAV!I72</f>
        <v>9.19857244882972</v>
      </c>
      <c r="J14" s="22" t="n">
        <f aca="false">Portfolio_NAV!J72</f>
        <v>9.52052248453875</v>
      </c>
      <c r="K14" s="22" t="n">
        <f aca="false">Portfolio_NAV!K72</f>
        <v>9.85374077149761</v>
      </c>
      <c r="L14" s="22" t="n">
        <f aca="false">Portfolio_NAV!L72</f>
        <v>10.1986216985</v>
      </c>
    </row>
    <row r="15" customFormat="false" ht="15" hidden="false" customHeight="false" outlineLevel="0" collapsed="false">
      <c r="A15" s="6"/>
      <c r="B15" s="23" t="s">
        <v>196</v>
      </c>
      <c r="C15" s="24" t="n">
        <f aca="false">SUM(C8:C14)</f>
        <v>9.927925</v>
      </c>
      <c r="D15" s="24" t="n">
        <f aca="false">SUM(D8:D14)</f>
        <v>18.364663125</v>
      </c>
      <c r="E15" s="24" t="n">
        <f aca="false">SUM(E8:E14)</f>
        <v>33.53070944275</v>
      </c>
      <c r="F15" s="24" t="n">
        <f aca="false">SUM(F8:F14)</f>
        <v>50.7992703552976</v>
      </c>
      <c r="G15" s="24" t="n">
        <f aca="false">SUM(G8:G14)</f>
        <v>71.0139518877666</v>
      </c>
      <c r="H15" s="24" t="n">
        <f aca="false">SUM(H8:H14)</f>
        <v>81.0507602828498</v>
      </c>
      <c r="I15" s="24" t="n">
        <f aca="false">SUM(I8:I14)</f>
        <v>81.3447432883691</v>
      </c>
      <c r="J15" s="24" t="n">
        <f aca="false">SUM(J8:J14)</f>
        <v>77.482361972944</v>
      </c>
      <c r="K15" s="24" t="n">
        <f aca="false">SUM(K8:K14)</f>
        <v>71.3049113653356</v>
      </c>
      <c r="L15" s="24" t="n">
        <f aca="false">SUM(L8:L14)</f>
        <v>61.7096814088933</v>
      </c>
    </row>
    <row r="16" customFormat="false" ht="15" hidden="false" customHeight="false" outlineLevel="0" collapsed="false">
      <c r="A16" s="6"/>
      <c r="B16" s="14" t="s">
        <v>197</v>
      </c>
      <c r="C16" s="15"/>
      <c r="D16" s="15"/>
      <c r="E16" s="15"/>
      <c r="F16" s="15"/>
      <c r="G16" s="15"/>
      <c r="H16" s="15"/>
      <c r="I16" s="15"/>
      <c r="J16" s="15"/>
      <c r="K16" s="15"/>
      <c r="L16" s="15"/>
    </row>
    <row r="17" customFormat="false" ht="15" hidden="false" customHeight="false" outlineLevel="0" collapsed="false">
      <c r="A17" s="6"/>
      <c r="B17" s="20" t="s">
        <v>49</v>
      </c>
      <c r="C17" s="22" t="n">
        <f aca="false">C8-Fee_Analysis!C8-Fee_Analysis!C17</f>
        <v>-4.96609375</v>
      </c>
      <c r="D17" s="22" t="n">
        <f aca="false">D8-Fee_Analysis!D8-Fee_Analysis!D17</f>
        <v>-3.60793125</v>
      </c>
      <c r="E17" s="22" t="n">
        <f aca="false">E8-Fee_Analysis!E8-Fee_Analysis!E17</f>
        <v>3.919003828125</v>
      </c>
      <c r="F17" s="22" t="n">
        <f aca="false">F8-Fee_Analysis!F8-Fee_Analysis!F17</f>
        <v>12.5613291</v>
      </c>
      <c r="G17" s="22" t="n">
        <f aca="false">G8-Fee_Analysis!G8-Fee_Analysis!G17</f>
        <v>20.6453554225313</v>
      </c>
      <c r="H17" s="22" t="n">
        <f aca="false">H8-Fee_Analysis!H8-Fee_Analysis!H17</f>
        <v>21.9715133060322</v>
      </c>
      <c r="I17" s="22" t="n">
        <f aca="false">I8-Fee_Analysis!I8-Fee_Analysis!I17</f>
        <v>16.3258292948177</v>
      </c>
      <c r="J17" s="22" t="n">
        <f aca="false">J8-Fee_Analysis!J8-Fee_Analysis!J17</f>
        <v>13.4330264602474</v>
      </c>
      <c r="K17" s="22" t="n">
        <f aca="false">K8-Fee_Analysis!K8-Fee_Analysis!K17</f>
        <v>10.2201756372912</v>
      </c>
      <c r="L17" s="22" t="n">
        <f aca="false">L8-Fee_Analysis!L8-Fee_Analysis!L17</f>
        <v>6.98334022554461</v>
      </c>
    </row>
    <row r="18" customFormat="false" ht="15" hidden="false" customHeight="false" outlineLevel="0" collapsed="false">
      <c r="A18" s="6"/>
      <c r="B18" s="20" t="s">
        <v>50</v>
      </c>
      <c r="C18" s="22" t="n">
        <f aca="false">C9-Fee_Analysis!C9-Fee_Analysis!C18</f>
        <v>-4.251</v>
      </c>
      <c r="D18" s="22" t="n">
        <f aca="false">D9-Fee_Analysis!D9-Fee_Analysis!D18</f>
        <v>-2.379</v>
      </c>
      <c r="E18" s="22" t="n">
        <f aca="false">E9-Fee_Analysis!E9-Fee_Analysis!E18</f>
        <v>-0.585</v>
      </c>
      <c r="F18" s="22" t="n">
        <f aca="false">F9-Fee_Analysis!F9-Fee_Analysis!F18</f>
        <v>3.797664</v>
      </c>
      <c r="G18" s="22" t="n">
        <f aca="false">G9-Fee_Analysis!G9-Fee_Analysis!G18</f>
        <v>12.610494</v>
      </c>
      <c r="H18" s="22" t="n">
        <f aca="false">H9-Fee_Analysis!H9-Fee_Analysis!H18</f>
        <v>18.308482608</v>
      </c>
      <c r="I18" s="22" t="n">
        <f aca="false">I9-Fee_Analysis!I9-Fee_Analysis!I18</f>
        <v>18.56495648904</v>
      </c>
      <c r="J18" s="22" t="n">
        <f aca="false">J9-Fee_Analysis!J9-Fee_Analysis!J18</f>
        <v>16.9319616706032</v>
      </c>
      <c r="K18" s="22" t="n">
        <f aca="false">K9-Fee_Analysis!K9-Fee_Analysis!K18</f>
        <v>11.4501387269181</v>
      </c>
      <c r="L18" s="22" t="n">
        <f aca="false">L9-Fee_Analysis!L9-Fee_Analysis!L18</f>
        <v>6.42887443186652</v>
      </c>
    </row>
    <row r="19" customFormat="false" ht="15" hidden="false" customHeight="false" outlineLevel="0" collapsed="false">
      <c r="A19" s="6"/>
      <c r="B19" s="20" t="s">
        <v>51</v>
      </c>
      <c r="C19" s="22" t="n">
        <f aca="false">C10-Fee_Analysis!C10-Fee_Analysis!C19</f>
        <v>2.915</v>
      </c>
      <c r="D19" s="22" t="n">
        <f aca="false">D10-Fee_Analysis!D10-Fee_Analysis!D19</f>
        <v>3.32274</v>
      </c>
      <c r="E19" s="22" t="n">
        <f aca="false">E10-Fee_Analysis!E10-Fee_Analysis!E19</f>
        <v>3.66080144</v>
      </c>
      <c r="F19" s="22" t="n">
        <f aca="false">F10-Fee_Analysis!F10-Fee_Analysis!F19</f>
        <v>3.92876624864</v>
      </c>
      <c r="G19" s="22" t="n">
        <f aca="false">G10-Fee_Analysis!G10-Fee_Analysis!G19</f>
        <v>4.12621384613184</v>
      </c>
      <c r="H19" s="22" t="n">
        <f aca="false">H10-Fee_Analysis!H10-Fee_Analysis!H19</f>
        <v>4.21022112920863</v>
      </c>
      <c r="I19" s="22" t="n">
        <f aca="false">I10-Fee_Analysis!I10-Fee_Analysis!I19</f>
        <v>4.23548245598388</v>
      </c>
      <c r="J19" s="22" t="n">
        <f aca="false">J10-Fee_Analysis!J10-Fee_Analysis!J19</f>
        <v>4.26089535071979</v>
      </c>
      <c r="K19" s="22" t="n">
        <f aca="false">K10-Fee_Analysis!K10-Fee_Analysis!K19</f>
        <v>4.28646072282411</v>
      </c>
      <c r="L19" s="22" t="n">
        <f aca="false">L10-Fee_Analysis!L10-Fee_Analysis!L19</f>
        <v>4.31217948716105</v>
      </c>
    </row>
    <row r="20" customFormat="false" ht="15" hidden="false" customHeight="false" outlineLevel="0" collapsed="false">
      <c r="A20" s="6"/>
      <c r="B20" s="20" t="s">
        <v>52</v>
      </c>
      <c r="C20" s="22" t="n">
        <f aca="false">C11-Fee_Analysis!C11-Fee_Analysis!C20</f>
        <v>2.08640625</v>
      </c>
      <c r="D20" s="22" t="n">
        <f aca="false">D11-Fee_Analysis!D11-Fee_Analysis!D20</f>
        <v>3.39799125</v>
      </c>
      <c r="E20" s="22" t="n">
        <f aca="false">E11-Fee_Analysis!E11-Fee_Analysis!E20</f>
        <v>4.92383062828125</v>
      </c>
      <c r="F20" s="22" t="n">
        <f aca="false">F11-Fee_Analysis!F11-Fee_Analysis!F20</f>
        <v>6.16038587310703</v>
      </c>
      <c r="G20" s="22" t="n">
        <f aca="false">G11-Fee_Analysis!G11-Fee_Analysis!G20</f>
        <v>6.89794396964174</v>
      </c>
      <c r="H20" s="22" t="n">
        <f aca="false">H11-Fee_Analysis!H11-Fee_Analysis!H20</f>
        <v>6.80666273429675</v>
      </c>
      <c r="I20" s="22" t="n">
        <f aca="false">I11-Fee_Analysis!I11-Fee_Analysis!I20</f>
        <v>7.25145473613933</v>
      </c>
      <c r="J20" s="22" t="n">
        <f aca="false">J11-Fee_Analysis!J11-Fee_Analysis!J20</f>
        <v>6.77374692384946</v>
      </c>
      <c r="K20" s="22" t="n">
        <f aca="false">K11-Fee_Analysis!K11-Fee_Analysis!K20</f>
        <v>6.9941779326036</v>
      </c>
      <c r="L20" s="22" t="n">
        <f aca="false">L11-Fee_Analysis!L11-Fee_Analysis!L20</f>
        <v>6.12880975379192</v>
      </c>
    </row>
    <row r="21" customFormat="false" ht="15" hidden="false" customHeight="false" outlineLevel="0" collapsed="false">
      <c r="A21" s="6"/>
      <c r="B21" s="20" t="s">
        <v>53</v>
      </c>
      <c r="C21" s="22" t="n">
        <f aca="false">C12-Fee_Analysis!C12-Fee_Analysis!C21</f>
        <v>1.6185</v>
      </c>
      <c r="D21" s="22" t="n">
        <f aca="false">D12-Fee_Analysis!D12-Fee_Analysis!D21</f>
        <v>2.406248</v>
      </c>
      <c r="E21" s="22" t="n">
        <f aca="false">E12-Fee_Analysis!E12-Fee_Analysis!E21</f>
        <v>3.310172255</v>
      </c>
      <c r="F21" s="22" t="n">
        <f aca="false">F12-Fee_Analysis!F12-Fee_Analysis!F21</f>
        <v>3.707082138825</v>
      </c>
      <c r="G21" s="22" t="n">
        <f aca="false">G12-Fee_Analysis!G12-Fee_Analysis!G21</f>
        <v>4.11245733590738</v>
      </c>
      <c r="H21" s="22" t="n">
        <f aca="false">H12-Fee_Analysis!H12-Fee_Analysis!H21</f>
        <v>4.48351811794599</v>
      </c>
      <c r="I21" s="22" t="n">
        <f aca="false">I12-Fee_Analysis!I12-Fee_Analysis!I21</f>
        <v>4.79827002731518</v>
      </c>
      <c r="J21" s="22" t="n">
        <f aca="false">J12-Fee_Analysis!J12-Fee_Analysis!J21</f>
        <v>5.0682433878049</v>
      </c>
      <c r="K21" s="22" t="n">
        <f aca="false">K12-Fee_Analysis!K12-Fee_Analysis!K21</f>
        <v>4.77239983801738</v>
      </c>
      <c r="L21" s="22" t="n">
        <f aca="false">L12-Fee_Analysis!L12-Fee_Analysis!L21</f>
        <v>4.91746803957057</v>
      </c>
    </row>
    <row r="22" customFormat="false" ht="15" hidden="false" customHeight="false" outlineLevel="0" collapsed="false">
      <c r="A22" s="6"/>
      <c r="B22" s="20" t="s">
        <v>54</v>
      </c>
      <c r="C22" s="22" t="n">
        <f aca="false">C13-Fee_Analysis!C13-Fee_Analysis!C22</f>
        <v>3.7201125</v>
      </c>
      <c r="D22" s="22" t="n">
        <f aca="false">D13-Fee_Analysis!D13-Fee_Analysis!D22</f>
        <v>4.6371949</v>
      </c>
      <c r="E22" s="22" t="n">
        <f aca="false">E13-Fee_Analysis!E13-Fee_Analysis!E22</f>
        <v>5.8420696932</v>
      </c>
      <c r="F22" s="22" t="n">
        <f aca="false">F13-Fee_Analysis!F13-Fee_Analysis!F22</f>
        <v>6.6201401626776</v>
      </c>
      <c r="G22" s="22" t="n">
        <f aca="false">G13-Fee_Analysis!G13-Fee_Analysis!G22</f>
        <v>7.3701736861058</v>
      </c>
      <c r="H22" s="22" t="n">
        <f aca="false">H13-Fee_Analysis!H13-Fee_Analysis!H22</f>
        <v>8.0045260128057</v>
      </c>
      <c r="I22" s="22" t="n">
        <f aca="false">I13-Fee_Analysis!I13-Fee_Analysis!I22</f>
        <v>6.61269920790379</v>
      </c>
      <c r="J22" s="22" t="n">
        <f aca="false">J13-Fee_Analysis!J13-Fee_Analysis!J22</f>
        <v>6.77226472109718</v>
      </c>
      <c r="K22" s="22" t="n">
        <f aca="false">K13-Fee_Analysis!K13-Fee_Analysis!K22</f>
        <v>6.87538707923029</v>
      </c>
      <c r="L22" s="22" t="n">
        <f aca="false">L13-Fee_Analysis!L13-Fee_Analysis!L22</f>
        <v>6.02755268102075</v>
      </c>
    </row>
    <row r="23" customFormat="false" ht="15" hidden="false" customHeight="false" outlineLevel="0" collapsed="false">
      <c r="A23" s="6"/>
      <c r="B23" s="20" t="s">
        <v>55</v>
      </c>
      <c r="C23" s="22" t="n">
        <f aca="false">C14-Fee_Analysis!C14-Fee_Analysis!C23</f>
        <v>5.025</v>
      </c>
      <c r="D23" s="22" t="n">
        <f aca="false">D14-Fee_Analysis!D14-Fee_Analysis!D23</f>
        <v>5.8783125</v>
      </c>
      <c r="E23" s="22" t="n">
        <f aca="false">E14-Fee_Analysis!E14-Fee_Analysis!E23</f>
        <v>6.6376471875</v>
      </c>
      <c r="F23" s="22" t="n">
        <f aca="false">F14-Fee_Analysis!F14-Fee_Analysis!F23</f>
        <v>7.2997148390625</v>
      </c>
      <c r="G23" s="22" t="n">
        <f aca="false">G14-Fee_Analysis!G14-Fee_Analysis!G23</f>
        <v>7.86111110842969</v>
      </c>
      <c r="H23" s="22" t="n">
        <f aca="false">H14-Fee_Analysis!H14-Fee_Analysis!H23</f>
        <v>8.25268749722473</v>
      </c>
      <c r="I23" s="22" t="n">
        <f aca="false">I14-Fee_Analysis!I14-Fee_Analysis!I23</f>
        <v>8.54153155962759</v>
      </c>
      <c r="J23" s="22" t="n">
        <f aca="false">J14-Fee_Analysis!J14-Fee_Analysis!J23</f>
        <v>8.84048516421456</v>
      </c>
      <c r="K23" s="22" t="n">
        <f aca="false">K14-Fee_Analysis!K14-Fee_Analysis!K23</f>
        <v>9.14990214496207</v>
      </c>
      <c r="L23" s="22" t="n">
        <f aca="false">L14-Fee_Analysis!L14-Fee_Analysis!L23</f>
        <v>9.47014872003574</v>
      </c>
    </row>
    <row r="24" customFormat="false" ht="15" hidden="false" customHeight="false" outlineLevel="0" collapsed="false">
      <c r="A24" s="6"/>
      <c r="B24" s="23" t="s">
        <v>198</v>
      </c>
      <c r="C24" s="24" t="n">
        <f aca="false">SUM(C17:C23)</f>
        <v>6.147925</v>
      </c>
      <c r="D24" s="24" t="n">
        <f aca="false">SUM(D17:D23)</f>
        <v>13.6555554</v>
      </c>
      <c r="E24" s="24" t="n">
        <f aca="false">SUM(E17:E23)</f>
        <v>27.7085250321063</v>
      </c>
      <c r="F24" s="24" t="n">
        <f aca="false">SUM(F17:F23)</f>
        <v>44.0750823623121</v>
      </c>
      <c r="G24" s="24" t="n">
        <f aca="false">SUM(G17:G23)</f>
        <v>63.6237493687477</v>
      </c>
      <c r="H24" s="24" t="n">
        <f aca="false">SUM(H17:H23)</f>
        <v>72.037611405514</v>
      </c>
      <c r="I24" s="24" t="n">
        <f aca="false">SUM(I17:I23)</f>
        <v>66.3302237708275</v>
      </c>
      <c r="J24" s="24" t="n">
        <f aca="false">SUM(J17:J23)</f>
        <v>62.0806236785365</v>
      </c>
      <c r="K24" s="24" t="n">
        <f aca="false">SUM(K17:K23)</f>
        <v>53.7486420818467</v>
      </c>
      <c r="L24" s="24" t="n">
        <f aca="false">SUM(L17:L23)</f>
        <v>44.2683733389912</v>
      </c>
    </row>
    <row r="25" customFormat="false" ht="15" hidden="false" customHeight="false" outlineLevel="0" collapsed="false">
      <c r="A25" s="6"/>
      <c r="B25" s="14" t="s">
        <v>199</v>
      </c>
      <c r="C25" s="15"/>
      <c r="D25" s="15"/>
      <c r="E25" s="15"/>
      <c r="F25" s="15"/>
      <c r="G25" s="15"/>
      <c r="H25" s="15"/>
      <c r="I25" s="15"/>
      <c r="J25" s="15"/>
      <c r="K25" s="15"/>
      <c r="L25" s="15"/>
    </row>
    <row r="26" customFormat="false" ht="15" hidden="false" customHeight="false" outlineLevel="0" collapsed="false">
      <c r="A26" s="6"/>
      <c r="B26" s="20" t="s">
        <v>49</v>
      </c>
      <c r="C26" s="21" t="n">
        <f aca="false">IFERROR(C8/((Portfolio_NAV!C9+Portfolio_NAV!C16)/2),0)</f>
        <v>-0.0514097995328317</v>
      </c>
      <c r="D26" s="21" t="n">
        <f aca="false">IFERROR(D8/((Portfolio_NAV!D9+Portfolio_NAV!D16)/2),0)</f>
        <v>-0.0305905095830234</v>
      </c>
      <c r="E26" s="21" t="n">
        <f aca="false">IFERROR(E8/((Portfolio_NAV!E9+Portfolio_NAV!E16)/2),0)</f>
        <v>0.0490420620420285</v>
      </c>
      <c r="F26" s="21" t="n">
        <f aca="false">IFERROR(F8/((Portfolio_NAV!F9+Portfolio_NAV!F16)/2),0)</f>
        <v>0.122069690283174</v>
      </c>
      <c r="G26" s="21" t="n">
        <f aca="false">IFERROR(G8/((Portfolio_NAV!G9+Portfolio_NAV!G16)/2),0)</f>
        <v>0.177812089393802</v>
      </c>
      <c r="H26" s="21" t="n">
        <f aca="false">IFERROR(H8/((Portfolio_NAV!H9+Portfolio_NAV!H16)/2),0)</f>
        <v>0.178485234924515</v>
      </c>
      <c r="I26" s="21" t="n">
        <f aca="false">IFERROR(I8/((Portfolio_NAV!I9+Portfolio_NAV!I16)/2),0)</f>
        <v>0.162757655786841</v>
      </c>
      <c r="J26" s="21" t="n">
        <f aca="false">IFERROR(J8/((Portfolio_NAV!J9+Portfolio_NAV!J16)/2),0)</f>
        <v>0.143953139199584</v>
      </c>
      <c r="K26" s="21" t="n">
        <f aca="false">IFERROR(K8/((Portfolio_NAV!K9+Portfolio_NAV!K16)/2),0)</f>
        <v>0.124715889845623</v>
      </c>
      <c r="L26" s="21" t="n">
        <f aca="false">IFERROR(L8/((Portfolio_NAV!L9+Portfolio_NAV!L16)/2),0)</f>
        <v>0.105048454403373</v>
      </c>
    </row>
    <row r="27" customFormat="false" ht="15" hidden="false" customHeight="false" outlineLevel="0" collapsed="false">
      <c r="A27" s="6"/>
      <c r="B27" s="20" t="s">
        <v>50</v>
      </c>
      <c r="C27" s="21" t="n">
        <f aca="false">IFERROR(C9/((Portfolio_NAV!C19+Portfolio_NAV!C26)/2),0)</f>
        <v>-0.105586878523834</v>
      </c>
      <c r="D27" s="21" t="n">
        <f aca="false">IFERROR(D9/((Portfolio_NAV!D19+Portfolio_NAV!D26)/2),0)</f>
        <v>-0.0515729757607014</v>
      </c>
      <c r="E27" s="21" t="n">
        <f aca="false">IFERROR(E9/((Portfolio_NAV!E19+Portfolio_NAV!E26)/2),0)</f>
        <v>0</v>
      </c>
      <c r="F27" s="21" t="n">
        <f aca="false">IFERROR(F9/((Portfolio_NAV!F19+Portfolio_NAV!F26)/2),0)</f>
        <v>0.0959509267760435</v>
      </c>
      <c r="G27" s="21" t="n">
        <f aca="false">IFERROR(G9/((Portfolio_NAV!G19+Portfolio_NAV!G26)/2),0)</f>
        <v>0.233666911168517</v>
      </c>
      <c r="H27" s="21" t="n">
        <f aca="false">IFERROR(H9/((Portfolio_NAV!H19+Portfolio_NAV!H26)/2),0)</f>
        <v>0.274796223120797</v>
      </c>
      <c r="I27" s="21" t="n">
        <f aca="false">IFERROR(I9/((Portfolio_NAV!I19+Portfolio_NAV!I26)/2),0)</f>
        <v>0.234496732935369</v>
      </c>
      <c r="J27" s="21" t="n">
        <f aca="false">IFERROR(J9/((Portfolio_NAV!J19+Portfolio_NAV!J26)/2),0)</f>
        <v>0.192166552603384</v>
      </c>
      <c r="K27" s="21" t="n">
        <f aca="false">IFERROR(K9/((Portfolio_NAV!K19+Portfolio_NAV!K26)/2),0)</f>
        <v>0.149157928479858</v>
      </c>
      <c r="L27" s="21" t="n">
        <f aca="false">IFERROR(L9/((Portfolio_NAV!L19+Portfolio_NAV!L26)/2),0)</f>
        <v>0.101988532547728</v>
      </c>
    </row>
    <row r="28" customFormat="false" ht="15" hidden="false" customHeight="false" outlineLevel="0" collapsed="false">
      <c r="A28" s="6"/>
      <c r="B28" s="20" t="s">
        <v>51</v>
      </c>
      <c r="C28" s="21" t="n">
        <f aca="false">IFERROR(C10/((Portfolio_NAV!C29+Portfolio_NAV!C36)/2),0)</f>
        <v>0.0795807453416149</v>
      </c>
      <c r="D28" s="21" t="n">
        <f aca="false">IFERROR(D10/((Portfolio_NAV!D29+Portfolio_NAV!D36)/2),0)</f>
        <v>0.0796296167472628</v>
      </c>
      <c r="E28" s="21" t="n">
        <f aca="false">IFERROR(E10/((Portfolio_NAV!E29+Portfolio_NAV!E36)/2),0)</f>
        <v>0.0796657759094863</v>
      </c>
      <c r="F28" s="21" t="n">
        <f aca="false">IFERROR(F10/((Portfolio_NAV!F29+Portfolio_NAV!F36)/2),0)</f>
        <v>0.0796945089091212</v>
      </c>
      <c r="G28" s="21" t="n">
        <f aca="false">IFERROR(G10/((Portfolio_NAV!G29+Portfolio_NAV!G36)/2),0)</f>
        <v>0.079718766171814</v>
      </c>
      <c r="H28" s="21" t="n">
        <f aca="false">IFERROR(H10/((Portfolio_NAV!H29+Portfolio_NAV!H36)/2),0)</f>
        <v>0.0797607178464606</v>
      </c>
      <c r="I28" s="21" t="n">
        <f aca="false">IFERROR(I10/((Portfolio_NAV!I29+Portfolio_NAV!I36)/2),0)</f>
        <v>0.0797607178464606</v>
      </c>
      <c r="J28" s="21" t="n">
        <f aca="false">IFERROR(J10/((Portfolio_NAV!J29+Portfolio_NAV!J36)/2),0)</f>
        <v>0.0797607178464606</v>
      </c>
      <c r="K28" s="21" t="n">
        <f aca="false">IFERROR(K10/((Portfolio_NAV!K29+Portfolio_NAV!K36)/2),0)</f>
        <v>0.0797607178464606</v>
      </c>
      <c r="L28" s="21" t="n">
        <f aca="false">IFERROR(L10/((Portfolio_NAV!L29+Portfolio_NAV!L36)/2),0)</f>
        <v>0.0797607178464606</v>
      </c>
    </row>
    <row r="29" customFormat="false" ht="15" hidden="false" customHeight="false" outlineLevel="0" collapsed="false">
      <c r="A29" s="6"/>
      <c r="B29" s="20" t="s">
        <v>52</v>
      </c>
      <c r="C29" s="21" t="n">
        <f aca="false">IFERROR(C11/((Portfolio_NAV!C39+Portfolio_NAV!C46)/2),0)</f>
        <v>0.0504942687480123</v>
      </c>
      <c r="D29" s="21" t="n">
        <f aca="false">IFERROR(D11/((Portfolio_NAV!D39+Portfolio_NAV!D46)/2),0)</f>
        <v>0.0699442542495636</v>
      </c>
      <c r="E29" s="21" t="n">
        <f aca="false">IFERROR(E11/((Portfolio_NAV!E39+Portfolio_NAV!E46)/2),0)</f>
        <v>0.0891239192807234</v>
      </c>
      <c r="F29" s="21" t="n">
        <f aca="false">IFERROR(F11/((Portfolio_NAV!F39+Portfolio_NAV!F46)/2),0)</f>
        <v>0.0986260714207621</v>
      </c>
      <c r="G29" s="21" t="n">
        <f aca="false">IFERROR(G11/((Portfolio_NAV!G39+Portfolio_NAV!G46)/2),0)</f>
        <v>0.0986501159742568</v>
      </c>
      <c r="H29" s="21" t="n">
        <f aca="false">IFERROR(H11/((Portfolio_NAV!H39+Portfolio_NAV!H46)/2),0)</f>
        <v>0.0891919555331468</v>
      </c>
      <c r="I29" s="21" t="n">
        <f aca="false">IFERROR(I11/((Portfolio_NAV!I39+Portfolio_NAV!I46)/2),0)</f>
        <v>0.0892131433339945</v>
      </c>
      <c r="J29" s="21" t="n">
        <f aca="false">IFERROR(J11/((Portfolio_NAV!J39+Portfolio_NAV!J46)/2),0)</f>
        <v>0.0796490049287007</v>
      </c>
      <c r="K29" s="21" t="n">
        <f aca="false">IFERROR(K11/((Portfolio_NAV!K39+Portfolio_NAV!K46)/2),0)</f>
        <v>0.0796578325977144</v>
      </c>
      <c r="L29" s="21" t="n">
        <f aca="false">IFERROR(L11/((Portfolio_NAV!L39+Portfolio_NAV!L46)/2),0)</f>
        <v>0.0700518928052269</v>
      </c>
    </row>
    <row r="30" customFormat="false" ht="15" hidden="false" customHeight="false" outlineLevel="0" collapsed="false">
      <c r="A30" s="6"/>
      <c r="B30" s="20" t="s">
        <v>53</v>
      </c>
      <c r="C30" s="21" t="n">
        <f aca="false">IFERROR(C12/((Portfolio_NAV!C49+Portfolio_NAV!C56)/2),0)</f>
        <v>0.060594175899598</v>
      </c>
      <c r="D30" s="21" t="n">
        <f aca="false">IFERROR(D12/((Portfolio_NAV!D49+Portfolio_NAV!D56)/2),0)</f>
        <v>0.0799540161600666</v>
      </c>
      <c r="E30" s="21" t="n">
        <f aca="false">IFERROR(E12/((Portfolio_NAV!E49+Portfolio_NAV!E56)/2),0)</f>
        <v>0.0990855213985006</v>
      </c>
      <c r="F30" s="21" t="n">
        <f aca="false">IFERROR(F12/((Portfolio_NAV!F49+Portfolio_NAV!F56)/2),0)</f>
        <v>0.0990956075888219</v>
      </c>
      <c r="G30" s="21" t="n">
        <f aca="false">IFERROR(G12/((Portfolio_NAV!G49+Portfolio_NAV!G56)/2),0)</f>
        <v>0.0991170632466518</v>
      </c>
      <c r="H30" s="21" t="n">
        <f aca="false">IFERROR(H12/((Portfolio_NAV!H49+Portfolio_NAV!H56)/2),0)</f>
        <v>0.0991539006891977</v>
      </c>
      <c r="I30" s="21" t="n">
        <f aca="false">IFERROR(I12/((Portfolio_NAV!I49+Portfolio_NAV!I56)/2),0)</f>
        <v>0.0991795535582819</v>
      </c>
      <c r="J30" s="21" t="n">
        <f aca="false">IFERROR(J12/((Portfolio_NAV!J49+Portfolio_NAV!J56)/2),0)</f>
        <v>0.099197988700971</v>
      </c>
      <c r="K30" s="21" t="n">
        <f aca="false">IFERROR(K12/((Portfolio_NAV!K49+Portfolio_NAV!K56)/2),0)</f>
        <v>0.0896684708979174</v>
      </c>
      <c r="L30" s="21" t="n">
        <f aca="false">IFERROR(L12/((Portfolio_NAV!L49+Portfolio_NAV!L56)/2),0)</f>
        <v>0.0896774066021305</v>
      </c>
    </row>
    <row r="31" customFormat="false" ht="15" hidden="false" customHeight="false" outlineLevel="0" collapsed="false">
      <c r="A31" s="6"/>
      <c r="B31" s="20" t="s">
        <v>54</v>
      </c>
      <c r="C31" s="21" t="n">
        <f aca="false">IFERROR(C13/((Portfolio_NAV!C59+Portfolio_NAV!C66)/2),0)</f>
        <v>0.0899240100497865</v>
      </c>
      <c r="D31" s="21" t="n">
        <f aca="false">IFERROR(D13/((Portfolio_NAV!D59+Portfolio_NAV!D66)/2),0)</f>
        <v>0.0993478620538144</v>
      </c>
      <c r="E31" s="21" t="n">
        <f aca="false">IFERROR(E13/((Portfolio_NAV!E59+Portfolio_NAV!E66)/2),0)</f>
        <v>0.108741835265751</v>
      </c>
      <c r="F31" s="21" t="n">
        <f aca="false">IFERROR(F13/((Portfolio_NAV!F59+Portfolio_NAV!F66)/2),0)</f>
        <v>0.108777614330142</v>
      </c>
      <c r="G31" s="21" t="n">
        <f aca="false">IFERROR(G13/((Portfolio_NAV!G59+Portfolio_NAV!G66)/2),0)</f>
        <v>0.108825265818325</v>
      </c>
      <c r="H31" s="21" t="n">
        <f aca="false">IFERROR(H13/((Portfolio_NAV!H59+Portfolio_NAV!H66)/2),0)</f>
        <v>0.108894205732094</v>
      </c>
      <c r="I31" s="21" t="n">
        <f aca="false">IFERROR(I13/((Portfolio_NAV!I59+Portfolio_NAV!I66)/2),0)</f>
        <v>0.100114168074024</v>
      </c>
      <c r="J31" s="21" t="n">
        <f aca="false">IFERROR(J13/((Portfolio_NAV!J59+Portfolio_NAV!J66)/2),0)</f>
        <v>0.10014154127296</v>
      </c>
      <c r="K31" s="21" t="n">
        <f aca="false">IFERROR(K13/((Portfolio_NAV!K59+Portfolio_NAV!K66)/2),0)</f>
        <v>0.100159854531829</v>
      </c>
      <c r="L31" s="21" t="n">
        <f aca="false">IFERROR(L13/((Portfolio_NAV!L59+Portfolio_NAV!L66)/2),0)</f>
        <v>0.0906088917784333</v>
      </c>
    </row>
    <row r="32" customFormat="false" ht="15" hidden="false" customHeight="false" outlineLevel="0" collapsed="false">
      <c r="A32" s="6"/>
      <c r="B32" s="20" t="s">
        <v>55</v>
      </c>
      <c r="C32" s="21" t="n">
        <f aca="false">IFERROR(C14/((Portfolio_NAV!C69+Portfolio_NAV!C76)/2),0)</f>
        <v>0.068709600191525</v>
      </c>
      <c r="D32" s="21" t="n">
        <f aca="false">IFERROR(D14/((Portfolio_NAV!D69+Portfolio_NAV!D76)/2),0)</f>
        <v>0.0687345488809787</v>
      </c>
      <c r="E32" s="21" t="n">
        <f aca="false">IFERROR(E14/((Portfolio_NAV!E69+Portfolio_NAV!E76)/2),0)</f>
        <v>0.0687525224964055</v>
      </c>
      <c r="F32" s="21" t="n">
        <f aca="false">IFERROR(F14/((Portfolio_NAV!F69+Portfolio_NAV!F76)/2),0)</f>
        <v>0.0687663919794192</v>
      </c>
      <c r="G32" s="21" t="n">
        <f aca="false">IFERROR(G14/((Portfolio_NAV!G69+Portfolio_NAV!G76)/2),0)</f>
        <v>0.0687777076298869</v>
      </c>
      <c r="H32" s="21" t="n">
        <f aca="false">IFERROR(H14/((Portfolio_NAV!H69+Portfolio_NAV!H76)/2),0)</f>
        <v>0.0687960687960688</v>
      </c>
      <c r="I32" s="21" t="n">
        <f aca="false">IFERROR(I14/((Portfolio_NAV!I69+Portfolio_NAV!I76)/2),0)</f>
        <v>0.0687960687960688</v>
      </c>
      <c r="J32" s="21" t="n">
        <f aca="false">IFERROR(J14/((Portfolio_NAV!J69+Portfolio_NAV!J76)/2),0)</f>
        <v>0.0687960687960688</v>
      </c>
      <c r="K32" s="21" t="n">
        <f aca="false">IFERROR(K14/((Portfolio_NAV!K69+Portfolio_NAV!K76)/2),0)</f>
        <v>0.0687960687960688</v>
      </c>
      <c r="L32" s="21" t="n">
        <f aca="false">IFERROR(L14/((Portfolio_NAV!L69+Portfolio_NAV!L76)/2),0)</f>
        <v>0.0687960687960688</v>
      </c>
    </row>
    <row r="33" customFormat="false" ht="15" hidden="false" customHeight="false" outlineLevel="0" collapsed="false">
      <c r="A33" s="6"/>
      <c r="B33" s="23" t="s">
        <v>200</v>
      </c>
      <c r="C33" s="43" t="n">
        <f aca="false">IFERROR(C15/Portfolio_NAV!C87,0)</f>
        <v>0.0254346009835167</v>
      </c>
      <c r="D33" s="43" t="n">
        <f aca="false">IFERROR(D15/Portfolio_NAV!D87,0)</f>
        <v>0.0430882432061276</v>
      </c>
      <c r="E33" s="43" t="n">
        <f aca="false">IFERROR(E15/Portfolio_NAV!E87,0)</f>
        <v>0.0704719844014564</v>
      </c>
      <c r="F33" s="43" t="n">
        <f aca="false">IFERROR(F15/Portfolio_NAV!F87,0)</f>
        <v>0.095828938326594</v>
      </c>
      <c r="G33" s="43" t="n">
        <f aca="false">IFERROR(G15/Portfolio_NAV!G87,0)</f>
        <v>0.12139414771031</v>
      </c>
      <c r="H33" s="43" t="n">
        <f aca="false">IFERROR(H15/Portfolio_NAV!H87,0)</f>
        <v>0.127158913552515</v>
      </c>
      <c r="I33" s="43" t="n">
        <f aca="false">IFERROR(I15/Portfolio_NAV!I87,0)</f>
        <v>0.120240401035222</v>
      </c>
      <c r="J33" s="43" t="n">
        <f aca="false">IFERROR(J15/Portfolio_NAV!J87,0)</f>
        <v>0.110349602778712</v>
      </c>
      <c r="K33" s="43" t="n">
        <f aca="false">IFERROR(K15/Portfolio_NAV!K87,0)</f>
        <v>0.0996096151200546</v>
      </c>
      <c r="L33" s="43" t="n">
        <f aca="false">IFERROR(L15/Portfolio_NAV!L87,0)</f>
        <v>0.0860369211518698</v>
      </c>
    </row>
    <row r="34" customFormat="false" ht="15" hidden="false" customHeight="false" outlineLevel="0" collapsed="false">
      <c r="A34" s="6"/>
      <c r="B34" s="14" t="s">
        <v>201</v>
      </c>
      <c r="C34" s="15"/>
      <c r="D34" s="15"/>
      <c r="E34" s="15"/>
      <c r="F34" s="15"/>
      <c r="G34" s="15"/>
      <c r="H34" s="15"/>
      <c r="I34" s="15"/>
      <c r="J34" s="15"/>
      <c r="K34" s="15"/>
      <c r="L34" s="15"/>
    </row>
    <row r="35" customFormat="false" ht="15" hidden="false" customHeight="false" outlineLevel="0" collapsed="false">
      <c r="A35" s="6"/>
      <c r="B35" s="20" t="s">
        <v>49</v>
      </c>
      <c r="C35" s="21" t="n">
        <f aca="false">IFERROR(C17/((Portfolio_NAV!C9+Portfolio_NAV!C16)/2),0)</f>
        <v>-0.0563919813132698</v>
      </c>
      <c r="D35" s="21" t="n">
        <f aca="false">IFERROR(D17/((Portfolio_NAV!D9+Portfolio_NAV!D16)/2),0)</f>
        <v>-0.0393673055348951</v>
      </c>
      <c r="E35" s="21" t="n">
        <f aca="false">IFERROR(E17/((Portfolio_NAV!E9+Portfolio_NAV!E16)/2),0)</f>
        <v>0.0383175183188584</v>
      </c>
      <c r="F35" s="21" t="n">
        <f aca="false">IFERROR(F17/((Portfolio_NAV!F9+Portfolio_NAV!F16)/2),0)</f>
        <v>0.110491717736418</v>
      </c>
      <c r="G35" s="21" t="n">
        <f aca="false">IFERROR(G17/((Portfolio_NAV!G9+Portfolio_NAV!G16)/2),0)</f>
        <v>0.166049293963477</v>
      </c>
      <c r="H35" s="21" t="n">
        <f aca="false">IFERROR(H17/((Portfolio_NAV!H9+Portfolio_NAV!H16)/2),0)</f>
        <v>0.161165108653418</v>
      </c>
      <c r="I35" s="21" t="n">
        <f aca="false">IFERROR(I17/((Portfolio_NAV!I9+Portfolio_NAV!I16)/2),0)</f>
        <v>0.114944721696573</v>
      </c>
      <c r="J35" s="21" t="n">
        <f aca="false">IFERROR(J17/((Portfolio_NAV!J9+Portfolio_NAV!J16)/2),0)</f>
        <v>0.0953648831180088</v>
      </c>
      <c r="K35" s="21" t="n">
        <f aca="false">IFERROR(K17/((Portfolio_NAV!K9+Portfolio_NAV!K16)/2),0)</f>
        <v>0.0754276343451769</v>
      </c>
      <c r="L35" s="21" t="n">
        <f aca="false">IFERROR(L17/((Portfolio_NAV!L9+Portfolio_NAV!L16)/2),0)</f>
        <v>0.0551048077437781</v>
      </c>
    </row>
    <row r="36" customFormat="false" ht="15" hidden="false" customHeight="false" outlineLevel="0" collapsed="false">
      <c r="A36" s="6"/>
      <c r="B36" s="20" t="s">
        <v>50</v>
      </c>
      <c r="C36" s="21" t="n">
        <f aca="false">IFERROR(C18/((Portfolio_NAV!C19+Portfolio_NAV!C26)/2),0)</f>
        <v>-0.111737570476679</v>
      </c>
      <c r="D36" s="21" t="n">
        <f aca="false">IFERROR(D18/((Portfolio_NAV!D19+Portfolio_NAV!D26)/2),0)</f>
        <v>-0.0629190304280557</v>
      </c>
      <c r="E36" s="21" t="n">
        <f aca="false">IFERROR(E18/((Portfolio_NAV!E19+Portfolio_NAV!E26)/2),0)</f>
        <v>-0.0144272386265269</v>
      </c>
      <c r="F36" s="21" t="n">
        <f aca="false">IFERROR(F18/((Portfolio_NAV!F19+Portfolio_NAV!F26)/2),0)</f>
        <v>0.0809814644791293</v>
      </c>
      <c r="G36" s="21" t="n">
        <f aca="false">IFERROR(G18/((Portfolio_NAV!G19+Portfolio_NAV!G26)/2),0)</f>
        <v>0.22005574859965</v>
      </c>
      <c r="H36" s="21" t="n">
        <f aca="false">IFERROR(H18/((Portfolio_NAV!H19+Portfolio_NAV!H26)/2),0)</f>
        <v>0.257001049133112</v>
      </c>
      <c r="I36" s="21" t="n">
        <f aca="false">IFERROR(I18/((Portfolio_NAV!I19+Portfolio_NAV!I26)/2),0)</f>
        <v>0.216084966865649</v>
      </c>
      <c r="J36" s="21" t="n">
        <f aca="false">IFERROR(J18/((Portfolio_NAV!J19+Portfolio_NAV!J26)/2),0)</f>
        <v>0.17319453949718</v>
      </c>
      <c r="K36" s="21" t="n">
        <f aca="false">IFERROR(K18/((Portfolio_NAV!K19+Portfolio_NAV!K26)/2),0)</f>
        <v>0.109749268990915</v>
      </c>
      <c r="L36" s="21" t="n">
        <f aca="false">IFERROR(L18/((Portfolio_NAV!L19+Portfolio_NAV!L26)/2),0)</f>
        <v>0.0614859086899321</v>
      </c>
    </row>
    <row r="37" customFormat="false" ht="15" hidden="false" customHeight="false" outlineLevel="0" collapsed="false">
      <c r="A37" s="6"/>
      <c r="B37" s="20" t="s">
        <v>51</v>
      </c>
      <c r="C37" s="21" t="n">
        <f aca="false">IFERROR(C19/((Portfolio_NAV!C29+Portfolio_NAV!C36)/2),0)</f>
        <v>0.0565799689440994</v>
      </c>
      <c r="D37" s="21" t="n">
        <f aca="false">IFERROR(D19/((Portfolio_NAV!D29+Portfolio_NAV!D36)/2),0)</f>
        <v>0.0563769949609648</v>
      </c>
      <c r="E37" s="21" t="n">
        <f aca="false">IFERROR(E19/((Portfolio_NAV!E29+Portfolio_NAV!E36)/2),0)</f>
        <v>0.0562268177952787</v>
      </c>
      <c r="F37" s="21" t="n">
        <f aca="false">IFERROR(F19/((Portfolio_NAV!F29+Portfolio_NAV!F36)/2),0)</f>
        <v>0.0561074831596983</v>
      </c>
      <c r="G37" s="21" t="n">
        <f aca="false">IFERROR(G19/((Portfolio_NAV!G29+Portfolio_NAV!G36)/2),0)</f>
        <v>0.0560067372702888</v>
      </c>
      <c r="H37" s="21" t="n">
        <f aca="false">IFERROR(H19/((Portfolio_NAV!H29+Portfolio_NAV!H36)/2),0)</f>
        <v>0.0558325024925224</v>
      </c>
      <c r="I37" s="21" t="n">
        <f aca="false">IFERROR(I19/((Portfolio_NAV!I29+Portfolio_NAV!I36)/2),0)</f>
        <v>0.0558325024925224</v>
      </c>
      <c r="J37" s="21" t="n">
        <f aca="false">IFERROR(J19/((Portfolio_NAV!J29+Portfolio_NAV!J36)/2),0)</f>
        <v>0.0558325024925224</v>
      </c>
      <c r="K37" s="21" t="n">
        <f aca="false">IFERROR(K19/((Portfolio_NAV!K29+Portfolio_NAV!K36)/2),0)</f>
        <v>0.0558325024925224</v>
      </c>
      <c r="L37" s="21" t="n">
        <f aca="false">IFERROR(L19/((Portfolio_NAV!L29+Portfolio_NAV!L36)/2),0)</f>
        <v>0.0558325024925224</v>
      </c>
    </row>
    <row r="38" customFormat="false" ht="15" hidden="false" customHeight="false" outlineLevel="0" collapsed="false">
      <c r="A38" s="6"/>
      <c r="B38" s="20" t="s">
        <v>52</v>
      </c>
      <c r="C38" s="21" t="n">
        <f aca="false">IFERROR(C20/((Portfolio_NAV!C39+Portfolio_NAV!C46)/2),0)</f>
        <v>0.0387834323032619</v>
      </c>
      <c r="D38" s="21" t="n">
        <f aca="false">IFERROR(D20/((Portfolio_NAV!D39+Portfolio_NAV!D46)/2),0)</f>
        <v>0.0585523344957619</v>
      </c>
      <c r="E38" s="21" t="n">
        <f aca="false">IFERROR(E20/((Portfolio_NAV!E39+Portfolio_NAV!E46)/2),0)</f>
        <v>0.0757553313886149</v>
      </c>
      <c r="F38" s="21" t="n">
        <f aca="false">IFERROR(F20/((Portfolio_NAV!F39+Portfolio_NAV!F46)/2),0)</f>
        <v>0.0838321607076478</v>
      </c>
      <c r="G38" s="21" t="n">
        <f aca="false">IFERROR(G20/((Portfolio_NAV!G39+Portfolio_NAV!G46)/2),0)</f>
        <v>0.0838525985781183</v>
      </c>
      <c r="H38" s="21" t="n">
        <f aca="false">IFERROR(H20/((Portfolio_NAV!H39+Portfolio_NAV!H46)/2),0)</f>
        <v>0.0758131622031747</v>
      </c>
      <c r="I38" s="21" t="n">
        <f aca="false">IFERROR(I20/((Portfolio_NAV!I39+Portfolio_NAV!I46)/2),0)</f>
        <v>0.0758311718338954</v>
      </c>
      <c r="J38" s="21" t="n">
        <f aca="false">IFERROR(J20/((Portfolio_NAV!J39+Portfolio_NAV!J46)/2),0)</f>
        <v>0.0677016541893956</v>
      </c>
      <c r="K38" s="21" t="n">
        <f aca="false">IFERROR(K20/((Portfolio_NAV!K39+Portfolio_NAV!K46)/2),0)</f>
        <v>0.0677091577080572</v>
      </c>
      <c r="L38" s="21" t="n">
        <f aca="false">IFERROR(L20/((Portfolio_NAV!L39+Portfolio_NAV!L46)/2),0)</f>
        <v>0.0581294687413706</v>
      </c>
    </row>
    <row r="39" customFormat="false" ht="15" hidden="false" customHeight="false" outlineLevel="0" collapsed="false">
      <c r="A39" s="6"/>
      <c r="B39" s="20" t="s">
        <v>53</v>
      </c>
      <c r="C39" s="21" t="n">
        <f aca="false">IFERROR(C21/((Portfolio_NAV!C49+Portfolio_NAV!C56)/2),0)</f>
        <v>0.0488283165016178</v>
      </c>
      <c r="D39" s="21" t="n">
        <f aca="false">IFERROR(D21/((Portfolio_NAV!D49+Portfolio_NAV!D56)/2),0)</f>
        <v>0.0679609137360566</v>
      </c>
      <c r="E39" s="21" t="n">
        <f aca="false">IFERROR(E21/((Portfolio_NAV!E49+Portfolio_NAV!E56)/2),0)</f>
        <v>0.0842226931887256</v>
      </c>
      <c r="F39" s="21" t="n">
        <f aca="false">IFERROR(F21/((Portfolio_NAV!F49+Portfolio_NAV!F56)/2),0)</f>
        <v>0.0842312664504986</v>
      </c>
      <c r="G39" s="21" t="n">
        <f aca="false">IFERROR(G21/((Portfolio_NAV!G49+Portfolio_NAV!G56)/2),0)</f>
        <v>0.0842495037596541</v>
      </c>
      <c r="H39" s="21" t="n">
        <f aca="false">IFERROR(H21/((Portfolio_NAV!H49+Portfolio_NAV!H56)/2),0)</f>
        <v>0.084280815585818</v>
      </c>
      <c r="I39" s="21" t="n">
        <f aca="false">IFERROR(I21/((Portfolio_NAV!I49+Portfolio_NAV!I56)/2),0)</f>
        <v>0.0843026205245396</v>
      </c>
      <c r="J39" s="21" t="n">
        <f aca="false">IFERROR(J21/((Portfolio_NAV!J49+Portfolio_NAV!J56)/2),0)</f>
        <v>0.0843182903958254</v>
      </c>
      <c r="K39" s="21" t="n">
        <f aca="false">IFERROR(K21/((Portfolio_NAV!K49+Portfolio_NAV!K56)/2),0)</f>
        <v>0.0762182002632298</v>
      </c>
      <c r="L39" s="21" t="n">
        <f aca="false">IFERROR(L21/((Portfolio_NAV!L49+Portfolio_NAV!L56)/2),0)</f>
        <v>0.076225795611811</v>
      </c>
    </row>
    <row r="40" customFormat="false" ht="15" hidden="false" customHeight="false" outlineLevel="0" collapsed="false">
      <c r="A40" s="6"/>
      <c r="B40" s="20" t="s">
        <v>54</v>
      </c>
      <c r="C40" s="21" t="n">
        <f aca="false">IFERROR(C22/((Portfolio_NAV!C59+Portfolio_NAV!C66)/2),0)</f>
        <v>0.0784150520728969</v>
      </c>
      <c r="D40" s="21" t="n">
        <f aca="false">IFERROR(D22/((Portfolio_NAV!D59+Portfolio_NAV!D66)/2),0)</f>
        <v>0.0880906746890184</v>
      </c>
      <c r="E40" s="21" t="n">
        <f aca="false">IFERROR(E22/((Portfolio_NAV!E59+Portfolio_NAV!E66)/2),0)</f>
        <v>0.0975419075059871</v>
      </c>
      <c r="F40" s="21" t="n">
        <f aca="false">IFERROR(F22/((Portfolio_NAV!F59+Portfolio_NAV!F66)/2),0)</f>
        <v>0.0974881681997867</v>
      </c>
      <c r="G40" s="21" t="n">
        <f aca="false">IFERROR(G22/((Portfolio_NAV!G59+Portfolio_NAV!G66)/2),0)</f>
        <v>0.0974165967946108</v>
      </c>
      <c r="H40" s="21" t="n">
        <f aca="false">IFERROR(H22/((Portfolio_NAV!H59+Portfolio_NAV!H66)/2),0)</f>
        <v>0.097313050679069</v>
      </c>
      <c r="I40" s="21" t="n">
        <f aca="false">IFERROR(I22/((Portfolio_NAV!I59+Portfolio_NAV!I66)/2),0)</f>
        <v>0.0764839689460597</v>
      </c>
      <c r="J40" s="21" t="n">
        <f aca="false">IFERROR(J22/((Portfolio_NAV!J59+Portfolio_NAV!J66)/2),0)</f>
        <v>0.0763786874116925</v>
      </c>
      <c r="K40" s="21" t="n">
        <f aca="false">IFERROR(K22/((Portfolio_NAV!K59+Portfolio_NAV!K66)/2),0)</f>
        <v>0.0763082518006581</v>
      </c>
      <c r="L40" s="21" t="n">
        <f aca="false">IFERROR(L22/((Portfolio_NAV!L59+Portfolio_NAV!L66)/2),0)</f>
        <v>0.066576625581188</v>
      </c>
    </row>
    <row r="41" customFormat="false" ht="15" hidden="false" customHeight="false" outlineLevel="0" collapsed="false">
      <c r="A41" s="6"/>
      <c r="B41" s="20" t="s">
        <v>55</v>
      </c>
      <c r="C41" s="21" t="n">
        <f aca="false">IFERROR(C23/((Portfolio_NAV!C69+Portfolio_NAV!C76)/2),0)</f>
        <v>0.0641608810150826</v>
      </c>
      <c r="D41" s="21" t="n">
        <f aca="false">IFERROR(D23/((Portfolio_NAV!D69+Portfolio_NAV!D76)/2),0)</f>
        <v>0.0640804342205176</v>
      </c>
      <c r="E41" s="21" t="n">
        <f aca="false">IFERROR(E23/((Portfolio_NAV!E69+Portfolio_NAV!E76)/2),0)</f>
        <v>0.0640224784809781</v>
      </c>
      <c r="F41" s="21" t="n">
        <f aca="false">IFERROR(F23/((Portfolio_NAV!F69+Portfolio_NAV!F76)/2),0)</f>
        <v>0.0639777564745259</v>
      </c>
      <c r="G41" s="21" t="n">
        <f aca="false">IFERROR(G23/((Portfolio_NAV!G69+Portfolio_NAV!G76)/2),0)</f>
        <v>0.0639412692750585</v>
      </c>
      <c r="H41" s="21" t="n">
        <f aca="false">IFERROR(H23/((Portfolio_NAV!H69+Portfolio_NAV!H76)/2),0)</f>
        <v>0.0638820638820639</v>
      </c>
      <c r="I41" s="21" t="n">
        <f aca="false">IFERROR(I23/((Portfolio_NAV!I69+Portfolio_NAV!I76)/2),0)</f>
        <v>0.0638820638820639</v>
      </c>
      <c r="J41" s="21" t="n">
        <f aca="false">IFERROR(J23/((Portfolio_NAV!J69+Portfolio_NAV!J76)/2),0)</f>
        <v>0.0638820638820639</v>
      </c>
      <c r="K41" s="21" t="n">
        <f aca="false">IFERROR(K23/((Portfolio_NAV!K69+Portfolio_NAV!K76)/2),0)</f>
        <v>0.0638820638820639</v>
      </c>
      <c r="L41" s="21" t="n">
        <f aca="false">IFERROR(L23/((Portfolio_NAV!L69+Portfolio_NAV!L76)/2),0)</f>
        <v>0.0638820638820639</v>
      </c>
    </row>
    <row r="42" customFormat="false" ht="15" hidden="false" customHeight="false" outlineLevel="0" collapsed="false">
      <c r="A42" s="6"/>
      <c r="B42" s="23" t="s">
        <v>202</v>
      </c>
      <c r="C42" s="43" t="n">
        <f aca="false">IFERROR(C24/Portfolio_NAV!C87,0)</f>
        <v>0.0157505238256319</v>
      </c>
      <c r="D42" s="43" t="n">
        <f aca="false">IFERROR(D24/Portfolio_NAV!D87,0)</f>
        <v>0.0320394601406526</v>
      </c>
      <c r="E42" s="43" t="n">
        <f aca="false">IFERROR(E24/Portfolio_NAV!E87,0)</f>
        <v>0.0582354139325305</v>
      </c>
      <c r="F42" s="43" t="n">
        <f aca="false">IFERROR(F24/Portfolio_NAV!F87,0)</f>
        <v>0.0831442719530536</v>
      </c>
      <c r="G42" s="43" t="n">
        <f aca="false">IFERROR(G24/Portfolio_NAV!G87,0)</f>
        <v>0.108761033901621</v>
      </c>
      <c r="H42" s="43" t="n">
        <f aca="false">IFERROR(H24/Portfolio_NAV!H87,0)</f>
        <v>0.113018364902146</v>
      </c>
      <c r="I42" s="43" t="n">
        <f aca="false">IFERROR(I24/Portfolio_NAV!I87,0)</f>
        <v>0.0980465655744553</v>
      </c>
      <c r="J42" s="43" t="n">
        <f aca="false">IFERROR(J24/Portfolio_NAV!J87,0)</f>
        <v>0.0884146015782707</v>
      </c>
      <c r="K42" s="43" t="n">
        <f aca="false">IFERROR(K24/Portfolio_NAV!K87,0)</f>
        <v>0.0750843307772636</v>
      </c>
      <c r="L42" s="43" t="n">
        <f aca="false">IFERROR(L24/Portfolio_NAV!L87,0)</f>
        <v>0.061719886726549</v>
      </c>
    </row>
    <row r="43" customFormat="false" ht="15" hidden="false" customHeight="false" outlineLevel="0" collapsed="false">
      <c r="A43" s="6"/>
      <c r="B43" s="6"/>
      <c r="C43" s="6"/>
      <c r="D43" s="6"/>
      <c r="E43" s="6"/>
      <c r="F43" s="6"/>
      <c r="G43" s="6"/>
      <c r="H43" s="6"/>
      <c r="I43" s="6"/>
      <c r="J43" s="6"/>
      <c r="K43" s="6"/>
      <c r="L43" s="6"/>
    </row>
    <row r="44" customFormat="false" ht="15" hidden="false" customHeight="false" outlineLevel="0" collapsed="false">
      <c r="A44" s="6"/>
      <c r="B44" s="26" t="s">
        <v>203</v>
      </c>
      <c r="C44" s="35" t="n">
        <f aca="false">Alloc_PE*C35+Alloc_VC*C36+Alloc_HF*C37+Alloc_RE*C38+Alloc_Infra*C39+Alloc_PC*C40+Alloc_Liq*C41</f>
        <v>0.00866992852628112</v>
      </c>
      <c r="D44" s="35" t="n">
        <f aca="false">Alloc_PE*D35+Alloc_VC*D36+Alloc_HF*D37+Alloc_RE*D38+Alloc_Infra*D39+Alloc_PC*D40+Alloc_Liq*D41</f>
        <v>0.024888383851626</v>
      </c>
      <c r="E44" s="35" t="n">
        <f aca="false">Alloc_PE*E35+Alloc_VC*E36+Alloc_HF*E37+Alloc_RE*E38+Alloc_Infra*E39+Alloc_PC*E40+Alloc_Liq*E41</f>
        <v>0.0555401814991491</v>
      </c>
      <c r="F44" s="35" t="n">
        <f aca="false">Alloc_PE*F35+Alloc_VC*F36+Alloc_HF*F37+Alloc_RE*F38+Alloc_Infra*F39+Alloc_PC*F40+Alloc_Liq*F41</f>
        <v>0.0862195295759181</v>
      </c>
      <c r="G44" s="35" t="n">
        <f aca="false">Alloc_PE*G35+Alloc_VC*G36+Alloc_HF*G37+Alloc_RE*G38+Alloc_Infra*G39+Alloc_PC*G40+Alloc_Liq*G41</f>
        <v>0.116777875187097</v>
      </c>
      <c r="H44" s="35" t="n">
        <f aca="false">Alloc_PE*H35+Alloc_VC*H36+Alloc_HF*H37+Alloc_RE*H38+Alloc_Infra*H39+Alloc_PC*H40+Alloc_Liq*H41</f>
        <v>0.118747715368227</v>
      </c>
      <c r="I44" s="35" t="n">
        <f aca="false">Alloc_PE*I35+Alloc_VC*I36+Alloc_HF*I37+Alloc_RE*I38+Alloc_Infra*I39+Alloc_PC*I40+Alloc_Liq*I41</f>
        <v>0.099579790070109</v>
      </c>
      <c r="J44" s="35" t="n">
        <f aca="false">Alloc_PE*J35+Alloc_VC*J36+Alloc_HF*J37+Alloc_RE*J38+Alloc_Infra*J39+Alloc_PC*J40+Alloc_Liq*J41</f>
        <v>0.0883064318822376</v>
      </c>
      <c r="K44" s="35" t="n">
        <f aca="false">Alloc_PE*K35+Alloc_VC*K36+Alloc_HF*K37+Alloc_RE*K38+Alloc_Infra*K39+Alloc_PC*K40+Alloc_Liq*K41</f>
        <v>0.074890647113383</v>
      </c>
      <c r="L44" s="35" t="n">
        <f aca="false">Alloc_PE*L35+Alloc_VC*L36+Alloc_HF*L37+Alloc_RE*L38+Alloc_Infra*L39+Alloc_PC*L40+Alloc_Liq*L41</f>
        <v>0.0613170320082393</v>
      </c>
    </row>
    <row r="45" customFormat="false" ht="15" hidden="false" customHeight="false" outlineLevel="0" collapsed="false">
      <c r="A45" s="6"/>
      <c r="B45" s="14" t="s">
        <v>204</v>
      </c>
      <c r="C45" s="15"/>
      <c r="D45" s="15"/>
      <c r="E45" s="15"/>
      <c r="F45" s="15"/>
      <c r="G45" s="15"/>
      <c r="H45" s="15"/>
      <c r="I45" s="15"/>
      <c r="J45" s="15"/>
      <c r="K45" s="15"/>
      <c r="L45" s="15"/>
    </row>
    <row r="46" customFormat="false" ht="15" hidden="false" customHeight="false" outlineLevel="0" collapsed="false">
      <c r="A46" s="6"/>
      <c r="B46" s="20" t="s">
        <v>49</v>
      </c>
      <c r="C46" s="25" t="n">
        <f aca="false">IFERROR((Capital_Activity!C35+Portfolio_NAV!C16)/(OpenNAV_PE+Capital_Activity!C17),0)</f>
        <v>0.946939899833055</v>
      </c>
      <c r="D46" s="25" t="n">
        <f aca="false">IFERROR((Capital_Activity!D35+Portfolio_NAV!D16)/(OpenNAV_PE+Capital_Activity!D17),0)</f>
        <v>0.916952311766932</v>
      </c>
      <c r="E46" s="25" t="n">
        <f aca="false">IFERROR((Capital_Activity!E35+Portfolio_NAV!E16)/(OpenNAV_PE+Capital_Activity!E17),0)</f>
        <v>0.959359351351351</v>
      </c>
      <c r="F46" s="25" t="n">
        <f aca="false">IFERROR((Capital_Activity!F35+Portfolio_NAV!F16)/(OpenNAV_PE+Capital_Activity!F17),0)</f>
        <v>1.06271760874136</v>
      </c>
      <c r="G46" s="25" t="n">
        <f aca="false">IFERROR((Capital_Activity!G35+Portfolio_NAV!G16)/(OpenNAV_PE+Capital_Activity!G17),0)</f>
        <v>1.20881171848551</v>
      </c>
      <c r="H46" s="25" t="n">
        <f aca="false">IFERROR((Capital_Activity!H35+Portfolio_NAV!H16)/(OpenNAV_PE+Capital_Activity!H17),0)</f>
        <v>1.34906641210818</v>
      </c>
      <c r="I46" s="25" t="n">
        <f aca="false">IFERROR((Capital_Activity!I35+Portfolio_NAV!I16)/(OpenNAV_PE+Capital_Activity!I17),0)</f>
        <v>1.4434692867837</v>
      </c>
      <c r="J46" s="25" t="n">
        <f aca="false">IFERROR((Capital_Activity!J35+Portfolio_NAV!J16)/(OpenNAV_PE+Capital_Activity!J17),0)</f>
        <v>1.51713701236137</v>
      </c>
      <c r="K46" s="25" t="n">
        <f aca="false">IFERROR((Capital_Activity!K35+Portfolio_NAV!K16)/(OpenNAV_PE+Capital_Activity!K17),0)</f>
        <v>1.57056009407623</v>
      </c>
      <c r="L46" s="25" t="n">
        <f aca="false">IFERROR((Capital_Activity!L35+Portfolio_NAV!L16)/(OpenNAV_PE+Capital_Activity!L17),0)</f>
        <v>1.60492747781683</v>
      </c>
    </row>
    <row r="47" customFormat="false" ht="15" hidden="false" customHeight="false" outlineLevel="0" collapsed="false">
      <c r="A47" s="6"/>
      <c r="B47" s="20" t="s">
        <v>50</v>
      </c>
      <c r="C47" s="25" t="n">
        <f aca="false">IFERROR((Capital_Activity!C36+Portfolio_NAV!C26)/(OpenNAV_VC+Capital_Activity!C18),0)</f>
        <v>0.897169811320755</v>
      </c>
      <c r="D47" s="25" t="n">
        <f aca="false">IFERROR((Capital_Activity!D36+Portfolio_NAV!D26)/(OpenNAV_VC+Capital_Activity!D18),0)</f>
        <v>0.853195164075993</v>
      </c>
      <c r="E47" s="25" t="n">
        <f aca="false">IFERROR((Capital_Activity!E36+Portfolio_NAV!E26)/(OpenNAV_VC+Capital_Activity!E18),0)</f>
        <v>0.855061109370103</v>
      </c>
      <c r="F47" s="25" t="n">
        <f aca="false">IFERROR((Capital_Activity!F36+Portfolio_NAV!F26)/(OpenNAV_VC+Capital_Activity!F18),0)</f>
        <v>0.937461459403906</v>
      </c>
      <c r="G47" s="25" t="n">
        <f aca="false">IFERROR((Capital_Activity!G36+Portfolio_NAV!G26)/(OpenNAV_VC+Capital_Activity!G18),0)</f>
        <v>1.15498890127925</v>
      </c>
      <c r="H47" s="25" t="n">
        <f aca="false">IFERROR((Capital_Activity!H36+Portfolio_NAV!H26)/(OpenNAV_VC+Capital_Activity!H18),0)</f>
        <v>1.43617427121435</v>
      </c>
      <c r="I47" s="25" t="n">
        <f aca="false">IFERROR((Capital_Activity!I36+Portfolio_NAV!I26)/(OpenNAV_VC+Capital_Activity!I18),0)</f>
        <v>1.69753946144331</v>
      </c>
      <c r="J47" s="25" t="n">
        <f aca="false">IFERROR((Capital_Activity!J36+Portfolio_NAV!J26)/(OpenNAV_VC+Capital_Activity!J18),0)</f>
        <v>1.92058403692807</v>
      </c>
      <c r="K47" s="25" t="n">
        <f aca="false">IFERROR((Capital_Activity!K36+Portfolio_NAV!K26)/(OpenNAV_VC+Capital_Activity!K18),0)</f>
        <v>2.05831264581671</v>
      </c>
      <c r="L47" s="25" t="n">
        <f aca="false">IFERROR((Capital_Activity!L36+Portfolio_NAV!L26)/(OpenNAV_VC+Capital_Activity!L18),0)</f>
        <v>2.12521746746793</v>
      </c>
    </row>
    <row r="48" customFormat="false" ht="15" hidden="false" customHeight="false" outlineLevel="0" collapsed="false">
      <c r="A48" s="6"/>
      <c r="B48" s="20" t="s">
        <v>51</v>
      </c>
      <c r="C48" s="25" t="n">
        <f aca="false">IFERROR((Capital_Activity!C37+Portfolio_NAV!C36)/(OpenNAV_HF+Capital_Activity!C19),0)</f>
        <v>1.053</v>
      </c>
      <c r="D48" s="25" t="n">
        <f aca="false">IFERROR((Capital_Activity!D37+Portfolio_NAV!D36)/(OpenNAV_HF+Capital_Activity!D19),0)</f>
        <v>1.10184065306122</v>
      </c>
      <c r="E48" s="25" t="n">
        <f aca="false">IFERROR((Capital_Activity!E37+Portfolio_NAV!E36)/(OpenNAV_HF+Capital_Activity!E19),0)</f>
        <v>1.14941194626415</v>
      </c>
      <c r="F48" s="25" t="n">
        <f aca="false">IFERROR((Capital_Activity!F37+Portfolio_NAV!F36)/(OpenNAV_HF+Capital_Activity!F19),0)</f>
        <v>1.19753296698057</v>
      </c>
      <c r="G48" s="25" t="n">
        <f aca="false">IFERROR((Capital_Activity!G37+Portfolio_NAV!G36)/(OpenNAV_HF+Capital_Activity!G19),0)</f>
        <v>1.24763477978996</v>
      </c>
      <c r="H48" s="25" t="n">
        <f aca="false">IFERROR((Capital_Activity!H37+Portfolio_NAV!H36)/(OpenNAV_HF+Capital_Activity!H19),0)</f>
        <v>1.30570679536525</v>
      </c>
      <c r="I48" s="25" t="n">
        <f aca="false">IFERROR((Capital_Activity!I37+Portfolio_NAV!I36)/(OpenNAV_HF+Capital_Activity!I19),0)</f>
        <v>1.36412724303399</v>
      </c>
      <c r="J48" s="25" t="n">
        <f aca="false">IFERROR((Capital_Activity!J37+Portfolio_NAV!J36)/(OpenNAV_HF+Capital_Activity!J19),0)</f>
        <v>1.42289821338875</v>
      </c>
      <c r="K48" s="25" t="n">
        <f aca="false">IFERROR((Capital_Activity!K37+Portfolio_NAV!K36)/(OpenNAV_HF+Capital_Activity!K19),0)</f>
        <v>1.48202180956563</v>
      </c>
      <c r="L48" s="25" t="n">
        <f aca="false">IFERROR((Capital_Activity!L37+Portfolio_NAV!L36)/(OpenNAV_HF+Capital_Activity!L19),0)</f>
        <v>1.54150014731958</v>
      </c>
    </row>
    <row r="49" customFormat="false" ht="15" hidden="false" customHeight="false" outlineLevel="0" collapsed="false">
      <c r="A49" s="6"/>
      <c r="B49" s="20" t="s">
        <v>52</v>
      </c>
      <c r="C49" s="25" t="n">
        <f aca="false">IFERROR((Capital_Activity!C38+Portfolio_NAV!C46)/(OpenNAV_RE+Capital_Activity!C20),0)</f>
        <v>1.03715358931553</v>
      </c>
      <c r="D49" s="25" t="n">
        <f aca="false">IFERROR((Capital_Activity!D38+Portfolio_NAV!D46)/(OpenNAV_RE+Capital_Activity!D20),0)</f>
        <v>1.08853611804767</v>
      </c>
      <c r="E49" s="25" t="n">
        <f aca="false">IFERROR((Capital_Activity!E38+Portfolio_NAV!E46)/(OpenNAV_RE+Capital_Activity!E20),0)</f>
        <v>1.15144834176486</v>
      </c>
      <c r="F49" s="25" t="n">
        <f aca="false">IFERROR((Capital_Activity!F38+Portfolio_NAV!F46)/(OpenNAV_RE+Capital_Activity!F20),0)</f>
        <v>1.2190537521374</v>
      </c>
      <c r="G49" s="25" t="n">
        <f aca="false">IFERROR((Capital_Activity!G38+Portfolio_NAV!G46)/(OpenNAV_RE+Capital_Activity!G20),0)</f>
        <v>1.28603659249143</v>
      </c>
      <c r="H49" s="25" t="n">
        <f aca="false">IFERROR((Capital_Activity!H38+Portfolio_NAV!H46)/(OpenNAV_RE+Capital_Activity!H20),0)</f>
        <v>1.3485979186138</v>
      </c>
      <c r="I49" s="25" t="n">
        <f aca="false">IFERROR((Capital_Activity!I38+Portfolio_NAV!I46)/(OpenNAV_RE+Capital_Activity!I20),0)</f>
        <v>1.41489126173117</v>
      </c>
      <c r="J49" s="25" t="n">
        <f aca="false">IFERROR((Capital_Activity!J38+Portfolio_NAV!J46)/(OpenNAV_RE+Capital_Activity!J20),0)</f>
        <v>1.4755807558705</v>
      </c>
      <c r="K49" s="25" t="n">
        <f aca="false">IFERROR((Capital_Activity!K38+Portfolio_NAV!K46)/(OpenNAV_RE+Capital_Activity!K20),0)</f>
        <v>1.53894653479128</v>
      </c>
      <c r="L49" s="25" t="n">
        <f aca="false">IFERROR((Capital_Activity!L38+Portfolio_NAV!L46)/(OpenNAV_RE+Capital_Activity!L20),0)</f>
        <v>1.59386219068811</v>
      </c>
    </row>
    <row r="50" customFormat="false" ht="15" hidden="false" customHeight="false" outlineLevel="0" collapsed="false">
      <c r="A50" s="6"/>
      <c r="B50" s="20" t="s">
        <v>53</v>
      </c>
      <c r="C50" s="25" t="n">
        <f aca="false">IFERROR((Capital_Activity!C39+Portfolio_NAV!C56)/(OpenNAV_Infra+Capital_Activity!C21),0)</f>
        <v>1.04698113207547</v>
      </c>
      <c r="D50" s="25" t="n">
        <f aca="false">IFERROR((Capital_Activity!D39+Portfolio_NAV!D56)/(OpenNAV_Infra+Capital_Activity!D21),0)</f>
        <v>1.10694162348877</v>
      </c>
      <c r="E50" s="25" t="n">
        <f aca="false">IFERROR((Capital_Activity!E39+Portfolio_NAV!E56)/(OpenNAV_Infra+Capital_Activity!E21),0)</f>
        <v>1.17681749764964</v>
      </c>
      <c r="F50" s="25" t="n">
        <f aca="false">IFERROR((Capital_Activity!F39+Portfolio_NAV!F56)/(OpenNAV_Infra+Capital_Activity!F21),0)</f>
        <v>1.24248738138775</v>
      </c>
      <c r="G50" s="25" t="n">
        <f aca="false">IFERROR((Capital_Activity!G39+Portfolio_NAV!G56)/(OpenNAV_Infra+Capital_Activity!G21),0)</f>
        <v>1.30658971330528</v>
      </c>
      <c r="H50" s="25" t="n">
        <f aca="false">IFERROR((Capital_Activity!H39+Portfolio_NAV!H56)/(OpenNAV_Infra+Capital_Activity!H21),0)</f>
        <v>1.37374849586289</v>
      </c>
      <c r="I50" s="25" t="n">
        <f aca="false">IFERROR((Capital_Activity!I39+Portfolio_NAV!I56)/(OpenNAV_Infra+Capital_Activity!I21),0)</f>
        <v>1.44401579252347</v>
      </c>
      <c r="J50" s="25" t="n">
        <f aca="false">IFERROR((Capital_Activity!J39+Portfolio_NAV!J56)/(OpenNAV_Infra+Capital_Activity!J21),0)</f>
        <v>1.51737114382686</v>
      </c>
      <c r="K50" s="25" t="n">
        <f aca="false">IFERROR((Capital_Activity!K39+Portfolio_NAV!K56)/(OpenNAV_Infra+Capital_Activity!K21),0)</f>
        <v>1.58470869522883</v>
      </c>
      <c r="L50" s="25" t="n">
        <f aca="false">IFERROR((Capital_Activity!L39+Portfolio_NAV!L56)/(OpenNAV_Infra+Capital_Activity!L21),0)</f>
        <v>1.65435462238296</v>
      </c>
    </row>
    <row r="51" customFormat="false" ht="15" hidden="false" customHeight="false" outlineLevel="0" collapsed="false">
      <c r="A51" s="6"/>
      <c r="B51" s="20" t="s">
        <v>54</v>
      </c>
      <c r="C51" s="25" t="n">
        <f aca="false">IFERROR((Capital_Activity!C40+Portfolio_NAV!C66)/(OpenNAV_PC+Capital_Activity!C22),0)</f>
        <v>1.07545484508899</v>
      </c>
      <c r="D51" s="25" t="n">
        <f aca="false">IFERROR((Capital_Activity!D40+Portfolio_NAV!D66)/(OpenNAV_PC+Capital_Activity!D22),0)</f>
        <v>1.15158448479132</v>
      </c>
      <c r="E51" s="25" t="n">
        <f aca="false">IFERROR((Capital_Activity!E40+Portfolio_NAV!E66)/(OpenNAV_PC+Capital_Activity!E22),0)</f>
        <v>1.22995184715629</v>
      </c>
      <c r="F51" s="25" t="n">
        <f aca="false">IFERROR((Capital_Activity!F40+Portfolio_NAV!F66)/(OpenNAV_PC+Capital_Activity!F22),0)</f>
        <v>1.30490471185914</v>
      </c>
      <c r="G51" s="25" t="n">
        <f aca="false">IFERROR((Capital_Activity!G40+Portfolio_NAV!G66)/(OpenNAV_PC+Capital_Activity!G22),0)</f>
        <v>1.38031255008119</v>
      </c>
      <c r="H51" s="25" t="n">
        <f aca="false">IFERROR((Capital_Activity!H40+Portfolio_NAV!H66)/(OpenNAV_PC+Capital_Activity!H22),0)</f>
        <v>1.46277831557694</v>
      </c>
      <c r="I51" s="25" t="n">
        <f aca="false">IFERROR((Capital_Activity!I40+Portfolio_NAV!I66)/(OpenNAV_PC+Capital_Activity!I22),0)</f>
        <v>1.52800790261902</v>
      </c>
      <c r="J51" s="25" t="n">
        <f aca="false">IFERROR((Capital_Activity!J40+Portfolio_NAV!J66)/(OpenNAV_PC+Capital_Activity!J22),0)</f>
        <v>1.59679490659878</v>
      </c>
      <c r="K51" s="25" t="n">
        <f aca="false">IFERROR((Capital_Activity!K40+Portfolio_NAV!K66)/(OpenNAV_PC+Capital_Activity!K22),0)</f>
        <v>1.6682752203034</v>
      </c>
      <c r="L51" s="25" t="n">
        <f aca="false">IFERROR((Capital_Activity!L40+Portfolio_NAV!L66)/(OpenNAV_PC+Capital_Activity!L22),0)</f>
        <v>1.73113038204216</v>
      </c>
    </row>
    <row r="52" customFormat="false" ht="15" hidden="false" customHeight="false" outlineLevel="0" collapsed="false">
      <c r="A52" s="6"/>
      <c r="B52" s="20" t="s">
        <v>55</v>
      </c>
      <c r="C52" s="25" t="n">
        <f aca="false">IFERROR((Capital_Activity!C41+Portfolio_NAV!C76)/(OpenNAV_Liq+Capital_Activity!C23),0)</f>
        <v>1.06090909090909</v>
      </c>
      <c r="D52" s="25" t="n">
        <f aca="false">IFERROR((Capital_Activity!D41+Portfolio_NAV!D76)/(OpenNAV_Liq+Capital_Activity!D23),0)</f>
        <v>1.11867551020408</v>
      </c>
      <c r="E52" s="25" t="n">
        <f aca="false">IFERROR((Capital_Activity!E41+Portfolio_NAV!E76)/(OpenNAV_Liq+Capital_Activity!E23),0)</f>
        <v>1.17651280188679</v>
      </c>
      <c r="F52" s="25" t="n">
        <f aca="false">IFERROR((Capital_Activity!F41+Portfolio_NAV!F76)/(OpenNAV_Liq+Capital_Activity!F23),0)</f>
        <v>1.23657785263393</v>
      </c>
      <c r="G52" s="25" t="n">
        <f aca="false">IFERROR((Capital_Activity!G41+Portfolio_NAV!G76)/(OpenNAV_Liq+Capital_Activity!G23),0)</f>
        <v>1.30070607480453</v>
      </c>
      <c r="H52" s="25" t="n">
        <f aca="false">IFERROR((Capital_Activity!H41+Portfolio_NAV!H76)/(OpenNAV_Liq+Capital_Activity!H23),0)</f>
        <v>1.3765928563882</v>
      </c>
      <c r="I52" s="25" t="n">
        <f aca="false">IFERROR((Capital_Activity!I41+Portfolio_NAV!I76)/(OpenNAV_Liq+Capital_Activity!I23),0)</f>
        <v>1.45513567532731</v>
      </c>
      <c r="J52" s="25" t="n">
        <f aca="false">IFERROR((Capital_Activity!J41+Portfolio_NAV!J76)/(OpenNAV_Liq+Capital_Activity!J23),0)</f>
        <v>1.53642749292928</v>
      </c>
      <c r="K52" s="25" t="n">
        <f aca="false">IFERROR((Capital_Activity!K41+Portfolio_NAV!K76)/(OpenNAV_Liq+Capital_Activity!K23),0)</f>
        <v>1.62056452414732</v>
      </c>
      <c r="L52" s="25" t="n">
        <f aca="false">IFERROR((Capital_Activity!L41+Portfolio_NAV!L76)/(OpenNAV_Liq+Capital_Activity!L23),0)</f>
        <v>1.70764635145799</v>
      </c>
    </row>
    <row r="53" customFormat="false" ht="15" hidden="false" customHeight="false" outlineLevel="0" collapsed="false">
      <c r="A53" s="6"/>
      <c r="B53" s="23" t="s">
        <v>205</v>
      </c>
      <c r="C53" s="44" t="n">
        <f aca="false">IFERROR((Capital_Activity!C42+Portfolio_NAV!C85)/((OpenNAV_PE+OpenNAV_VC+OpenNAV_HF+OpenNAV_RE+OpenNAV_Infra+OpenNAV_PC+OpenNAV_Liq)+Capital_Activity!C24),0)</f>
        <v>1.014909753421</v>
      </c>
      <c r="D53" s="44" t="n">
        <f aca="false">IFERROR((Capital_Activity!D42+Portfolio_NAV!D85)/((OpenNAV_PE+OpenNAV_VC+OpenNAV_HF+OpenNAV_RE+OpenNAV_Infra+OpenNAV_PC+OpenNAV_Liq)+Capital_Activity!D24),0)</f>
        <v>1.04340560206469</v>
      </c>
      <c r="E53" s="44" t="n">
        <f aca="false">IFERROR((Capital_Activity!E42+Portfolio_NAV!E85)/((OpenNAV_PE+OpenNAV_VC+OpenNAV_HF+OpenNAV_RE+OpenNAV_Infra+OpenNAV_PC+OpenNAV_Liq)+Capital_Activity!E24),0)</f>
        <v>1.09466380090221</v>
      </c>
      <c r="F53" s="44" t="n">
        <f aca="false">IFERROR((Capital_Activity!F42+Portfolio_NAV!F85)/((OpenNAV_PE+OpenNAV_VC+OpenNAV_HF+OpenNAV_RE+OpenNAV_Infra+OpenNAV_PC+OpenNAV_Liq)+Capital_Activity!F24),0)</f>
        <v>1.16799996706373</v>
      </c>
      <c r="G53" s="44" t="n">
        <f aca="false">IFERROR((Capital_Activity!G42+Portfolio_NAV!G85)/((OpenNAV_PE+OpenNAV_VC+OpenNAV_HF+OpenNAV_RE+OpenNAV_Infra+OpenNAV_PC+OpenNAV_Liq)+Capital_Activity!G24),0)</f>
        <v>1.26627767669196</v>
      </c>
      <c r="H53" s="44" t="n">
        <f aca="false">IFERROR((Capital_Activity!H42+Portfolio_NAV!H85)/((OpenNAV_PE+OpenNAV_VC+OpenNAV_HF+OpenNAV_RE+OpenNAV_Infra+OpenNAV_PC+OpenNAV_Liq)+Capital_Activity!H24),0)</f>
        <v>1.37460381917238</v>
      </c>
      <c r="I53" s="44" t="n">
        <f aca="false">IFERROR((Capital_Activity!I42+Portfolio_NAV!I85)/((OpenNAV_PE+OpenNAV_VC+OpenNAV_HF+OpenNAV_RE+OpenNAV_Infra+OpenNAV_PC+OpenNAV_Liq)+Capital_Activity!I24),0)</f>
        <v>1.47003850752584</v>
      </c>
      <c r="J53" s="44" t="n">
        <f aca="false">IFERROR((Capital_Activity!J42+Portfolio_NAV!J85)/((OpenNAV_PE+OpenNAV_VC+OpenNAV_HF+OpenNAV_RE+OpenNAV_Infra+OpenNAV_PC+OpenNAV_Liq)+Capital_Activity!J24),0)</f>
        <v>1.55730605002793</v>
      </c>
      <c r="K53" s="44" t="n">
        <f aca="false">IFERROR((Capital_Activity!K42+Portfolio_NAV!K85)/((OpenNAV_PE+OpenNAV_VC+OpenNAV_HF+OpenNAV_RE+OpenNAV_Infra+OpenNAV_PC+OpenNAV_Liq)+Capital_Activity!K24),0)</f>
        <v>1.63132625436928</v>
      </c>
      <c r="L53" s="44" t="n">
        <f aca="false">IFERROR((Capital_Activity!L42+Portfolio_NAV!L85)/((OpenNAV_PE+OpenNAV_VC+OpenNAV_HF+OpenNAV_RE+OpenNAV_Infra+OpenNAV_PC+OpenNAV_Liq)+Capital_Activity!L24),0)</f>
        <v>1.69123353852823</v>
      </c>
    </row>
    <row r="54" customFormat="false" ht="15" hidden="false" customHeight="false" outlineLevel="0" collapsed="false">
      <c r="A54" s="6"/>
      <c r="B54" s="14" t="s">
        <v>206</v>
      </c>
      <c r="C54" s="15"/>
      <c r="D54" s="15"/>
      <c r="E54" s="15"/>
      <c r="F54" s="15"/>
      <c r="G54" s="15"/>
      <c r="H54" s="15"/>
      <c r="I54" s="15"/>
      <c r="J54" s="15"/>
      <c r="K54" s="15"/>
      <c r="L54" s="15"/>
    </row>
    <row r="55" customFormat="false" ht="15" hidden="false" customHeight="false" outlineLevel="0" collapsed="false">
      <c r="A55" s="6"/>
      <c r="B55" s="20" t="s">
        <v>49</v>
      </c>
      <c r="C55" s="25" t="n">
        <f aca="false">IFERROR(Capital_Activity!C35/(OpenNAV_PE+Capital_Activity!C17),0)</f>
        <v>0</v>
      </c>
      <c r="D55" s="25" t="n">
        <f aca="false">IFERROR(Capital_Activity!D35/(OpenNAV_PE+Capital_Activity!D17),0)</f>
        <v>0</v>
      </c>
      <c r="E55" s="25" t="n">
        <f aca="false">IFERROR(Capital_Activity!E35/(OpenNAV_PE+Capital_Activity!E17),0)</f>
        <v>0</v>
      </c>
      <c r="F55" s="25" t="n">
        <f aca="false">IFERROR(Capital_Activity!F35/(OpenNAV_PE+Capital_Activity!F17),0)</f>
        <v>0.130752309464511</v>
      </c>
      <c r="G55" s="25" t="n">
        <f aca="false">IFERROR(Capital_Activity!G35/(OpenNAV_PE+Capital_Activity!G17),0)</f>
        <v>0.249431085520348</v>
      </c>
      <c r="H55" s="25" t="n">
        <f aca="false">IFERROR(Capital_Activity!H35/(OpenNAV_PE+Capital_Activity!H17),0)</f>
        <v>0.37158661702779</v>
      </c>
      <c r="I55" s="25" t="n">
        <f aca="false">IFERROR(Capital_Activity!I35/(OpenNAV_PE+Capital_Activity!I17),0)</f>
        <v>0.497571830612949</v>
      </c>
      <c r="J55" s="25" t="n">
        <f aca="false">IFERROR(Capital_Activity!J35/(OpenNAV_PE+Capital_Activity!J17),0)</f>
        <v>0.620911411244151</v>
      </c>
      <c r="K55" s="25" t="n">
        <f aca="false">IFERROR(Capital_Activity!K35/(OpenNAV_PE+Capital_Activity!K17),0)</f>
        <v>0.739265531775438</v>
      </c>
      <c r="L55" s="25" t="n">
        <f aca="false">IFERROR(Capital_Activity!L35/(OpenNAV_PE+Capital_Activity!L17),0)</f>
        <v>0.850382567221796</v>
      </c>
    </row>
    <row r="56" customFormat="false" ht="15" hidden="false" customHeight="false" outlineLevel="0" collapsed="false">
      <c r="A56" s="6"/>
      <c r="B56" s="20" t="s">
        <v>50</v>
      </c>
      <c r="C56" s="25" t="n">
        <f aca="false">IFERROR(Capital_Activity!C36/(OpenNAV_VC+Capital_Activity!C18),0)</f>
        <v>0</v>
      </c>
      <c r="D56" s="25" t="n">
        <f aca="false">IFERROR(Capital_Activity!D36/(OpenNAV_VC+Capital_Activity!D18),0)</f>
        <v>0</v>
      </c>
      <c r="E56" s="25" t="n">
        <f aca="false">IFERROR(Capital_Activity!E36/(OpenNAV_VC+Capital_Activity!E18),0)</f>
        <v>0</v>
      </c>
      <c r="F56" s="25" t="n">
        <f aca="false">IFERROR(Capital_Activity!F36/(OpenNAV_VC+Capital_Activity!F18),0)</f>
        <v>0</v>
      </c>
      <c r="G56" s="25" t="n">
        <f aca="false">IFERROR(Capital_Activity!G36/(OpenNAV_VC+Capital_Activity!G18),0)</f>
        <v>0.0863633016327218</v>
      </c>
      <c r="H56" s="25" t="n">
        <f aca="false">IFERROR(Capital_Activity!H36/(OpenNAV_VC+Capital_Activity!H18),0)</f>
        <v>0.181773604381423</v>
      </c>
      <c r="I56" s="25" t="n">
        <f aca="false">IFERROR(Capital_Activity!I36/(OpenNAV_VC+Capital_Activity!I18),0)</f>
        <v>0.293306539164805</v>
      </c>
      <c r="J56" s="25" t="n">
        <f aca="false">IFERROR(Capital_Activity!J36/(OpenNAV_VC+Capital_Activity!J18),0)</f>
        <v>0.418571322159349</v>
      </c>
      <c r="K56" s="25" t="n">
        <f aca="false">IFERROR(Capital_Activity!K36/(OpenNAV_VC+Capital_Activity!K18),0)</f>
        <v>0.553302608242008</v>
      </c>
      <c r="L56" s="25" t="n">
        <f aca="false">IFERROR(Capital_Activity!L36/(OpenNAV_VC+Capital_Activity!L18),0)</f>
        <v>0.688815594220668</v>
      </c>
    </row>
    <row r="57" customFormat="false" ht="15" hidden="false" customHeight="false" outlineLevel="0" collapsed="false">
      <c r="A57" s="6"/>
      <c r="B57" s="20" t="s">
        <v>51</v>
      </c>
      <c r="C57" s="25" t="n">
        <f aca="false">IFERROR(Capital_Activity!C37/(OpenNAV_HF+Capital_Activity!C19),0)</f>
        <v>0.0431818181818182</v>
      </c>
      <c r="D57" s="25" t="n">
        <f aca="false">IFERROR(Capital_Activity!D37/(OpenNAV_HF+Capital_Activity!D19),0)</f>
        <v>0.0841142857142857</v>
      </c>
      <c r="E57" s="25" t="n">
        <f aca="false">IFERROR(Capital_Activity!E37/(OpenNAV_HF+Capital_Activity!E19),0)</f>
        <v>0.124811879245283</v>
      </c>
      <c r="F57" s="25" t="n">
        <f aca="false">IFERROR(Capital_Activity!F37/(OpenNAV_HF+Capital_Activity!F19),0)</f>
        <v>0.166611067457143</v>
      </c>
      <c r="G57" s="25" t="n">
        <f aca="false">IFERROR(Capital_Activity!G37/(OpenNAV_HF+Capital_Activity!G19),0)</f>
        <v>0.210634501659752</v>
      </c>
      <c r="H57" s="25" t="n">
        <f aca="false">IFERROR(Capital_Activity!H37/(OpenNAV_HF+Capital_Activity!H19),0)</f>
        <v>0.262484515566262</v>
      </c>
      <c r="I57" s="25" t="n">
        <f aca="false">IFERROR(Capital_Activity!I37/(OpenNAV_HF+Capital_Activity!I19),0)</f>
        <v>0.314645629556211</v>
      </c>
      <c r="J57" s="25" t="n">
        <f aca="false">IFERROR(Capital_Activity!J37/(OpenNAV_HF+Capital_Activity!J19),0)</f>
        <v>0.3671197102301</v>
      </c>
      <c r="K57" s="25" t="n">
        <f aca="false">IFERROR(Capital_Activity!K37/(OpenNAV_HF+Capital_Activity!K19),0)</f>
        <v>0.419908635388033</v>
      </c>
      <c r="L57" s="25" t="n">
        <f aca="false">IFERROR(Capital_Activity!L37/(OpenNAV_HF+Capital_Activity!L19),0)</f>
        <v>0.473014294096913</v>
      </c>
    </row>
    <row r="58" customFormat="false" ht="15" hidden="false" customHeight="false" outlineLevel="0" collapsed="false">
      <c r="A58" s="6"/>
      <c r="B58" s="20" t="s">
        <v>52</v>
      </c>
      <c r="C58" s="25" t="n">
        <f aca="false">IFERROR(Capital_Activity!C38/(OpenNAV_RE+Capital_Activity!C20),0)</f>
        <v>0.056093489148581</v>
      </c>
      <c r="D58" s="25" t="n">
        <f aca="false">IFERROR(Capital_Activity!D38/(OpenNAV_RE+Capital_Activity!D20),0)</f>
        <v>0.104213847900114</v>
      </c>
      <c r="E58" s="25" t="n">
        <f aca="false">IFERROR(Capital_Activity!E38/(OpenNAV_RE+Capital_Activity!E20),0)</f>
        <v>0.147167201159519</v>
      </c>
      <c r="F58" s="25" t="n">
        <f aca="false">IFERROR(Capital_Activity!F38/(OpenNAV_RE+Capital_Activity!F20),0)</f>
        <v>0.188467273151126</v>
      </c>
      <c r="G58" s="25" t="n">
        <f aca="false">IFERROR(Capital_Activity!G38/(OpenNAV_RE+Capital_Activity!G20),0)</f>
        <v>0.230766523730936</v>
      </c>
      <c r="H58" s="25" t="n">
        <f aca="false">IFERROR(Capital_Activity!H38/(OpenNAV_RE+Capital_Activity!H20),0)</f>
        <v>0.277819981374057</v>
      </c>
      <c r="I58" s="25" t="n">
        <f aca="false">IFERROR(Capital_Activity!I38/(OpenNAV_RE+Capital_Activity!I20),0)</f>
        <v>0.328444447893972</v>
      </c>
      <c r="J58" s="25" t="n">
        <f aca="false">IFERROR(Capital_Activity!J38/(OpenNAV_RE+Capital_Activity!J20),0)</f>
        <v>0.382215457346487</v>
      </c>
      <c r="K58" s="25" t="n">
        <f aca="false">IFERROR(Capital_Activity!K38/(OpenNAV_RE+Capital_Activity!K20),0)</f>
        <v>0.438284280518865</v>
      </c>
      <c r="L58" s="25" t="n">
        <f aca="false">IFERROR(Capital_Activity!L38/(OpenNAV_RE+Capital_Activity!L20),0)</f>
        <v>0.496398551048513</v>
      </c>
    </row>
    <row r="59" customFormat="false" ht="15" hidden="false" customHeight="false" outlineLevel="0" collapsed="false">
      <c r="A59" s="6"/>
      <c r="B59" s="20" t="s">
        <v>53</v>
      </c>
      <c r="C59" s="25" t="n">
        <f aca="false">IFERROR(Capital_Activity!C39/(OpenNAV_Infra+Capital_Activity!C21),0)</f>
        <v>0.0660377358490566</v>
      </c>
      <c r="D59" s="25" t="n">
        <f aca="false">IFERROR(Capital_Activity!D39/(OpenNAV_Infra+Capital_Activity!D21),0)</f>
        <v>0.123303972366149</v>
      </c>
      <c r="E59" s="25" t="n">
        <f aca="false">IFERROR(Capital_Activity!E39/(OpenNAV_Infra+Capital_Activity!E21),0)</f>
        <v>0.174333804450016</v>
      </c>
      <c r="F59" s="25" t="n">
        <f aca="false">IFERROR(Capital_Activity!F39/(OpenNAV_Infra+Capital_Activity!F21),0)</f>
        <v>0.222742934952038</v>
      </c>
      <c r="G59" s="25" t="n">
        <f aca="false">IFERROR(Capital_Activity!G39/(OpenNAV_Infra+Capital_Activity!G21),0)</f>
        <v>0.270961646776177</v>
      </c>
      <c r="H59" s="25" t="n">
        <f aca="false">IFERROR(Capital_Activity!H39/(OpenNAV_Infra+Capital_Activity!H21),0)</f>
        <v>0.323099423230049</v>
      </c>
      <c r="I59" s="25" t="n">
        <f aca="false">IFERROR(Capital_Activity!I39/(OpenNAV_Infra+Capital_Activity!I21),0)</f>
        <v>0.378689302030404</v>
      </c>
      <c r="J59" s="25" t="n">
        <f aca="false">IFERROR(Capital_Activity!J39/(OpenNAV_Infra+Capital_Activity!J21),0)</f>
        <v>0.437421008062289</v>
      </c>
      <c r="K59" s="25" t="n">
        <f aca="false">IFERROR(Capital_Activity!K39/(OpenNAV_Infra+Capital_Activity!K21),0)</f>
        <v>0.499064008566755</v>
      </c>
      <c r="L59" s="25" t="n">
        <f aca="false">IFERROR(Capital_Activity!L39/(OpenNAV_Infra+Capital_Activity!L21),0)</f>
        <v>0.562812827553727</v>
      </c>
    </row>
    <row r="60" customFormat="false" ht="15" hidden="false" customHeight="false" outlineLevel="0" collapsed="false">
      <c r="A60" s="6"/>
      <c r="B60" s="20" t="s">
        <v>54</v>
      </c>
      <c r="C60" s="25" t="n">
        <f aca="false">IFERROR(Capital_Activity!C40/(OpenNAV_PC+Capital_Activity!C22),0)</f>
        <v>0.0738299274884641</v>
      </c>
      <c r="D60" s="25" t="n">
        <f aca="false">IFERROR(Capital_Activity!D40/(OpenNAV_PC+Capital_Activity!D22),0)</f>
        <v>0.137678141947654</v>
      </c>
      <c r="E60" s="25" t="n">
        <f aca="false">IFERROR(Capital_Activity!E40/(OpenNAV_PC+Capital_Activity!E22),0)</f>
        <v>0.195347560290108</v>
      </c>
      <c r="F60" s="25" t="n">
        <f aca="false">IFERROR(Capital_Activity!F40/(OpenNAV_PC+Capital_Activity!F22),0)</f>
        <v>0.25150793667202</v>
      </c>
      <c r="G60" s="25" t="n">
        <f aca="false">IFERROR(Capital_Activity!G40/(OpenNAV_PC+Capital_Activity!G22),0)</f>
        <v>0.309322328830923</v>
      </c>
      <c r="H60" s="25" t="n">
        <f aca="false">IFERROR(Capital_Activity!H40/(OpenNAV_PC+Capital_Activity!H22),0)</f>
        <v>0.374353819972314</v>
      </c>
      <c r="I60" s="25" t="n">
        <f aca="false">IFERROR(Capital_Activity!I40/(OpenNAV_PC+Capital_Activity!I22),0)</f>
        <v>0.445139774919098</v>
      </c>
      <c r="J60" s="25" t="n">
        <f aca="false">IFERROR(Capital_Activity!J40/(OpenNAV_PC+Capital_Activity!J22),0)</f>
        <v>0.518946371973822</v>
      </c>
      <c r="K60" s="25" t="n">
        <f aca="false">IFERROR(Capital_Activity!K40/(OpenNAV_PC+Capital_Activity!K22),0)</f>
        <v>0.595128780092548</v>
      </c>
      <c r="L60" s="25" t="n">
        <f aca="false">IFERROR(Capital_Activity!L40/(OpenNAV_PC+Capital_Activity!L22),0)</f>
        <v>0.67315871647671</v>
      </c>
    </row>
    <row r="61" customFormat="false" ht="15" hidden="false" customHeight="false" outlineLevel="0" collapsed="false">
      <c r="A61" s="6"/>
      <c r="B61" s="20" t="s">
        <v>55</v>
      </c>
      <c r="C61" s="25" t="n">
        <f aca="false">IFERROR(Capital_Activity!C41/(OpenNAV_Liq+Capital_Activity!C23),0)</f>
        <v>0.0259090909090909</v>
      </c>
      <c r="D61" s="25" t="n">
        <f aca="false">IFERROR(Capital_Activity!D41/(OpenNAV_Liq+Capital_Activity!D23),0)</f>
        <v>0.0511469387755102</v>
      </c>
      <c r="E61" s="25" t="n">
        <f aca="false">IFERROR(Capital_Activity!E41/(OpenNAV_Liq+Capital_Activity!E23),0)</f>
        <v>0.0768956037735849</v>
      </c>
      <c r="F61" s="25" t="n">
        <f aca="false">IFERROR(Capital_Activity!F41/(OpenNAV_Liq+Capital_Activity!F23),0)</f>
        <v>0.103997470446429</v>
      </c>
      <c r="G61" s="25" t="n">
        <f aca="false">IFERROR(Capital_Activity!G41/(OpenNAV_Liq+Capital_Activity!G23),0)</f>
        <v>0.133217127363362</v>
      </c>
      <c r="H61" s="25" t="n">
        <f aca="false">IFERROR(Capital_Activity!H41/(OpenNAV_Liq+Capital_Activity!H23),0)</f>
        <v>0.168241795786597</v>
      </c>
      <c r="I61" s="25" t="n">
        <f aca="false">IFERROR(Capital_Activity!I41/(OpenNAV_Liq+Capital_Activity!I23),0)</f>
        <v>0.204492327604645</v>
      </c>
      <c r="J61" s="25" t="n">
        <f aca="false">IFERROR(Capital_Activity!J41/(OpenNAV_Liq+Capital_Activity!J23),0)</f>
        <v>0.242011628036325</v>
      </c>
      <c r="K61" s="25" t="n">
        <f aca="false">IFERROR(Capital_Activity!K41/(OpenNAV_Liq+Capital_Activity!K23),0)</f>
        <v>0.280844103983114</v>
      </c>
      <c r="L61" s="25" t="n">
        <f aca="false">IFERROR(Capital_Activity!L41/(OpenNAV_Liq+Capital_Activity!L23),0)</f>
        <v>0.32103571658804</v>
      </c>
    </row>
    <row r="62" customFormat="false" ht="15" hidden="false" customHeight="false" outlineLevel="0" collapsed="false">
      <c r="A62" s="6"/>
      <c r="B62" s="45" t="s">
        <v>207</v>
      </c>
      <c r="C62" s="44" t="n">
        <f aca="false">IFERROR(Capital_Activity!C42/((OpenNAV_PE+OpenNAV_VC+OpenNAV_HF+OpenNAV_RE+OpenNAV_Infra+OpenNAV_PC+OpenNAV_Liq)+Capital_Activity!C24),0)</f>
        <v>0.0329277239188296</v>
      </c>
      <c r="D62" s="44" t="n">
        <f aca="false">IFERROR(Capital_Activity!D42/((OpenNAV_PE+OpenNAV_VC+OpenNAV_HF+OpenNAV_RE+OpenNAV_Infra+OpenNAV_PC+OpenNAV_Liq)+Capital_Activity!D24),0)</f>
        <v>0.0625497150638093</v>
      </c>
      <c r="E62" s="44" t="n">
        <f aca="false">IFERROR(Capital_Activity!E42/((OpenNAV_PE+OpenNAV_VC+OpenNAV_HF+OpenNAV_RE+OpenNAV_Infra+OpenNAV_PC+OpenNAV_Liq)+Capital_Activity!E24),0)</f>
        <v>0.0902939581840161</v>
      </c>
      <c r="F62" s="44" t="n">
        <f aca="false">IFERROR(Capital_Activity!F42/((OpenNAV_PE+OpenNAV_VC+OpenNAV_HF+OpenNAV_RE+OpenNAV_Infra+OpenNAV_PC+OpenNAV_Liq)+Capital_Activity!F24),0)</f>
        <v>0.147913888249962</v>
      </c>
      <c r="G62" s="44" t="n">
        <f aca="false">IFERROR(Capital_Activity!G42/((OpenNAV_PE+OpenNAV_VC+OpenNAV_HF+OpenNAV_RE+OpenNAV_Infra+OpenNAV_PC+OpenNAV_Liq)+Capital_Activity!G24),0)</f>
        <v>0.213144529426045</v>
      </c>
      <c r="H62" s="44" t="n">
        <f aca="false">IFERROR(Capital_Activity!H42/((OpenNAV_PE+OpenNAV_VC+OpenNAV_HF+OpenNAV_RE+OpenNAV_Infra+OpenNAV_PC+OpenNAV_Liq)+Capital_Activity!H24),0)</f>
        <v>0.28510003062996</v>
      </c>
      <c r="I62" s="44" t="n">
        <f aca="false">IFERROR(Capital_Activity!I42/((OpenNAV_PE+OpenNAV_VC+OpenNAV_HF+OpenNAV_RE+OpenNAV_Infra+OpenNAV_PC+OpenNAV_Liq)+Capital_Activity!I24),0)</f>
        <v>0.36193816516935</v>
      </c>
      <c r="J62" s="44" t="n">
        <f aca="false">IFERROR(Capital_Activity!J42/((OpenNAV_PE+OpenNAV_VC+OpenNAV_HF+OpenNAV_RE+OpenNAV_Infra+OpenNAV_PC+OpenNAV_Liq)+Capital_Activity!J24),0)</f>
        <v>0.441305038126276</v>
      </c>
      <c r="K62" s="44" t="n">
        <f aca="false">IFERROR(Capital_Activity!K42/((OpenNAV_PE+OpenNAV_VC+OpenNAV_HF+OpenNAV_RE+OpenNAV_Infra+OpenNAV_PC+OpenNAV_Liq)+Capital_Activity!K24),0)</f>
        <v>0.521850695564638</v>
      </c>
      <c r="L62" s="44" t="n">
        <f aca="false">IFERROR(Capital_Activity!L42/((OpenNAV_PE+OpenNAV_VC+OpenNAV_HF+OpenNAV_RE+OpenNAV_Infra+OpenNAV_PC+OpenNAV_Liq)+Capital_Activity!L24),0)</f>
        <v>0.601823889843027</v>
      </c>
    </row>
    <row r="63" customFormat="false" ht="15" hidden="false" customHeight="false" outlineLevel="0" collapsed="false">
      <c r="A63" s="6"/>
      <c r="B63" s="14" t="s">
        <v>208</v>
      </c>
      <c r="C63" s="15"/>
      <c r="D63" s="15"/>
      <c r="E63" s="15"/>
      <c r="F63" s="15"/>
      <c r="G63" s="15"/>
      <c r="H63" s="15"/>
      <c r="I63" s="15"/>
      <c r="J63" s="15"/>
      <c r="K63" s="15"/>
      <c r="L63" s="15"/>
    </row>
    <row r="64" customFormat="false" ht="15" hidden="false" customHeight="false" outlineLevel="0" collapsed="false">
      <c r="A64" s="6"/>
      <c r="B64" s="20" t="s">
        <v>49</v>
      </c>
      <c r="C64" s="25" t="n">
        <f aca="false">IFERROR(Portfolio_NAV!C16/(OpenNAV_PE+Capital_Activity!C17),0)</f>
        <v>0.946939899833055</v>
      </c>
      <c r="D64" s="25" t="n">
        <f aca="false">IFERROR(Portfolio_NAV!D16/(OpenNAV_PE+Capital_Activity!D17),0)</f>
        <v>0.916952311766932</v>
      </c>
      <c r="E64" s="25" t="n">
        <f aca="false">IFERROR(Portfolio_NAV!E16/(OpenNAV_PE+Capital_Activity!E17),0)</f>
        <v>0.959359351351351</v>
      </c>
      <c r="F64" s="25" t="n">
        <f aca="false">IFERROR(Portfolio_NAV!F16/(OpenNAV_PE+Capital_Activity!F17),0)</f>
        <v>0.931965299276847</v>
      </c>
      <c r="G64" s="25" t="n">
        <f aca="false">IFERROR(Portfolio_NAV!G16/(OpenNAV_PE+Capital_Activity!G17),0)</f>
        <v>0.959380632965157</v>
      </c>
      <c r="H64" s="25" t="n">
        <f aca="false">IFERROR(Portfolio_NAV!H16/(OpenNAV_PE+Capital_Activity!H17),0)</f>
        <v>0.977479795080389</v>
      </c>
      <c r="I64" s="25" t="n">
        <f aca="false">IFERROR(Portfolio_NAV!I16/(OpenNAV_PE+Capital_Activity!I17),0)</f>
        <v>0.945897456170751</v>
      </c>
      <c r="J64" s="25" t="n">
        <f aca="false">IFERROR(Portfolio_NAV!J16/(OpenNAV_PE+Capital_Activity!J17),0)</f>
        <v>0.896225601117216</v>
      </c>
      <c r="K64" s="25" t="n">
        <f aca="false">IFERROR(Portfolio_NAV!K16/(OpenNAV_PE+Capital_Activity!K17),0)</f>
        <v>0.831294562300794</v>
      </c>
      <c r="L64" s="25" t="n">
        <f aca="false">IFERROR(Portfolio_NAV!L16/(OpenNAV_PE+Capital_Activity!L17),0)</f>
        <v>0.754544910595031</v>
      </c>
    </row>
    <row r="65" customFormat="false" ht="15" hidden="false" customHeight="false" outlineLevel="0" collapsed="false">
      <c r="A65" s="6"/>
      <c r="B65" s="20" t="s">
        <v>50</v>
      </c>
      <c r="C65" s="25" t="n">
        <f aca="false">IFERROR(Portfolio_NAV!C26/(OpenNAV_VC+Capital_Activity!C18),0)</f>
        <v>0.897169811320755</v>
      </c>
      <c r="D65" s="25" t="n">
        <f aca="false">IFERROR(Portfolio_NAV!D26/(OpenNAV_VC+Capital_Activity!D18),0)</f>
        <v>0.853195164075993</v>
      </c>
      <c r="E65" s="25" t="n">
        <f aca="false">IFERROR(Portfolio_NAV!E26/(OpenNAV_VC+Capital_Activity!E18),0)</f>
        <v>0.855061109370103</v>
      </c>
      <c r="F65" s="25" t="n">
        <f aca="false">IFERROR(Portfolio_NAV!F26/(OpenNAV_VC+Capital_Activity!F18),0)</f>
        <v>0.937461459403906</v>
      </c>
      <c r="G65" s="25" t="n">
        <f aca="false">IFERROR(Portfolio_NAV!G26/(OpenNAV_VC+Capital_Activity!G18),0)</f>
        <v>1.06862559964652</v>
      </c>
      <c r="H65" s="25" t="n">
        <f aca="false">IFERROR(Portfolio_NAV!H26/(OpenNAV_VC+Capital_Activity!H18),0)</f>
        <v>1.25440066683293</v>
      </c>
      <c r="I65" s="25" t="n">
        <f aca="false">IFERROR(Portfolio_NAV!I26/(OpenNAV_VC+Capital_Activity!I18),0)</f>
        <v>1.4042329222785</v>
      </c>
      <c r="J65" s="25" t="n">
        <f aca="false">IFERROR(Portfolio_NAV!J26/(OpenNAV_VC+Capital_Activity!J18),0)</f>
        <v>1.50201271476872</v>
      </c>
      <c r="K65" s="25" t="n">
        <f aca="false">IFERROR(Portfolio_NAV!K26/(OpenNAV_VC+Capital_Activity!K18),0)</f>
        <v>1.5050100375747</v>
      </c>
      <c r="L65" s="25" t="n">
        <f aca="false">IFERROR(Portfolio_NAV!L26/(OpenNAV_VC+Capital_Activity!L18),0)</f>
        <v>1.43640187324726</v>
      </c>
    </row>
    <row r="66" customFormat="false" ht="15" hidden="false" customHeight="false" outlineLevel="0" collapsed="false">
      <c r="A66" s="6"/>
      <c r="B66" s="20" t="s">
        <v>51</v>
      </c>
      <c r="C66" s="25" t="n">
        <f aca="false">IFERROR(Portfolio_NAV!C36/(OpenNAV_HF+Capital_Activity!C19),0)</f>
        <v>1.00981818181818</v>
      </c>
      <c r="D66" s="25" t="n">
        <f aca="false">IFERROR(Portfolio_NAV!D36/(OpenNAV_HF+Capital_Activity!D19),0)</f>
        <v>1.01772636734694</v>
      </c>
      <c r="E66" s="25" t="n">
        <f aca="false">IFERROR(Portfolio_NAV!E36/(OpenNAV_HF+Capital_Activity!E19),0)</f>
        <v>1.02460006701887</v>
      </c>
      <c r="F66" s="25" t="n">
        <f aca="false">IFERROR(Portfolio_NAV!F36/(OpenNAV_HF+Capital_Activity!F19),0)</f>
        <v>1.03092189952343</v>
      </c>
      <c r="G66" s="25" t="n">
        <f aca="false">IFERROR(Portfolio_NAV!G36/(OpenNAV_HF+Capital_Activity!G19),0)</f>
        <v>1.0370002781302</v>
      </c>
      <c r="H66" s="25" t="n">
        <f aca="false">IFERROR(Portfolio_NAV!H36/(OpenNAV_HF+Capital_Activity!H19),0)</f>
        <v>1.04322227979899</v>
      </c>
      <c r="I66" s="25" t="n">
        <f aca="false">IFERROR(Portfolio_NAV!I36/(OpenNAV_HF+Capital_Activity!I19),0)</f>
        <v>1.04948161347778</v>
      </c>
      <c r="J66" s="25" t="n">
        <f aca="false">IFERROR(Portfolio_NAV!J36/(OpenNAV_HF+Capital_Activity!J19),0)</f>
        <v>1.05577850315865</v>
      </c>
      <c r="K66" s="25" t="n">
        <f aca="false">IFERROR(Portfolio_NAV!K36/(OpenNAV_HF+Capital_Activity!K19),0)</f>
        <v>1.0621131741776</v>
      </c>
      <c r="L66" s="25" t="n">
        <f aca="false">IFERROR(Portfolio_NAV!L36/(OpenNAV_HF+Capital_Activity!L19),0)</f>
        <v>1.06848585322266</v>
      </c>
    </row>
    <row r="67" customFormat="false" ht="15" hidden="false" customHeight="false" outlineLevel="0" collapsed="false">
      <c r="A67" s="6"/>
      <c r="B67" s="20" t="s">
        <v>52</v>
      </c>
      <c r="C67" s="25" t="n">
        <f aca="false">IFERROR(Portfolio_NAV!C46/(OpenNAV_RE+Capital_Activity!C20),0)</f>
        <v>0.981060100166945</v>
      </c>
      <c r="D67" s="25" t="n">
        <f aca="false">IFERROR(Portfolio_NAV!D46/(OpenNAV_RE+Capital_Activity!D20),0)</f>
        <v>0.98432227014756</v>
      </c>
      <c r="E67" s="25" t="n">
        <f aca="false">IFERROR(Portfolio_NAV!E46/(OpenNAV_RE+Capital_Activity!E20),0)</f>
        <v>1.00428114060534</v>
      </c>
      <c r="F67" s="25" t="n">
        <f aca="false">IFERROR(Portfolio_NAV!F46/(OpenNAV_RE+Capital_Activity!F20),0)</f>
        <v>1.03058647898627</v>
      </c>
      <c r="G67" s="25" t="n">
        <f aca="false">IFERROR(Portfolio_NAV!G46/(OpenNAV_RE+Capital_Activity!G20),0)</f>
        <v>1.05527006876049</v>
      </c>
      <c r="H67" s="25" t="n">
        <f aca="false">IFERROR(Portfolio_NAV!H46/(OpenNAV_RE+Capital_Activity!H20),0)</f>
        <v>1.07077793723975</v>
      </c>
      <c r="I67" s="25" t="n">
        <f aca="false">IFERROR(Portfolio_NAV!I46/(OpenNAV_RE+Capital_Activity!I20),0)</f>
        <v>1.08644681383719</v>
      </c>
      <c r="J67" s="25" t="n">
        <f aca="false">IFERROR(Portfolio_NAV!J46/(OpenNAV_RE+Capital_Activity!J20),0)</f>
        <v>1.09336529852402</v>
      </c>
      <c r="K67" s="25" t="n">
        <f aca="false">IFERROR(Portfolio_NAV!K46/(OpenNAV_RE+Capital_Activity!K20),0)</f>
        <v>1.10066225427241</v>
      </c>
      <c r="L67" s="25" t="n">
        <f aca="false">IFERROR(Portfolio_NAV!L46/(OpenNAV_RE+Capital_Activity!L20),0)</f>
        <v>1.0974636396396</v>
      </c>
    </row>
    <row r="68" customFormat="false" ht="15" hidden="false" customHeight="false" outlineLevel="0" collapsed="false">
      <c r="A68" s="6"/>
      <c r="B68" s="20" t="s">
        <v>53</v>
      </c>
      <c r="C68" s="25" t="n">
        <f aca="false">IFERROR(Portfolio_NAV!C56/(OpenNAV_Infra+Capital_Activity!C21),0)</f>
        <v>0.980943396226415</v>
      </c>
      <c r="D68" s="25" t="n">
        <f aca="false">IFERROR(Portfolio_NAV!D56/(OpenNAV_Infra+Capital_Activity!D21),0)</f>
        <v>0.983637651122626</v>
      </c>
      <c r="E68" s="25" t="n">
        <f aca="false">IFERROR(Portfolio_NAV!E56/(OpenNAV_Infra+Capital_Activity!E21),0)</f>
        <v>1.00248369319962</v>
      </c>
      <c r="F68" s="25" t="n">
        <f aca="false">IFERROR(Portfolio_NAV!F56/(OpenNAV_Infra+Capital_Activity!F21),0)</f>
        <v>1.01974444643571</v>
      </c>
      <c r="G68" s="25" t="n">
        <f aca="false">IFERROR(Portfolio_NAV!G56/(OpenNAV_Infra+Capital_Activity!G21),0)</f>
        <v>1.03562806652911</v>
      </c>
      <c r="H68" s="25" t="n">
        <f aca="false">IFERROR(Portfolio_NAV!H56/(OpenNAV_Infra+Capital_Activity!H21),0)</f>
        <v>1.05064907263284</v>
      </c>
      <c r="I68" s="25" t="n">
        <f aca="false">IFERROR(Portfolio_NAV!I56/(OpenNAV_Infra+Capital_Activity!I21),0)</f>
        <v>1.06532649049307</v>
      </c>
      <c r="J68" s="25" t="n">
        <f aca="false">IFERROR(Portfolio_NAV!J56/(OpenNAV_Infra+Capital_Activity!J21),0)</f>
        <v>1.07995013576457</v>
      </c>
      <c r="K68" s="25" t="n">
        <f aca="false">IFERROR(Portfolio_NAV!K56/(OpenNAV_Infra+Capital_Activity!K21),0)</f>
        <v>1.08564468666208</v>
      </c>
      <c r="L68" s="25" t="n">
        <f aca="false">IFERROR(Portfolio_NAV!L56/(OpenNAV_Infra+Capital_Activity!L21),0)</f>
        <v>1.09154179482924</v>
      </c>
    </row>
    <row r="69" customFormat="false" ht="15" hidden="false" customHeight="false" outlineLevel="0" collapsed="false">
      <c r="A69" s="6"/>
      <c r="B69" s="20" t="s">
        <v>54</v>
      </c>
      <c r="C69" s="25" t="n">
        <f aca="false">IFERROR(Portfolio_NAV!C66/(OpenNAV_PC+Capital_Activity!C22),0)</f>
        <v>1.00162491760053</v>
      </c>
      <c r="D69" s="25" t="n">
        <f aca="false">IFERROR(Portfolio_NAV!D66/(OpenNAV_PC+Capital_Activity!D22),0)</f>
        <v>1.01390634284367</v>
      </c>
      <c r="E69" s="25" t="n">
        <f aca="false">IFERROR(Portfolio_NAV!E66/(OpenNAV_PC+Capital_Activity!E22),0)</f>
        <v>1.03460428686618</v>
      </c>
      <c r="F69" s="25" t="n">
        <f aca="false">IFERROR(Portfolio_NAV!F66/(OpenNAV_PC+Capital_Activity!F22),0)</f>
        <v>1.05339677518712</v>
      </c>
      <c r="G69" s="25" t="n">
        <f aca="false">IFERROR(Portfolio_NAV!G66/(OpenNAV_PC+Capital_Activity!G22),0)</f>
        <v>1.07099022125027</v>
      </c>
      <c r="H69" s="25" t="n">
        <f aca="false">IFERROR(Portfolio_NAV!H66/(OpenNAV_PC+Capital_Activity!H22),0)</f>
        <v>1.08842449560463</v>
      </c>
      <c r="I69" s="25" t="n">
        <f aca="false">IFERROR(Portfolio_NAV!I66/(OpenNAV_PC+Capital_Activity!I22),0)</f>
        <v>1.08286812769992</v>
      </c>
      <c r="J69" s="25" t="n">
        <f aca="false">IFERROR(Portfolio_NAV!J66/(OpenNAV_PC+Capital_Activity!J22),0)</f>
        <v>1.07784853462496</v>
      </c>
      <c r="K69" s="25" t="n">
        <f aca="false">IFERROR(Portfolio_NAV!K66/(OpenNAV_PC+Capital_Activity!K22),0)</f>
        <v>1.07314644021085</v>
      </c>
      <c r="L69" s="25" t="n">
        <f aca="false">IFERROR(Portfolio_NAV!L66/(OpenNAV_PC+Capital_Activity!L22),0)</f>
        <v>1.05797166556545</v>
      </c>
    </row>
    <row r="70" customFormat="false" ht="15" hidden="false" customHeight="false" outlineLevel="0" collapsed="false">
      <c r="A70" s="6"/>
      <c r="B70" s="20" t="s">
        <v>55</v>
      </c>
      <c r="C70" s="25" t="n">
        <f aca="false">IFERROR(Portfolio_NAV!C76/(OpenNAV_Liq+Capital_Activity!C23),0)</f>
        <v>1.035</v>
      </c>
      <c r="D70" s="25" t="n">
        <f aca="false">IFERROR(Portfolio_NAV!D76/(OpenNAV_Liq+Capital_Activity!D23),0)</f>
        <v>1.06752857142857</v>
      </c>
      <c r="E70" s="25" t="n">
        <f aca="false">IFERROR(Portfolio_NAV!E76/(OpenNAV_Liq+Capital_Activity!E23),0)</f>
        <v>1.09961719811321</v>
      </c>
      <c r="F70" s="25" t="n">
        <f aca="false">IFERROR(Portfolio_NAV!F76/(OpenNAV_Liq+Capital_Activity!F23),0)</f>
        <v>1.1325803821875</v>
      </c>
      <c r="G70" s="25" t="n">
        <f aca="false">IFERROR(Portfolio_NAV!G76/(OpenNAV_Liq+Capital_Activity!G23),0)</f>
        <v>1.16748894744116</v>
      </c>
      <c r="H70" s="25" t="n">
        <f aca="false">IFERROR(Portfolio_NAV!H76/(OpenNAV_Liq+Capital_Activity!H23),0)</f>
        <v>1.2083510606016</v>
      </c>
      <c r="I70" s="25" t="n">
        <f aca="false">IFERROR(Portfolio_NAV!I76/(OpenNAV_Liq+Capital_Activity!I23),0)</f>
        <v>1.25064334772266</v>
      </c>
      <c r="J70" s="25" t="n">
        <f aca="false">IFERROR(Portfolio_NAV!J76/(OpenNAV_Liq+Capital_Activity!J23),0)</f>
        <v>1.29441586489295</v>
      </c>
      <c r="K70" s="25" t="n">
        <f aca="false">IFERROR(Portfolio_NAV!K76/(OpenNAV_Liq+Capital_Activity!K23),0)</f>
        <v>1.33972042016421</v>
      </c>
      <c r="L70" s="25" t="n">
        <f aca="false">IFERROR(Portfolio_NAV!L76/(OpenNAV_Liq+Capital_Activity!L23),0)</f>
        <v>1.38661063486995</v>
      </c>
    </row>
    <row r="71" customFormat="false" ht="15" hidden="false" customHeight="false" outlineLevel="0" collapsed="false">
      <c r="A71" s="6"/>
      <c r="B71" s="45" t="s">
        <v>209</v>
      </c>
      <c r="C71" s="44" t="n">
        <f aca="false">IFERROR(Portfolio_NAV!C85/((OpenNAV_PE+OpenNAV_VC+OpenNAV_HF+OpenNAV_RE+OpenNAV_Infra+OpenNAV_PC+OpenNAV_Liq)+Capital_Activity!C24),0)</f>
        <v>0.981982029502174</v>
      </c>
      <c r="D71" s="44" t="n">
        <f aca="false">IFERROR(Portfolio_NAV!D85/((OpenNAV_PE+OpenNAV_VC+OpenNAV_HF+OpenNAV_RE+OpenNAV_Infra+OpenNAV_PC+OpenNAV_Liq)+Capital_Activity!D24),0)</f>
        <v>0.980855887000882</v>
      </c>
      <c r="E71" s="44" t="n">
        <f aca="false">IFERROR(Portfolio_NAV!E85/((OpenNAV_PE+OpenNAV_VC+OpenNAV_HF+OpenNAV_RE+OpenNAV_Infra+OpenNAV_PC+OpenNAV_Liq)+Capital_Activity!E24),0)</f>
        <v>1.00436984271819</v>
      </c>
      <c r="F71" s="44" t="n">
        <f aca="false">IFERROR(Portfolio_NAV!F85/((OpenNAV_PE+OpenNAV_VC+OpenNAV_HF+OpenNAV_RE+OpenNAV_Infra+OpenNAV_PC+OpenNAV_Liq)+Capital_Activity!F24),0)</f>
        <v>1.02008607881377</v>
      </c>
      <c r="G71" s="44" t="n">
        <f aca="false">IFERROR(Portfolio_NAV!G85/((OpenNAV_PE+OpenNAV_VC+OpenNAV_HF+OpenNAV_RE+OpenNAV_Infra+OpenNAV_PC+OpenNAV_Liq)+Capital_Activity!G24),0)</f>
        <v>1.05313314726592</v>
      </c>
      <c r="H71" s="44" t="n">
        <f aca="false">IFERROR(Portfolio_NAV!H85/((OpenNAV_PE+OpenNAV_VC+OpenNAV_HF+OpenNAV_RE+OpenNAV_Infra+OpenNAV_PC+OpenNAV_Liq)+Capital_Activity!H24),0)</f>
        <v>1.08950378854242</v>
      </c>
      <c r="I71" s="44" t="n">
        <f aca="false">IFERROR(Portfolio_NAV!I85/((OpenNAV_PE+OpenNAV_VC+OpenNAV_HF+OpenNAV_RE+OpenNAV_Infra+OpenNAV_PC+OpenNAV_Liq)+Capital_Activity!I24),0)</f>
        <v>1.10810034235649</v>
      </c>
      <c r="J71" s="44" t="n">
        <f aca="false">IFERROR(Portfolio_NAV!J85/((OpenNAV_PE+OpenNAV_VC+OpenNAV_HF+OpenNAV_RE+OpenNAV_Infra+OpenNAV_PC+OpenNAV_Liq)+Capital_Activity!J24),0)</f>
        <v>1.11600101190165</v>
      </c>
      <c r="K71" s="44" t="n">
        <f aca="false">IFERROR(Portfolio_NAV!K85/((OpenNAV_PE+OpenNAV_VC+OpenNAV_HF+OpenNAV_RE+OpenNAV_Infra+OpenNAV_PC+OpenNAV_Liq)+Capital_Activity!K24),0)</f>
        <v>1.10947555880465</v>
      </c>
      <c r="L71" s="44" t="n">
        <f aca="false">IFERROR(Portfolio_NAV!L85/((OpenNAV_PE+OpenNAV_VC+OpenNAV_HF+OpenNAV_RE+OpenNAV_Infra+OpenNAV_PC+OpenNAV_Liq)+Capital_Activity!L24),0)</f>
        <v>1.08940964868521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2" min="3" style="0" width="13"/>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29</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210</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c r="J4" s="6"/>
      <c r="K4" s="6"/>
      <c r="L4" s="6"/>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7" t="s">
        <v>47</v>
      </c>
      <c r="C6" s="19" t="n">
        <v>1</v>
      </c>
      <c r="D6" s="19" t="n">
        <v>2</v>
      </c>
      <c r="E6" s="19" t="n">
        <v>3</v>
      </c>
      <c r="F6" s="19" t="n">
        <v>4</v>
      </c>
      <c r="G6" s="19" t="n">
        <v>5</v>
      </c>
      <c r="H6" s="19" t="n">
        <v>6</v>
      </c>
      <c r="I6" s="19" t="n">
        <v>7</v>
      </c>
      <c r="J6" s="19" t="n">
        <v>8</v>
      </c>
      <c r="K6" s="19" t="n">
        <v>9</v>
      </c>
      <c r="L6" s="19" t="n">
        <v>10</v>
      </c>
    </row>
    <row r="7" customFormat="false" ht="15" hidden="false" customHeight="false" outlineLevel="0" collapsed="false">
      <c r="A7" s="6"/>
      <c r="B7" s="14" t="s">
        <v>211</v>
      </c>
      <c r="C7" s="15"/>
      <c r="D7" s="15"/>
      <c r="E7" s="15"/>
      <c r="F7" s="15"/>
      <c r="G7" s="15"/>
      <c r="H7" s="15"/>
      <c r="I7" s="15"/>
      <c r="J7" s="15"/>
      <c r="K7" s="15"/>
      <c r="L7" s="15"/>
    </row>
    <row r="8" customFormat="false" ht="15" hidden="false" customHeight="false" outlineLevel="0" collapsed="false">
      <c r="A8" s="6"/>
      <c r="B8" s="20" t="s">
        <v>212</v>
      </c>
      <c r="C8" s="22" t="n">
        <f aca="false">Total_Portfolio*Initial_Cash_Pct</f>
        <v>50</v>
      </c>
      <c r="D8" s="22" t="n">
        <f aca="false">C17</f>
        <v>26.235</v>
      </c>
      <c r="E8" s="22" t="n">
        <f aca="false">D17</f>
        <v>10</v>
      </c>
      <c r="F8" s="22" t="n">
        <f aca="false">E17</f>
        <v>10</v>
      </c>
      <c r="G8" s="22" t="n">
        <f aca="false">F17</f>
        <v>10</v>
      </c>
      <c r="H8" s="22" t="n">
        <f aca="false">G17</f>
        <v>10</v>
      </c>
      <c r="I8" s="22" t="n">
        <f aca="false">H17</f>
        <v>10</v>
      </c>
      <c r="J8" s="22" t="n">
        <f aca="false">I17</f>
        <v>10</v>
      </c>
      <c r="K8" s="22" t="n">
        <f aca="false">J17</f>
        <v>48.3809745615613</v>
      </c>
      <c r="L8" s="22" t="n">
        <f aca="false">K17</f>
        <v>93.7839153118001</v>
      </c>
    </row>
    <row r="9" customFormat="false" ht="15" hidden="false" customHeight="false" outlineLevel="0" collapsed="false">
      <c r="A9" s="6"/>
      <c r="B9" s="20" t="s">
        <v>57</v>
      </c>
      <c r="C9" s="22" t="n">
        <f aca="false">Capital_Activity!C33</f>
        <v>13.5775</v>
      </c>
      <c r="D9" s="22" t="n">
        <f aca="false">Capital_Activity!D33</f>
        <v>14.960338375</v>
      </c>
      <c r="E9" s="22" t="n">
        <f aca="false">Capital_Activity!E33</f>
        <v>16.7809317445</v>
      </c>
      <c r="F9" s="22" t="n">
        <f aca="false">Capital_Activity!F33</f>
        <v>35.3181639581366</v>
      </c>
      <c r="G9" s="22" t="n">
        <f aca="false">Capital_Activity!G33</f>
        <v>43.6030745477818</v>
      </c>
      <c r="H9" s="22" t="n">
        <f aca="false">Capital_Activity!H33</f>
        <v>48.7121513143301</v>
      </c>
      <c r="I9" s="22" t="n">
        <f aca="false">Capital_Activity!I33</f>
        <v>53.1087357062816</v>
      </c>
      <c r="J9" s="22" t="n">
        <f aca="false">Capital_Activity!J33</f>
        <v>55.5693489589625</v>
      </c>
      <c r="K9" s="22" t="n">
        <f aca="false">Capital_Activity!K33</f>
        <v>56.7840313553117</v>
      </c>
      <c r="L9" s="22" t="n">
        <f aca="false">Capital_Activity!L33</f>
        <v>56.5799297044321</v>
      </c>
    </row>
    <row r="10" customFormat="false" ht="15" hidden="false" customHeight="false" outlineLevel="0" collapsed="false">
      <c r="A10" s="6"/>
      <c r="B10" s="20" t="s">
        <v>58</v>
      </c>
      <c r="C10" s="22" t="n">
        <f aca="false">-Capital_Activity!C15</f>
        <v>-36.5925</v>
      </c>
      <c r="D10" s="22" t="n">
        <f aca="false">-Capital_Activity!D15</f>
        <v>-43.9</v>
      </c>
      <c r="E10" s="22" t="n">
        <f aca="false">-Capital_Activity!E15</f>
        <v>-45.660075</v>
      </c>
      <c r="F10" s="22" t="n">
        <f aca="false">-Capital_Activity!F15</f>
        <v>-43.25876875</v>
      </c>
      <c r="G10" s="22" t="n">
        <f aca="false">-Capital_Activity!G15</f>
        <v>-37.7295658125</v>
      </c>
      <c r="H10" s="22" t="n">
        <f aca="false">-Capital_Activity!H15</f>
        <v>-23.745854234375</v>
      </c>
      <c r="I10" s="22" t="n">
        <f aca="false">-Capital_Activity!I15</f>
        <v>-17.9475365082813</v>
      </c>
      <c r="J10" s="22" t="n">
        <f aca="false">-Capital_Activity!J15</f>
        <v>-13.5916103999609</v>
      </c>
      <c r="K10" s="22" t="n">
        <f aca="false">-Capital_Activity!K15</f>
        <v>-10.3127831618957</v>
      </c>
      <c r="L10" s="22" t="n">
        <f aca="false">-Capital_Activity!L15</f>
        <v>-7.83986392380928</v>
      </c>
    </row>
    <row r="11" customFormat="false" ht="15" hidden="false" customHeight="false" outlineLevel="0" collapsed="false">
      <c r="A11" s="6"/>
      <c r="B11" s="20" t="s">
        <v>213</v>
      </c>
      <c r="C11" s="22" t="n">
        <f aca="false">-Total_Portfolio*Internal_Cost_Pct</f>
        <v>-0.75</v>
      </c>
      <c r="D11" s="22" t="n">
        <f aca="false">-Portfolio_NAV!C85*Internal_Cost_Pct</f>
        <v>-0.6073693875</v>
      </c>
      <c r="E11" s="22" t="n">
        <f aca="false">-Portfolio_NAV!D85*Internal_Cost_Pct</f>
        <v>-0.6712622130375</v>
      </c>
      <c r="F11" s="22" t="n">
        <f aca="false">-Portfolio_NAV!E85*Internal_Cost_Pct</f>
        <v>-0.75614371546891</v>
      </c>
      <c r="G11" s="22" t="n">
        <f aca="false">-Portfolio_NAV!F85*Internal_Cost_Pct</f>
        <v>-0.834167246200173</v>
      </c>
      <c r="H11" s="22" t="n">
        <f aca="false">-Portfolio_NAV!G85*Internal_Cost_Pct</f>
        <v>-0.920792607150372</v>
      </c>
      <c r="I11" s="22" t="n">
        <f aca="false">-Portfolio_NAV!H85*Internal_Cost_Pct</f>
        <v>-0.99139957863871</v>
      </c>
      <c r="J11" s="22" t="n">
        <f aca="false">-Portfolio_NAV!I85*Internal_Cost_Pct</f>
        <v>-1.03815311549795</v>
      </c>
      <c r="K11" s="22" t="n">
        <f aca="false">-Portfolio_NAV!J85*Internal_Cost_Pct</f>
        <v>-1.06830744317725</v>
      </c>
      <c r="L11" s="22" t="n">
        <f aca="false">-Portfolio_NAV!K85*Internal_Cost_Pct</f>
        <v>-1.0792235340099</v>
      </c>
    </row>
    <row r="12" customFormat="false" ht="15" hidden="false" customHeight="false" outlineLevel="0" collapsed="false">
      <c r="A12" s="6"/>
      <c r="B12" s="20" t="s">
        <v>214</v>
      </c>
      <c r="C12" s="22" t="n">
        <f aca="false">0</f>
        <v>0</v>
      </c>
      <c r="D12" s="22" t="n">
        <f aca="false">-C19*Credit_Rate</f>
        <v>-0</v>
      </c>
      <c r="E12" s="22" t="n">
        <f aca="false">-D19*Credit_Rate</f>
        <v>-0.931842170875</v>
      </c>
      <c r="F12" s="22" t="n">
        <f aca="false">-E19*Credit_Rate</f>
        <v>-3.06559950563388</v>
      </c>
      <c r="G12" s="22" t="n">
        <f aca="false">-F19*Credit_Rate</f>
        <v>-3.88896386654151</v>
      </c>
      <c r="H12" s="22" t="n">
        <f aca="false">-G19*Credit_Rate</f>
        <v>-3.8084374329637</v>
      </c>
      <c r="I12" s="22" t="n">
        <f aca="false">-H19*Credit_Rate</f>
        <v>-2.39184274017482</v>
      </c>
      <c r="J12" s="22" t="n">
        <f aca="false">-I19*Credit_Rate</f>
        <v>-0.167385758631741</v>
      </c>
      <c r="K12" s="22" t="n">
        <f aca="false">-J19*Credit_Rate</f>
        <v>-0</v>
      </c>
      <c r="L12" s="22" t="n">
        <f aca="false">-K19*Credit_Rate</f>
        <v>-0</v>
      </c>
    </row>
    <row r="13" customFormat="false" ht="15" hidden="false" customHeight="false" outlineLevel="0" collapsed="false">
      <c r="A13" s="6"/>
      <c r="B13" s="46" t="s">
        <v>215</v>
      </c>
      <c r="C13" s="47" t="n">
        <f aca="false">C9+C10+C11+C12</f>
        <v>-23.765</v>
      </c>
      <c r="D13" s="47" t="n">
        <f aca="false">D9+D10+D11+D12</f>
        <v>-29.5470310125</v>
      </c>
      <c r="E13" s="47" t="n">
        <f aca="false">E9+E10+E11+E12</f>
        <v>-30.4822476394125</v>
      </c>
      <c r="F13" s="47" t="n">
        <f aca="false">F9+F10+F11+F12</f>
        <v>-11.7623480129662</v>
      </c>
      <c r="G13" s="47" t="n">
        <f aca="false">G9+G10+G11+G12</f>
        <v>1.15037762254015</v>
      </c>
      <c r="H13" s="47" t="n">
        <f aca="false">H9+H10+H11+H12</f>
        <v>20.2370670398411</v>
      </c>
      <c r="I13" s="47" t="n">
        <f aca="false">I9+I10+I11+I12</f>
        <v>31.7779568791869</v>
      </c>
      <c r="J13" s="47" t="n">
        <f aca="false">J9+J10+J11+J12</f>
        <v>40.7721996848719</v>
      </c>
      <c r="K13" s="47" t="n">
        <f aca="false">K9+K10+K11+K12</f>
        <v>45.4029407502387</v>
      </c>
      <c r="L13" s="47" t="n">
        <f aca="false">L9+L10+L11+L12</f>
        <v>47.660842246613</v>
      </c>
    </row>
    <row r="14" customFormat="false" ht="15" hidden="false" customHeight="false" outlineLevel="0" collapsed="false">
      <c r="A14" s="6"/>
      <c r="B14" s="48" t="s">
        <v>216</v>
      </c>
      <c r="C14" s="49" t="n">
        <f aca="false">MAX(0,MIN(Credit_Size-0,Cash_Buffer-(C8+C13)))</f>
        <v>0</v>
      </c>
      <c r="D14" s="49" t="n">
        <f aca="false">MAX(0,MIN(Credit_Size-C19,Cash_Buffer-(D8+D13)))</f>
        <v>13.3120310125</v>
      </c>
      <c r="E14" s="49" t="n">
        <f aca="false">MAX(0,MIN(Credit_Size-D19,Cash_Buffer-(E8+E13)))</f>
        <v>30.4822476394125</v>
      </c>
      <c r="F14" s="49" t="n">
        <f aca="false">MAX(0,MIN(Credit_Size-E19,Cash_Buffer-(F8+F13)))</f>
        <v>11.7623480129662</v>
      </c>
      <c r="G14" s="49" t="n">
        <f aca="false">MAX(0,MIN(Credit_Size-F19,Cash_Buffer-(G8+G13)))</f>
        <v>0</v>
      </c>
      <c r="H14" s="49" t="n">
        <f aca="false">MAX(0,MIN(Credit_Size-G19,Cash_Buffer-(H8+H13)))</f>
        <v>0</v>
      </c>
      <c r="I14" s="49" t="n">
        <f aca="false">MAX(0,MIN(Credit_Size-H19,Cash_Buffer-(I8+I13)))</f>
        <v>0</v>
      </c>
      <c r="J14" s="49" t="n">
        <f aca="false">MAX(0,MIN(Credit_Size-I19,Cash_Buffer-(J8+J13)))</f>
        <v>0</v>
      </c>
      <c r="K14" s="49" t="n">
        <f aca="false">MAX(0,MIN(Credit_Size-J19,Cash_Buffer-(K8+K13)))</f>
        <v>0</v>
      </c>
      <c r="L14" s="49" t="n">
        <f aca="false">MAX(0,MIN(Credit_Size-K19,Cash_Buffer-(L8+L13)))</f>
        <v>0</v>
      </c>
    </row>
    <row r="15" customFormat="false" ht="15" hidden="false" customHeight="false" outlineLevel="0" collapsed="false">
      <c r="A15" s="6"/>
      <c r="B15" s="48" t="s">
        <v>217</v>
      </c>
      <c r="C15" s="49" t="n">
        <f aca="false">MAX(0,MIN(0,(C8+C13)-Cash_Buffer))</f>
        <v>0</v>
      </c>
      <c r="D15" s="49" t="n">
        <f aca="false">MAX(0,MIN(C19,(D8+D13)-Cash_Buffer))</f>
        <v>0</v>
      </c>
      <c r="E15" s="49" t="n">
        <f aca="false">MAX(0,MIN(D19,(E8+E13)-Cash_Buffer))</f>
        <v>0</v>
      </c>
      <c r="F15" s="49" t="n">
        <f aca="false">MAX(0,MIN(E19,(F8+F13)-Cash_Buffer))</f>
        <v>0</v>
      </c>
      <c r="G15" s="49" t="n">
        <f aca="false">MAX(0,MIN(F19,(G8+G13)-Cash_Buffer))</f>
        <v>1.15037762254015</v>
      </c>
      <c r="H15" s="49" t="n">
        <f aca="false">MAX(0,MIN(G19,(H8+H13)-Cash_Buffer))</f>
        <v>20.2370670398411</v>
      </c>
      <c r="I15" s="49" t="n">
        <f aca="false">MAX(0,MIN(H19,(I8+I13)-Cash_Buffer))</f>
        <v>31.7779568791869</v>
      </c>
      <c r="J15" s="49" t="n">
        <f aca="false">MAX(0,MIN(I19,(J8+J13)-Cash_Buffer))</f>
        <v>2.39122512331059</v>
      </c>
      <c r="K15" s="49" t="n">
        <f aca="false">MAX(0,MIN(J19,(K8+K13)-Cash_Buffer))</f>
        <v>0</v>
      </c>
      <c r="L15" s="49" t="n">
        <f aca="false">MAX(0,MIN(K19,(L8+L13)-Cash_Buffer))</f>
        <v>0</v>
      </c>
    </row>
    <row r="16" customFormat="false" ht="15" hidden="false" customHeight="false" outlineLevel="0" collapsed="false">
      <c r="A16" s="6"/>
      <c r="B16" s="40" t="s">
        <v>218</v>
      </c>
      <c r="C16" s="41" t="n">
        <f aca="false">C13+C14-C15</f>
        <v>-23.765</v>
      </c>
      <c r="D16" s="41" t="n">
        <f aca="false">D13+D14-D15</f>
        <v>-16.235</v>
      </c>
      <c r="E16" s="41" t="n">
        <f aca="false">E13+E14-E15</f>
        <v>0</v>
      </c>
      <c r="F16" s="41" t="n">
        <f aca="false">F13+F14-F15</f>
        <v>0</v>
      </c>
      <c r="G16" s="41" t="n">
        <f aca="false">G13+G14-G15</f>
        <v>0</v>
      </c>
      <c r="H16" s="41" t="n">
        <f aca="false">H13+H14-H15</f>
        <v>0</v>
      </c>
      <c r="I16" s="41" t="n">
        <f aca="false">I13+I14-I15</f>
        <v>0</v>
      </c>
      <c r="J16" s="41" t="n">
        <f aca="false">J13+J14-J15</f>
        <v>38.3809745615613</v>
      </c>
      <c r="K16" s="41" t="n">
        <f aca="false">K13+K14-K15</f>
        <v>45.4029407502387</v>
      </c>
      <c r="L16" s="41" t="n">
        <f aca="false">L13+L14-L15</f>
        <v>47.660842246613</v>
      </c>
    </row>
    <row r="17" customFormat="false" ht="15" hidden="false" customHeight="false" outlineLevel="0" collapsed="false">
      <c r="A17" s="6"/>
      <c r="B17" s="23" t="s">
        <v>69</v>
      </c>
      <c r="C17" s="24" t="n">
        <f aca="false">C8+C16</f>
        <v>26.235</v>
      </c>
      <c r="D17" s="24" t="n">
        <f aca="false">D8+D16</f>
        <v>10</v>
      </c>
      <c r="E17" s="24" t="n">
        <f aca="false">E8+E16</f>
        <v>10</v>
      </c>
      <c r="F17" s="24" t="n">
        <f aca="false">F8+F16</f>
        <v>10</v>
      </c>
      <c r="G17" s="24" t="n">
        <f aca="false">G8+G16</f>
        <v>10</v>
      </c>
      <c r="H17" s="24" t="n">
        <f aca="false">H8+H16</f>
        <v>10</v>
      </c>
      <c r="I17" s="24" t="n">
        <f aca="false">I8+I16</f>
        <v>10</v>
      </c>
      <c r="J17" s="24" t="n">
        <f aca="false">J8+J16</f>
        <v>48.3809745615613</v>
      </c>
      <c r="K17" s="24" t="n">
        <f aca="false">K8+K16</f>
        <v>93.7839153118001</v>
      </c>
      <c r="L17" s="24" t="n">
        <f aca="false">L8+L16</f>
        <v>141.444757558413</v>
      </c>
    </row>
    <row r="18" customFormat="false" ht="15" hidden="false" customHeight="false" outlineLevel="0" collapsed="false">
      <c r="A18" s="6"/>
      <c r="B18" s="14" t="s">
        <v>219</v>
      </c>
      <c r="C18" s="15"/>
      <c r="D18" s="15"/>
      <c r="E18" s="15"/>
      <c r="F18" s="15"/>
      <c r="G18" s="15"/>
      <c r="H18" s="15"/>
      <c r="I18" s="15"/>
      <c r="J18" s="15"/>
      <c r="K18" s="15"/>
      <c r="L18" s="15"/>
    </row>
    <row r="19" customFormat="false" ht="15" hidden="false" customHeight="false" outlineLevel="0" collapsed="false">
      <c r="A19" s="6"/>
      <c r="B19" s="26" t="s">
        <v>220</v>
      </c>
      <c r="C19" s="50" t="n">
        <f aca="false">C14-C15</f>
        <v>0</v>
      </c>
      <c r="D19" s="50" t="n">
        <f aca="false">C19+D14-D15</f>
        <v>13.3120310125</v>
      </c>
      <c r="E19" s="50" t="n">
        <f aca="false">D19+E14-E15</f>
        <v>43.7942786519125</v>
      </c>
      <c r="F19" s="50" t="n">
        <f aca="false">E19+F14-F15</f>
        <v>55.5566266648787</v>
      </c>
      <c r="G19" s="50" t="n">
        <f aca="false">F19+G14-G15</f>
        <v>54.4062490423385</v>
      </c>
      <c r="H19" s="50" t="n">
        <f aca="false">G19+H14-H15</f>
        <v>34.1691820024975</v>
      </c>
      <c r="I19" s="50" t="n">
        <f aca="false">H19+I14-I15</f>
        <v>2.39122512331059</v>
      </c>
      <c r="J19" s="50" t="n">
        <f aca="false">I19+J14-J15</f>
        <v>0</v>
      </c>
      <c r="K19" s="50" t="n">
        <f aca="false">J19+K14-K15</f>
        <v>0</v>
      </c>
      <c r="L19" s="50" t="n">
        <f aca="false">K19+L14-L15</f>
        <v>0</v>
      </c>
    </row>
    <row r="20" customFormat="false" ht="15" hidden="false" customHeight="false" outlineLevel="0" collapsed="false">
      <c r="A20" s="6"/>
      <c r="B20" s="6"/>
      <c r="C20" s="6"/>
      <c r="D20" s="6"/>
      <c r="E20" s="6"/>
      <c r="F20" s="6"/>
      <c r="G20" s="6"/>
      <c r="H20" s="6"/>
      <c r="I20" s="6"/>
      <c r="J20" s="6"/>
      <c r="K20" s="6"/>
      <c r="L20" s="6"/>
    </row>
    <row r="21" customFormat="false" ht="15" hidden="false" customHeight="false" outlineLevel="0" collapsed="false">
      <c r="A21" s="6"/>
      <c r="B21" s="14" t="s">
        <v>221</v>
      </c>
      <c r="C21" s="15"/>
      <c r="D21" s="15"/>
      <c r="E21" s="15"/>
      <c r="F21" s="15"/>
      <c r="G21" s="15"/>
      <c r="H21" s="15"/>
      <c r="I21" s="15"/>
      <c r="J21" s="15"/>
      <c r="K21" s="15"/>
      <c r="L21" s="15"/>
    </row>
    <row r="22" customFormat="false" ht="15" hidden="false" customHeight="false" outlineLevel="0" collapsed="false">
      <c r="A22" s="6"/>
      <c r="B22" s="20" t="s">
        <v>222</v>
      </c>
      <c r="C22" s="22" t="n">
        <f aca="false">Allocation_Strategy!C46</f>
        <v>55.2825</v>
      </c>
      <c r="D22" s="22" t="n">
        <f aca="false">Allocation_Strategy!D46</f>
        <v>87.945</v>
      </c>
      <c r="E22" s="22" t="n">
        <f aca="false">Allocation_Strategy!E46</f>
        <v>103.534925</v>
      </c>
      <c r="F22" s="22" t="n">
        <f aca="false">Allocation_Strategy!F46</f>
        <v>106.21365625</v>
      </c>
      <c r="G22" s="22" t="n">
        <f aca="false">Allocation_Strategy!G46</f>
        <v>99.1090904375</v>
      </c>
      <c r="H22" s="22" t="n">
        <f aca="false">Allocation_Strategy!H46</f>
        <v>75.363236203125</v>
      </c>
      <c r="I22" s="22" t="n">
        <f aca="false">Allocation_Strategy!I46</f>
        <v>57.4156996948437</v>
      </c>
      <c r="J22" s="22" t="n">
        <f aca="false">Allocation_Strategy!J46</f>
        <v>43.8240892948828</v>
      </c>
      <c r="K22" s="22" t="n">
        <f aca="false">Allocation_Strategy!K46</f>
        <v>33.5113061329871</v>
      </c>
      <c r="L22" s="22" t="n">
        <f aca="false">Allocation_Strategy!L46</f>
        <v>25.6714422091778</v>
      </c>
    </row>
    <row r="23" customFormat="false" ht="15" hidden="false" customHeight="false" outlineLevel="0" collapsed="false">
      <c r="A23" s="6"/>
      <c r="B23" s="20" t="s">
        <v>223</v>
      </c>
      <c r="C23" s="25" t="n">
        <f aca="false">IFERROR(MAX(0,C17)/C22,0)</f>
        <v>0.474562474562475</v>
      </c>
      <c r="D23" s="25" t="n">
        <f aca="false">IFERROR(MAX(0,D17)/D22,0)</f>
        <v>0.113707430780602</v>
      </c>
      <c r="E23" s="25" t="n">
        <f aca="false">IFERROR(MAX(0,E17)/E22,0)</f>
        <v>0.0965857656244982</v>
      </c>
      <c r="F23" s="25" t="n">
        <f aca="false">IFERROR(MAX(0,F17)/F22,0)</f>
        <v>0.0941498518463816</v>
      </c>
      <c r="G23" s="25" t="n">
        <f aca="false">IFERROR(MAX(0,G17)/G22,0)</f>
        <v>0.1008989181099</v>
      </c>
      <c r="H23" s="25" t="n">
        <f aca="false">IFERROR(MAX(0,H17)/H22,0)</f>
        <v>0.132690692488937</v>
      </c>
      <c r="I23" s="25" t="n">
        <f aca="false">IFERROR(MAX(0,I17)/I22,0)</f>
        <v>0.174168390407999</v>
      </c>
      <c r="J23" s="25" t="n">
        <f aca="false">IFERROR(MAX(0,J17)/J22,0)</f>
        <v>1.10398128837353</v>
      </c>
      <c r="K23" s="25" t="n">
        <f aca="false">IFERROR(MAX(0,K17)/K22,0)</f>
        <v>2.7985753506481</v>
      </c>
      <c r="L23" s="25" t="n">
        <f aca="false">IFERROR(MAX(0,L17)/L22,0)</f>
        <v>5.50980955436329</v>
      </c>
    </row>
    <row r="24" customFormat="false" ht="15" hidden="false" customHeight="false" outlineLevel="0" collapsed="false">
      <c r="A24" s="6"/>
      <c r="B24" s="20" t="s">
        <v>224</v>
      </c>
      <c r="C24" s="22" t="n">
        <f aca="false">Portfolio_NAV!C36+Portfolio_NAV!C76</f>
        <v>140.9275</v>
      </c>
      <c r="D24" s="22" t="n">
        <f aca="false">Portfolio_NAV!D36+Portfolio_NAV!D76</f>
        <v>160.4149275</v>
      </c>
      <c r="E24" s="22" t="n">
        <f aca="false">Portfolio_NAV!E36+Portfolio_NAV!E76</f>
        <v>177.1542135025</v>
      </c>
      <c r="F24" s="22" t="n">
        <f aca="false">Portfolio_NAV!F36+Portfolio_NAV!F76</f>
        <v>191.085473096328</v>
      </c>
      <c r="G24" s="22" t="n">
        <f aca="false">Portfolio_NAV!G36+Portfolio_NAV!G76</f>
        <v>202.146943198666</v>
      </c>
      <c r="H24" s="22" t="n">
        <f aca="false">Portfolio_NAV!H36+Portfolio_NAV!H76</f>
        <v>207.041793125851</v>
      </c>
      <c r="I24" s="22" t="n">
        <f aca="false">Portfolio_NAV!I36+Portfolio_NAV!I76</f>
        <v>212.094881041978</v>
      </c>
      <c r="J24" s="22" t="n">
        <f aca="false">Portfolio_NAV!J36+Portfolio_NAV!J76</f>
        <v>217.311666786111</v>
      </c>
      <c r="K24" s="22" t="n">
        <f aca="false">Portfolio_NAV!K36+Portfolio_NAV!K76</f>
        <v>222.697800820733</v>
      </c>
      <c r="L24" s="22" t="n">
        <f aca="false">Portfolio_NAV!L36+Portfolio_NAV!L76</f>
        <v>228.259130900751</v>
      </c>
    </row>
    <row r="25" customFormat="false" ht="15" hidden="false" customHeight="false" outlineLevel="0" collapsed="false">
      <c r="A25" s="6"/>
      <c r="B25" s="26" t="s">
        <v>225</v>
      </c>
      <c r="C25" s="50" t="n">
        <f aca="false">MAX(0,C17)+C24</f>
        <v>167.1625</v>
      </c>
      <c r="D25" s="50" t="n">
        <f aca="false">MAX(0,D17)+D24</f>
        <v>170.4149275</v>
      </c>
      <c r="E25" s="50" t="n">
        <f aca="false">MAX(0,E17)+E24</f>
        <v>187.1542135025</v>
      </c>
      <c r="F25" s="50" t="n">
        <f aca="false">MAX(0,F17)+F24</f>
        <v>201.085473096328</v>
      </c>
      <c r="G25" s="50" t="n">
        <f aca="false">MAX(0,G17)+G24</f>
        <v>212.146943198666</v>
      </c>
      <c r="H25" s="50" t="n">
        <f aca="false">MAX(0,H17)+H24</f>
        <v>217.041793125851</v>
      </c>
      <c r="I25" s="50" t="n">
        <f aca="false">MAX(0,I17)+I24</f>
        <v>222.094881041978</v>
      </c>
      <c r="J25" s="50" t="n">
        <f aca="false">MAX(0,J17)+J24</f>
        <v>265.692641347672</v>
      </c>
      <c r="K25" s="50" t="n">
        <f aca="false">MAX(0,K17)+K24</f>
        <v>316.481716132533</v>
      </c>
      <c r="L25" s="50" t="n">
        <f aca="false">MAX(0,L17)+L24</f>
        <v>369.703888459164</v>
      </c>
    </row>
    <row r="26" customFormat="false" ht="15" hidden="false" customHeight="false" outlineLevel="0" collapsed="false">
      <c r="A26" s="6"/>
      <c r="B26" s="26" t="s">
        <v>71</v>
      </c>
      <c r="C26" s="51" t="n">
        <f aca="false">IFERROR(C25/C22,0)</f>
        <v>3.0237869126758</v>
      </c>
      <c r="D26" s="51" t="n">
        <f aca="false">IFERROR(D25/D22,0)</f>
        <v>1.93774435726875</v>
      </c>
      <c r="E26" s="51" t="n">
        <f aca="false">IFERROR(E25/E22,0)</f>
        <v>1.80764330009898</v>
      </c>
      <c r="F26" s="51" t="n">
        <f aca="false">IFERROR(F25/F22,0)</f>
        <v>1.89321675004788</v>
      </c>
      <c r="G26" s="51" t="n">
        <f aca="false">IFERROR(G25/G22,0)</f>
        <v>2.14053970490679</v>
      </c>
      <c r="H26" s="51" t="n">
        <f aca="false">IFERROR(H25/H22,0)</f>
        <v>2.87994258289098</v>
      </c>
      <c r="I26" s="51" t="n">
        <f aca="false">IFERROR(I25/I22,0)</f>
        <v>3.86819079489375</v>
      </c>
      <c r="J26" s="51" t="n">
        <f aca="false">IFERROR(J25/J22,0)</f>
        <v>6.06270764829552</v>
      </c>
      <c r="K26" s="51" t="n">
        <f aca="false">IFERROR(K25/K22,0)</f>
        <v>9.4440280804514</v>
      </c>
      <c r="L26" s="51" t="n">
        <f aca="false">IFERROR(L25/L22,0)</f>
        <v>14.4013680823507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2026-05-15T18:52:45Z</dcterms:created>
  <dc:creator>openpyxl</dc:creator>
  <dc:description/>
  <dc:language>en-GB</dc:language>
  <cp:lastModifiedBy/>
  <dcterms:modified xsi:type="dcterms:W3CDTF">2026-05-15T18:52:46Z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