
<file path=[Content_Types].xml><?xml version="1.0" encoding="utf-8"?>
<Types xmlns="http://schemas.openxmlformats.org/package/2006/content-types">
  <Default Extension="fntdata" ContentType="application/x-fontdata"/>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xl/sharedStrings.xml" ContentType="application/vnd.openxmlformats-officedocument.spreadsheetml.sharedStrings+xml"/>
  <Override PartName="/xl/styles.xml" ContentType="application/vnd.openxmlformats-officedocument.spreadsheetml.styles+xml"/>
  <Override PartName="/xl/worksheets/sheet2.xml" ContentType="application/vnd.openxmlformats-officedocument.spreadsheetml.worksheet+xml"/>
  <Override PartName="/xl/worksheets/sheet3.xml" ContentType="application/vnd.openxmlformats-officedocument.spreadsheetml.worksheet+xml"/>
  <Override PartName="/xl/worksheets/sheet5.xml" ContentType="application/vnd.openxmlformats-officedocument.spreadsheetml.worksheet+xml"/>
  <Override PartName="/xl/worksheets/sheet4.xml" ContentType="application/vnd.openxmlformats-officedocument.spreadsheetml.worksheet+xml"/>
  <Override PartName="/xl/worksheets/sheet6.xml" ContentType="application/vnd.openxmlformats-officedocument.spreadsheetml.worksheet+xml"/>
  <Override PartName="/xl/worksheets/sheet1.xml" ContentType="application/vnd.openxmlformats-officedocument.spreadsheetml.worksheet+xml"/>
  <Override PartName="/xl/worksheets/sheet11.xml" ContentType="application/vnd.openxmlformats-officedocument.spreadsheetml.worksheet+xml"/>
  <Override PartName="/xl/worksheets/sheet9.xml" ContentType="application/vnd.openxmlformats-officedocument.spreadsheetml.worksheet+xml"/>
  <Override PartName="/xl/worksheets/sheet12.xml" ContentType="application/vnd.openxmlformats-officedocument.spreadsheetml.worksheet+xml"/>
  <Override PartName="/xl/worksheets/sheet8.xml" ContentType="application/vnd.openxmlformats-officedocument.spreadsheetml.worksheet+xml"/>
  <Override PartName="/xl/worksheets/sheet10.xml" ContentType="application/vnd.openxmlformats-officedocument.spreadsheetml.worksheet+xml"/>
  <Override PartName="/xl/worksheets/sheet7.xml" ContentType="application/vnd.openxmlformats-officedocument.spreadsheetml.worksheet+xml"/>
  <Override PartName="/xl/worksheets/sheet13.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fileVersion appName="Calc" lowestEdited="4"/>
  <workbookPr backupFile="false" showObjects="all" date1904="false"/>
  <workbookProtection/>
  <bookViews>
    <workbookView showHorizontalScroll="true" showVerticalScroll="true" showSheetTabs="true" xWindow="0" yWindow="0" windowWidth="16384" windowHeight="8192" tabRatio="600" firstSheet="0" activeTab="0"/>
  </bookViews>
  <sheets>
    <sheet name="Cover" sheetId="1" state="visible" r:id="rId3"/>
    <sheet name="Assumptions" sheetId="2" state="visible" r:id="rId4"/>
    <sheet name="Production_Schedule" sheetId="3" state="visible" r:id="rId5"/>
    <sheet name="Revenue" sheetId="4" state="visible" r:id="rId6"/>
    <sheet name="Operating_Costs" sheetId="5" state="visible" r:id="rId7"/>
    <sheet name="Capex_Depreciation" sheetId="6" state="visible" r:id="rId8"/>
    <sheet name="Income_Statement" sheetId="7" state="visible" r:id="rId9"/>
    <sheet name="Working_Capital" sheetId="8" state="visible" r:id="rId10"/>
    <sheet name="Debt_Schedule" sheetId="9" state="visible" r:id="rId11"/>
    <sheet name="Cash_Flow" sheetId="10" state="visible" r:id="rId12"/>
    <sheet name="Balance_Sheet" sheetId="11" state="visible" r:id="rId13"/>
    <sheet name="Checks" sheetId="12" state="visible" r:id="rId14"/>
    <sheet name="Disclaimer" sheetId="13" state="visible" r:id="rId15"/>
  </sheets>
  <definedNames>
    <definedName function="false" hidden="false" name="Accum_Depr_Open" vbProcedure="false">Assumptions!$C$44</definedName>
    <definedName function="false" hidden="false" name="Advance_Rate" vbProcedure="false">Assumptions!$C$63</definedName>
    <definedName function="false" hidden="false" name="BS_Cash" vbProcedure="false">Balance_Sheet!$C$10:$G$10</definedName>
    <definedName function="false" hidden="false" name="BS_Check" vbProcedure="false">Balance_Sheet!$C$42:$G$42</definedName>
    <definedName function="false" hidden="false" name="BS_RE" vbProcedure="false">Balance_Sheet!$C$37:$G$37</definedName>
    <definedName function="false" hidden="false" name="BS_Total_Assets" vbProcedure="false">Balance_Sheet!$C$21:$G$21</definedName>
    <definedName function="false" hidden="false" name="BS_Total_Equity" vbProcedure="false">Balance_Sheet!$C$38:$G$38</definedName>
    <definedName function="false" hidden="false" name="BS_Total_LE" vbProcedure="false">Balance_Sheet!$C$40:$G$40</definedName>
    <definedName function="false" hidden="false" name="CD_Accum_Depr" vbProcedure="false">Capex_Depreciation!$C$19:$G$19</definedName>
    <definedName function="false" hidden="false" name="CD_Close_PPE" vbProcedure="false">Capex_Depreciation!$C$13:$G$13</definedName>
    <definedName function="false" hidden="false" name="CD_Net_PPE" vbProcedure="false">Capex_Depreciation!$C$20:$G$20</definedName>
    <definedName function="false" hidden="false" name="CD_Total_Capex" vbProcedure="false">Capex_Depreciation!$C$12:$G$12</definedName>
    <definedName function="false" hidden="false" name="CD_Total_DA" vbProcedure="false">Capex_Depreciation!$C$18:$G$18</definedName>
    <definedName function="false" hidden="false" name="CF_CFF" vbProcedure="false">Cash_Flow!$C$22:$G$22</definedName>
    <definedName function="false" hidden="false" name="CF_CFI" vbProcedure="false">Cash_Flow!$C$15:$G$15</definedName>
    <definedName function="false" hidden="false" name="CF_CFO" vbProcedure="false">Cash_Flow!$C$11:$G$11</definedName>
    <definedName function="false" hidden="false" name="CF_Closing" vbProcedure="false">Cash_Flow!$C$27:$G$27</definedName>
    <definedName function="false" hidden="false" name="CF_Net_Change" vbProcedure="false">Cash_Flow!$C$24:$G$24</definedName>
    <definedName function="false" hidden="false" name="CF_Opening" vbProcedure="false">Cash_Flow!$C$26:$G$26</definedName>
    <definedName function="false" hidden="false" name="Chk_DSCR_Min" vbProcedure="false">Assumptions!$C$97</definedName>
    <definedName function="false" hidden="false" name="Chk_EBIT_Max" vbProcedure="false">Assumptions!$C$96</definedName>
    <definedName function="false" hidden="false" name="Chk_EBIT_Min" vbProcedure="false">Assumptions!$C$95</definedName>
    <definedName function="false" hidden="false" name="Chk_FCR_Max" vbProcedure="false">Assumptions!$C$94</definedName>
    <definedName function="false" hidden="false" name="Chk_FCR_Min" vbProcedure="false">Assumptions!$C$93</definedName>
    <definedName function="false" hidden="false" name="Commit_Fee_Rate" vbProcedure="false">Assumptions!$C$62</definedName>
    <definedName function="false" hidden="false" name="Dividend_Payout" vbProcedure="false">Assumptions!$C$67</definedName>
    <definedName function="false" hidden="false" name="Dollars_Per_M" vbProcedure="false">Assumptions!$C$98</definedName>
    <definedName function="false" hidden="false" name="Downgrade_Disc" vbProcedure="false">Assumptions!$C$21</definedName>
    <definedName function="false" hidden="false" name="Downgrade_Pct" vbProcedure="false">Assumptions!$C$20</definedName>
    <definedName function="false" hidden="false" name="DPO_Days" vbProcedure="false">Assumptions!$C$53</definedName>
    <definedName function="false" hidden="false" name="DSO_Days" vbProcedure="false">Assumptions!$C$52</definedName>
    <definedName function="false" hidden="false" name="DS_Borrow_Base" vbProcedure="false">Debt_Schedule!$C$15:$G$15</definedName>
    <definedName function="false" hidden="false" name="DS_Commit_Fee_Amt" vbProcedure="false">Debt_Schedule!$C$24:$G$24</definedName>
    <definedName function="false" hidden="false" name="DS_Rev_Close" vbProcedure="false">Debt_Schedule!$C$21:$G$21</definedName>
    <definedName function="false" hidden="false" name="DS_Rev_Interest" vbProcedure="false">Debt_Schedule!$C$22:$G$22</definedName>
    <definedName function="false" hidden="false" name="DS_Rev_Net" vbProcedure="false">Debt_Schedule!$C$18:$G$18</definedName>
    <definedName function="false" hidden="false" name="DS_Rev_Open" vbProcedure="false">Debt_Schedule!$C$17:$G$17</definedName>
    <definedName function="false" hidden="false" name="DS_TL_Close" vbProcedure="false">Debt_Schedule!$C$11:$G$11</definedName>
    <definedName function="false" hidden="false" name="DS_TL_Interest" vbProcedure="false">Debt_Schedule!$C$12:$G$12</definedName>
    <definedName function="false" hidden="false" name="DS_TL_Open" vbProcedure="false">Debt_Schedule!$C$9:$G$9</definedName>
    <definedName function="false" hidden="false" name="DS_TL_Repayment" vbProcedure="false">Debt_Schedule!$C$10:$G$10</definedName>
    <definedName function="false" hidden="false" name="DS_Total_Debt" vbProcedure="false">Debt_Schedule!$C$27:$G$27</definedName>
    <definedName function="false" hidden="false" name="DS_Total_Interest" vbProcedure="false">Debt_Schedule!$C$29:$G$29</definedName>
    <definedName function="false" hidden="false" name="EFCR" vbProcedure="false">Assumptions!$C$15</definedName>
    <definedName function="false" hidden="false" name="Env_Reg_Base" vbProcedure="false">Assumptions!$C$38</definedName>
    <definedName function="false" hidden="false" name="Env_Reg_Growth" vbProcedure="false">Assumptions!$C$39</definedName>
    <definedName function="false" hidden="false" name="Feed_Inflation" vbProcedure="false">Assumptions!$C$26</definedName>
    <definedName function="false" hidden="false" name="Feed_Price" vbProcedure="false">Assumptions!$C$25</definedName>
    <definedName function="false" hidden="false" name="GA_Base" vbProcedure="false">Assumptions!$C$35</definedName>
    <definedName function="false" hidden="false" name="GA_Growth" vbProcedure="false">Assumptions!$C$36</definedName>
    <definedName function="false" hidden="false" name="Growth_Capex_Amt" vbProcedure="false">Assumptions!$C$47</definedName>
    <definedName function="false" hidden="false" name="Growth_Capex_Yrs" vbProcedure="false">Assumptions!$C$48</definedName>
    <definedName function="false" hidden="false" name="Harvest_Lag_Years" vbProcedure="false">Assumptions!$C$80</definedName>
    <definedName function="false" hidden="false" name="Harvest_Weight" vbProcedure="false">Assumptions!$C$13</definedName>
    <definedName function="false" hidden="false" name="Harvest_Wt_Improvement_Pct" vbProcedure="false">Assumptions!$C$77</definedName>
    <definedName function="false" hidden="false" name="Health_Pct" vbProcedure="false">Assumptions!$C$31</definedName>
    <definedName function="false" hidden="false" name="Insurance_Pct" vbProcedure="false">Assumptions!$C$37</definedName>
    <definedName function="false" hidden="false" name="IS_DA" vbProcedure="false">Income_Statement!$C$18:$G$18</definedName>
    <definedName function="false" hidden="false" name="IS_Dividends" vbProcedure="false">Income_Statement!$C$35:$G$35</definedName>
    <definedName function="false" hidden="false" name="IS_EBIT" vbProcedure="false">Income_Statement!$C$19:$G$19</definedName>
    <definedName function="false" hidden="false" name="IS_EBITDA" vbProcedure="false">Income_Statement!$C$15:$G$15</definedName>
    <definedName function="false" hidden="false" name="IS_EBT" vbProcedure="false">Income_Statement!$C$29:$G$29</definedName>
    <definedName function="false" hidden="false" name="IS_Gross_Profit" vbProcedure="false">Income_Statement!$C$11:$G$11</definedName>
    <definedName function="false" hidden="false" name="IS_Net_Income" vbProcedure="false">Income_Statement!$C$32:$G$32</definedName>
    <definedName function="false" hidden="false" name="IS_Net_Interest" vbProcedure="false">Income_Statement!$C$27:$G$27</definedName>
    <definedName function="false" hidden="false" name="IS_NOL_Close" vbProcedure="false">Income_Statement!$C$41:$G$41</definedName>
    <definedName function="false" hidden="false" name="IS_Revenue" vbProcedure="false">Income_Statement!$C$9:$G$9</definedName>
    <definedName function="false" hidden="false" name="IS_Tax" vbProcedure="false">Income_Statement!$C$30:$G$30</definedName>
    <definedName function="false" hidden="false" name="IS_Taxable_Income" vbProcedure="false">Income_Statement!$C$42:$G$42</definedName>
    <definedName function="false" hidden="false" name="Liquidation_Haircut" vbProcedure="false">Assumptions!$C$85</definedName>
    <definedName function="false" hidden="false" name="MAB_Add_Per_Capex" vbProcedure="false">Assumptions!$C$79</definedName>
    <definedName function="false" hidden="false" name="MAB_Limit" vbProcedure="false">Assumptions!$C$16</definedName>
    <definedName function="false" hidden="false" name="Maint_Capex_Pct" vbProcedure="false">Assumptions!$C$46</definedName>
    <definedName function="false" hidden="false" name="Marketing_Pct" vbProcedure="false">Assumptions!$C$40</definedName>
    <definedName function="false" hidden="false" name="Model_Start_Year" vbProcedure="false">Assumptions!$C$8</definedName>
    <definedName function="false" hidden="false" name="Mortality_Improvement_Pct" vbProcedure="false">Assumptions!$C$78</definedName>
    <definedName function="false" hidden="false" name="Mortality_Rate" vbProcedure="false">Assumptions!$C$14</definedName>
    <definedName function="false" hidden="false" name="New_Asset_Life" vbProcedure="false">Assumptions!$C$49</definedName>
    <definedName function="false" hidden="false" name="NOL_Cap_Pct" vbProcedure="false">Assumptions!$C$89</definedName>
    <definedName function="false" hidden="false" name="NOL_Open_Balance" vbProcedure="false">Assumptions!$C$90</definedName>
    <definedName function="false" hidden="false" name="OC_Feed" vbProcedure="false">Operating_Costs!$C$9:$G$9</definedName>
    <definedName function="false" hidden="false" name="OC_Total_COGS" vbProcedure="false">Operating_Costs!$C$16:$G$16</definedName>
    <definedName function="false" hidden="false" name="OC_Total_OpEx" vbProcedure="false">Operating_Costs!$C$23:$G$23</definedName>
    <definedName function="false" hidden="false" name="Opening_PPE_Gross" vbProcedure="false">Assumptions!$C$43</definedName>
    <definedName function="false" hidden="false" name="Open_Cash" vbProcedure="false">Assumptions!$C$70</definedName>
    <definedName function="false" hidden="false" name="Open_NWC" vbProcedure="false">Assumptions!$C$86</definedName>
    <definedName function="false" hidden="false" name="Open_Ret_Earnings" vbProcedure="false">Assumptions!$C$72</definedName>
    <definedName function="false" hidden="false" name="Premium_Price" vbProcedure="false">Assumptions!$C$19</definedName>
    <definedName function="false" hidden="false" name="Price_Growth" vbProcedure="false">Assumptions!$C$22</definedName>
    <definedName function="false" hidden="false" name="Processing_Cost" vbProcedure="false">Assumptions!$C$29</definedName>
    <definedName function="false" hidden="false" name="Processing_Infl" vbProcedure="false">Assumptions!$C$30</definedName>
    <definedName function="false" hidden="false" name="PS_Feed_Consumed" vbProcedure="false">Production_Schedule!$C$18:$G$18</definedName>
    <definedName function="false" hidden="false" name="PS_Growth_Kg" vbProcedure="false">Production_Schedule!$C$17:$G$17</definedName>
    <definedName function="false" hidden="false" name="PS_Harvest_Vol" vbProcedure="false">Production_Schedule!$C$15:$G$15</definedName>
    <definedName function="false" hidden="false" name="PS_MAB_Cap" vbProcedure="false">Production_Schedule!$C$9:$G$9</definedName>
    <definedName function="false" hidden="false" name="PS_Mortality_Vol" vbProcedure="false">Production_Schedule!$C$16:$G$16</definedName>
    <definedName function="false" hidden="false" name="PS_Smolts" vbProcedure="false">Production_Schedule!$C$11:$G$11</definedName>
    <definedName function="false" hidden="false" name="PS_Standing_Bio" vbProcedure="false">Production_Schedule!$C$19:$G$19</definedName>
    <definedName function="false" hidden="false" name="PS_Survivors" vbProcedure="false">Production_Schedule!$C$13:$G$13</definedName>
    <definedName function="false" hidden="false" name="Revolver_Drawn" vbProcedure="false">Assumptions!$C$60</definedName>
    <definedName function="false" hidden="false" name="Revolver_Limit" vbProcedure="false">Assumptions!$C$59</definedName>
    <definedName function="false" hidden="false" name="Revolver_Rate" vbProcedure="false">Assumptions!$C$61</definedName>
    <definedName function="false" hidden="false" name="Revolver_Target_Pct" vbProcedure="false">Assumptions!$C$84</definedName>
    <definedName function="false" hidden="false" name="REV_Harvest_Vol" vbProcedure="false">Revenue!$C$9:$G$9</definedName>
    <definedName function="false" hidden="false" name="REV_Premium_Price" vbProcedure="false">Revenue!$C$12:$G$12</definedName>
    <definedName function="false" hidden="false" name="REV_Total" vbProcedure="false">Revenue!$C$18:$G$18</definedName>
    <definedName function="false" hidden="false" name="Share_Capital" vbProcedure="false">Assumptions!$C$71</definedName>
    <definedName function="false" hidden="false" name="Site_Overhead_Pct" vbProcedure="false">Assumptions!$C$32</definedName>
    <definedName function="false" hidden="false" name="Smolts_Stocked" vbProcedure="false">Assumptions!$C$11</definedName>
    <definedName function="false" hidden="false" name="Smolt_Cost" vbProcedure="false">Assumptions!$C$27</definedName>
    <definedName function="false" hidden="false" name="Smolt_Growth_Pct" vbProcedure="false">Assumptions!$C$76</definedName>
    <definedName function="false" hidden="false" name="Smolt_Inflation" vbProcedure="false">Assumptions!$C$28</definedName>
    <definedName function="false" hidden="false" name="Smolt_Weight" vbProcedure="false">Assumptions!$C$12</definedName>
    <definedName function="false" hidden="false" name="Tax_Rate" vbProcedure="false">Assumptions!$C$66</definedName>
    <definedName function="false" hidden="false" name="Term_Loan_Amt" vbProcedure="false">Assumptions!$C$56</definedName>
    <definedName function="false" hidden="false" name="Term_Loan_Rate" vbProcedure="false">Assumptions!$C$57</definedName>
    <definedName function="false" hidden="false" name="Term_Loan_Tenor" vbProcedure="false">Assumptions!$C$58</definedName>
    <definedName function="false" hidden="false" name="Useful_Life_Exist" vbProcedure="false">Assumptions!$C$45</definedName>
    <definedName function="false" hidden="false" name="WC_AP" vbProcedure="false">Working_Capital!$C$14:$G$14</definedName>
    <definedName function="false" hidden="false" name="WC_AR" vbProcedure="false">Working_Capital!$C$9:$G$9</definedName>
    <definedName function="false" hidden="false" name="WC_Bio_Inv" vbProcedure="false">Working_Capital!$C$10:$G$10</definedName>
    <definedName function="false" hidden="false" name="WC_NWC" vbProcedure="false">Working_Capital!$C$18:$G$18</definedName>
    <definedName function="false" hidden="false" name="WC_NWC_Change" vbProcedure="false">Working_Capital!$C$19:$G$19</definedName>
    <definedName function="false" hidden="false" name="Y0_Harvest_Volume" vbProcedure="false">Assumptions!$C$81</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<sst xmlns="http://schemas.openxmlformats.org/spreadsheetml/2006/main" count="520" uniqueCount="395">
  <si>
    <t xml:space="preserve">Aquaculture Financial Model</t>
  </si>
  <si>
    <t xml:space="preserve">FINAMODEL.com</t>
  </si>
  <si>
    <t xml:space="preserve">Atlantic Salmon Farm</t>
  </si>
  <si>
    <t xml:space="preserve">Company Name</t>
  </si>
  <si>
    <t xml:space="preserve">[Company Name]</t>
  </si>
  <si>
    <t xml:space="preserve">Currency</t>
  </si>
  <si>
    <t xml:space="preserve">USD ($)</t>
  </si>
  <si>
    <t xml:space="preserve">Projection Period</t>
  </si>
  <si>
    <t xml:space="preserve">5 Years</t>
  </si>
  <si>
    <t xml:space="preserve">Species</t>
  </si>
  <si>
    <t xml:space="preserve">Atlantic Salmon</t>
  </si>
  <si>
    <t xml:space="preserve">Date Prepared</t>
  </si>
  <si>
    <t xml:space="preserve">April 2026</t>
  </si>
  <si>
    <t xml:space="preserve">Sheet Navigation</t>
  </si>
  <si>
    <t xml:space="preserve">Assumptions</t>
  </si>
  <si>
    <t xml:space="preserve">All model inputs</t>
  </si>
  <si>
    <t xml:space="preserve">Production_Schedule</t>
  </si>
  <si>
    <t xml:space="preserve">Biological production</t>
  </si>
  <si>
    <t xml:space="preserve">Revenue</t>
  </si>
  <si>
    <t xml:space="preserve">Harvest revenue build</t>
  </si>
  <si>
    <t xml:space="preserve">Operating_Costs</t>
  </si>
  <si>
    <t xml:space="preserve">Feed, processing, overhead</t>
  </si>
  <si>
    <t xml:space="preserve">Capex_Depreciation</t>
  </si>
  <si>
    <t xml:space="preserve">Infrastructure &amp; D&amp;A</t>
  </si>
  <si>
    <t xml:space="preserve">Income_Statement</t>
  </si>
  <si>
    <t xml:space="preserve">P&amp;L summary</t>
  </si>
  <si>
    <t xml:space="preserve">Working_Capital</t>
  </si>
  <si>
    <t xml:space="preserve">AR, AP, bio inventory</t>
  </si>
  <si>
    <t xml:space="preserve">Debt_Schedule</t>
  </si>
  <si>
    <t xml:space="preserve">Revolver &amp; term loan</t>
  </si>
  <si>
    <t xml:space="preserve">Cash_Flow</t>
  </si>
  <si>
    <t xml:space="preserve">CFO, CFI, CFF</t>
  </si>
  <si>
    <t xml:space="preserve">Balance_Sheet</t>
  </si>
  <si>
    <t xml:space="preserve">Assets = L+E</t>
  </si>
  <si>
    <t xml:space="preserve">Checks</t>
  </si>
  <si>
    <t xml:space="preserve">Validation checks</t>
  </si>
  <si>
    <t xml:space="preserve">Tab Colour Legend</t>
  </si>
  <si>
    <t xml:space="preserve">Dark Blue</t>
  </si>
  <si>
    <t xml:space="preserve">Cover</t>
  </si>
  <si>
    <t xml:space="preserve">Light Blue</t>
  </si>
  <si>
    <t xml:space="preserve">Green</t>
  </si>
  <si>
    <t xml:space="preserve">Production &amp; Revenue</t>
  </si>
  <si>
    <t xml:space="preserve">Orange</t>
  </si>
  <si>
    <t xml:space="preserve">Cost Schedules</t>
  </si>
  <si>
    <t xml:space="preserve">Grey</t>
  </si>
  <si>
    <t xml:space="preserve">Financial Statements</t>
  </si>
  <si>
    <t xml:space="preserve">Red</t>
  </si>
  <si>
    <t xml:space="preserve">Debt Schedule</t>
  </si>
  <si>
    <t xml:space="preserve">Teal</t>
  </si>
  <si>
    <t xml:space="preserve">Headline Outputs (Year 5)</t>
  </si>
  <si>
    <t xml:space="preserve">Total Revenue</t>
  </si>
  <si>
    <t xml:space="preserve">Gross Profit</t>
  </si>
  <si>
    <t xml:space="preserve">EBITDA</t>
  </si>
  <si>
    <t xml:space="preserve">EBIT</t>
  </si>
  <si>
    <t xml:space="preserve">D&amp;A</t>
  </si>
  <si>
    <t xml:space="preserve">Net Interest</t>
  </si>
  <si>
    <t xml:space="preserve">EBT</t>
  </si>
  <si>
    <t xml:space="preserve">Income Tax</t>
  </si>
  <si>
    <t xml:space="preserve">Net Income</t>
  </si>
  <si>
    <t xml:space="preserve">Closing Cash</t>
  </si>
  <si>
    <t xml:space="preserve">Opening Cash (Y1)</t>
  </si>
  <si>
    <t xml:space="preserve">CFO</t>
  </si>
  <si>
    <t xml:space="preserve">CFI</t>
  </si>
  <si>
    <t xml:space="preserve">CFF</t>
  </si>
  <si>
    <t xml:space="preserve">Net Change in Cash</t>
  </si>
  <si>
    <t xml:space="preserve">Total Assets</t>
  </si>
  <si>
    <t xml:space="preserve">Total Equity</t>
  </si>
  <si>
    <t xml:space="preserve">Total L+E</t>
  </si>
  <si>
    <t xml:space="preserve">Retained Earnings</t>
  </si>
  <si>
    <t xml:space="preserve">Net PP&amp;E</t>
  </si>
  <si>
    <t xml:space="preserve">Total Debt</t>
  </si>
  <si>
    <t xml:space="preserve">Cash on Balance Sheet</t>
  </si>
  <si>
    <t xml:space="preserve">Harvest Volume (t)</t>
  </si>
  <si>
    <t xml:space="preserve">Survivors</t>
  </si>
  <si>
    <t xml:space="preserve">Mortality Volume (t)</t>
  </si>
  <si>
    <t xml:space="preserve">Net Growth (t)</t>
  </si>
  <si>
    <t xml:space="preserve">Feed Consumed (t)</t>
  </si>
  <si>
    <t xml:space="preserve">Feed Cost ($, Y5)</t>
  </si>
  <si>
    <t xml:space="preserve">Dividends Paid</t>
  </si>
  <si>
    <t xml:space="preserve">Revolver Opening (Y1)</t>
  </si>
  <si>
    <t xml:space="preserve">NOL Balance Close (Y5)</t>
  </si>
  <si>
    <t xml:space="preserve">Taxable Income (Y5)</t>
  </si>
  <si>
    <t xml:space="preserve">Net Working Capital (Y5)</t>
  </si>
  <si>
    <t xml:space="preserve">About this model</t>
  </si>
  <si>
    <t xml:space="preserve">An aquaculture financial model projects salmon farm profitability by tracking stocking density, feed conversion ratio (FCR), mortality, harvest cycles, and fish prices to determine revenue per kilogram, working capital requirements driven by the long grow-out cycle, and break-even price sensitivity. The model answers whether an Atlantic salmon farm can achieve efficient cost per kilogram (EBIT/kg target $1.00â$2.00) given biological constraints and commodity price volatility, and what borrowing capacity the farm can support against its biomass.
The production schedule tracks smolt intake (1M smolts, 150g average), growth to harvest weight (4.5kg), cumulative mortality (15%), and economic FCR (1.25), producing annual harvest volume in tonnes. Revenue is driven by harvest price (premium fish $7.50/kg, downgraded 40% discount), with 10% downgrade rate and annual price growth of 2%. Feed cost (the single largest input) is modelled as cost per kilogram consumed and escalates at 3% annually, reflecting inflation and potential supply tightness. Working capital is substantial: accounts receivable (20 DSO), accounts payable (45 DPO), and a biological asset inventory (standing biomass valued at cost of production) that ties to the maximum allowed biomass (MAB) license constraint.
Lenders, seafood processors, and strategic investors use aquaculture models to confirm that unit economics ($/kg and EBIT/kg) support debt service, verify that the farm stays within licensed biomass limits, and stress revenue around fish price (which trades like a commodity), feed cost inflation, and disease scenarios that impact mortality and FCR.</t>
  </si>
  <si>
    <t xml:space="preserve">About Finamodel</t>
  </si>
  <si>
    <t xml:space="preserve">A free, open library of institutional-quality financial models covering every industry — banking, real estate, energy, SaaS, biotech, infrastructure, and dozens more. Every cell is editable, every formula is transparent, and every template is built to be forked, adapted, and rebuilt for your own use case. MIT-licensed — use them commercially, share them, modify them, no attribution required.</t>
  </si>
  <si>
    <t xml:space="preserve">Thanks for downloading my templates! Feel free to check out other free templates on my site.</t>
  </si>
  <si>
    <t xml:space="preserve">— Alex Tapio, Founder of Finamodel.com</t>
  </si>
  <si>
    <t xml:space="preserve">Model Inputs</t>
  </si>
  <si>
    <t xml:space="preserve">Parameter</t>
  </si>
  <si>
    <t xml:space="preserve">Value</t>
  </si>
  <si>
    <t xml:space="preserve">Unit</t>
  </si>
  <si>
    <t xml:space="preserve">Notes</t>
  </si>
  <si>
    <t xml:space="preserve">General</t>
  </si>
  <si>
    <t xml:space="preserve">Model Start Year</t>
  </si>
  <si>
    <t xml:space="preserve">First projection year</t>
  </si>
  <si>
    <t xml:space="preserve">Biological Parameters</t>
  </si>
  <si>
    <t xml:space="preserve">Smolts Stocked / Year</t>
  </si>
  <si>
    <t xml:space="preserve">fish</t>
  </si>
  <si>
    <t xml:space="preserve">Annual smolt intake</t>
  </si>
  <si>
    <t xml:space="preserve">Smolt Intake Weight</t>
  </si>
  <si>
    <t xml:space="preserve">kg</t>
  </si>
  <si>
    <t xml:space="preserve">Weight at transfer to sea</t>
  </si>
  <si>
    <t xml:space="preserve">Target Harvest Weight</t>
  </si>
  <si>
    <t xml:space="preserve">Optimal market weight</t>
  </si>
  <si>
    <t xml:space="preserve">Cumulative Mortality</t>
  </si>
  <si>
    <t xml:space="preserve">%</t>
  </si>
  <si>
    <t xml:space="preserve">Over grow-out cycle</t>
  </si>
  <si>
    <t xml:space="preserve">eFCR</t>
  </si>
  <si>
    <t xml:space="preserve">ratio</t>
  </si>
  <si>
    <t xml:space="preserve">Feed per kg of growth</t>
  </si>
  <si>
    <t xml:space="preserve">Max Allowed Biomass</t>
  </si>
  <si>
    <t xml:space="preserve">tonnes</t>
  </si>
  <si>
    <t xml:space="preserve">Licensed site capacity</t>
  </si>
  <si>
    <t xml:space="preserve">Pricing</t>
  </si>
  <si>
    <t xml:space="preserve">Premium Harvest Price</t>
  </si>
  <si>
    <t xml:space="preserve">$/kg</t>
  </si>
  <si>
    <t xml:space="preserve">HOG salmon, Y1 price</t>
  </si>
  <si>
    <t xml:space="preserve">Downgrade Percentage</t>
  </si>
  <si>
    <t xml:space="preserve">Fish sold at discount</t>
  </si>
  <si>
    <t xml:space="preserve">Downgrade Discount</t>
  </si>
  <si>
    <t xml:space="preserve">Discount vs premium</t>
  </si>
  <si>
    <t xml:space="preserve">Annual Price Growth</t>
  </si>
  <si>
    <t xml:space="preserve">Commodity price escalation</t>
  </si>
  <si>
    <t xml:space="preserve">Direct Costs</t>
  </si>
  <si>
    <t xml:space="preserve">Feed Price</t>
  </si>
  <si>
    <t xml:space="preserve">Y1 feed cost per kg</t>
  </si>
  <si>
    <t xml:space="preserve">Feed Price Inflation</t>
  </si>
  <si>
    <t xml:space="preserve">Annual increase</t>
  </si>
  <si>
    <t xml:space="preserve">Smolt Cost</t>
  </si>
  <si>
    <t xml:space="preserve">$/smolt</t>
  </si>
  <si>
    <t xml:space="preserve">Cost per juvenile fish</t>
  </si>
  <si>
    <t xml:space="preserve">Smolt Cost Inflation</t>
  </si>
  <si>
    <t xml:space="preserve">Harvest &amp; Processing</t>
  </si>
  <si>
    <t xml:space="preserve">Wellboat, gutting, packing</t>
  </si>
  <si>
    <t xml:space="preserve">Processing Inflation</t>
  </si>
  <si>
    <t xml:space="preserve">Health &amp; Vet Costs</t>
  </si>
  <si>
    <t xml:space="preserve">% of direct costs</t>
  </si>
  <si>
    <t xml:space="preserve">Site Labour &amp; Overhead</t>
  </si>
  <si>
    <t xml:space="preserve">% of direct COGS</t>
  </si>
  <si>
    <t xml:space="preserve">Operating Expenses</t>
  </si>
  <si>
    <t xml:space="preserve">G&amp;A Base</t>
  </si>
  <si>
    <t xml:space="preserve">$</t>
  </si>
  <si>
    <t xml:space="preserve">Y1 admin expenses</t>
  </si>
  <si>
    <t xml:space="preserve">G&amp;A Growth</t>
  </si>
  <si>
    <t xml:space="preserve">Annual escalation</t>
  </si>
  <si>
    <t xml:space="preserve">Insurance</t>
  </si>
  <si>
    <t xml:space="preserve">% of bio asset value</t>
  </si>
  <si>
    <t xml:space="preserve">Environmental &amp; Reg.</t>
  </si>
  <si>
    <t xml:space="preserve">Y1 compliance costs</t>
  </si>
  <si>
    <t xml:space="preserve">Env. &amp; Reg. Growth</t>
  </si>
  <si>
    <t xml:space="preserve">Sales &amp; Distribution % Rev</t>
  </si>
  <si>
    <t xml:space="preserve">Wholesale channel</t>
  </si>
  <si>
    <t xml:space="preserve">CapEx &amp; Depreciation</t>
  </si>
  <si>
    <t xml:space="preserve">Opening PP&amp;E (Gross)</t>
  </si>
  <si>
    <t xml:space="preserve">Marine infrastructure</t>
  </si>
  <si>
    <t xml:space="preserve">Accum. Depreciation</t>
  </si>
  <si>
    <t xml:space="preserve">Year 0 accumulated</t>
  </si>
  <si>
    <t xml:space="preserve">Useful Life (Existing)</t>
  </si>
  <si>
    <t xml:space="preserve">years</t>
  </si>
  <si>
    <t xml:space="preserve">Straight-line</t>
  </si>
  <si>
    <t xml:space="preserve">Maintenance Capex %</t>
  </si>
  <si>
    <t xml:space="preserve">% of revenue</t>
  </si>
  <si>
    <t xml:space="preserve">Growth Capex (Annual)</t>
  </si>
  <si>
    <t xml:space="preserve">New site/expansion</t>
  </si>
  <si>
    <t xml:space="preserve">Growth Capex Years</t>
  </si>
  <si>
    <t xml:space="preserve">Y1-Y3 only</t>
  </si>
  <si>
    <t xml:space="preserve">New Asset Useful Life</t>
  </si>
  <si>
    <t xml:space="preserve">Working Capital</t>
  </si>
  <si>
    <t xml:space="preserve">Days Sales Outstanding</t>
  </si>
  <si>
    <t xml:space="preserve">days</t>
  </si>
  <si>
    <t xml:space="preserve">Quick payment in wholesale</t>
  </si>
  <si>
    <t xml:space="preserve">Days Payable Outstanding</t>
  </si>
  <si>
    <t xml:space="preserve">Standard supplier terms</t>
  </si>
  <si>
    <t xml:space="preserve">Debt &amp; Financing</t>
  </si>
  <si>
    <t xml:space="preserve">Term Loan</t>
  </si>
  <si>
    <t xml:space="preserve">Initial borrowing</t>
  </si>
  <si>
    <t xml:space="preserve">Term Loan Rate</t>
  </si>
  <si>
    <t xml:space="preserve">Annual interest</t>
  </si>
  <si>
    <t xml:space="preserve">Term Loan Tenor</t>
  </si>
  <si>
    <t xml:space="preserve">Amortisation period</t>
  </si>
  <si>
    <t xml:space="preserve">Revolver Limit</t>
  </si>
  <si>
    <t xml:space="preserve">Committed facility</t>
  </si>
  <si>
    <t xml:space="preserve">Revolver Initial Draw</t>
  </si>
  <si>
    <t xml:space="preserve">Day 0 drawn amount</t>
  </si>
  <si>
    <t xml:space="preserve">Revolver Rate</t>
  </si>
  <si>
    <t xml:space="preserve">Drawn interest rate</t>
  </si>
  <si>
    <t xml:space="preserve">Commitment Fee</t>
  </si>
  <si>
    <t xml:space="preserve">On undrawn balance</t>
  </si>
  <si>
    <t xml:space="preserve">Borrowing Base Rate</t>
  </si>
  <si>
    <t xml:space="preserve">% of insured biomass value</t>
  </si>
  <si>
    <t xml:space="preserve">Tax &amp; Dividends</t>
  </si>
  <si>
    <t xml:space="preserve">Corporate Tax Rate</t>
  </si>
  <si>
    <t xml:space="preserve">Standard rate</t>
  </si>
  <si>
    <t xml:space="preserve">Dividend Payout Ratio</t>
  </si>
  <si>
    <t xml:space="preserve">Retained for growth</t>
  </si>
  <si>
    <t xml:space="preserve">Opening Balance Sheet</t>
  </si>
  <si>
    <t xml:space="preserve">Opening Cash</t>
  </si>
  <si>
    <t xml:space="preserve">Day 0 cash</t>
  </si>
  <si>
    <t xml:space="preserve">Share Capital</t>
  </si>
  <si>
    <t xml:space="preserve">Issued equity</t>
  </si>
  <si>
    <t xml:space="preserve">Opening Ret. Earnings</t>
  </si>
  <si>
    <t xml:space="preserve">Plug to balance Day 0 BS</t>
  </si>
  <si>
    <t xml:space="preserve">Production Growth &amp; Risk</t>
  </si>
  <si>
    <t xml:space="preserve">Smolt Stocking Growth</t>
  </si>
  <si>
    <t xml:space="preserve">Annual increase in smolts stocked</t>
  </si>
  <si>
    <t xml:space="preserve">Harvest Wt Improvement</t>
  </si>
  <si>
    <t xml:space="preserve">Genetics + husbandry gains</t>
  </si>
  <si>
    <t xml:space="preserve">Mortality Improvement</t>
  </si>
  <si>
    <t xml:space="preserve">Annual reduction in cumulative mortality</t>
  </si>
  <si>
    <t xml:space="preserve">MAB per $M Growth Capex</t>
  </si>
  <si>
    <t xml:space="preserve">tonnes/$M</t>
  </si>
  <si>
    <t xml:space="preserve">Capacity added per $M growth investment</t>
  </si>
  <si>
    <t xml:space="preserve">Harvest Lag (Years)</t>
  </si>
  <si>
    <t xml:space="preserve">Years between stocking and harvest (0=steady-state)</t>
  </si>
  <si>
    <t xml:space="preserve">Y0 Harvest Volume</t>
  </si>
  <si>
    <t xml:space="preserve">Used when Harvest_Lag&gt;0</t>
  </si>
  <si>
    <t xml:space="preserve">Capital Structure &amp; Tax</t>
  </si>
  <si>
    <t xml:space="preserve">Revolver Target % BB</t>
  </si>
  <si>
    <t xml:space="preserve">Target close as % of borrowing base</t>
  </si>
  <si>
    <t xml:space="preserve">Liquidation Haircut</t>
  </si>
  <si>
    <t xml:space="preserve">Lender haircut on biomass mkt value</t>
  </si>
  <si>
    <t xml:space="preserve">Opening NWC</t>
  </si>
  <si>
    <t xml:space="preserve">Day 0 net working capital</t>
  </si>
  <si>
    <t xml:space="preserve">NOL Utilisation Cap</t>
  </si>
  <si>
    <t xml:space="preserve">Max % of EBT offsettable by NOL</t>
  </si>
  <si>
    <t xml:space="preserve">Opening NOL Balance</t>
  </si>
  <si>
    <t xml:space="preserve">Tax-loss carry-forward at Day 0</t>
  </si>
  <si>
    <t xml:space="preserve">Check Bounds &amp; Unit Constants</t>
  </si>
  <si>
    <t xml:space="preserve">FCR Min (warn band)</t>
  </si>
  <si>
    <t xml:space="preserve">Lower bound for FCR check</t>
  </si>
  <si>
    <t xml:space="preserve">FCR Max (warn band)</t>
  </si>
  <si>
    <t xml:space="preserve">Upper bound for FCR check</t>
  </si>
  <si>
    <t xml:space="preserve">EBIT/kg Min ($)</t>
  </si>
  <si>
    <t xml:space="preserve">Lower bound for EBIT/kg</t>
  </si>
  <si>
    <t xml:space="preserve">EBIT/kg Max ($)</t>
  </si>
  <si>
    <t xml:space="preserve">Upper bound for EBIT/kg</t>
  </si>
  <si>
    <t xml:space="preserve">DSCR Min (covenant)</t>
  </si>
  <si>
    <t xml:space="preserve">Minimum debt service coverage</t>
  </si>
  <si>
    <t xml:space="preserve">Dollars per $M</t>
  </si>
  <si>
    <t xml:space="preserve">Unit conversion constant</t>
  </si>
  <si>
    <t xml:space="preserve">Production Schedule</t>
  </si>
  <si>
    <t xml:space="preserve">Biological Output</t>
  </si>
  <si>
    <t xml:space="preserve">Year #</t>
  </si>
  <si>
    <t xml:space="preserve">Annual Production</t>
  </si>
  <si>
    <t xml:space="preserve">MAB Capacity (t)</t>
  </si>
  <si>
    <t xml:space="preserve">Target Smolts (uncapped)</t>
  </si>
  <si>
    <t xml:space="preserve">Smolts Stocked</t>
  </si>
  <si>
    <t xml:space="preserve">Mortality Rate</t>
  </si>
  <si>
    <t xml:space="preserve">Survivors at Harvest</t>
  </si>
  <si>
    <t xml:space="preserve">Harvest Weight</t>
  </si>
  <si>
    <t xml:space="preserve">Harvest Volume</t>
  </si>
  <si>
    <t xml:space="preserve">Mortality Volume</t>
  </si>
  <si>
    <t xml:space="preserve">Net Growth (tonnes)</t>
  </si>
  <si>
    <t xml:space="preserve">Feed Consumed</t>
  </si>
  <si>
    <t xml:space="preserve">Avg Standing Biomass</t>
  </si>
  <si>
    <t xml:space="preserve">MAB Check</t>
  </si>
  <si>
    <t xml:space="preserve">Harvest Sales</t>
  </si>
  <si>
    <t xml:space="preserve">Revenue Build</t>
  </si>
  <si>
    <t xml:space="preserve">Premium Volume (t)</t>
  </si>
  <si>
    <t xml:space="preserve">Downgraded Volume (t)</t>
  </si>
  <si>
    <t xml:space="preserve">Premium Price ($/kg)</t>
  </si>
  <si>
    <t xml:space="preserve">Downgrade Price ($/kg)</t>
  </si>
  <si>
    <t xml:space="preserve">REVENUE</t>
  </si>
  <si>
    <t xml:space="preserve">Premium Sales</t>
  </si>
  <si>
    <t xml:space="preserve">Downgrade Sales</t>
  </si>
  <si>
    <t xml:space="preserve">TOTAL REVENUE</t>
  </si>
  <si>
    <t xml:space="preserve">Operating Costs</t>
  </si>
  <si>
    <t xml:space="preserve">Cost Build</t>
  </si>
  <si>
    <t xml:space="preserve">Direct Costs (COGS)</t>
  </si>
  <si>
    <t xml:space="preserve">Feed</t>
  </si>
  <si>
    <t xml:space="preserve">Smolt Purchases</t>
  </si>
  <si>
    <t xml:space="preserve">Health &amp; Veterinary</t>
  </si>
  <si>
    <t xml:space="preserve">Total Direct Costs</t>
  </si>
  <si>
    <t xml:space="preserve">TOTAL COGS</t>
  </si>
  <si>
    <t xml:space="preserve">General &amp; Admin</t>
  </si>
  <si>
    <t xml:space="preserve">Biomass Insurance</t>
  </si>
  <si>
    <t xml:space="preserve">Sales &amp; Distribution</t>
  </si>
  <si>
    <t xml:space="preserve">TOTAL OPEX</t>
  </si>
  <si>
    <t xml:space="preserve">Infrastructure</t>
  </si>
  <si>
    <t xml:space="preserve">Capital Expenditure</t>
  </si>
  <si>
    <t xml:space="preserve">Maintenance Capex</t>
  </si>
  <si>
    <t xml:space="preserve">Growth Capex</t>
  </si>
  <si>
    <t xml:space="preserve">Total CapEx</t>
  </si>
  <si>
    <t xml:space="preserve">Closing PP&amp;E (Gross)</t>
  </si>
  <si>
    <t xml:space="preserve">DEPRECIATION</t>
  </si>
  <si>
    <t xml:space="preserve">Depr. (Existing)</t>
  </si>
  <si>
    <t xml:space="preserve">Depr. (New Assets)</t>
  </si>
  <si>
    <t xml:space="preserve">Total D&amp;A</t>
  </si>
  <si>
    <t xml:space="preserve">Income Statement</t>
  </si>
  <si>
    <t xml:space="preserve">Annual P&amp;L</t>
  </si>
  <si>
    <t xml:space="preserve">Profitability</t>
  </si>
  <si>
    <t xml:space="preserve">Cost of Goods Sold</t>
  </si>
  <si>
    <t xml:space="preserve">GROSS PROFIT</t>
  </si>
  <si>
    <t xml:space="preserve">Gross Margin</t>
  </si>
  <si>
    <t xml:space="preserve">EBITDA Margin</t>
  </si>
  <si>
    <t xml:space="preserve">Depreciation &amp; Amort.</t>
  </si>
  <si>
    <t xml:space="preserve">EBIT Margin</t>
  </si>
  <si>
    <t xml:space="preserve">EBIT per kg</t>
  </si>
  <si>
    <t xml:space="preserve">Interest</t>
  </si>
  <si>
    <t xml:space="preserve">Term Loan Interest</t>
  </si>
  <si>
    <t xml:space="preserve">Revolver Interest</t>
  </si>
  <si>
    <t xml:space="preserve">Total Interest Expense</t>
  </si>
  <si>
    <t xml:space="preserve">NET INCOME</t>
  </si>
  <si>
    <t xml:space="preserve">Net Margin</t>
  </si>
  <si>
    <t xml:space="preserve">Dividends</t>
  </si>
  <si>
    <t xml:space="preserve">NOL Carry-Forward</t>
  </si>
  <si>
    <t xml:space="preserve">NOL Opening</t>
  </si>
  <si>
    <t xml:space="preserve">NOL Used</t>
  </si>
  <si>
    <t xml:space="preserve">NOL Addition (loss)</t>
  </si>
  <si>
    <t xml:space="preserve">NOL Closing</t>
  </si>
  <si>
    <t xml:space="preserve">Taxable Income</t>
  </si>
  <si>
    <t xml:space="preserve">Schedule</t>
  </si>
  <si>
    <t xml:space="preserve">Current Assets (WC)</t>
  </si>
  <si>
    <t xml:space="preserve">Accounts Receivable</t>
  </si>
  <si>
    <t xml:space="preserve">Biological Inventory</t>
  </si>
  <si>
    <t xml:space="preserve">Total WC Assets</t>
  </si>
  <si>
    <t xml:space="preserve">LIABILITIES</t>
  </si>
  <si>
    <t xml:space="preserve">Accounts Payable</t>
  </si>
  <si>
    <t xml:space="preserve">Total WC Liabilities</t>
  </si>
  <si>
    <t xml:space="preserve">Net Working Capital</t>
  </si>
  <si>
    <t xml:space="preserve">Change in NWC</t>
  </si>
  <si>
    <t xml:space="preserve">Loan &amp; Revolver</t>
  </si>
  <si>
    <t xml:space="preserve">Opening Balance</t>
  </si>
  <si>
    <t xml:space="preserve">Repayment</t>
  </si>
  <si>
    <t xml:space="preserve">Closing Balance</t>
  </si>
  <si>
    <t xml:space="preserve">Interest Expense</t>
  </si>
  <si>
    <t xml:space="preserve">Revolving Credit Facility</t>
  </si>
  <si>
    <t xml:space="preserve">Borrowing Base</t>
  </si>
  <si>
    <t xml:space="preserve">Target Close</t>
  </si>
  <si>
    <t xml:space="preserve">Net Change</t>
  </si>
  <si>
    <t xml:space="preserve">Drawdowns</t>
  </si>
  <si>
    <t xml:space="preserve">Repayments</t>
  </si>
  <si>
    <t xml:space="preserve">Undrawn Facility</t>
  </si>
  <si>
    <t xml:space="preserve">Total Interest</t>
  </si>
  <si>
    <t xml:space="preserve">Cash Flow Statement</t>
  </si>
  <si>
    <t xml:space="preserve">Indirect Method</t>
  </si>
  <si>
    <t xml:space="preserve">Cash from Operations</t>
  </si>
  <si>
    <t xml:space="preserve">CASH FROM OPERATIONS</t>
  </si>
  <si>
    <t xml:space="preserve">Cash from Investing</t>
  </si>
  <si>
    <t xml:space="preserve">CASH FROM INVESTING</t>
  </si>
  <si>
    <t xml:space="preserve">CASH FROM FINANCING</t>
  </si>
  <si>
    <t xml:space="preserve">Share Capital Issued</t>
  </si>
  <si>
    <t xml:space="preserve">TL Repayments</t>
  </si>
  <si>
    <t xml:space="preserve">Revolver Net Change</t>
  </si>
  <si>
    <t xml:space="preserve">Balance Sheet</t>
  </si>
  <si>
    <t xml:space="preserve">Annual Snapshot</t>
  </si>
  <si>
    <t xml:space="preserve">Current Assets</t>
  </si>
  <si>
    <t xml:space="preserve">Cash</t>
  </si>
  <si>
    <t xml:space="preserve">Total Current Assets</t>
  </si>
  <si>
    <t xml:space="preserve">Non-Current Assets</t>
  </si>
  <si>
    <t xml:space="preserve">PP&amp;E (Gross)</t>
  </si>
  <si>
    <t xml:space="preserve">Total Non-Current Assets</t>
  </si>
  <si>
    <t xml:space="preserve">TOTAL ASSETS</t>
  </si>
  <si>
    <t xml:space="preserve">Current Liabilities</t>
  </si>
  <si>
    <t xml:space="preserve">Total Current Liabilities</t>
  </si>
  <si>
    <t xml:space="preserve">Non-Current Liabilities</t>
  </si>
  <si>
    <t xml:space="preserve">Revolver</t>
  </si>
  <si>
    <t xml:space="preserve">Total Non-Current Liab.</t>
  </si>
  <si>
    <t xml:space="preserve">TOTAL LIABILITIES</t>
  </si>
  <si>
    <t xml:space="preserve">Equity</t>
  </si>
  <si>
    <t xml:space="preserve">TOTAL LIABILITIES &amp; EQUITY</t>
  </si>
  <si>
    <t xml:space="preserve">Balance Check</t>
  </si>
  <si>
    <t xml:space="preserve">Day 0 Opening Balance Sheet</t>
  </si>
  <si>
    <t xml:space="preserve">Total Liabilities</t>
  </si>
  <si>
    <t xml:space="preserve">TOTAL L+E</t>
  </si>
  <si>
    <t xml:space="preserve">Balance Check (D0)</t>
  </si>
  <si>
    <t xml:space="preserve">Model Checks</t>
  </si>
  <si>
    <t xml:space="preserve">Validation</t>
  </si>
  <si>
    <t xml:space="preserve">BS Balance</t>
  </si>
  <si>
    <t xml:space="preserve">MAB Compliance</t>
  </si>
  <si>
    <t xml:space="preserve">FCR Range</t>
  </si>
  <si>
    <t xml:space="preserve">EBIT/kg Range</t>
  </si>
  <si>
    <t xml:space="preserve">Cash Positive</t>
  </si>
  <si>
    <t xml:space="preserve">Debt Declining</t>
  </si>
  <si>
    <t xml:space="preserve">CF Reconciliation</t>
  </si>
  <si>
    <t xml:space="preserve">DSCR (&gt;=1.2x)</t>
  </si>
  <si>
    <t xml:space="preserve">Disclaimer, Copyright &amp; License</t>
  </si>
  <si>
    <t xml:space="preserve">Disclaimer</t>
  </si>
  <si>
    <t xml:space="preserve">This financial model ("the Model") is provided by Finamodel for illustrative and educational purposes only. It is a template — not a finished analysis, valuation, recommendation, or solicitation to buy, sell, or hold any security, asset, or financial instrument.</t>
  </si>
  <si>
    <t xml:space="preserve">No investment advice</t>
  </si>
  <si>
    <t xml:space="preserve">Nothing in the Model constitutes investment, legal, tax, accounting, or other professional advice. You should consult qualified advisors before making any financial decision. Outputs depend entirely on user-supplied assumptions; small changes to inputs can produce materially different results.</t>
  </si>
  <si>
    <t xml:space="preserve">No warranty</t>
  </si>
  <si>
    <t xml:space="preserve">The Model is provided "AS IS," without warranty of any kind, express or implied, including but not limited to warranties of merchantability, fitness for a particular purpose, accuracy, completeness, or non-infringement. Formulas, methodologies, and benchmarks may contain errors, omissions, or simplifications. Users are solely responsible for verifying every calculation before relying on it.</t>
  </si>
  <si>
    <t xml:space="preserve">Limitation of liability</t>
  </si>
  <si>
    <t xml:space="preserve">To the maximum extent permitted by law, Finamodel and its contributors shall not be liable for any direct, indirect, incidental, consequential, special, or exemplary damages — including lost profits, lost opportunities, or investment losses — arising from use of, or inability to use, the Model.</t>
  </si>
  <si>
    <t xml:space="preserve">Forward-looking statements</t>
  </si>
  <si>
    <t xml:space="preserve">Any projections, forecasts, or scenarios are hypothetical, based on assumptions that may not materialize, and do not represent guaranteed outcomes.</t>
  </si>
  <si>
    <t xml:space="preserve">Third-party data</t>
  </si>
  <si>
    <t xml:space="preserve">Where the Model references market data, comparables, or macro indicators, such data is sourced from third parties believed to be reliable but is not independently verified.</t>
  </si>
  <si>
    <t xml:space="preserve">Copyright © 2026 Finamodel. All rights reserved.</t>
  </si>
  <si>
    <t xml:space="preserve">License — MIT</t>
  </si>
  <si>
    <t xml:space="preserve">Permission is hereby granted, free of charge, to any person obtaining a copy of this Model and associated documentation files (the "Software"), to deal in the Software without restriction, including without limitation the rights to use, copy, modify, merge, publish, distribute, sublicense, and/or sell copies of the Software, and to permit persons to whom the Software is furnished to do so, subject to the following conditions:
The above copyright notice and this permission notice shall be included in all copies or substantial portions of the Software.
THE SOFTWARE IS PROVIDED "AS IS", WITHOUT WARRANTY OF ANY KIND, EXPRESS OR IMPLIED, INCLUDING BUT NOT LIMITED TO THE WARRANTIES OF MERCHANTABILITY, FITNESS FOR A PARTICULAR PURPOSE AND NONINFRINGEMENT. IN NO EVENT SHALL THE AUTHORS OR COPYRIGHT HOLDERS BE LIABLE FOR ANY CLAIM, DAMAGES OR OTHER LIABILITY, WHETHER IN AN ACTION OF CONTRACT, TORT OR OTHERWISE, ARISING FROM, OUT OF OR IN CONNECTION WITH THE SOFTWARE OR THE USE OR OTHER DEALINGS IN THE SOFTWARE.</t>
  </si>
  <si>
    <t xml:space="preserve">Finamodel — github.com/alextapio/finamodel</t>
  </si>
</sst>
</file>

<file path=xl/styles.xml><?xml version="1.0" encoding="utf-8"?>
<styleSheet xmlns="http://schemas.openxmlformats.org/spreadsheetml/2006/main">
  <numFmts count="7">
    <numFmt numFmtId="164" formatCode="General"/>
    <numFmt numFmtId="165" formatCode="#,##0.00"/>
    <numFmt numFmtId="166" formatCode="0.00%"/>
    <numFmt numFmtId="167" formatCode="0"/>
    <numFmt numFmtId="168" formatCode="0.00"/>
    <numFmt numFmtId="169" formatCode="@"/>
    <numFmt numFmtId="170" formatCode="\$#,##0.00"/>
  </numFmts>
  <fonts count="27">
    <font>
      <sz val="11"/>
      <name val="Arial"/>
      <family val="0"/>
      <charset val="1"/>
    </font>
    <font>
      <sz val="10"/>
      <name val="Arial"/>
      <family val="0"/>
    </font>
    <font>
      <sz val="10"/>
      <name val="Arial"/>
      <family val="0"/>
    </font>
    <font>
      <sz val="10"/>
      <name val="Arial"/>
      <family val="0"/>
    </font>
    <font>
      <sz val="11"/>
      <color theme="0"/>
      <name val="Arial"/>
      <family val="0"/>
      <charset val="1"/>
    </font>
    <font>
      <sz val="11"/>
      <color theme="0"/>
      <name val="Calibri"/>
      <family val="0"/>
      <charset val="1"/>
    </font>
    <font>
      <b val="true"/>
      <sz val="18"/>
      <color theme="0"/>
      <name val="Arial"/>
      <family val="0"/>
      <charset val="1"/>
    </font>
    <font>
      <b val="true"/>
      <u val="single"/>
      <sz val="11"/>
      <color theme="0"/>
      <name val="Arial"/>
      <family val="0"/>
      <charset val="1"/>
    </font>
    <font>
      <i val="true"/>
      <sz val="11"/>
      <color theme="0"/>
      <name val="Arial"/>
      <family val="0"/>
      <charset val="1"/>
    </font>
    <font>
      <sz val="11"/>
      <color theme="1"/>
      <name val="Arial"/>
      <family val="0"/>
      <charset val="1"/>
    </font>
    <font>
      <b val="true"/>
      <sz val="11"/>
      <name val="Arial"/>
      <family val="0"/>
      <charset val="1"/>
    </font>
    <font>
      <b val="true"/>
      <sz val="11"/>
      <color theme="0"/>
      <name val="Arial"/>
      <family val="0"/>
      <charset val="1"/>
    </font>
    <font>
      <sz val="11"/>
      <color rgb="FF000000"/>
      <name val="Arial"/>
      <family val="0"/>
      <charset val="1"/>
    </font>
    <font>
      <b val="true"/>
      <sz val="11"/>
      <color rgb="FF1F4E79"/>
      <name val="Arial"/>
      <family val="0"/>
      <charset val="1"/>
    </font>
    <font>
      <sz val="11"/>
      <color theme="1"/>
      <name val="Calibri"/>
      <family val="2"/>
      <charset val="1"/>
    </font>
    <font>
      <sz val="11"/>
      <color rgb="FF262626"/>
      <name val="Arial"/>
      <family val="0"/>
      <charset val="1"/>
    </font>
    <font>
      <i val="true"/>
      <sz val="11"/>
      <color rgb="FF595959"/>
      <name val="Arial"/>
      <family val="0"/>
      <charset val="1"/>
    </font>
    <font>
      <b val="true"/>
      <i val="true"/>
      <sz val="11"/>
      <color rgb="FF1F4E79"/>
      <name val="Arial"/>
      <family val="0"/>
      <charset val="1"/>
    </font>
    <font>
      <sz val="11"/>
      <color rgb="FF0000CC"/>
      <name val="Arial"/>
      <family val="0"/>
      <charset val="1"/>
    </font>
    <font>
      <i val="true"/>
      <sz val="11"/>
      <color rgb="FF808080"/>
      <name val="Arial"/>
      <family val="0"/>
      <charset val="1"/>
    </font>
    <font>
      <b val="true"/>
      <sz val="11"/>
      <color rgb="FFFF0000"/>
      <name val="Arial"/>
      <family val="0"/>
      <charset val="1"/>
    </font>
    <font>
      <b val="true"/>
      <sz val="18"/>
      <color rgb="FF1F4E79"/>
      <name val="Arial"/>
      <family val="0"/>
      <charset val="1"/>
    </font>
    <font>
      <b val="true"/>
      <sz val="11"/>
      <color rgb="FFFFFFFF"/>
      <name val="Arial"/>
      <family val="0"/>
      <charset val="1"/>
    </font>
    <font>
      <sz val="10"/>
      <color rgb="FF262626"/>
      <name val="Arial"/>
      <family val="0"/>
      <charset val="1"/>
    </font>
    <font>
      <b val="true"/>
      <sz val="10"/>
      <color rgb="FF1F4E79"/>
      <name val="Arial"/>
      <family val="0"/>
      <charset val="1"/>
    </font>
    <font>
      <sz val="9"/>
      <color rgb="FF404040"/>
      <name val="Arial"/>
      <family val="0"/>
      <charset val="1"/>
    </font>
    <font>
      <i val="true"/>
      <sz val="10"/>
      <color rgb="FF808080"/>
      <name val="Arial"/>
      <family val="0"/>
      <charset val="1"/>
    </font>
  </fonts>
  <fills count="13">
    <fill>
      <patternFill patternType="none"/>
    </fill>
    <fill>
      <patternFill patternType="gray125"/>
    </fill>
    <fill>
      <patternFill patternType="solid">
        <fgColor theme="3"/>
        <bgColor rgb="FF1F4E79"/>
      </patternFill>
    </fill>
    <fill>
      <patternFill patternType="solid">
        <fgColor rgb="FF5B9BD5"/>
        <bgColor rgb="FF808080"/>
      </patternFill>
    </fill>
    <fill>
      <patternFill patternType="solid">
        <fgColor rgb="FF70AD47"/>
        <bgColor rgb="FF99CC00"/>
      </patternFill>
    </fill>
    <fill>
      <patternFill patternType="solid">
        <fgColor rgb="FFED7D31"/>
        <bgColor rgb="FFFF8080"/>
      </patternFill>
    </fill>
    <fill>
      <patternFill patternType="solid">
        <fgColor rgb="FFA5A5A5"/>
        <bgColor rgb="FFC0C0C0"/>
      </patternFill>
    </fill>
    <fill>
      <patternFill patternType="solid">
        <fgColor rgb="FFFF0000"/>
        <bgColor rgb="FF993300"/>
      </patternFill>
    </fill>
    <fill>
      <patternFill patternType="solid">
        <fgColor rgb="FF00B0F0"/>
        <bgColor rgb="FF33CCCC"/>
      </patternFill>
    </fill>
    <fill>
      <patternFill patternType="solid">
        <fgColor rgb="FFD6E4F0"/>
        <bgColor rgb="FFE8F0FE"/>
      </patternFill>
    </fill>
    <fill>
      <patternFill patternType="solid">
        <fgColor rgb="FFE8F0FE"/>
        <bgColor rgb="FFF2F2F2"/>
      </patternFill>
    </fill>
    <fill>
      <patternFill patternType="solid">
        <fgColor rgb="FF1F4E79"/>
        <bgColor rgb="FF1F497D"/>
      </patternFill>
    </fill>
    <fill>
      <patternFill patternType="solid">
        <fgColor rgb="FFF2F2F2"/>
        <bgColor rgb="FFE8F0FE"/>
      </patternFill>
    </fill>
  </fills>
  <borders count="4">
    <border diagonalUp="false" diagonalDown="false">
      <left/>
      <right/>
      <top/>
      <bottom/>
      <diagonal/>
    </border>
    <border diagonalUp="false" diagonalDown="false">
      <left/>
      <right/>
      <top style="double"/>
      <bottom/>
      <diagonal/>
    </border>
    <border diagonalUp="false" diagonalDown="false">
      <left/>
      <right/>
      <top style="thin"/>
      <bottom/>
      <diagonal/>
    </border>
    <border diagonalUp="false" diagonalDown="false">
      <left/>
      <right/>
      <top/>
      <bottom style="thin">
        <color rgb="FF1F4E79"/>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51">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0" xfId="0" applyFont="true" applyBorder="false" applyAlignment="false" applyProtection="false">
      <alignment horizontal="general" vertical="bottom" textRotation="0" wrapText="false" indent="0" shrinkToFit="false"/>
      <protection locked="true" hidden="false"/>
    </xf>
    <xf numFmtId="164" fontId="5" fillId="2" borderId="0" xfId="0" applyFont="true" applyBorder="false" applyAlignment="false" applyProtection="false">
      <alignment horizontal="general" vertical="bottom" textRotation="0" wrapText="false" indent="0" shrinkToFit="false"/>
      <protection locked="true" hidden="false"/>
    </xf>
    <xf numFmtId="164" fontId="6" fillId="2" borderId="0" xfId="0" applyFont="true" applyBorder="false" applyAlignment="false" applyProtection="false">
      <alignment horizontal="general" vertical="bottom" textRotation="0" wrapText="false" indent="0" shrinkToFit="false"/>
      <protection locked="true" hidden="false"/>
    </xf>
    <xf numFmtId="164" fontId="7" fillId="2" borderId="0" xfId="0" applyFont="true" applyBorder="false" applyAlignment="true" applyProtection="false">
      <alignment horizontal="left" vertical="center" textRotation="0" wrapText="false" indent="0" shrinkToFit="false"/>
      <protection locked="true" hidden="false"/>
    </xf>
    <xf numFmtId="164" fontId="8" fillId="2" borderId="0" xfId="0" applyFont="true" applyBorder="false" applyAlignment="false" applyProtection="false">
      <alignment horizontal="general" vertical="bottom" textRotation="0" wrapText="false" indent="0" shrinkToFit="false"/>
      <protection locked="true" hidden="false"/>
    </xf>
    <xf numFmtId="164" fontId="9" fillId="0" borderId="0" xfId="0" applyFont="true" applyBorder="false" applyAlignment="false" applyProtection="false">
      <alignment horizontal="general" vertical="bottom" textRotation="0" wrapText="false" indent="0" shrinkToFit="false"/>
      <protection locked="true" hidden="false"/>
    </xf>
    <xf numFmtId="164" fontId="10" fillId="0" borderId="0" xfId="0" applyFont="true" applyBorder="false" applyAlignment="true" applyProtection="false">
      <alignment horizontal="left" vertical="bottom" textRotation="0" wrapText="false" indent="0" shrinkToFit="false"/>
      <protection locked="true" hidden="false"/>
    </xf>
    <xf numFmtId="164" fontId="0" fillId="0" borderId="0" xfId="0" applyFont="true" applyBorder="false" applyAlignment="true" applyProtection="false">
      <alignment horizontal="left" vertical="bottom" textRotation="0" wrapText="false" indent="0" shrinkToFit="false"/>
      <protection locked="true" hidden="false"/>
    </xf>
    <xf numFmtId="164" fontId="11" fillId="2" borderId="0" xfId="0" applyFont="true" applyBorder="false" applyAlignment="false" applyProtection="false">
      <alignment horizontal="general" vertical="bottom" textRotation="0" wrapText="false" indent="0" shrinkToFit="false"/>
      <protection locked="true" hidden="false"/>
    </xf>
    <xf numFmtId="164" fontId="9" fillId="2" borderId="0" xfId="0" applyFont="true" applyBorder="false" applyAlignment="false" applyProtection="false">
      <alignment horizontal="general" vertical="bottom" textRotation="0" wrapText="false" indent="0" shrinkToFit="false"/>
      <protection locked="true" hidden="false"/>
    </xf>
    <xf numFmtId="164" fontId="9" fillId="3" borderId="0" xfId="0" applyFont="true" applyBorder="false" applyAlignment="false" applyProtection="false">
      <alignment horizontal="general" vertical="bottom" textRotation="0" wrapText="false" indent="0" shrinkToFit="false"/>
      <protection locked="true" hidden="false"/>
    </xf>
    <xf numFmtId="164" fontId="9" fillId="4" borderId="0" xfId="0" applyFont="true" applyBorder="false" applyAlignment="false" applyProtection="false">
      <alignment horizontal="general" vertical="bottom" textRotation="0" wrapText="false" indent="0" shrinkToFit="false"/>
      <protection locked="true" hidden="false"/>
    </xf>
    <xf numFmtId="164" fontId="9" fillId="5" borderId="0" xfId="0" applyFont="true" applyBorder="false" applyAlignment="false" applyProtection="false">
      <alignment horizontal="general" vertical="bottom" textRotation="0" wrapText="false" indent="0" shrinkToFit="false"/>
      <protection locked="true" hidden="false"/>
    </xf>
    <xf numFmtId="164" fontId="9" fillId="6" borderId="0" xfId="0" applyFont="true" applyBorder="false" applyAlignment="false" applyProtection="false">
      <alignment horizontal="general" vertical="bottom" textRotation="0" wrapText="false" indent="0" shrinkToFit="false"/>
      <protection locked="true" hidden="false"/>
    </xf>
    <xf numFmtId="164" fontId="9" fillId="7" borderId="0" xfId="0" applyFont="true" applyBorder="false" applyAlignment="false" applyProtection="false">
      <alignment horizontal="general" vertical="bottom" textRotation="0" wrapText="false" indent="0" shrinkToFit="false"/>
      <protection locked="true" hidden="false"/>
    </xf>
    <xf numFmtId="164" fontId="9" fillId="8" borderId="0" xfId="0" applyFont="true" applyBorder="false" applyAlignment="false" applyProtection="false">
      <alignment horizontal="general"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12" fillId="0" borderId="0" xfId="0" applyFont="true" applyBorder="false" applyAlignment="true" applyProtection="false">
      <alignment horizontal="right" vertical="bottom" textRotation="0" wrapText="false" indent="0" shrinkToFit="false"/>
      <protection locked="true" hidden="false"/>
    </xf>
    <xf numFmtId="164" fontId="13" fillId="9" borderId="0" xfId="0" applyFont="true" applyBorder="false" applyAlignment="true" applyProtection="false">
      <alignment horizontal="left" vertical="center" textRotation="0" wrapText="false" indent="0" shrinkToFit="false"/>
      <protection locked="true" hidden="false"/>
    </xf>
    <xf numFmtId="164" fontId="14" fillId="9" borderId="0" xfId="0" applyFont="true" applyBorder="false" applyAlignment="false" applyProtection="false">
      <alignment horizontal="general" vertical="bottom" textRotation="0" wrapText="false" indent="0" shrinkToFit="false"/>
      <protection locked="true" hidden="false"/>
    </xf>
    <xf numFmtId="164" fontId="15" fillId="0" borderId="0" xfId="0" applyFont="true" applyBorder="true" applyAlignment="true" applyProtection="false">
      <alignment horizontal="left" vertical="top" textRotation="0" wrapText="true" indent="0" shrinkToFit="false"/>
      <protection locked="true" hidden="false"/>
    </xf>
    <xf numFmtId="164" fontId="16" fillId="0" borderId="0" xfId="0" applyFont="true" applyBorder="true" applyAlignment="true" applyProtection="false">
      <alignment horizontal="left" vertical="center" textRotation="0" wrapText="false" indent="0" shrinkToFit="false"/>
      <protection locked="true" hidden="false"/>
    </xf>
    <xf numFmtId="164" fontId="17" fillId="0" borderId="0" xfId="0" applyFont="true" applyBorder="false" applyAlignment="true" applyProtection="false">
      <alignment horizontal="left" vertical="center" textRotation="0" wrapText="false" indent="0" shrinkToFit="false"/>
      <protection locked="true" hidden="false"/>
    </xf>
    <xf numFmtId="164" fontId="11" fillId="2" borderId="0" xfId="0" applyFont="true" applyBorder="false" applyAlignment="true" applyProtection="false">
      <alignment horizontal="center" vertical="bottom" textRotation="0" wrapText="false" indent="0" shrinkToFit="false"/>
      <protection locked="true" hidden="false"/>
    </xf>
    <xf numFmtId="165" fontId="18" fillId="10" borderId="0" xfId="0" applyFont="true" applyBorder="false" applyAlignment="true" applyProtection="false">
      <alignment horizontal="right" vertical="bottom" textRotation="0" wrapText="false" indent="0" shrinkToFit="false"/>
      <protection locked="true" hidden="false"/>
    </xf>
    <xf numFmtId="164" fontId="19" fillId="0" borderId="0" xfId="0" applyFont="true" applyBorder="false" applyAlignment="true" applyProtection="false">
      <alignment horizontal="left" vertical="bottom" textRotation="0" wrapText="false" indent="0" shrinkToFit="false"/>
      <protection locked="true" hidden="false"/>
    </xf>
    <xf numFmtId="166" fontId="18" fillId="10" borderId="0" xfId="0" applyFont="true" applyBorder="false" applyAlignment="true" applyProtection="false">
      <alignment horizontal="right" vertical="bottom" textRotation="0" wrapText="false" indent="0" shrinkToFit="false"/>
      <protection locked="true" hidden="false"/>
    </xf>
    <xf numFmtId="167" fontId="11" fillId="2" borderId="0" xfId="0" applyFont="true" applyBorder="false" applyAlignment="true" applyProtection="false">
      <alignment horizontal="center" vertical="bottom" textRotation="0" wrapText="false" indent="0" shrinkToFit="false"/>
      <protection locked="true" hidden="false"/>
    </xf>
    <xf numFmtId="164" fontId="19" fillId="0" borderId="0" xfId="0" applyFont="true" applyBorder="false" applyAlignment="false" applyProtection="false">
      <alignment horizontal="general" vertical="bottom" textRotation="0" wrapText="false" indent="0" shrinkToFit="false"/>
      <protection locked="true" hidden="false"/>
    </xf>
    <xf numFmtId="167" fontId="19" fillId="0" borderId="0" xfId="0" applyFont="true" applyBorder="false" applyAlignment="true" applyProtection="false">
      <alignment horizontal="center" vertical="bottom" textRotation="0" wrapText="false" indent="0" shrinkToFit="false"/>
      <protection locked="true" hidden="false"/>
    </xf>
    <xf numFmtId="164" fontId="19" fillId="0" borderId="0" xfId="0" applyFont="true" applyBorder="false" applyAlignment="true" applyProtection="false">
      <alignment horizontal="left" vertical="bottom" textRotation="0" wrapText="false" indent="1" shrinkToFit="false"/>
      <protection locked="true" hidden="false"/>
    </xf>
    <xf numFmtId="165" fontId="19" fillId="0" borderId="0" xfId="0" applyFont="true" applyBorder="false" applyAlignment="true" applyProtection="false">
      <alignment horizontal="right" vertical="bottom" textRotation="0" wrapText="false" indent="0" shrinkToFit="false"/>
      <protection locked="true" hidden="false"/>
    </xf>
    <xf numFmtId="166" fontId="19" fillId="0" borderId="0" xfId="0" applyFont="true" applyBorder="false" applyAlignment="true" applyProtection="false">
      <alignment horizontal="right" vertical="bottom" textRotation="0" wrapText="false" indent="0" shrinkToFit="false"/>
      <protection locked="true" hidden="false"/>
    </xf>
    <xf numFmtId="168" fontId="12" fillId="0" borderId="0" xfId="0" applyFont="true" applyBorder="false" applyAlignment="true" applyProtection="false">
      <alignment horizontal="right" vertical="bottom" textRotation="0" wrapText="false" indent="0" shrinkToFit="false"/>
      <protection locked="true" hidden="false"/>
    </xf>
    <xf numFmtId="169" fontId="12" fillId="0" borderId="0" xfId="0" applyFont="true" applyBorder="false" applyAlignment="true" applyProtection="false">
      <alignment horizontal="right" vertical="bottom" textRotation="0" wrapText="false" indent="0" shrinkToFit="false"/>
      <protection locked="true" hidden="false"/>
    </xf>
    <xf numFmtId="164" fontId="0" fillId="0" borderId="0" xfId="0" applyFont="true" applyBorder="false" applyAlignment="true" applyProtection="false">
      <alignment horizontal="left" vertical="bottom" textRotation="0" wrapText="false" indent="1" shrinkToFit="false"/>
      <protection locked="true" hidden="false"/>
    </xf>
    <xf numFmtId="170" fontId="12" fillId="0" borderId="0" xfId="0" applyFont="true" applyBorder="false" applyAlignment="true" applyProtection="false">
      <alignment horizontal="right" vertical="bottom" textRotation="0" wrapText="false" indent="0" shrinkToFit="false"/>
      <protection locked="true" hidden="false"/>
    </xf>
    <xf numFmtId="165" fontId="10" fillId="0" borderId="1" xfId="0" applyFont="true" applyBorder="true" applyAlignment="true" applyProtection="false">
      <alignment horizontal="right" vertical="bottom" textRotation="0" wrapText="false" indent="0" shrinkToFit="false"/>
      <protection locked="true" hidden="false"/>
    </xf>
    <xf numFmtId="165" fontId="10" fillId="0" borderId="2" xfId="0" applyFont="true" applyBorder="true" applyAlignment="true" applyProtection="false">
      <alignment horizontal="right" vertical="bottom" textRotation="0" wrapText="false" indent="0" shrinkToFit="false"/>
      <protection locked="true" hidden="false"/>
    </xf>
    <xf numFmtId="170" fontId="19" fillId="0" borderId="0" xfId="0" applyFont="true" applyBorder="false" applyAlignment="true" applyProtection="false">
      <alignment horizontal="right" vertical="bottom" textRotation="0" wrapText="false" indent="0" shrinkToFit="false"/>
      <protection locked="true" hidden="false"/>
    </xf>
    <xf numFmtId="165" fontId="20" fillId="0" borderId="0" xfId="0" applyFont="true" applyBorder="false" applyAlignment="true" applyProtection="false">
      <alignment horizontal="right" vertical="bottom" textRotation="0" wrapText="false" indent="0" shrinkToFit="false"/>
      <protection locked="true" hidden="false"/>
    </xf>
    <xf numFmtId="164" fontId="10" fillId="0" borderId="0" xfId="0" applyFont="true" applyBorder="false" applyAlignment="false" applyProtection="false">
      <alignment horizontal="general" vertical="bottom" textRotation="0" wrapText="false" indent="0" shrinkToFit="false"/>
      <protection locked="true" hidden="false"/>
    </xf>
    <xf numFmtId="164" fontId="21" fillId="0" borderId="0" xfId="0" applyFont="true" applyBorder="false" applyAlignment="true" applyProtection="false">
      <alignment horizontal="left" vertical="center" textRotation="0" wrapText="false" indent="0" shrinkToFit="false"/>
      <protection locked="true" hidden="false"/>
    </xf>
    <xf numFmtId="164" fontId="14" fillId="0" borderId="3" xfId="0" applyFont="true" applyBorder="true" applyAlignment="false" applyProtection="false">
      <alignment horizontal="general" vertical="bottom" textRotation="0" wrapText="false" indent="0" shrinkToFit="false"/>
      <protection locked="true" hidden="false"/>
    </xf>
    <xf numFmtId="164" fontId="22" fillId="11" borderId="0" xfId="0" applyFont="true" applyBorder="false" applyAlignment="true" applyProtection="false">
      <alignment horizontal="left" vertical="center" textRotation="0" wrapText="false" indent="1" shrinkToFit="false"/>
      <protection locked="true" hidden="false"/>
    </xf>
    <xf numFmtId="164" fontId="23" fillId="0" borderId="0" xfId="0" applyFont="true" applyBorder="false" applyAlignment="true" applyProtection="false">
      <alignment horizontal="left" vertical="top" textRotation="0" wrapText="true" indent="1" shrinkToFit="false"/>
      <protection locked="true" hidden="false"/>
    </xf>
    <xf numFmtId="164" fontId="24" fillId="0" borderId="0" xfId="0" applyFont="true" applyBorder="false" applyAlignment="true" applyProtection="false">
      <alignment horizontal="left" vertical="center" textRotation="0" wrapText="false" indent="1" shrinkToFit="false"/>
      <protection locked="true" hidden="false"/>
    </xf>
    <xf numFmtId="164" fontId="13" fillId="0" borderId="0" xfId="0" applyFont="true" applyBorder="false" applyAlignment="true" applyProtection="false">
      <alignment horizontal="left" vertical="center" textRotation="0" wrapText="false" indent="1" shrinkToFit="false"/>
      <protection locked="true" hidden="false"/>
    </xf>
    <xf numFmtId="164" fontId="25" fillId="12" borderId="0" xfId="0" applyFont="true" applyBorder="false" applyAlignment="true" applyProtection="false">
      <alignment horizontal="left" vertical="top" textRotation="0" wrapText="true" indent="1" shrinkToFit="false"/>
      <protection locked="true" hidden="false"/>
    </xf>
    <xf numFmtId="164" fontId="26" fillId="0" borderId="0" xfId="0" applyFont="true" applyBorder="false" applyAlignment="true" applyProtection="false">
      <alignment horizontal="left" vertical="center" textRotation="0" wrapText="false" indent="1"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FF0000"/>
      <rgbColor rgb="FF00FF00"/>
      <rgbColor rgb="FF0000CC"/>
      <rgbColor rgb="FFFFFF00"/>
      <rgbColor rgb="FFFF00FF"/>
      <rgbColor rgb="FF00FFFF"/>
      <rgbColor rgb="FF800000"/>
      <rgbColor rgb="FF008000"/>
      <rgbColor rgb="FF000080"/>
      <rgbColor rgb="FF808000"/>
      <rgbColor rgb="FF800080"/>
      <rgbColor rgb="FF008080"/>
      <rgbColor rgb="FFC0C0C0"/>
      <rgbColor rgb="FF808080"/>
      <rgbColor rgb="FF5B9BD5"/>
      <rgbColor rgb="FF993366"/>
      <rgbColor rgb="FFF2F2F2"/>
      <rgbColor rgb="FFE8F0FE"/>
      <rgbColor rgb="FF660066"/>
      <rgbColor rgb="FFFF8080"/>
      <rgbColor rgb="FF0066CC"/>
      <rgbColor rgb="FFD6E4F0"/>
      <rgbColor rgb="FF000080"/>
      <rgbColor rgb="FFFF00FF"/>
      <rgbColor rgb="FFFFFF00"/>
      <rgbColor rgb="FF00FFFF"/>
      <rgbColor rgb="FF800080"/>
      <rgbColor rgb="FF800000"/>
      <rgbColor rgb="FF008080"/>
      <rgbColor rgb="FF0000FF"/>
      <rgbColor rgb="FF00B0F0"/>
      <rgbColor rgb="FFCCFFFF"/>
      <rgbColor rgb="FFCCFFCC"/>
      <rgbColor rgb="FFFFFF99"/>
      <rgbColor rgb="FF99CCFF"/>
      <rgbColor rgb="FFFF99CC"/>
      <rgbColor rgb="FFCC99FF"/>
      <rgbColor rgb="FFFFCC99"/>
      <rgbColor rgb="FF3366FF"/>
      <rgbColor rgb="FF33CCCC"/>
      <rgbColor rgb="FF99CC00"/>
      <rgbColor rgb="FFFFCC00"/>
      <rgbColor rgb="FFFF9900"/>
      <rgbColor rgb="FFED7D31"/>
      <rgbColor rgb="FF595959"/>
      <rgbColor rgb="FFA5A5A5"/>
      <rgbColor rgb="FF1F4E79"/>
      <rgbColor rgb="FF70AD47"/>
      <rgbColor rgb="FF003300"/>
      <rgbColor rgb="FF404040"/>
      <rgbColor rgb="FF993300"/>
      <rgbColor rgb="FF993366"/>
      <rgbColor rgb="FF1F497D"/>
      <rgbColor rgb="FF262626"/>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worksheet" Target="worksheets/sheet9.xml"/><Relationship Id="rId12" Type="http://schemas.openxmlformats.org/officeDocument/2006/relationships/worksheet" Target="worksheets/sheet10.xml"/><Relationship Id="rId13" Type="http://schemas.openxmlformats.org/officeDocument/2006/relationships/worksheet" Target="worksheets/sheet11.xml"/><Relationship Id="rId14" Type="http://schemas.openxmlformats.org/officeDocument/2006/relationships/worksheet" Target="worksheets/sheet12.xml"/><Relationship Id="rId15" Type="http://schemas.openxmlformats.org/officeDocument/2006/relationships/worksheet" Target="worksheets/sheet13.xml"/><Relationship Id="rId16"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www.finamodel.com/" TargetMode="Externa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1F4E79"/>
    <pageSetUpPr fitToPage="false"/>
  </sheetPr>
  <dimension ref="A1:AD76"/>
  <sheetViews>
    <sheetView showFormulas="false" showGridLines="fals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40"/>
    <col collapsed="false" customWidth="true" hidden="false" outlineLevel="0" max="3" min="3" style="0" width="30"/>
    <col collapsed="false" customWidth="true" hidden="false" outlineLevel="0" max="4" min="4" style="0" width="20"/>
  </cols>
  <sheetData>
    <row r="1" customFormat="false" ht="15" hidden="false" customHeight="false" outlineLevel="0" collapsed="false">
      <c r="A1" s="1"/>
      <c r="B1" s="1"/>
      <c r="C1" s="1"/>
      <c r="D1" s="1"/>
      <c r="E1" s="2"/>
      <c r="F1" s="2"/>
      <c r="G1" s="2"/>
      <c r="H1" s="2"/>
      <c r="I1" s="2"/>
      <c r="J1" s="2"/>
      <c r="K1" s="2"/>
      <c r="L1" s="2"/>
      <c r="M1" s="2"/>
      <c r="N1" s="2"/>
      <c r="O1" s="2"/>
      <c r="P1" s="2"/>
      <c r="Q1" s="2"/>
      <c r="R1" s="2"/>
      <c r="S1" s="2"/>
      <c r="T1" s="2"/>
      <c r="U1" s="2"/>
      <c r="V1" s="2"/>
      <c r="W1" s="2"/>
      <c r="X1" s="2"/>
      <c r="Y1" s="2"/>
      <c r="Z1" s="2"/>
      <c r="AA1" s="2"/>
      <c r="AB1" s="2"/>
      <c r="AC1" s="2"/>
      <c r="AD1" s="2"/>
    </row>
    <row r="2" customFormat="false" ht="21.75" hidden="false" customHeight="true" outlineLevel="0" collapsed="false">
      <c r="A2" s="1"/>
      <c r="B2" s="3" t="s">
        <v>0</v>
      </c>
      <c r="C2" s="1"/>
      <c r="D2" s="4" t="s">
        <v>1</v>
      </c>
      <c r="E2" s="2"/>
      <c r="F2" s="2"/>
      <c r="G2" s="2"/>
      <c r="H2" s="2"/>
      <c r="I2" s="2"/>
      <c r="J2" s="2"/>
      <c r="K2" s="2"/>
      <c r="L2" s="2"/>
      <c r="M2" s="2"/>
      <c r="N2" s="2"/>
      <c r="O2" s="2"/>
      <c r="P2" s="2"/>
      <c r="Q2" s="2"/>
      <c r="R2" s="2"/>
      <c r="S2" s="2"/>
      <c r="T2" s="2"/>
      <c r="U2" s="2"/>
      <c r="V2" s="2"/>
      <c r="W2" s="2"/>
      <c r="X2" s="2"/>
      <c r="Y2" s="2"/>
      <c r="Z2" s="2"/>
      <c r="AA2" s="2"/>
      <c r="AB2" s="2"/>
      <c r="AC2" s="2"/>
      <c r="AD2" s="2"/>
    </row>
    <row r="3" customFormat="false" ht="15" hidden="false" customHeight="false" outlineLevel="0" collapsed="false">
      <c r="A3" s="1"/>
      <c r="B3" s="5" t="s">
        <v>2</v>
      </c>
      <c r="C3" s="1"/>
      <c r="D3" s="1"/>
      <c r="E3" s="2"/>
      <c r="F3" s="2"/>
      <c r="G3" s="2"/>
      <c r="H3" s="2"/>
      <c r="I3" s="2"/>
      <c r="J3" s="2"/>
      <c r="K3" s="2"/>
      <c r="L3" s="2"/>
      <c r="M3" s="2"/>
      <c r="N3" s="2"/>
      <c r="O3" s="2"/>
      <c r="P3" s="2"/>
      <c r="Q3" s="2"/>
      <c r="R3" s="2"/>
      <c r="S3" s="2"/>
      <c r="T3" s="2"/>
      <c r="U3" s="2"/>
      <c r="V3" s="2"/>
      <c r="W3" s="2"/>
      <c r="X3" s="2"/>
      <c r="Y3" s="2"/>
      <c r="Z3" s="2"/>
      <c r="AA3" s="2"/>
      <c r="AB3" s="2"/>
      <c r="AC3" s="2"/>
      <c r="AD3" s="2"/>
    </row>
    <row r="4" customFormat="false" ht="15" hidden="false" customHeight="false" outlineLevel="0" collapsed="false">
      <c r="A4" s="6"/>
      <c r="B4" s="6"/>
      <c r="C4" s="6"/>
      <c r="D4" s="6"/>
    </row>
    <row r="5" customFormat="false" ht="15" hidden="false" customHeight="false" outlineLevel="0" collapsed="false">
      <c r="A5" s="6"/>
      <c r="B5" s="7" t="s">
        <v>3</v>
      </c>
      <c r="C5" s="8" t="s">
        <v>4</v>
      </c>
      <c r="D5" s="6"/>
    </row>
    <row r="6" customFormat="false" ht="15" hidden="false" customHeight="false" outlineLevel="0" collapsed="false">
      <c r="A6" s="6"/>
      <c r="B6" s="7" t="s">
        <v>5</v>
      </c>
      <c r="C6" s="8" t="s">
        <v>6</v>
      </c>
      <c r="D6" s="6"/>
    </row>
    <row r="7" customFormat="false" ht="15" hidden="false" customHeight="false" outlineLevel="0" collapsed="false">
      <c r="A7" s="6"/>
      <c r="B7" s="7" t="s">
        <v>7</v>
      </c>
      <c r="C7" s="8" t="s">
        <v>8</v>
      </c>
      <c r="D7" s="6"/>
    </row>
    <row r="8" customFormat="false" ht="15" hidden="false" customHeight="false" outlineLevel="0" collapsed="false">
      <c r="A8" s="6"/>
      <c r="B8" s="7" t="s">
        <v>9</v>
      </c>
      <c r="C8" s="8" t="s">
        <v>10</v>
      </c>
      <c r="D8" s="6"/>
    </row>
    <row r="9" customFormat="false" ht="15" hidden="false" customHeight="false" outlineLevel="0" collapsed="false">
      <c r="A9" s="6"/>
      <c r="B9" s="7" t="s">
        <v>11</v>
      </c>
      <c r="C9" s="8" t="s">
        <v>12</v>
      </c>
      <c r="D9" s="6"/>
    </row>
    <row r="10" customFormat="false" ht="15" hidden="false" customHeight="false" outlineLevel="0" collapsed="false">
      <c r="A10" s="6"/>
      <c r="B10" s="6"/>
      <c r="C10" s="6"/>
      <c r="D10" s="6"/>
    </row>
    <row r="11" customFormat="false" ht="15" hidden="false" customHeight="false" outlineLevel="0" collapsed="false">
      <c r="A11" s="6"/>
      <c r="B11" s="9" t="s">
        <v>13</v>
      </c>
      <c r="C11" s="9"/>
      <c r="D11" s="9"/>
    </row>
    <row r="12" customFormat="false" ht="15" hidden="false" customHeight="false" outlineLevel="0" collapsed="false">
      <c r="A12" s="6"/>
      <c r="B12" s="7" t="s">
        <v>14</v>
      </c>
      <c r="C12" s="8" t="s">
        <v>15</v>
      </c>
      <c r="D12" s="6"/>
    </row>
    <row r="13" customFormat="false" ht="15" hidden="false" customHeight="false" outlineLevel="0" collapsed="false">
      <c r="A13" s="6"/>
      <c r="B13" s="7" t="s">
        <v>16</v>
      </c>
      <c r="C13" s="8" t="s">
        <v>17</v>
      </c>
      <c r="D13" s="6"/>
    </row>
    <row r="14" customFormat="false" ht="15" hidden="false" customHeight="false" outlineLevel="0" collapsed="false">
      <c r="A14" s="6"/>
      <c r="B14" s="7" t="s">
        <v>18</v>
      </c>
      <c r="C14" s="8" t="s">
        <v>19</v>
      </c>
      <c r="D14" s="6"/>
    </row>
    <row r="15" customFormat="false" ht="15" hidden="false" customHeight="false" outlineLevel="0" collapsed="false">
      <c r="A15" s="6"/>
      <c r="B15" s="7" t="s">
        <v>20</v>
      </c>
      <c r="C15" s="8" t="s">
        <v>21</v>
      </c>
      <c r="D15" s="6"/>
    </row>
    <row r="16" customFormat="false" ht="15" hidden="false" customHeight="false" outlineLevel="0" collapsed="false">
      <c r="A16" s="6"/>
      <c r="B16" s="7" t="s">
        <v>22</v>
      </c>
      <c r="C16" s="8" t="s">
        <v>23</v>
      </c>
      <c r="D16" s="6"/>
    </row>
    <row r="17" customFormat="false" ht="15" hidden="false" customHeight="false" outlineLevel="0" collapsed="false">
      <c r="A17" s="6"/>
      <c r="B17" s="7" t="s">
        <v>24</v>
      </c>
      <c r="C17" s="8" t="s">
        <v>25</v>
      </c>
      <c r="D17" s="6"/>
    </row>
    <row r="18" customFormat="false" ht="15" hidden="false" customHeight="false" outlineLevel="0" collapsed="false">
      <c r="A18" s="6"/>
      <c r="B18" s="7" t="s">
        <v>26</v>
      </c>
      <c r="C18" s="8" t="s">
        <v>27</v>
      </c>
      <c r="D18" s="6"/>
    </row>
    <row r="19" customFormat="false" ht="15" hidden="false" customHeight="false" outlineLevel="0" collapsed="false">
      <c r="A19" s="6"/>
      <c r="B19" s="7" t="s">
        <v>28</v>
      </c>
      <c r="C19" s="8" t="s">
        <v>29</v>
      </c>
      <c r="D19" s="6"/>
    </row>
    <row r="20" customFormat="false" ht="15" hidden="false" customHeight="false" outlineLevel="0" collapsed="false">
      <c r="A20" s="6"/>
      <c r="B20" s="7" t="s">
        <v>30</v>
      </c>
      <c r="C20" s="8" t="s">
        <v>31</v>
      </c>
      <c r="D20" s="6"/>
    </row>
    <row r="21" customFormat="false" ht="15" hidden="false" customHeight="false" outlineLevel="0" collapsed="false">
      <c r="A21" s="6"/>
      <c r="B21" s="7" t="s">
        <v>32</v>
      </c>
      <c r="C21" s="8" t="s">
        <v>33</v>
      </c>
      <c r="D21" s="6"/>
    </row>
    <row r="22" customFormat="false" ht="15" hidden="false" customHeight="false" outlineLevel="0" collapsed="false">
      <c r="A22" s="6"/>
      <c r="B22" s="7" t="s">
        <v>34</v>
      </c>
      <c r="C22" s="8" t="s">
        <v>35</v>
      </c>
      <c r="D22" s="6"/>
    </row>
    <row r="23" customFormat="false" ht="15" hidden="false" customHeight="false" outlineLevel="0" collapsed="false">
      <c r="A23" s="6"/>
      <c r="B23" s="6"/>
      <c r="C23" s="6"/>
      <c r="D23" s="6"/>
    </row>
    <row r="24" customFormat="false" ht="15" hidden="false" customHeight="false" outlineLevel="0" collapsed="false">
      <c r="A24" s="6"/>
      <c r="B24" s="9" t="s">
        <v>36</v>
      </c>
      <c r="C24" s="9"/>
      <c r="D24" s="9"/>
    </row>
    <row r="25" customFormat="false" ht="15" hidden="false" customHeight="false" outlineLevel="0" collapsed="false">
      <c r="A25" s="6"/>
      <c r="B25" s="7" t="s">
        <v>37</v>
      </c>
      <c r="C25" s="8" t="s">
        <v>38</v>
      </c>
      <c r="D25" s="10"/>
    </row>
    <row r="26" customFormat="false" ht="15" hidden="false" customHeight="false" outlineLevel="0" collapsed="false">
      <c r="A26" s="6"/>
      <c r="B26" s="7" t="s">
        <v>39</v>
      </c>
      <c r="C26" s="8" t="s">
        <v>14</v>
      </c>
      <c r="D26" s="11"/>
    </row>
    <row r="27" customFormat="false" ht="15" hidden="false" customHeight="false" outlineLevel="0" collapsed="false">
      <c r="A27" s="6"/>
      <c r="B27" s="7" t="s">
        <v>40</v>
      </c>
      <c r="C27" s="8" t="s">
        <v>41</v>
      </c>
      <c r="D27" s="12"/>
    </row>
    <row r="28" customFormat="false" ht="15" hidden="false" customHeight="false" outlineLevel="0" collapsed="false">
      <c r="A28" s="6"/>
      <c r="B28" s="7" t="s">
        <v>42</v>
      </c>
      <c r="C28" s="8" t="s">
        <v>43</v>
      </c>
      <c r="D28" s="13"/>
    </row>
    <row r="29" customFormat="false" ht="15" hidden="false" customHeight="false" outlineLevel="0" collapsed="false">
      <c r="A29" s="6"/>
      <c r="B29" s="7" t="s">
        <v>44</v>
      </c>
      <c r="C29" s="8" t="s">
        <v>45</v>
      </c>
      <c r="D29" s="14"/>
    </row>
    <row r="30" customFormat="false" ht="15" hidden="false" customHeight="false" outlineLevel="0" collapsed="false">
      <c r="A30" s="6"/>
      <c r="B30" s="7" t="s">
        <v>46</v>
      </c>
      <c r="C30" s="8" t="s">
        <v>47</v>
      </c>
      <c r="D30" s="15"/>
    </row>
    <row r="31" customFormat="false" ht="15" hidden="false" customHeight="false" outlineLevel="0" collapsed="false">
      <c r="A31" s="6"/>
      <c r="B31" s="7" t="s">
        <v>48</v>
      </c>
      <c r="C31" s="8" t="s">
        <v>34</v>
      </c>
      <c r="D31" s="16"/>
    </row>
    <row r="32" customFormat="false" ht="15" hidden="false" customHeight="false" outlineLevel="0" collapsed="false">
      <c r="A32" s="6"/>
      <c r="B32" s="6"/>
      <c r="C32" s="6"/>
      <c r="D32" s="6"/>
    </row>
    <row r="33" customFormat="false" ht="15" hidden="false" customHeight="false" outlineLevel="0" collapsed="false">
      <c r="A33" s="6"/>
      <c r="B33" s="6"/>
      <c r="C33" s="6"/>
      <c r="D33" s="6"/>
    </row>
    <row r="34" customFormat="false" ht="15" hidden="false" customHeight="false" outlineLevel="0" collapsed="false">
      <c r="A34" s="6"/>
      <c r="B34" s="9" t="s">
        <v>49</v>
      </c>
      <c r="C34" s="9"/>
      <c r="D34" s="9"/>
    </row>
    <row r="35" customFormat="false" ht="15" hidden="false" customHeight="false" outlineLevel="0" collapsed="false">
      <c r="A35" s="6"/>
      <c r="B35" s="17" t="s">
        <v>50</v>
      </c>
      <c r="C35" s="18" t="n">
        <f aca="false">INDEX(IS_Revenue,1,5)</f>
        <v>38592920.1845389</v>
      </c>
      <c r="D35" s="6"/>
    </row>
    <row r="36" customFormat="false" ht="15" hidden="false" customHeight="false" outlineLevel="0" collapsed="false">
      <c r="A36" s="6"/>
      <c r="B36" s="17" t="s">
        <v>51</v>
      </c>
      <c r="C36" s="18" t="n">
        <f aca="false">INDEX(IS_Gross_Profit,1,5)</f>
        <v>16585456.9278069</v>
      </c>
      <c r="D36" s="6"/>
    </row>
    <row r="37" customFormat="false" ht="15" hidden="false" customHeight="false" outlineLevel="0" collapsed="false">
      <c r="A37" s="6"/>
      <c r="B37" s="17" t="s">
        <v>52</v>
      </c>
      <c r="C37" s="18" t="n">
        <f aca="false">INDEX(IS_EBITDA,1,5)</f>
        <v>12852104.781377</v>
      </c>
      <c r="D37" s="6"/>
    </row>
    <row r="38" customFormat="false" ht="15" hidden="false" customHeight="false" outlineLevel="0" collapsed="false">
      <c r="A38" s="6"/>
      <c r="B38" s="17" t="s">
        <v>53</v>
      </c>
      <c r="C38" s="18" t="n">
        <f aca="false">INDEX(IS_EBIT,1,5)</f>
        <v>8859580.76659109</v>
      </c>
      <c r="D38" s="6"/>
    </row>
    <row r="39" customFormat="false" ht="15" hidden="false" customHeight="false" outlineLevel="0" collapsed="false">
      <c r="A39" s="6"/>
      <c r="B39" s="17" t="s">
        <v>54</v>
      </c>
      <c r="C39" s="18" t="n">
        <f aca="false">INDEX(IS_DA,1,5)</f>
        <v>3992524.01478592</v>
      </c>
      <c r="D39" s="6"/>
    </row>
    <row r="40" customFormat="false" ht="15" hidden="false" customHeight="false" outlineLevel="0" collapsed="false">
      <c r="A40" s="6"/>
      <c r="B40" s="17" t="s">
        <v>55</v>
      </c>
      <c r="C40" s="18" t="n">
        <f aca="false">INDEX(IS_Net_Interest,1,5)</f>
        <v>1004570.75523482</v>
      </c>
      <c r="D40" s="6"/>
    </row>
    <row r="41" customFormat="false" ht="15" hidden="false" customHeight="false" outlineLevel="0" collapsed="false">
      <c r="A41" s="6"/>
      <c r="B41" s="17" t="s">
        <v>56</v>
      </c>
      <c r="C41" s="18" t="n">
        <f aca="false">INDEX(IS_EBT,1,5)</f>
        <v>7855010.01135627</v>
      </c>
      <c r="D41" s="6"/>
    </row>
    <row r="42" customFormat="false" ht="15" hidden="false" customHeight="false" outlineLevel="0" collapsed="false">
      <c r="A42" s="6"/>
      <c r="B42" s="17" t="s">
        <v>57</v>
      </c>
      <c r="C42" s="18" t="n">
        <f aca="false">INDEX(IS_Tax,1,5)</f>
        <v>1728102.20249838</v>
      </c>
      <c r="D42" s="6"/>
    </row>
    <row r="43" customFormat="false" ht="15" hidden="false" customHeight="false" outlineLevel="0" collapsed="false">
      <c r="A43" s="6"/>
      <c r="B43" s="17" t="s">
        <v>58</v>
      </c>
      <c r="C43" s="18" t="n">
        <f aca="false">INDEX(IS_Net_Income,1,5)</f>
        <v>6126907.80885789</v>
      </c>
      <c r="D43" s="6"/>
    </row>
    <row r="44" customFormat="false" ht="15" hidden="false" customHeight="false" outlineLevel="0" collapsed="false">
      <c r="A44" s="6"/>
      <c r="B44" s="17" t="s">
        <v>59</v>
      </c>
      <c r="C44" s="18" t="n">
        <f aca="false">INDEX(CF_Closing,1,5)</f>
        <v>18626643.9340941</v>
      </c>
      <c r="D44" s="6"/>
    </row>
    <row r="45" customFormat="false" ht="15" hidden="false" customHeight="false" outlineLevel="0" collapsed="false">
      <c r="A45" s="6"/>
      <c r="B45" s="17" t="s">
        <v>60</v>
      </c>
      <c r="C45" s="18" t="n">
        <f aca="false">INDEX(CF_Opening,1,1)</f>
        <v>-22000000</v>
      </c>
      <c r="D45" s="6"/>
    </row>
    <row r="46" customFormat="false" ht="15" hidden="false" customHeight="false" outlineLevel="0" collapsed="false">
      <c r="A46" s="6"/>
      <c r="B46" s="17" t="s">
        <v>61</v>
      </c>
      <c r="C46" s="18" t="n">
        <f aca="false">INDEX(CF_CFO,1,5)</f>
        <v>9233467.98214662</v>
      </c>
      <c r="D46" s="6"/>
    </row>
    <row r="47" customFormat="false" ht="15" hidden="false" customHeight="false" outlineLevel="0" collapsed="false">
      <c r="A47" s="6"/>
      <c r="B47" s="17" t="s">
        <v>62</v>
      </c>
      <c r="C47" s="18" t="n">
        <f aca="false">INDEX(CF_CFI,1,5)</f>
        <v>-1157787.60553617</v>
      </c>
      <c r="D47" s="6"/>
    </row>
    <row r="48" customFormat="false" ht="15" hidden="false" customHeight="false" outlineLevel="0" collapsed="false">
      <c r="A48" s="6"/>
      <c r="B48" s="17" t="s">
        <v>63</v>
      </c>
      <c r="C48" s="18" t="n">
        <f aca="false">INDEX(CF_CFF,1,5)</f>
        <v>-1078837.58892223</v>
      </c>
      <c r="D48" s="6"/>
    </row>
    <row r="49" customFormat="false" ht="15" hidden="false" customHeight="false" outlineLevel="0" collapsed="false">
      <c r="A49" s="6"/>
      <c r="B49" s="17" t="s">
        <v>64</v>
      </c>
      <c r="C49" s="18" t="n">
        <f aca="false">INDEX(CF_Net_Change,1,5)</f>
        <v>6996842.78768823</v>
      </c>
      <c r="D49" s="6"/>
    </row>
    <row r="50" customFormat="false" ht="15" hidden="false" customHeight="false" outlineLevel="0" collapsed="false">
      <c r="A50" s="6"/>
      <c r="B50" s="17" t="s">
        <v>65</v>
      </c>
      <c r="C50" s="18" t="n">
        <f aca="false">INDEX(BS_Total_Assets,1,5)</f>
        <v>64628042.1018896</v>
      </c>
      <c r="D50" s="6"/>
    </row>
    <row r="51" customFormat="false" ht="15" hidden="false" customHeight="false" outlineLevel="0" collapsed="false">
      <c r="A51" s="6"/>
      <c r="B51" s="17" t="s">
        <v>66</v>
      </c>
      <c r="C51" s="18" t="n">
        <f aca="false">INDEX(BS_Total_Equity,1,5)</f>
        <v>49187216.642919</v>
      </c>
      <c r="D51" s="6"/>
    </row>
    <row r="52" customFormat="false" ht="15" hidden="false" customHeight="false" outlineLevel="0" collapsed="false">
      <c r="A52" s="6"/>
      <c r="B52" s="17" t="s">
        <v>67</v>
      </c>
      <c r="C52" s="18" t="n">
        <f aca="false">INDEX(BS_Total_LE,1,5)</f>
        <v>64628042.1018896</v>
      </c>
      <c r="D52" s="6"/>
    </row>
    <row r="53" customFormat="false" ht="15" hidden="false" customHeight="false" outlineLevel="0" collapsed="false">
      <c r="A53" s="6"/>
      <c r="B53" s="17" t="s">
        <v>68</v>
      </c>
      <c r="C53" s="18" t="n">
        <f aca="false">INDEX(BS_RE,1,5)</f>
        <v>19187216.642919</v>
      </c>
      <c r="D53" s="6"/>
    </row>
    <row r="54" customFormat="false" ht="15" hidden="false" customHeight="false" outlineLevel="0" collapsed="false">
      <c r="A54" s="6"/>
      <c r="B54" s="17" t="s">
        <v>69</v>
      </c>
      <c r="C54" s="18" t="n">
        <f aca="false">INDEX(CD_Net_PPE,1,5)</f>
        <v>32530506.9876784</v>
      </c>
      <c r="D54" s="6"/>
    </row>
    <row r="55" customFormat="false" ht="15" hidden="false" customHeight="false" outlineLevel="0" collapsed="false">
      <c r="A55" s="6"/>
      <c r="B55" s="17" t="s">
        <v>70</v>
      </c>
      <c r="C55" s="18" t="n">
        <f aca="false">INDEX(DS_Total_Debt,1,5)</f>
        <v>12727576.564305</v>
      </c>
      <c r="D55" s="6"/>
    </row>
    <row r="56" customFormat="false" ht="15" hidden="false" customHeight="false" outlineLevel="0" collapsed="false">
      <c r="A56" s="6"/>
      <c r="B56" s="17" t="s">
        <v>71</v>
      </c>
      <c r="C56" s="18" t="n">
        <f aca="false">INDEX(BS_Cash,1,5)</f>
        <v>18626643.9340941</v>
      </c>
      <c r="D56" s="6"/>
    </row>
    <row r="57" customFormat="false" ht="15" hidden="false" customHeight="false" outlineLevel="0" collapsed="false">
      <c r="A57" s="6"/>
      <c r="B57" s="17" t="s">
        <v>72</v>
      </c>
      <c r="C57" s="18" t="n">
        <f aca="false">INDEX(REV_Harvest_Vol,1,5)</f>
        <v>4951.92955409619</v>
      </c>
      <c r="D57" s="6"/>
    </row>
    <row r="58" customFormat="false" ht="15" hidden="false" customHeight="false" outlineLevel="0" collapsed="false">
      <c r="A58" s="6"/>
      <c r="B58" s="17" t="s">
        <v>73</v>
      </c>
      <c r="C58" s="18" t="n">
        <f aca="false">INDEX(PS_Survivors,1,5)</f>
        <v>1057490.4375</v>
      </c>
      <c r="D58" s="6"/>
    </row>
    <row r="59" customFormat="false" ht="15" hidden="false" customHeight="false" outlineLevel="0" collapsed="false">
      <c r="A59" s="6"/>
      <c r="B59" s="17" t="s">
        <v>74</v>
      </c>
      <c r="C59" s="18" t="n">
        <f aca="false">INDEX(PS_Mortality_Vol,1,5)</f>
        <v>369.971748294543</v>
      </c>
      <c r="D59" s="6"/>
    </row>
    <row r="60" customFormat="false" ht="15" hidden="false" customHeight="false" outlineLevel="0" collapsed="false">
      <c r="A60" s="6"/>
      <c r="B60" s="17" t="s">
        <v>75</v>
      </c>
      <c r="C60" s="18" t="n">
        <f aca="false">INDEX(PS_Growth_Kg,1,5)</f>
        <v>5139.57536489074</v>
      </c>
      <c r="D60" s="6"/>
    </row>
    <row r="61" customFormat="false" ht="15" hidden="false" customHeight="false" outlineLevel="0" collapsed="false">
      <c r="A61" s="6"/>
      <c r="B61" s="17" t="s">
        <v>76</v>
      </c>
      <c r="C61" s="18" t="n">
        <f aca="false">INDEX(PS_Feed_Consumed,1,5)</f>
        <v>6424.46920611342</v>
      </c>
      <c r="D61" s="6"/>
    </row>
    <row r="62" customFormat="false" ht="15" hidden="false" customHeight="false" outlineLevel="0" collapsed="false">
      <c r="A62" s="6"/>
      <c r="B62" s="17" t="s">
        <v>77</v>
      </c>
      <c r="C62" s="18" t="n">
        <f aca="false">INDEX(OC_Feed,1,5)</f>
        <v>11569274.705687</v>
      </c>
      <c r="D62" s="6"/>
    </row>
    <row r="63" customFormat="false" ht="15" hidden="false" customHeight="false" outlineLevel="0" collapsed="false">
      <c r="A63" s="6"/>
      <c r="B63" s="17" t="s">
        <v>78</v>
      </c>
      <c r="C63" s="18" t="n">
        <f aca="false">INDEX(IS_Dividends,1,5)</f>
        <v>0</v>
      </c>
      <c r="D63" s="6"/>
    </row>
    <row r="64" customFormat="false" ht="15" hidden="false" customHeight="false" outlineLevel="0" collapsed="false">
      <c r="A64" s="6"/>
      <c r="B64" s="17" t="s">
        <v>79</v>
      </c>
      <c r="C64" s="18" t="n">
        <f aca="false">INDEX(DS_Rev_Open,1,1)</f>
        <v>4000000</v>
      </c>
      <c r="D64" s="6"/>
    </row>
    <row r="65" customFormat="false" ht="15" hidden="false" customHeight="false" outlineLevel="0" collapsed="false">
      <c r="A65" s="6"/>
      <c r="B65" s="17" t="s">
        <v>80</v>
      </c>
      <c r="C65" s="18" t="n">
        <f aca="false">INDEX(IS_NOL_Close,1,5)</f>
        <v>0</v>
      </c>
      <c r="D65" s="6"/>
    </row>
    <row r="66" customFormat="false" ht="15" hidden="false" customHeight="false" outlineLevel="0" collapsed="false">
      <c r="A66" s="6"/>
      <c r="B66" s="17" t="s">
        <v>81</v>
      </c>
      <c r="C66" s="18" t="n">
        <f aca="false">INDEX(IS_Taxable_Income,1,5)</f>
        <v>7855010.01135627</v>
      </c>
      <c r="D66" s="6"/>
    </row>
    <row r="67" customFormat="false" ht="15" hidden="false" customHeight="false" outlineLevel="0" collapsed="false">
      <c r="A67" s="6"/>
      <c r="B67" s="17" t="s">
        <v>82</v>
      </c>
      <c r="C67" s="18" t="n">
        <f aca="false">INDEX(WC_NWC,1,5)</f>
        <v>10757642.2854515</v>
      </c>
      <c r="D67" s="6"/>
    </row>
    <row r="70" customFormat="false" ht="19.5" hidden="false" customHeight="true" outlineLevel="0" collapsed="false">
      <c r="B70" s="19" t="s">
        <v>83</v>
      </c>
      <c r="C70" s="20"/>
      <c r="D70" s="20"/>
      <c r="E70" s="20"/>
      <c r="F70" s="20"/>
      <c r="G70" s="20"/>
    </row>
    <row r="71" customFormat="false" ht="246" hidden="false" customHeight="true" outlineLevel="0" collapsed="false">
      <c r="B71" s="21" t="s">
        <v>84</v>
      </c>
      <c r="C71" s="21"/>
      <c r="D71" s="21"/>
      <c r="E71" s="21"/>
      <c r="F71" s="21"/>
      <c r="G71" s="21"/>
    </row>
    <row r="73" customFormat="false" ht="19.5" hidden="false" customHeight="true" outlineLevel="0" collapsed="false">
      <c r="B73" s="19" t="s">
        <v>85</v>
      </c>
      <c r="C73" s="20"/>
      <c r="D73" s="20"/>
      <c r="E73" s="20"/>
      <c r="F73" s="20"/>
      <c r="G73" s="20"/>
    </row>
    <row r="74" customFormat="false" ht="57" hidden="false" customHeight="true" outlineLevel="0" collapsed="false">
      <c r="B74" s="21" t="s">
        <v>86</v>
      </c>
      <c r="C74" s="21"/>
      <c r="D74" s="21"/>
      <c r="E74" s="21"/>
      <c r="F74" s="21"/>
      <c r="G74" s="21"/>
    </row>
    <row r="75" customFormat="false" ht="15" hidden="false" customHeight="false" outlineLevel="0" collapsed="false">
      <c r="B75" s="22" t="s">
        <v>87</v>
      </c>
      <c r="C75" s="22"/>
      <c r="D75" s="22"/>
      <c r="E75" s="22"/>
      <c r="F75" s="22"/>
      <c r="G75" s="22"/>
    </row>
    <row r="76" customFormat="false" ht="15" hidden="false" customHeight="false" outlineLevel="0" collapsed="false">
      <c r="B76" s="23" t="s">
        <v>88</v>
      </c>
    </row>
  </sheetData>
  <mergeCells count="3">
    <mergeCell ref="B71:G71"/>
    <mergeCell ref="B74:G74"/>
    <mergeCell ref="B75:G75"/>
  </mergeCells>
  <hyperlinks>
    <hyperlink ref="D2" r:id="rId1" display="FINAMODEL.com"/>
  </hyperlink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A5A5A5"/>
    <pageSetUpPr fitToPage="false"/>
  </sheetPr>
  <dimension ref="A1:AD27"/>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0"/>
    <col collapsed="false" customWidth="true" hidden="false" outlineLevel="0" max="7" min="3" style="0" width="18"/>
  </cols>
  <sheetData>
    <row r="1" customFormat="false" ht="15" hidden="false" customHeight="false" outlineLevel="0" collapsed="false">
      <c r="A1" s="1"/>
      <c r="B1" s="1"/>
      <c r="C1" s="1"/>
      <c r="D1" s="1"/>
      <c r="E1" s="1"/>
      <c r="F1" s="1"/>
      <c r="G1" s="1"/>
      <c r="H1" s="2"/>
      <c r="I1" s="2"/>
      <c r="J1" s="2"/>
      <c r="K1" s="2"/>
      <c r="L1" s="2"/>
      <c r="M1" s="2"/>
      <c r="N1" s="2"/>
      <c r="O1" s="2"/>
      <c r="P1" s="2"/>
      <c r="Q1" s="2"/>
      <c r="R1" s="2"/>
      <c r="S1" s="2"/>
      <c r="T1" s="2"/>
      <c r="U1" s="2"/>
      <c r="V1" s="2"/>
      <c r="W1" s="2"/>
      <c r="X1" s="2"/>
      <c r="Y1" s="2"/>
      <c r="Z1" s="2"/>
      <c r="AA1" s="2"/>
      <c r="AB1" s="2"/>
      <c r="AC1" s="2"/>
      <c r="AD1" s="2"/>
    </row>
    <row r="2" customFormat="false" ht="21.75" hidden="false" customHeight="true" outlineLevel="0" collapsed="false">
      <c r="A2" s="1"/>
      <c r="B2" s="3" t="s">
        <v>336</v>
      </c>
      <c r="C2" s="1"/>
      <c r="D2" s="1"/>
      <c r="E2" s="1"/>
      <c r="F2" s="1"/>
      <c r="G2" s="1"/>
      <c r="H2" s="2"/>
      <c r="I2" s="2"/>
      <c r="J2" s="2"/>
      <c r="K2" s="2"/>
      <c r="L2" s="2"/>
      <c r="M2" s="2"/>
      <c r="N2" s="2"/>
      <c r="O2" s="2"/>
      <c r="P2" s="2"/>
      <c r="Q2" s="2"/>
      <c r="R2" s="2"/>
      <c r="S2" s="2"/>
      <c r="T2" s="2"/>
      <c r="U2" s="2"/>
      <c r="V2" s="2"/>
      <c r="W2" s="2"/>
      <c r="X2" s="2"/>
      <c r="Y2" s="2"/>
      <c r="Z2" s="2"/>
      <c r="AA2" s="2"/>
      <c r="AB2" s="2"/>
      <c r="AC2" s="2"/>
      <c r="AD2" s="2"/>
    </row>
    <row r="3" customFormat="false" ht="15" hidden="false" customHeight="false" outlineLevel="0" collapsed="false">
      <c r="A3" s="1"/>
      <c r="B3" s="5" t="s">
        <v>337</v>
      </c>
      <c r="C3" s="1"/>
      <c r="D3" s="1"/>
      <c r="E3" s="1"/>
      <c r="F3" s="1"/>
      <c r="G3" s="1"/>
      <c r="H3" s="2"/>
      <c r="I3" s="2"/>
      <c r="J3" s="2"/>
      <c r="K3" s="2"/>
      <c r="L3" s="2"/>
      <c r="M3" s="2"/>
      <c r="N3" s="2"/>
      <c r="O3" s="2"/>
      <c r="P3" s="2"/>
      <c r="Q3" s="2"/>
      <c r="R3" s="2"/>
      <c r="S3" s="2"/>
      <c r="T3" s="2"/>
      <c r="U3" s="2"/>
      <c r="V3" s="2"/>
      <c r="W3" s="2"/>
      <c r="X3" s="2"/>
      <c r="Y3" s="2"/>
      <c r="Z3" s="2"/>
      <c r="AA3" s="2"/>
      <c r="AB3" s="2"/>
      <c r="AC3" s="2"/>
      <c r="AD3" s="2"/>
    </row>
    <row r="4" customFormat="false" ht="15" hidden="false" customHeight="false" outlineLevel="0" collapsed="false">
      <c r="A4" s="6"/>
      <c r="B4" s="6"/>
      <c r="C4" s="6"/>
      <c r="D4" s="6"/>
      <c r="E4" s="6"/>
      <c r="F4" s="6"/>
      <c r="G4" s="6"/>
    </row>
    <row r="5" customFormat="false" ht="15" hidden="false" customHeight="false" outlineLevel="0" collapsed="false">
      <c r="A5" s="6"/>
      <c r="B5" s="9"/>
      <c r="C5" s="28" t="n">
        <f aca="false">Model_Start_Year+0</f>
        <v>2026</v>
      </c>
      <c r="D5" s="28" t="n">
        <f aca="false">Model_Start_Year+1</f>
        <v>2027</v>
      </c>
      <c r="E5" s="28" t="n">
        <f aca="false">Model_Start_Year+2</f>
        <v>2028</v>
      </c>
      <c r="F5" s="28" t="n">
        <f aca="false">Model_Start_Year+3</f>
        <v>2029</v>
      </c>
      <c r="G5" s="28" t="n">
        <f aca="false">Model_Start_Year+4</f>
        <v>2030</v>
      </c>
    </row>
    <row r="6" customFormat="false" ht="15" hidden="false" customHeight="false" outlineLevel="0" collapsed="false">
      <c r="A6" s="6"/>
      <c r="B6" s="6"/>
      <c r="C6" s="6"/>
      <c r="D6" s="6"/>
      <c r="E6" s="6"/>
      <c r="F6" s="6"/>
      <c r="G6" s="6"/>
    </row>
    <row r="7" customFormat="false" ht="15" hidden="false" customHeight="false" outlineLevel="0" collapsed="false">
      <c r="A7" s="6"/>
      <c r="B7" s="9" t="s">
        <v>338</v>
      </c>
      <c r="C7" s="9"/>
      <c r="D7" s="9"/>
      <c r="E7" s="9"/>
      <c r="F7" s="9"/>
      <c r="G7" s="9"/>
    </row>
    <row r="8" customFormat="false" ht="15" hidden="false" customHeight="false" outlineLevel="0" collapsed="false">
      <c r="A8" s="6"/>
      <c r="B8" s="8" t="s">
        <v>58</v>
      </c>
      <c r="C8" s="18" t="n">
        <f aca="false">IS_Net_Income</f>
        <v>4688629.409725</v>
      </c>
      <c r="D8" s="18" t="n">
        <f aca="false">IS_Net_Income</f>
        <v>4604647.51316349</v>
      </c>
      <c r="E8" s="18" t="n">
        <f aca="false">IS_Net_Income</f>
        <v>4489427.20283359</v>
      </c>
      <c r="F8" s="18" t="n">
        <f aca="false">IS_Net_Income</f>
        <v>5277604.70833907</v>
      </c>
      <c r="G8" s="18" t="n">
        <f aca="false">IS_Net_Income</f>
        <v>6126907.80885789</v>
      </c>
    </row>
    <row r="9" customFormat="false" ht="15" hidden="false" customHeight="false" outlineLevel="0" collapsed="false">
      <c r="A9" s="6"/>
      <c r="B9" s="36" t="s">
        <v>297</v>
      </c>
      <c r="C9" s="18" t="n">
        <f aca="false">IS_DA</f>
        <v>2582620</v>
      </c>
      <c r="D9" s="18" t="n">
        <f aca="false">IS_DA</f>
        <v>3172516.59126</v>
      </c>
      <c r="E9" s="18" t="n">
        <f aca="false">IS_DA</f>
        <v>3770327.29990257</v>
      </c>
      <c r="F9" s="18" t="n">
        <f aca="false">IS_DA</f>
        <v>3876745.25423231</v>
      </c>
      <c r="G9" s="18" t="n">
        <f aca="false">IS_DA</f>
        <v>3992524.01478592</v>
      </c>
    </row>
    <row r="10" customFormat="false" ht="15" hidden="false" customHeight="false" outlineLevel="0" collapsed="false">
      <c r="A10" s="6"/>
      <c r="B10" s="36" t="s">
        <v>322</v>
      </c>
      <c r="C10" s="18" t="n">
        <f aca="false">-WC_NWC_Change</f>
        <v>-2629482.28595891</v>
      </c>
      <c r="D10" s="18" t="n">
        <f aca="false">-WC_NWC_Change</f>
        <v>-683939.60941701</v>
      </c>
      <c r="E10" s="18" t="n">
        <f aca="false">-WC_NWC_Change</f>
        <v>-745541.81683146</v>
      </c>
      <c r="F10" s="18" t="n">
        <f aca="false">-WC_NWC_Change</f>
        <v>-812714.731746882</v>
      </c>
      <c r="G10" s="18" t="n">
        <f aca="false">-WC_NWC_Change</f>
        <v>-885963.841497196</v>
      </c>
    </row>
    <row r="11" customFormat="false" ht="15" hidden="false" customHeight="false" outlineLevel="0" collapsed="false">
      <c r="A11" s="6"/>
      <c r="B11" s="7" t="s">
        <v>339</v>
      </c>
      <c r="C11" s="38" t="n">
        <f aca="false">C8+C9+C10</f>
        <v>4641767.1237661</v>
      </c>
      <c r="D11" s="38" t="n">
        <f aca="false">D8+D9+D10</f>
        <v>7093224.49500648</v>
      </c>
      <c r="E11" s="38" t="n">
        <f aca="false">E8+E9+E10</f>
        <v>7514212.68590469</v>
      </c>
      <c r="F11" s="38" t="n">
        <f aca="false">F8+F9+F10</f>
        <v>8341635.23082449</v>
      </c>
      <c r="G11" s="38" t="n">
        <f aca="false">G8+G9+G10</f>
        <v>9233467.98214662</v>
      </c>
    </row>
    <row r="12" customFormat="false" ht="15" hidden="false" customHeight="false" outlineLevel="0" collapsed="false">
      <c r="A12" s="6"/>
      <c r="B12" s="6"/>
      <c r="C12" s="6"/>
      <c r="D12" s="6"/>
      <c r="E12" s="6"/>
      <c r="F12" s="6"/>
      <c r="G12" s="6"/>
    </row>
    <row r="13" customFormat="false" ht="15" hidden="false" customHeight="false" outlineLevel="0" collapsed="false">
      <c r="A13" s="6"/>
      <c r="B13" s="9" t="s">
        <v>340</v>
      </c>
      <c r="C13" s="9"/>
      <c r="D13" s="9"/>
      <c r="E13" s="9"/>
      <c r="F13" s="9"/>
      <c r="G13" s="9"/>
    </row>
    <row r="14" customFormat="false" ht="15" hidden="false" customHeight="false" outlineLevel="0" collapsed="false">
      <c r="A14" s="6"/>
      <c r="B14" s="36" t="s">
        <v>281</v>
      </c>
      <c r="C14" s="18" t="n">
        <f aca="false">-CD_Total_Capex</f>
        <v>-5826200</v>
      </c>
      <c r="D14" s="18" t="n">
        <f aca="false">-CD_Total_Capex</f>
        <v>-5898965.9126</v>
      </c>
      <c r="E14" s="18" t="n">
        <f aca="false">-CD_Total_Capex</f>
        <v>-5978107.08642567</v>
      </c>
      <c r="F14" s="18" t="n">
        <f aca="false">-CD_Total_Capex</f>
        <v>-1064179.54329738</v>
      </c>
      <c r="G14" s="18" t="n">
        <f aca="false">-CD_Total_Capex</f>
        <v>-1157787.60553617</v>
      </c>
    </row>
    <row r="15" customFormat="false" ht="15" hidden="false" customHeight="false" outlineLevel="0" collapsed="false">
      <c r="A15" s="6"/>
      <c r="B15" s="7" t="s">
        <v>341</v>
      </c>
      <c r="C15" s="38" t="n">
        <f aca="false">C14</f>
        <v>-5826200</v>
      </c>
      <c r="D15" s="38" t="n">
        <f aca="false">D14</f>
        <v>-5898965.9126</v>
      </c>
      <c r="E15" s="38" t="n">
        <f aca="false">E14</f>
        <v>-5978107.08642567</v>
      </c>
      <c r="F15" s="38" t="n">
        <f aca="false">F14</f>
        <v>-1064179.54329738</v>
      </c>
      <c r="G15" s="38" t="n">
        <f aca="false">G14</f>
        <v>-1157787.60553617</v>
      </c>
    </row>
    <row r="16" customFormat="false" ht="15" hidden="false" customHeight="false" outlineLevel="0" collapsed="false">
      <c r="A16" s="6"/>
      <c r="B16" s="6"/>
      <c r="C16" s="6"/>
      <c r="D16" s="6"/>
      <c r="E16" s="6"/>
      <c r="F16" s="6"/>
      <c r="G16" s="6"/>
    </row>
    <row r="17" customFormat="false" ht="15" hidden="false" customHeight="false" outlineLevel="0" collapsed="false">
      <c r="A17" s="6"/>
      <c r="B17" s="9" t="s">
        <v>342</v>
      </c>
      <c r="C17" s="9"/>
      <c r="D17" s="9"/>
      <c r="E17" s="9"/>
      <c r="F17" s="9"/>
      <c r="G17" s="9"/>
    </row>
    <row r="18" customFormat="false" ht="15" hidden="false" customHeight="false" outlineLevel="0" collapsed="false">
      <c r="A18" s="6"/>
      <c r="B18" s="36" t="s">
        <v>343</v>
      </c>
      <c r="C18" s="18" t="n">
        <f aca="false">Share_Capital</f>
        <v>30000000</v>
      </c>
      <c r="D18" s="18" t="n">
        <f aca="false">0</f>
        <v>0</v>
      </c>
      <c r="E18" s="18" t="n">
        <f aca="false">0</f>
        <v>0</v>
      </c>
      <c r="F18" s="18" t="n">
        <f aca="false">0</f>
        <v>0</v>
      </c>
      <c r="G18" s="18" t="n">
        <f aca="false">0</f>
        <v>0</v>
      </c>
    </row>
    <row r="19" customFormat="false" ht="15" hidden="false" customHeight="false" outlineLevel="0" collapsed="false">
      <c r="A19" s="6"/>
      <c r="B19" s="36" t="s">
        <v>344</v>
      </c>
      <c r="C19" s="18" t="n">
        <f aca="false">-DS_TL_Repayment</f>
        <v>-1500000</v>
      </c>
      <c r="D19" s="18" t="n">
        <f aca="false">-DS_TL_Repayment</f>
        <v>-1500000</v>
      </c>
      <c r="E19" s="18" t="n">
        <f aca="false">-DS_TL_Repayment</f>
        <v>-1500000</v>
      </c>
      <c r="F19" s="18" t="n">
        <f aca="false">-DS_TL_Repayment</f>
        <v>-1500000</v>
      </c>
      <c r="G19" s="18" t="n">
        <f aca="false">-DS_TL_Repayment</f>
        <v>-1500000</v>
      </c>
    </row>
    <row r="20" customFormat="false" ht="15" hidden="false" customHeight="false" outlineLevel="0" collapsed="false">
      <c r="A20" s="6"/>
      <c r="B20" s="36" t="s">
        <v>345</v>
      </c>
      <c r="C20" s="18" t="n">
        <f aca="false">DS_Rev_Net</f>
        <v>-264887.5</v>
      </c>
      <c r="D20" s="18" t="n">
        <f aca="false">DS_Rev_Net</f>
        <v>327664.551374999</v>
      </c>
      <c r="E20" s="18" t="n">
        <f aca="false">DS_Rev_Net</f>
        <v>356271.484842316</v>
      </c>
      <c r="F20" s="18" t="n">
        <f aca="false">DS_Rev_Net</f>
        <v>387365.617009861</v>
      </c>
      <c r="G20" s="18" t="n">
        <f aca="false">DS_Rev_Net</f>
        <v>421162.411077774</v>
      </c>
    </row>
    <row r="21" customFormat="false" ht="15" hidden="false" customHeight="false" outlineLevel="0" collapsed="false">
      <c r="A21" s="6"/>
      <c r="B21" s="36" t="s">
        <v>78</v>
      </c>
      <c r="C21" s="18" t="n">
        <f aca="false">-IS_Dividends</f>
        <v>-0</v>
      </c>
      <c r="D21" s="18" t="n">
        <f aca="false">-IS_Dividends</f>
        <v>-0</v>
      </c>
      <c r="E21" s="18" t="n">
        <f aca="false">-IS_Dividends</f>
        <v>-0</v>
      </c>
      <c r="F21" s="18" t="n">
        <f aca="false">-IS_Dividends</f>
        <v>-0</v>
      </c>
      <c r="G21" s="18" t="n">
        <f aca="false">-IS_Dividends</f>
        <v>-0</v>
      </c>
    </row>
    <row r="22" customFormat="false" ht="15" hidden="false" customHeight="false" outlineLevel="0" collapsed="false">
      <c r="A22" s="6"/>
      <c r="B22" s="7" t="s">
        <v>342</v>
      </c>
      <c r="C22" s="38" t="n">
        <f aca="false">C18+C19+C20+C21</f>
        <v>28235112.5</v>
      </c>
      <c r="D22" s="38" t="n">
        <f aca="false">D18+D19+D20+D21</f>
        <v>-1172335.448625</v>
      </c>
      <c r="E22" s="38" t="n">
        <f aca="false">E18+E19+E20+E21</f>
        <v>-1143728.51515768</v>
      </c>
      <c r="F22" s="38" t="n">
        <f aca="false">F18+F19+F20+F21</f>
        <v>-1112634.38299014</v>
      </c>
      <c r="G22" s="38" t="n">
        <f aca="false">G18+G19+G20+G21</f>
        <v>-1078837.58892223</v>
      </c>
    </row>
    <row r="23" customFormat="false" ht="15" hidden="false" customHeight="false" outlineLevel="0" collapsed="false">
      <c r="A23" s="6"/>
      <c r="B23" s="6"/>
      <c r="C23" s="6"/>
      <c r="D23" s="6"/>
      <c r="E23" s="6"/>
      <c r="F23" s="6"/>
      <c r="G23" s="6"/>
    </row>
    <row r="24" customFormat="false" ht="15" hidden="false" customHeight="false" outlineLevel="0" collapsed="false">
      <c r="A24" s="6"/>
      <c r="B24" s="7" t="s">
        <v>64</v>
      </c>
      <c r="C24" s="39" t="n">
        <f aca="false">C11+C15+C22</f>
        <v>27050679.6237661</v>
      </c>
      <c r="D24" s="39" t="n">
        <f aca="false">D11+D15+D22</f>
        <v>21923.1337814773</v>
      </c>
      <c r="E24" s="39" t="n">
        <f aca="false">E11+E15+E22</f>
        <v>392377.084321336</v>
      </c>
      <c r="F24" s="39" t="n">
        <f aca="false">F11+F15+F22</f>
        <v>6164821.30453697</v>
      </c>
      <c r="G24" s="39" t="n">
        <f aca="false">G11+G15+G22</f>
        <v>6996842.78768823</v>
      </c>
    </row>
    <row r="25" customFormat="false" ht="15" hidden="false" customHeight="false" outlineLevel="0" collapsed="false">
      <c r="A25" s="6"/>
      <c r="B25" s="6"/>
      <c r="C25" s="6"/>
      <c r="D25" s="6"/>
      <c r="E25" s="6"/>
      <c r="F25" s="6"/>
      <c r="G25" s="6"/>
    </row>
    <row r="26" customFormat="false" ht="15" hidden="false" customHeight="false" outlineLevel="0" collapsed="false">
      <c r="A26" s="6"/>
      <c r="B26" s="8" t="s">
        <v>198</v>
      </c>
      <c r="C26" s="18" t="n">
        <f aca="false">Open_Cash-Share_Capital</f>
        <v>-22000000</v>
      </c>
      <c r="D26" s="18" t="n">
        <f aca="false">C27</f>
        <v>5050679.62376609</v>
      </c>
      <c r="E26" s="18" t="n">
        <f aca="false">D27</f>
        <v>5072602.75754757</v>
      </c>
      <c r="F26" s="18" t="n">
        <f aca="false">E27</f>
        <v>5464979.84186891</v>
      </c>
      <c r="G26" s="18" t="n">
        <f aca="false">F27</f>
        <v>11629801.1464059</v>
      </c>
    </row>
    <row r="27" customFormat="false" ht="15" hidden="false" customHeight="false" outlineLevel="0" collapsed="false">
      <c r="A27" s="6"/>
      <c r="B27" s="7" t="s">
        <v>59</v>
      </c>
      <c r="C27" s="38" t="n">
        <f aca="false">C26+C24</f>
        <v>5050679.62376609</v>
      </c>
      <c r="D27" s="38" t="n">
        <f aca="false">D26+D24</f>
        <v>5072602.75754757</v>
      </c>
      <c r="E27" s="38" t="n">
        <f aca="false">E26+E24</f>
        <v>5464979.84186891</v>
      </c>
      <c r="F27" s="38" t="n">
        <f aca="false">F26+F24</f>
        <v>11629801.1464059</v>
      </c>
      <c r="G27" s="38" t="n">
        <f aca="false">G26+G24</f>
        <v>18626643.9340941</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A5A5A5"/>
    <pageSetUpPr fitToPage="false"/>
  </sheetPr>
  <dimension ref="A1:AD64"/>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0"/>
    <col collapsed="false" customWidth="true" hidden="false" outlineLevel="0" max="7" min="3" style="0" width="18"/>
  </cols>
  <sheetData>
    <row r="1" customFormat="false" ht="15" hidden="false" customHeight="false" outlineLevel="0" collapsed="false">
      <c r="A1" s="1"/>
      <c r="B1" s="1"/>
      <c r="C1" s="1"/>
      <c r="D1" s="1"/>
      <c r="E1" s="1"/>
      <c r="F1" s="1"/>
      <c r="G1" s="1"/>
      <c r="H1" s="2"/>
      <c r="I1" s="2"/>
      <c r="J1" s="2"/>
      <c r="K1" s="2"/>
      <c r="L1" s="2"/>
      <c r="M1" s="2"/>
      <c r="N1" s="2"/>
      <c r="O1" s="2"/>
      <c r="P1" s="2"/>
      <c r="Q1" s="2"/>
      <c r="R1" s="2"/>
      <c r="S1" s="2"/>
      <c r="T1" s="2"/>
      <c r="U1" s="2"/>
      <c r="V1" s="2"/>
      <c r="W1" s="2"/>
      <c r="X1" s="2"/>
      <c r="Y1" s="2"/>
      <c r="Z1" s="2"/>
      <c r="AA1" s="2"/>
      <c r="AB1" s="2"/>
      <c r="AC1" s="2"/>
      <c r="AD1" s="2"/>
    </row>
    <row r="2" customFormat="false" ht="21.75" hidden="false" customHeight="true" outlineLevel="0" collapsed="false">
      <c r="A2" s="1"/>
      <c r="B2" s="3" t="s">
        <v>346</v>
      </c>
      <c r="C2" s="1"/>
      <c r="D2" s="1"/>
      <c r="E2" s="1"/>
      <c r="F2" s="1"/>
      <c r="G2" s="1"/>
      <c r="H2" s="2"/>
      <c r="I2" s="2"/>
      <c r="J2" s="2"/>
      <c r="K2" s="2"/>
      <c r="L2" s="2"/>
      <c r="M2" s="2"/>
      <c r="N2" s="2"/>
      <c r="O2" s="2"/>
      <c r="P2" s="2"/>
      <c r="Q2" s="2"/>
      <c r="R2" s="2"/>
      <c r="S2" s="2"/>
      <c r="T2" s="2"/>
      <c r="U2" s="2"/>
      <c r="V2" s="2"/>
      <c r="W2" s="2"/>
      <c r="X2" s="2"/>
      <c r="Y2" s="2"/>
      <c r="Z2" s="2"/>
      <c r="AA2" s="2"/>
      <c r="AB2" s="2"/>
      <c r="AC2" s="2"/>
      <c r="AD2" s="2"/>
    </row>
    <row r="3" customFormat="false" ht="15" hidden="false" customHeight="false" outlineLevel="0" collapsed="false">
      <c r="A3" s="1"/>
      <c r="B3" s="5" t="s">
        <v>347</v>
      </c>
      <c r="C3" s="1"/>
      <c r="D3" s="1"/>
      <c r="E3" s="1"/>
      <c r="F3" s="1"/>
      <c r="G3" s="1"/>
      <c r="H3" s="2"/>
      <c r="I3" s="2"/>
      <c r="J3" s="2"/>
      <c r="K3" s="2"/>
      <c r="L3" s="2"/>
      <c r="M3" s="2"/>
      <c r="N3" s="2"/>
      <c r="O3" s="2"/>
      <c r="P3" s="2"/>
      <c r="Q3" s="2"/>
      <c r="R3" s="2"/>
      <c r="S3" s="2"/>
      <c r="T3" s="2"/>
      <c r="U3" s="2"/>
      <c r="V3" s="2"/>
      <c r="W3" s="2"/>
      <c r="X3" s="2"/>
      <c r="Y3" s="2"/>
      <c r="Z3" s="2"/>
      <c r="AA3" s="2"/>
      <c r="AB3" s="2"/>
      <c r="AC3" s="2"/>
      <c r="AD3" s="2"/>
    </row>
    <row r="4" customFormat="false" ht="15" hidden="false" customHeight="false" outlineLevel="0" collapsed="false">
      <c r="A4" s="6"/>
      <c r="B4" s="6"/>
      <c r="C4" s="6"/>
      <c r="D4" s="6"/>
      <c r="E4" s="6"/>
      <c r="F4" s="6"/>
      <c r="G4" s="6"/>
    </row>
    <row r="5" customFormat="false" ht="15" hidden="false" customHeight="false" outlineLevel="0" collapsed="false">
      <c r="A5" s="6"/>
      <c r="B5" s="9"/>
      <c r="C5" s="28" t="n">
        <f aca="false">Model_Start_Year+0</f>
        <v>2026</v>
      </c>
      <c r="D5" s="28" t="n">
        <f aca="false">Model_Start_Year+1</f>
        <v>2027</v>
      </c>
      <c r="E5" s="28" t="n">
        <f aca="false">Model_Start_Year+2</f>
        <v>2028</v>
      </c>
      <c r="F5" s="28" t="n">
        <f aca="false">Model_Start_Year+3</f>
        <v>2029</v>
      </c>
      <c r="G5" s="28" t="n">
        <f aca="false">Model_Start_Year+4</f>
        <v>2030</v>
      </c>
    </row>
    <row r="6" customFormat="false" ht="15" hidden="false" customHeight="false" outlineLevel="0" collapsed="false">
      <c r="A6" s="6"/>
      <c r="B6" s="6"/>
      <c r="C6" s="6"/>
      <c r="D6" s="6"/>
      <c r="E6" s="6"/>
      <c r="F6" s="6"/>
      <c r="G6" s="6"/>
    </row>
    <row r="7" customFormat="false" ht="15" hidden="false" customHeight="false" outlineLevel="0" collapsed="false">
      <c r="A7" s="6"/>
      <c r="B7" s="6"/>
      <c r="C7" s="6"/>
      <c r="D7" s="6"/>
      <c r="E7" s="6"/>
      <c r="F7" s="6"/>
      <c r="G7" s="6"/>
    </row>
    <row r="8" customFormat="false" ht="15" hidden="false" customHeight="false" outlineLevel="0" collapsed="false">
      <c r="A8" s="6"/>
      <c r="B8" s="6"/>
      <c r="C8" s="6"/>
      <c r="D8" s="6"/>
      <c r="E8" s="6"/>
      <c r="F8" s="6"/>
      <c r="G8" s="6"/>
    </row>
    <row r="9" customFormat="false" ht="15" hidden="false" customHeight="false" outlineLevel="0" collapsed="false">
      <c r="A9" s="6"/>
      <c r="B9" s="9" t="s">
        <v>348</v>
      </c>
      <c r="C9" s="9"/>
      <c r="D9" s="9"/>
      <c r="E9" s="9"/>
      <c r="F9" s="9"/>
      <c r="G9" s="9"/>
    </row>
    <row r="10" customFormat="false" ht="15" hidden="false" customHeight="false" outlineLevel="0" collapsed="false">
      <c r="A10" s="6"/>
      <c r="B10" s="36" t="s">
        <v>349</v>
      </c>
      <c r="C10" s="18" t="n">
        <f aca="false">CF_Closing</f>
        <v>5050679.62376609</v>
      </c>
      <c r="D10" s="18" t="n">
        <f aca="false">CF_Closing</f>
        <v>5072602.75754757</v>
      </c>
      <c r="E10" s="18" t="n">
        <f aca="false">CF_Closing</f>
        <v>5464979.84186891</v>
      </c>
      <c r="F10" s="18" t="n">
        <f aca="false">CF_Closing</f>
        <v>11629801.1464059</v>
      </c>
      <c r="G10" s="18" t="n">
        <f aca="false">CF_Closing</f>
        <v>18626643.9340941</v>
      </c>
    </row>
    <row r="11" customFormat="false" ht="15" hidden="false" customHeight="false" outlineLevel="0" collapsed="false">
      <c r="A11" s="6"/>
      <c r="B11" s="36" t="s">
        <v>315</v>
      </c>
      <c r="C11" s="18" t="n">
        <f aca="false">WC_AR</f>
        <v>1509041.09589041</v>
      </c>
      <c r="D11" s="18" t="n">
        <f aca="false">WC_AR</f>
        <v>1641946.87232877</v>
      </c>
      <c r="E11" s="18" t="n">
        <f aca="false">WC_AR</f>
        <v>1786496.96150808</v>
      </c>
      <c r="F11" s="18" t="n">
        <f aca="false">WC_AR</f>
        <v>1943706.92839705</v>
      </c>
      <c r="G11" s="18" t="n">
        <f aca="false">WC_AR</f>
        <v>2114680.55805693</v>
      </c>
    </row>
    <row r="12" customFormat="false" ht="15" hidden="false" customHeight="false" outlineLevel="0" collapsed="false">
      <c r="A12" s="6"/>
      <c r="B12" s="36" t="s">
        <v>316</v>
      </c>
      <c r="C12" s="18" t="n">
        <f aca="false">WC_Bio_Inv</f>
        <v>8038629.375</v>
      </c>
      <c r="D12" s="18" t="n">
        <f aca="false">WC_Bio_Inv</f>
        <v>8763238.44792206</v>
      </c>
      <c r="E12" s="18" t="n">
        <f aca="false">WC_Bio_Inv</f>
        <v>9553611.97309566</v>
      </c>
      <c r="F12" s="18" t="n">
        <f aca="false">WC_Bio_Inv</f>
        <v>10415751.9461875</v>
      </c>
      <c r="G12" s="18" t="n">
        <f aca="false">WC_Bio_Inv</f>
        <v>11356210.6220601</v>
      </c>
    </row>
    <row r="13" customFormat="false" ht="15" hidden="false" customHeight="false" outlineLevel="0" collapsed="false">
      <c r="A13" s="6"/>
      <c r="B13" s="7" t="s">
        <v>350</v>
      </c>
      <c r="C13" s="39" t="n">
        <f aca="false">C10+C11+C12</f>
        <v>14598350.0946565</v>
      </c>
      <c r="D13" s="39" t="n">
        <f aca="false">D10+D11+D12</f>
        <v>15477788.0777984</v>
      </c>
      <c r="E13" s="39" t="n">
        <f aca="false">E10+E11+E12</f>
        <v>16805088.7764727</v>
      </c>
      <c r="F13" s="39" t="n">
        <f aca="false">F10+F11+F12</f>
        <v>23989260.0209904</v>
      </c>
      <c r="G13" s="39" t="n">
        <f aca="false">G10+G11+G12</f>
        <v>32097535.1142111</v>
      </c>
    </row>
    <row r="14" customFormat="false" ht="15" hidden="false" customHeight="false" outlineLevel="0" collapsed="false">
      <c r="A14" s="6"/>
      <c r="B14" s="6"/>
      <c r="C14" s="6"/>
      <c r="D14" s="6"/>
      <c r="E14" s="6"/>
      <c r="F14" s="6"/>
      <c r="G14" s="6"/>
    </row>
    <row r="15" customFormat="false" ht="15" hidden="false" customHeight="false" outlineLevel="0" collapsed="false">
      <c r="A15" s="6"/>
      <c r="B15" s="9" t="s">
        <v>351</v>
      </c>
      <c r="C15" s="9"/>
      <c r="D15" s="9"/>
      <c r="E15" s="9"/>
      <c r="F15" s="9"/>
      <c r="G15" s="9"/>
    </row>
    <row r="16" customFormat="false" ht="15" hidden="false" customHeight="false" outlineLevel="0" collapsed="false">
      <c r="A16" s="6"/>
      <c r="B16" s="36" t="s">
        <v>352</v>
      </c>
      <c r="C16" s="18" t="n">
        <f aca="false">CD_Close_PPE</f>
        <v>45826200</v>
      </c>
      <c r="D16" s="18" t="n">
        <f aca="false">CD_Close_PPE</f>
        <v>51725165.9126</v>
      </c>
      <c r="E16" s="18" t="n">
        <f aca="false">CD_Close_PPE</f>
        <v>57703272.9990257</v>
      </c>
      <c r="F16" s="18" t="n">
        <f aca="false">CD_Close_PPE</f>
        <v>58767452.542323</v>
      </c>
      <c r="G16" s="18" t="n">
        <f aca="false">CD_Close_PPE</f>
        <v>59925240.1478592</v>
      </c>
    </row>
    <row r="17" customFormat="false" ht="15" hidden="false" customHeight="false" outlineLevel="0" collapsed="false">
      <c r="A17" s="6"/>
      <c r="B17" s="36" t="s">
        <v>157</v>
      </c>
      <c r="C17" s="18" t="n">
        <f aca="false">-CD_Accum_Depr</f>
        <v>-12582620</v>
      </c>
      <c r="D17" s="18" t="n">
        <f aca="false">-CD_Accum_Depr</f>
        <v>-15755136.59126</v>
      </c>
      <c r="E17" s="18" t="n">
        <f aca="false">-CD_Accum_Depr</f>
        <v>-19525463.8911626</v>
      </c>
      <c r="F17" s="18" t="n">
        <f aca="false">-CD_Accum_Depr</f>
        <v>-23402209.1453949</v>
      </c>
      <c r="G17" s="18" t="n">
        <f aca="false">-CD_Accum_Depr</f>
        <v>-27394733.1601808</v>
      </c>
    </row>
    <row r="18" customFormat="false" ht="15" hidden="false" customHeight="false" outlineLevel="0" collapsed="false">
      <c r="A18" s="6"/>
      <c r="B18" s="7" t="s">
        <v>69</v>
      </c>
      <c r="C18" s="39" t="n">
        <f aca="false">C16+C17</f>
        <v>33243580</v>
      </c>
      <c r="D18" s="39" t="n">
        <f aca="false">D16+D17</f>
        <v>35970029.32134</v>
      </c>
      <c r="E18" s="39" t="n">
        <f aca="false">E16+E17</f>
        <v>38177809.1078631</v>
      </c>
      <c r="F18" s="39" t="n">
        <f aca="false">F16+F17</f>
        <v>35365243.3969282</v>
      </c>
      <c r="G18" s="39" t="n">
        <f aca="false">G16+G17</f>
        <v>32530506.9876784</v>
      </c>
    </row>
    <row r="19" customFormat="false" ht="15" hidden="false" customHeight="false" outlineLevel="0" collapsed="false">
      <c r="A19" s="6"/>
      <c r="B19" s="8" t="s">
        <v>353</v>
      </c>
      <c r="C19" s="18" t="n">
        <f aca="false">C16+C17</f>
        <v>33243580</v>
      </c>
      <c r="D19" s="18" t="n">
        <f aca="false">D16+D17</f>
        <v>35970029.32134</v>
      </c>
      <c r="E19" s="18" t="n">
        <f aca="false">E16+E17</f>
        <v>38177809.1078631</v>
      </c>
      <c r="F19" s="18" t="n">
        <f aca="false">F16+F17</f>
        <v>35365243.3969282</v>
      </c>
      <c r="G19" s="18" t="n">
        <f aca="false">G16+G17</f>
        <v>32530506.9876784</v>
      </c>
    </row>
    <row r="20" customFormat="false" ht="15" hidden="false" customHeight="false" outlineLevel="0" collapsed="false">
      <c r="A20" s="6"/>
      <c r="B20" s="6"/>
      <c r="C20" s="6"/>
      <c r="D20" s="6"/>
      <c r="E20" s="6"/>
      <c r="F20" s="6"/>
      <c r="G20" s="6"/>
    </row>
    <row r="21" customFormat="false" ht="15" hidden="false" customHeight="false" outlineLevel="0" collapsed="false">
      <c r="A21" s="6"/>
      <c r="B21" s="7" t="s">
        <v>354</v>
      </c>
      <c r="C21" s="38" t="n">
        <f aca="false">C13+C19</f>
        <v>47841930.0946565</v>
      </c>
      <c r="D21" s="38" t="n">
        <f aca="false">D13+D19</f>
        <v>51447817.3991384</v>
      </c>
      <c r="E21" s="38" t="n">
        <f aca="false">E13+E19</f>
        <v>54982897.8843358</v>
      </c>
      <c r="F21" s="38" t="n">
        <f aca="false">F13+F19</f>
        <v>59354503.4179186</v>
      </c>
      <c r="G21" s="38" t="n">
        <f aca="false">G13+G19</f>
        <v>64628042.1018896</v>
      </c>
    </row>
    <row r="22" customFormat="false" ht="15" hidden="false" customHeight="false" outlineLevel="0" collapsed="false">
      <c r="A22" s="6"/>
      <c r="B22" s="6"/>
      <c r="C22" s="6"/>
      <c r="D22" s="6"/>
      <c r="E22" s="6"/>
      <c r="F22" s="6"/>
      <c r="G22" s="6"/>
    </row>
    <row r="23" customFormat="false" ht="15" hidden="false" customHeight="false" outlineLevel="0" collapsed="false">
      <c r="A23" s="6"/>
      <c r="B23" s="6"/>
      <c r="C23" s="6"/>
      <c r="D23" s="6"/>
      <c r="E23" s="6"/>
      <c r="F23" s="6"/>
      <c r="G23" s="6"/>
    </row>
    <row r="24" customFormat="false" ht="15" hidden="false" customHeight="false" outlineLevel="0" collapsed="false">
      <c r="A24" s="6"/>
      <c r="B24" s="9" t="s">
        <v>355</v>
      </c>
      <c r="C24" s="9"/>
      <c r="D24" s="9"/>
      <c r="E24" s="9"/>
      <c r="F24" s="9"/>
      <c r="G24" s="9"/>
    </row>
    <row r="25" customFormat="false" ht="15" hidden="false" customHeight="false" outlineLevel="0" collapsed="false">
      <c r="A25" s="6"/>
      <c r="B25" s="36" t="s">
        <v>319</v>
      </c>
      <c r="C25" s="18" t="n">
        <f aca="false">WC_AP</f>
        <v>1918188.18493151</v>
      </c>
      <c r="D25" s="18" t="n">
        <f aca="false">WC_AP</f>
        <v>2091763.42487491</v>
      </c>
      <c r="E25" s="18" t="n">
        <f aca="false">WC_AP</f>
        <v>2281145.22239636</v>
      </c>
      <c r="F25" s="18" t="n">
        <f aca="false">WC_AP</f>
        <v>2487780.43063029</v>
      </c>
      <c r="G25" s="18" t="n">
        <f aca="false">WC_AP</f>
        <v>2713248.89466559</v>
      </c>
    </row>
    <row r="26" customFormat="false" ht="15" hidden="false" customHeight="false" outlineLevel="0" collapsed="false">
      <c r="A26" s="6"/>
      <c r="B26" s="7" t="s">
        <v>356</v>
      </c>
      <c r="C26" s="39" t="n">
        <f aca="false">C25</f>
        <v>1918188.18493151</v>
      </c>
      <c r="D26" s="39" t="n">
        <f aca="false">D25</f>
        <v>2091763.42487491</v>
      </c>
      <c r="E26" s="39" t="n">
        <f aca="false">E25</f>
        <v>2281145.22239636</v>
      </c>
      <c r="F26" s="39" t="n">
        <f aca="false">F25</f>
        <v>2487780.43063029</v>
      </c>
      <c r="G26" s="39" t="n">
        <f aca="false">G25</f>
        <v>2713248.89466559</v>
      </c>
    </row>
    <row r="27" customFormat="false" ht="15" hidden="false" customHeight="false" outlineLevel="0" collapsed="false">
      <c r="A27" s="6"/>
      <c r="B27" s="6"/>
      <c r="C27" s="6"/>
      <c r="D27" s="6"/>
      <c r="E27" s="6"/>
      <c r="F27" s="6"/>
      <c r="G27" s="6"/>
    </row>
    <row r="28" customFormat="false" ht="15" hidden="false" customHeight="false" outlineLevel="0" collapsed="false">
      <c r="A28" s="6"/>
      <c r="B28" s="9" t="s">
        <v>357</v>
      </c>
      <c r="C28" s="9"/>
      <c r="D28" s="9"/>
      <c r="E28" s="9"/>
      <c r="F28" s="9"/>
      <c r="G28" s="9"/>
    </row>
    <row r="29" customFormat="false" ht="15" hidden="false" customHeight="false" outlineLevel="0" collapsed="false">
      <c r="A29" s="6"/>
      <c r="B29" s="36" t="s">
        <v>176</v>
      </c>
      <c r="C29" s="18" t="n">
        <f aca="false">DS_TL_Close</f>
        <v>13500000</v>
      </c>
      <c r="D29" s="18" t="n">
        <f aca="false">DS_TL_Close</f>
        <v>12000000</v>
      </c>
      <c r="E29" s="18" t="n">
        <f aca="false">DS_TL_Close</f>
        <v>10500000</v>
      </c>
      <c r="F29" s="18" t="n">
        <f aca="false">DS_TL_Close</f>
        <v>9000000</v>
      </c>
      <c r="G29" s="18" t="n">
        <f aca="false">DS_TL_Close</f>
        <v>7500000</v>
      </c>
    </row>
    <row r="30" customFormat="false" ht="15" hidden="false" customHeight="false" outlineLevel="0" collapsed="false">
      <c r="A30" s="6"/>
      <c r="B30" s="36" t="s">
        <v>358</v>
      </c>
      <c r="C30" s="18" t="n">
        <f aca="false">DS_Rev_Close</f>
        <v>3735112.5</v>
      </c>
      <c r="D30" s="18" t="n">
        <f aca="false">DS_Rev_Close</f>
        <v>4062777.051375</v>
      </c>
      <c r="E30" s="18" t="n">
        <f aca="false">DS_Rev_Close</f>
        <v>4419048.53621732</v>
      </c>
      <c r="F30" s="18" t="n">
        <f aca="false">DS_Rev_Close</f>
        <v>4806414.15322718</v>
      </c>
      <c r="G30" s="18" t="n">
        <f aca="false">DS_Rev_Close</f>
        <v>5227576.56430495</v>
      </c>
    </row>
    <row r="31" customFormat="false" ht="15" hidden="false" customHeight="false" outlineLevel="0" collapsed="false">
      <c r="A31" s="6"/>
      <c r="B31" s="7" t="s">
        <v>359</v>
      </c>
      <c r="C31" s="39" t="n">
        <f aca="false">C29+C30</f>
        <v>17235112.5</v>
      </c>
      <c r="D31" s="39" t="n">
        <f aca="false">D29+D30</f>
        <v>16062777.051375</v>
      </c>
      <c r="E31" s="39" t="n">
        <f aca="false">E29+E30</f>
        <v>14919048.5362173</v>
      </c>
      <c r="F31" s="39" t="n">
        <f aca="false">F29+F30</f>
        <v>13806414.1532272</v>
      </c>
      <c r="G31" s="39" t="n">
        <f aca="false">G29+G30</f>
        <v>12727576.564305</v>
      </c>
    </row>
    <row r="32" customFormat="false" ht="15" hidden="false" customHeight="false" outlineLevel="0" collapsed="false">
      <c r="A32" s="6"/>
      <c r="B32" s="6"/>
      <c r="C32" s="6"/>
      <c r="D32" s="6"/>
      <c r="E32" s="6"/>
      <c r="F32" s="6"/>
      <c r="G32" s="6"/>
    </row>
    <row r="33" customFormat="false" ht="15" hidden="false" customHeight="false" outlineLevel="0" collapsed="false">
      <c r="A33" s="6"/>
      <c r="B33" s="7" t="s">
        <v>360</v>
      </c>
      <c r="C33" s="38" t="n">
        <f aca="false">C26+C31</f>
        <v>19153300.6849315</v>
      </c>
      <c r="D33" s="38" t="n">
        <f aca="false">D26+D31</f>
        <v>18154540.4762499</v>
      </c>
      <c r="E33" s="38" t="n">
        <f aca="false">E26+E31</f>
        <v>17200193.7586137</v>
      </c>
      <c r="F33" s="38" t="n">
        <f aca="false">F26+F31</f>
        <v>16294194.5838575</v>
      </c>
      <c r="G33" s="38" t="n">
        <f aca="false">G26+G31</f>
        <v>15440825.4589705</v>
      </c>
    </row>
    <row r="34" customFormat="false" ht="15" hidden="false" customHeight="false" outlineLevel="0" collapsed="false">
      <c r="A34" s="6"/>
      <c r="B34" s="6"/>
      <c r="C34" s="6"/>
      <c r="D34" s="6"/>
      <c r="E34" s="6"/>
      <c r="F34" s="6"/>
      <c r="G34" s="6"/>
    </row>
    <row r="35" customFormat="false" ht="15" hidden="false" customHeight="false" outlineLevel="0" collapsed="false">
      <c r="A35" s="6"/>
      <c r="B35" s="9" t="s">
        <v>361</v>
      </c>
      <c r="C35" s="9"/>
      <c r="D35" s="9"/>
      <c r="E35" s="9"/>
      <c r="F35" s="9"/>
      <c r="G35" s="9"/>
    </row>
    <row r="36" customFormat="false" ht="15" hidden="false" customHeight="false" outlineLevel="0" collapsed="false">
      <c r="A36" s="6"/>
      <c r="B36" s="36" t="s">
        <v>200</v>
      </c>
      <c r="C36" s="18" t="n">
        <f aca="false">Share_Capital</f>
        <v>30000000</v>
      </c>
      <c r="D36" s="18" t="n">
        <f aca="false">Share_Capital</f>
        <v>30000000</v>
      </c>
      <c r="E36" s="18" t="n">
        <f aca="false">Share_Capital</f>
        <v>30000000</v>
      </c>
      <c r="F36" s="18" t="n">
        <f aca="false">Share_Capital</f>
        <v>30000000</v>
      </c>
      <c r="G36" s="18" t="n">
        <f aca="false">Share_Capital</f>
        <v>30000000</v>
      </c>
    </row>
    <row r="37" customFormat="false" ht="15" hidden="false" customHeight="false" outlineLevel="0" collapsed="false">
      <c r="A37" s="6"/>
      <c r="B37" s="36" t="s">
        <v>68</v>
      </c>
      <c r="C37" s="18" t="n">
        <f aca="false">Open_Ret_Earnings+IS_Net_Income-IS_Dividends</f>
        <v>-1311370.590275</v>
      </c>
      <c r="D37" s="18" t="n">
        <f aca="false">C37+IS_Net_Income-IS_Dividends</f>
        <v>3293276.92288849</v>
      </c>
      <c r="E37" s="18" t="n">
        <f aca="false">D37+IS_Net_Income-IS_Dividends</f>
        <v>7782704.12572207</v>
      </c>
      <c r="F37" s="18" t="n">
        <f aca="false">E37+IS_Net_Income-IS_Dividends</f>
        <v>13060308.8340611</v>
      </c>
      <c r="G37" s="18" t="n">
        <f aca="false">F37+IS_Net_Income-IS_Dividends</f>
        <v>19187216.642919</v>
      </c>
    </row>
    <row r="38" customFormat="false" ht="15" hidden="false" customHeight="false" outlineLevel="0" collapsed="false">
      <c r="A38" s="6"/>
      <c r="B38" s="7" t="s">
        <v>66</v>
      </c>
      <c r="C38" s="39" t="n">
        <f aca="false">C36+C37</f>
        <v>28688629.409725</v>
      </c>
      <c r="D38" s="39" t="n">
        <f aca="false">D36+D37</f>
        <v>33293276.9228885</v>
      </c>
      <c r="E38" s="39" t="n">
        <f aca="false">E36+E37</f>
        <v>37782704.1257221</v>
      </c>
      <c r="F38" s="39" t="n">
        <f aca="false">F36+F37</f>
        <v>43060308.8340611</v>
      </c>
      <c r="G38" s="39" t="n">
        <f aca="false">G36+G37</f>
        <v>49187216.642919</v>
      </c>
    </row>
    <row r="39" customFormat="false" ht="15" hidden="false" customHeight="false" outlineLevel="0" collapsed="false">
      <c r="A39" s="6"/>
      <c r="B39" s="6"/>
      <c r="C39" s="6"/>
      <c r="D39" s="6"/>
      <c r="E39" s="6"/>
      <c r="F39" s="6"/>
      <c r="G39" s="6"/>
    </row>
    <row r="40" customFormat="false" ht="15" hidden="false" customHeight="false" outlineLevel="0" collapsed="false">
      <c r="A40" s="6"/>
      <c r="B40" s="7" t="s">
        <v>362</v>
      </c>
      <c r="C40" s="38" t="n">
        <f aca="false">C33+C38</f>
        <v>47841930.0946565</v>
      </c>
      <c r="D40" s="38" t="n">
        <f aca="false">D33+D38</f>
        <v>51447817.3991384</v>
      </c>
      <c r="E40" s="38" t="n">
        <f aca="false">E33+E38</f>
        <v>54982897.8843358</v>
      </c>
      <c r="F40" s="38" t="n">
        <f aca="false">F33+F38</f>
        <v>59354503.4179186</v>
      </c>
      <c r="G40" s="38" t="n">
        <f aca="false">G33+G38</f>
        <v>64628042.1018896</v>
      </c>
    </row>
    <row r="41" customFormat="false" ht="15" hidden="false" customHeight="false" outlineLevel="0" collapsed="false">
      <c r="A41" s="6"/>
      <c r="B41" s="6"/>
      <c r="C41" s="6"/>
      <c r="D41" s="6"/>
      <c r="E41" s="6"/>
      <c r="F41" s="6"/>
      <c r="G41" s="6"/>
    </row>
    <row r="42" customFormat="false" ht="15" hidden="false" customHeight="false" outlineLevel="0" collapsed="false">
      <c r="A42" s="6"/>
      <c r="B42" s="8" t="s">
        <v>363</v>
      </c>
      <c r="C42" s="41" t="n">
        <f aca="false">C21-C40</f>
        <v>0</v>
      </c>
      <c r="D42" s="41" t="n">
        <f aca="false">D21-D40</f>
        <v>0</v>
      </c>
      <c r="E42" s="41" t="n">
        <f aca="false">E21-E40</f>
        <v>0</v>
      </c>
      <c r="F42" s="41" t="n">
        <f aca="false">F21-F40</f>
        <v>0</v>
      </c>
      <c r="G42" s="41" t="n">
        <f aca="false">G21-G40</f>
        <v>0</v>
      </c>
    </row>
    <row r="43" customFormat="false" ht="15" hidden="false" customHeight="false" outlineLevel="0" collapsed="false">
      <c r="A43" s="6"/>
      <c r="B43" s="6"/>
      <c r="C43" s="6"/>
      <c r="D43" s="6"/>
      <c r="E43" s="6"/>
      <c r="F43" s="6"/>
      <c r="G43" s="6"/>
    </row>
    <row r="44" customFormat="false" ht="15" hidden="false" customHeight="false" outlineLevel="0" collapsed="false">
      <c r="A44" s="6"/>
      <c r="B44" s="6"/>
      <c r="C44" s="6"/>
      <c r="D44" s="6"/>
      <c r="E44" s="6"/>
      <c r="F44" s="6"/>
      <c r="G44" s="6"/>
    </row>
    <row r="45" customFormat="false" ht="15" hidden="false" customHeight="false" outlineLevel="0" collapsed="false">
      <c r="A45" s="6"/>
      <c r="B45" s="9" t="s">
        <v>364</v>
      </c>
      <c r="C45" s="9"/>
      <c r="D45" s="9"/>
      <c r="E45" s="6"/>
      <c r="F45" s="6"/>
      <c r="G45" s="6"/>
    </row>
    <row r="46" customFormat="false" ht="15" hidden="false" customHeight="false" outlineLevel="0" collapsed="false">
      <c r="A46" s="6"/>
      <c r="B46" s="17" t="s">
        <v>349</v>
      </c>
      <c r="C46" s="18" t="n">
        <f aca="false">Open_Cash</f>
        <v>8000000</v>
      </c>
      <c r="D46" s="6"/>
      <c r="E46" s="6"/>
      <c r="F46" s="6"/>
      <c r="G46" s="6"/>
    </row>
    <row r="47" customFormat="false" ht="15" hidden="false" customHeight="false" outlineLevel="0" collapsed="false">
      <c r="A47" s="6"/>
      <c r="B47" s="17" t="s">
        <v>315</v>
      </c>
      <c r="C47" s="18" t="n">
        <f aca="false">0</f>
        <v>0</v>
      </c>
      <c r="D47" s="6"/>
      <c r="E47" s="6"/>
      <c r="F47" s="6"/>
      <c r="G47" s="6"/>
    </row>
    <row r="48" customFormat="false" ht="15" hidden="false" customHeight="false" outlineLevel="0" collapsed="false">
      <c r="A48" s="6"/>
      <c r="B48" s="17" t="s">
        <v>316</v>
      </c>
      <c r="C48" s="18" t="n">
        <f aca="false">Open_NWC</f>
        <v>5000000</v>
      </c>
      <c r="D48" s="6"/>
      <c r="E48" s="6"/>
      <c r="F48" s="6"/>
      <c r="G48" s="6"/>
    </row>
    <row r="49" customFormat="false" ht="15" hidden="false" customHeight="false" outlineLevel="0" collapsed="false">
      <c r="A49" s="6"/>
      <c r="B49" s="42" t="s">
        <v>350</v>
      </c>
      <c r="C49" s="18" t="n">
        <f aca="false">C46+C47+C48</f>
        <v>13000000</v>
      </c>
      <c r="D49" s="6"/>
      <c r="E49" s="6"/>
      <c r="F49" s="6"/>
      <c r="G49" s="6"/>
    </row>
    <row r="50" customFormat="false" ht="15" hidden="false" customHeight="false" outlineLevel="0" collapsed="false">
      <c r="A50" s="6"/>
      <c r="B50" s="17" t="s">
        <v>352</v>
      </c>
      <c r="C50" s="18" t="n">
        <f aca="false">Opening_PPE_Gross</f>
        <v>40000000</v>
      </c>
      <c r="D50" s="6"/>
      <c r="E50" s="6"/>
      <c r="F50" s="6"/>
      <c r="G50" s="6"/>
    </row>
    <row r="51" customFormat="false" ht="15" hidden="false" customHeight="false" outlineLevel="0" collapsed="false">
      <c r="A51" s="6"/>
      <c r="B51" s="17" t="s">
        <v>157</v>
      </c>
      <c r="C51" s="18" t="n">
        <f aca="false">-Accum_Depr_Open</f>
        <v>-10000000</v>
      </c>
      <c r="D51" s="6"/>
      <c r="E51" s="6"/>
      <c r="F51" s="6"/>
      <c r="G51" s="6"/>
    </row>
    <row r="52" customFormat="false" ht="15" hidden="false" customHeight="false" outlineLevel="0" collapsed="false">
      <c r="A52" s="6"/>
      <c r="B52" s="17" t="s">
        <v>69</v>
      </c>
      <c r="C52" s="18" t="n">
        <f aca="false">C50+C51</f>
        <v>30000000</v>
      </c>
      <c r="D52" s="6"/>
      <c r="E52" s="6"/>
      <c r="F52" s="6"/>
      <c r="G52" s="6"/>
    </row>
    <row r="53" customFormat="false" ht="15" hidden="false" customHeight="false" outlineLevel="0" collapsed="false">
      <c r="A53" s="6"/>
      <c r="B53" s="42" t="s">
        <v>354</v>
      </c>
      <c r="C53" s="18" t="n">
        <f aca="false">C46+C47+C48+C50+C51</f>
        <v>43000000</v>
      </c>
      <c r="D53" s="6"/>
      <c r="E53" s="6"/>
      <c r="F53" s="6"/>
      <c r="G53" s="6"/>
    </row>
    <row r="54" customFormat="false" ht="15" hidden="false" customHeight="false" outlineLevel="0" collapsed="false">
      <c r="A54" s="6"/>
      <c r="B54" s="17"/>
      <c r="C54" s="6"/>
      <c r="D54" s="6"/>
      <c r="E54" s="6"/>
      <c r="F54" s="6"/>
      <c r="G54" s="6"/>
    </row>
    <row r="55" customFormat="false" ht="15" hidden="false" customHeight="false" outlineLevel="0" collapsed="false">
      <c r="A55" s="6"/>
      <c r="B55" s="17" t="s">
        <v>319</v>
      </c>
      <c r="C55" s="18" t="n">
        <f aca="false">0</f>
        <v>0</v>
      </c>
      <c r="D55" s="6"/>
      <c r="E55" s="6"/>
      <c r="F55" s="6"/>
      <c r="G55" s="6"/>
    </row>
    <row r="56" customFormat="false" ht="15" hidden="false" customHeight="false" outlineLevel="0" collapsed="false">
      <c r="A56" s="6"/>
      <c r="B56" s="17" t="s">
        <v>176</v>
      </c>
      <c r="C56" s="18" t="n">
        <f aca="false">Term_Loan_Amt</f>
        <v>15000000</v>
      </c>
      <c r="D56" s="6"/>
      <c r="E56" s="6"/>
      <c r="F56" s="6"/>
      <c r="G56" s="6"/>
    </row>
    <row r="57" customFormat="false" ht="15" hidden="false" customHeight="false" outlineLevel="0" collapsed="false">
      <c r="A57" s="6"/>
      <c r="B57" s="17" t="s">
        <v>358</v>
      </c>
      <c r="C57" s="18" t="n">
        <f aca="false">Revolver_Drawn</f>
        <v>4000000</v>
      </c>
      <c r="D57" s="6"/>
      <c r="E57" s="6"/>
      <c r="F57" s="6"/>
      <c r="G57" s="6"/>
    </row>
    <row r="58" customFormat="false" ht="15" hidden="false" customHeight="false" outlineLevel="0" collapsed="false">
      <c r="A58" s="6"/>
      <c r="B58" s="42" t="s">
        <v>365</v>
      </c>
      <c r="C58" s="18" t="n">
        <f aca="false">C55+C56+C57</f>
        <v>19000000</v>
      </c>
      <c r="D58" s="6"/>
      <c r="E58" s="6"/>
      <c r="F58" s="6"/>
      <c r="G58" s="6"/>
    </row>
    <row r="59" customFormat="false" ht="15" hidden="false" customHeight="false" outlineLevel="0" collapsed="false">
      <c r="A59" s="6"/>
      <c r="B59" s="17"/>
      <c r="C59" s="6"/>
      <c r="D59" s="6"/>
      <c r="E59" s="6"/>
      <c r="F59" s="6"/>
      <c r="G59" s="6"/>
    </row>
    <row r="60" customFormat="false" ht="15" hidden="false" customHeight="false" outlineLevel="0" collapsed="false">
      <c r="A60" s="6"/>
      <c r="B60" s="17" t="s">
        <v>200</v>
      </c>
      <c r="C60" s="18" t="n">
        <f aca="false">Share_Capital</f>
        <v>30000000</v>
      </c>
      <c r="D60" s="6"/>
      <c r="E60" s="6"/>
      <c r="F60" s="6"/>
      <c r="G60" s="6"/>
    </row>
    <row r="61" customFormat="false" ht="15" hidden="false" customHeight="false" outlineLevel="0" collapsed="false">
      <c r="A61" s="6"/>
      <c r="B61" s="17" t="s">
        <v>68</v>
      </c>
      <c r="C61" s="18" t="n">
        <f aca="false">Open_Ret_Earnings</f>
        <v>-6000000</v>
      </c>
      <c r="D61" s="6"/>
      <c r="E61" s="6"/>
      <c r="F61" s="6"/>
      <c r="G61" s="6"/>
    </row>
    <row r="62" customFormat="false" ht="15" hidden="false" customHeight="false" outlineLevel="0" collapsed="false">
      <c r="A62" s="6"/>
      <c r="B62" s="42" t="s">
        <v>66</v>
      </c>
      <c r="C62" s="18" t="n">
        <f aca="false">C60+C61</f>
        <v>24000000</v>
      </c>
      <c r="D62" s="6"/>
      <c r="E62" s="6"/>
      <c r="F62" s="6"/>
      <c r="G62" s="6"/>
    </row>
    <row r="63" customFormat="false" ht="15" hidden="false" customHeight="false" outlineLevel="0" collapsed="false">
      <c r="A63" s="6"/>
      <c r="B63" s="42" t="s">
        <v>366</v>
      </c>
      <c r="C63" s="18" t="n">
        <f aca="false">C58+C62</f>
        <v>43000000</v>
      </c>
      <c r="D63" s="6"/>
      <c r="E63" s="6"/>
      <c r="F63" s="6"/>
      <c r="G63" s="6"/>
    </row>
    <row r="64" customFormat="false" ht="15" hidden="false" customHeight="false" outlineLevel="0" collapsed="false">
      <c r="A64" s="6"/>
      <c r="B64" s="42" t="s">
        <v>367</v>
      </c>
      <c r="C64" s="18" t="n">
        <f aca="false">C53-C63</f>
        <v>0</v>
      </c>
      <c r="D64" s="6"/>
      <c r="E64" s="6"/>
      <c r="F64" s="6"/>
      <c r="G64" s="6"/>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00B0F0"/>
    <pageSetUpPr fitToPage="false"/>
  </sheetPr>
  <dimension ref="A1:AD17"/>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0"/>
    <col collapsed="false" customWidth="true" hidden="false" outlineLevel="0" max="7" min="3" style="0" width="18"/>
  </cols>
  <sheetData>
    <row r="1" customFormat="false" ht="15" hidden="false" customHeight="false" outlineLevel="0" collapsed="false">
      <c r="A1" s="1"/>
      <c r="B1" s="1"/>
      <c r="C1" s="1"/>
      <c r="D1" s="1"/>
      <c r="E1" s="1"/>
      <c r="F1" s="1"/>
      <c r="G1" s="1"/>
      <c r="H1" s="2"/>
      <c r="I1" s="2"/>
      <c r="J1" s="2"/>
      <c r="K1" s="2"/>
      <c r="L1" s="2"/>
      <c r="M1" s="2"/>
      <c r="N1" s="2"/>
      <c r="O1" s="2"/>
      <c r="P1" s="2"/>
      <c r="Q1" s="2"/>
      <c r="R1" s="2"/>
      <c r="S1" s="2"/>
      <c r="T1" s="2"/>
      <c r="U1" s="2"/>
      <c r="V1" s="2"/>
      <c r="W1" s="2"/>
      <c r="X1" s="2"/>
      <c r="Y1" s="2"/>
      <c r="Z1" s="2"/>
      <c r="AA1" s="2"/>
      <c r="AB1" s="2"/>
      <c r="AC1" s="2"/>
      <c r="AD1" s="2"/>
    </row>
    <row r="2" customFormat="false" ht="21.75" hidden="false" customHeight="true" outlineLevel="0" collapsed="false">
      <c r="A2" s="1"/>
      <c r="B2" s="3" t="s">
        <v>368</v>
      </c>
      <c r="C2" s="1"/>
      <c r="D2" s="1"/>
      <c r="E2" s="1"/>
      <c r="F2" s="1"/>
      <c r="G2" s="1"/>
      <c r="H2" s="2"/>
      <c r="I2" s="2"/>
      <c r="J2" s="2"/>
      <c r="K2" s="2"/>
      <c r="L2" s="2"/>
      <c r="M2" s="2"/>
      <c r="N2" s="2"/>
      <c r="O2" s="2"/>
      <c r="P2" s="2"/>
      <c r="Q2" s="2"/>
      <c r="R2" s="2"/>
      <c r="S2" s="2"/>
      <c r="T2" s="2"/>
      <c r="U2" s="2"/>
      <c r="V2" s="2"/>
      <c r="W2" s="2"/>
      <c r="X2" s="2"/>
      <c r="Y2" s="2"/>
      <c r="Z2" s="2"/>
      <c r="AA2" s="2"/>
      <c r="AB2" s="2"/>
      <c r="AC2" s="2"/>
      <c r="AD2" s="2"/>
    </row>
    <row r="3" customFormat="false" ht="15" hidden="false" customHeight="false" outlineLevel="0" collapsed="false">
      <c r="A3" s="1"/>
      <c r="B3" s="5" t="s">
        <v>369</v>
      </c>
      <c r="C3" s="1"/>
      <c r="D3" s="1"/>
      <c r="E3" s="1"/>
      <c r="F3" s="1"/>
      <c r="G3" s="1"/>
      <c r="H3" s="2"/>
      <c r="I3" s="2"/>
      <c r="J3" s="2"/>
      <c r="K3" s="2"/>
      <c r="L3" s="2"/>
      <c r="M3" s="2"/>
      <c r="N3" s="2"/>
      <c r="O3" s="2"/>
      <c r="P3" s="2"/>
      <c r="Q3" s="2"/>
      <c r="R3" s="2"/>
      <c r="S3" s="2"/>
      <c r="T3" s="2"/>
      <c r="U3" s="2"/>
      <c r="V3" s="2"/>
      <c r="W3" s="2"/>
      <c r="X3" s="2"/>
      <c r="Y3" s="2"/>
      <c r="Z3" s="2"/>
      <c r="AA3" s="2"/>
      <c r="AB3" s="2"/>
      <c r="AC3" s="2"/>
      <c r="AD3" s="2"/>
    </row>
    <row r="4" customFormat="false" ht="15" hidden="false" customHeight="false" outlineLevel="0" collapsed="false">
      <c r="A4" s="6"/>
      <c r="B4" s="6"/>
      <c r="C4" s="6"/>
      <c r="D4" s="6"/>
      <c r="E4" s="6"/>
      <c r="F4" s="6"/>
      <c r="G4" s="6"/>
    </row>
    <row r="5" customFormat="false" ht="15" hidden="false" customHeight="false" outlineLevel="0" collapsed="false">
      <c r="A5" s="6"/>
      <c r="B5" s="9"/>
      <c r="C5" s="28" t="n">
        <f aca="false">Model_Start_Year+0</f>
        <v>2026</v>
      </c>
      <c r="D5" s="28" t="n">
        <f aca="false">Model_Start_Year+1</f>
        <v>2027</v>
      </c>
      <c r="E5" s="28" t="n">
        <f aca="false">Model_Start_Year+2</f>
        <v>2028</v>
      </c>
      <c r="F5" s="28" t="n">
        <f aca="false">Model_Start_Year+3</f>
        <v>2029</v>
      </c>
      <c r="G5" s="28" t="n">
        <f aca="false">Model_Start_Year+4</f>
        <v>2030</v>
      </c>
    </row>
    <row r="6" customFormat="false" ht="15" hidden="false" customHeight="false" outlineLevel="0" collapsed="false">
      <c r="A6" s="6"/>
      <c r="B6" s="6"/>
      <c r="C6" s="6"/>
      <c r="D6" s="6"/>
      <c r="E6" s="6"/>
      <c r="F6" s="6"/>
      <c r="G6" s="6"/>
    </row>
    <row r="7" customFormat="false" ht="15" hidden="false" customHeight="false" outlineLevel="0" collapsed="false">
      <c r="A7" s="6"/>
      <c r="B7" s="6"/>
      <c r="C7" s="6"/>
      <c r="D7" s="6"/>
      <c r="E7" s="6"/>
      <c r="F7" s="6"/>
      <c r="G7" s="6"/>
    </row>
    <row r="8" customFormat="false" ht="15" hidden="false" customHeight="false" outlineLevel="0" collapsed="false">
      <c r="A8" s="6"/>
      <c r="B8" s="9" t="s">
        <v>34</v>
      </c>
      <c r="C8" s="9"/>
      <c r="D8" s="9"/>
      <c r="E8" s="9"/>
      <c r="F8" s="9"/>
      <c r="G8" s="9"/>
    </row>
    <row r="9" customFormat="false" ht="15" hidden="false" customHeight="false" outlineLevel="0" collapsed="false">
      <c r="A9" s="6"/>
      <c r="B9" s="8" t="s">
        <v>370</v>
      </c>
      <c r="C9" s="35" t="str">
        <f aca="false">IF(ABS(BS_Check)&lt;1,"PASS","FAIL")</f>
        <v>PASS</v>
      </c>
      <c r="D9" s="35" t="str">
        <f aca="false">IF(ABS(BS_Check)&lt;1,"PASS","FAIL")</f>
        <v>PASS</v>
      </c>
      <c r="E9" s="35" t="str">
        <f aca="false">IF(ABS(BS_Check)&lt;1,"PASS","FAIL")</f>
        <v>PASS</v>
      </c>
      <c r="F9" s="35" t="str">
        <f aca="false">IF(ABS(BS_Check)&lt;1,"PASS","FAIL")</f>
        <v>PASS</v>
      </c>
      <c r="G9" s="35" t="str">
        <f aca="false">IF(ABS(BS_Check)&lt;1,"PASS","FAIL")</f>
        <v>PASS</v>
      </c>
    </row>
    <row r="10" customFormat="false" ht="15" hidden="false" customHeight="false" outlineLevel="0" collapsed="false">
      <c r="A10" s="6"/>
      <c r="B10" s="8" t="s">
        <v>371</v>
      </c>
      <c r="C10" s="35" t="str">
        <f aca="false">IF(PS_Standing_Bio&lt;=PS_MAB_Cap,"PASS","FAIL")</f>
        <v>PASS</v>
      </c>
      <c r="D10" s="35" t="str">
        <f aca="false">IF(PS_Standing_Bio&lt;=PS_MAB_Cap,"PASS","FAIL")</f>
        <v>PASS</v>
      </c>
      <c r="E10" s="35" t="str">
        <f aca="false">IF(PS_Standing_Bio&lt;=PS_MAB_Cap,"PASS","FAIL")</f>
        <v>PASS</v>
      </c>
      <c r="F10" s="35" t="str">
        <f aca="false">IF(PS_Standing_Bio&lt;=PS_MAB_Cap,"PASS","FAIL")</f>
        <v>PASS</v>
      </c>
      <c r="G10" s="35" t="str">
        <f aca="false">IF(PS_Standing_Bio&lt;=PS_MAB_Cap,"PASS","FAIL")</f>
        <v>PASS</v>
      </c>
    </row>
    <row r="11" customFormat="false" ht="15" hidden="false" customHeight="false" outlineLevel="0" collapsed="false">
      <c r="A11" s="6"/>
      <c r="B11" s="8" t="s">
        <v>372</v>
      </c>
      <c r="C11" s="35" t="str">
        <f aca="false">IF(AND(EFCR&gt;=Chk_FCR_Min,EFCR&lt;=Chk_FCR_Max),"PASS","FAIL")</f>
        <v>PASS</v>
      </c>
      <c r="D11" s="35" t="str">
        <f aca="false">IF(AND(EFCR&gt;=Chk_FCR_Min,EFCR&lt;=Chk_FCR_Max),"PASS","FAIL")</f>
        <v>PASS</v>
      </c>
      <c r="E11" s="35" t="str">
        <f aca="false">IF(AND(EFCR&gt;=Chk_FCR_Min,EFCR&lt;=Chk_FCR_Max),"PASS","FAIL")</f>
        <v>PASS</v>
      </c>
      <c r="F11" s="35" t="str">
        <f aca="false">IF(AND(EFCR&gt;=Chk_FCR_Min,EFCR&lt;=Chk_FCR_Max),"PASS","FAIL")</f>
        <v>PASS</v>
      </c>
      <c r="G11" s="35" t="str">
        <f aca="false">IF(AND(EFCR&gt;=Chk_FCR_Min,EFCR&lt;=Chk_FCR_Max),"PASS","FAIL")</f>
        <v>PASS</v>
      </c>
    </row>
    <row r="12" customFormat="false" ht="15" hidden="false" customHeight="false" outlineLevel="0" collapsed="false">
      <c r="A12" s="6"/>
      <c r="B12" s="8" t="s">
        <v>373</v>
      </c>
      <c r="C12" s="35" t="str">
        <f aca="false">IF(AND(IFERROR(IS_EBIT/(REV_Harvest_Vol*1000),0)&gt;=Chk_EBIT_Min,IFERROR(IS_EBIT/(REV_Harvest_Vol*1000),0)&lt;=Chk_EBIT_Max),"PASS","WARN")</f>
        <v>PASS</v>
      </c>
      <c r="D12" s="35" t="str">
        <f aca="false">IF(AND(IFERROR(IS_EBIT/(REV_Harvest_Vol*1000),0)&gt;=Chk_EBIT_Min,IFERROR(IS_EBIT/(REV_Harvest_Vol*1000),0)&lt;=Chk_EBIT_Max),"PASS","WARN")</f>
        <v>PASS</v>
      </c>
      <c r="E12" s="35" t="str">
        <f aca="false">IF(AND(IFERROR(IS_EBIT/(REV_Harvest_Vol*1000),0)&gt;=Chk_EBIT_Min,IFERROR(IS_EBIT/(REV_Harvest_Vol*1000),0)&lt;=Chk_EBIT_Max),"PASS","WARN")</f>
        <v>PASS</v>
      </c>
      <c r="F12" s="35" t="str">
        <f aca="false">IF(AND(IFERROR(IS_EBIT/(REV_Harvest_Vol*1000),0)&gt;=Chk_EBIT_Min,IFERROR(IS_EBIT/(REV_Harvest_Vol*1000),0)&lt;=Chk_EBIT_Max),"PASS","WARN")</f>
        <v>PASS</v>
      </c>
      <c r="G12" s="35" t="str">
        <f aca="false">IF(AND(IFERROR(IS_EBIT/(REV_Harvest_Vol*1000),0)&gt;=Chk_EBIT_Min,IFERROR(IS_EBIT/(REV_Harvest_Vol*1000),0)&lt;=Chk_EBIT_Max),"PASS","WARN")</f>
        <v>PASS</v>
      </c>
    </row>
    <row r="13" customFormat="false" ht="15" hidden="false" customHeight="false" outlineLevel="0" collapsed="false">
      <c r="A13" s="6"/>
      <c r="B13" s="8" t="s">
        <v>374</v>
      </c>
      <c r="C13" s="35" t="str">
        <f aca="false">IF(CF_Closing&gt;=0,"PASS","FAIL")</f>
        <v>PASS</v>
      </c>
      <c r="D13" s="35" t="str">
        <f aca="false">IF(CF_Closing&gt;=0,"PASS","FAIL")</f>
        <v>PASS</v>
      </c>
      <c r="E13" s="35" t="str">
        <f aca="false">IF(CF_Closing&gt;=0,"PASS","FAIL")</f>
        <v>PASS</v>
      </c>
      <c r="F13" s="35" t="str">
        <f aca="false">IF(CF_Closing&gt;=0,"PASS","FAIL")</f>
        <v>PASS</v>
      </c>
      <c r="G13" s="35" t="str">
        <f aca="false">IF(CF_Closing&gt;=0,"PASS","FAIL")</f>
        <v>PASS</v>
      </c>
    </row>
    <row r="14" customFormat="false" ht="15" hidden="false" customHeight="false" outlineLevel="0" collapsed="false">
      <c r="A14" s="6"/>
      <c r="B14" s="8" t="s">
        <v>329</v>
      </c>
      <c r="C14" s="35" t="str">
        <f aca="false">IF(DS_Rev_Close&lt;=DS_Borrow_Base,"PASS","FAIL")</f>
        <v>PASS</v>
      </c>
      <c r="D14" s="35" t="str">
        <f aca="false">IF(DS_Rev_Close&lt;=DS_Borrow_Base,"PASS","FAIL")</f>
        <v>PASS</v>
      </c>
      <c r="E14" s="35" t="str">
        <f aca="false">IF(DS_Rev_Close&lt;=DS_Borrow_Base,"PASS","FAIL")</f>
        <v>PASS</v>
      </c>
      <c r="F14" s="35" t="str">
        <f aca="false">IF(DS_Rev_Close&lt;=DS_Borrow_Base,"PASS","FAIL")</f>
        <v>PASS</v>
      </c>
      <c r="G14" s="35" t="str">
        <f aca="false">IF(DS_Rev_Close&lt;=DS_Borrow_Base,"PASS","FAIL")</f>
        <v>PASS</v>
      </c>
    </row>
    <row r="15" customFormat="false" ht="15" hidden="false" customHeight="false" outlineLevel="0" collapsed="false">
      <c r="A15" s="6"/>
      <c r="B15" s="8" t="s">
        <v>375</v>
      </c>
      <c r="C15" s="35" t="str">
        <f aca="false">IF(DS_TL_Close&lt;DS_TL_Open,"PASS","FAIL")</f>
        <v>PASS</v>
      </c>
      <c r="D15" s="35" t="str">
        <f aca="false">IF(DS_TL_Close&lt;DS_TL_Open,"PASS","FAIL")</f>
        <v>PASS</v>
      </c>
      <c r="E15" s="35" t="str">
        <f aca="false">IF(DS_TL_Close&lt;DS_TL_Open,"PASS","FAIL")</f>
        <v>PASS</v>
      </c>
      <c r="F15" s="35" t="str">
        <f aca="false">IF(DS_TL_Close&lt;DS_TL_Open,"PASS","FAIL")</f>
        <v>PASS</v>
      </c>
      <c r="G15" s="35" t="str">
        <f aca="false">IF(DS_TL_Close&lt;DS_TL_Open,"PASS","FAIL")</f>
        <v>PASS</v>
      </c>
    </row>
    <row r="16" customFormat="false" ht="15" hidden="false" customHeight="false" outlineLevel="0" collapsed="false">
      <c r="A16" s="6"/>
      <c r="B16" s="8" t="s">
        <v>376</v>
      </c>
      <c r="C16" s="35" t="str">
        <f aca="false">IF(ABS(CF_Opening+CF_CFO+CF_CFI+CF_CFF-CF_Closing)&lt;1,"PASS","FAIL")</f>
        <v>PASS</v>
      </c>
      <c r="D16" s="35" t="str">
        <f aca="false">IF(ABS(CF_Opening+CF_CFO+CF_CFI+CF_CFF-CF_Closing)&lt;1,"PASS","FAIL")</f>
        <v>PASS</v>
      </c>
      <c r="E16" s="35" t="str">
        <f aca="false">IF(ABS(CF_Opening+CF_CFO+CF_CFI+CF_CFF-CF_Closing)&lt;1,"PASS","FAIL")</f>
        <v>PASS</v>
      </c>
      <c r="F16" s="35" t="str">
        <f aca="false">IF(ABS(CF_Opening+CF_CFO+CF_CFI+CF_CFF-CF_Closing)&lt;1,"PASS","FAIL")</f>
        <v>PASS</v>
      </c>
      <c r="G16" s="35" t="str">
        <f aca="false">IF(ABS(CF_Opening+CF_CFO+CF_CFI+CF_CFF-CF_Closing)&lt;1,"PASS","FAIL")</f>
        <v>PASS</v>
      </c>
    </row>
    <row r="17" customFormat="false" ht="15" hidden="false" customHeight="false" outlineLevel="0" collapsed="false">
      <c r="A17" s="6"/>
      <c r="B17" s="8" t="s">
        <v>377</v>
      </c>
      <c r="C17" s="35" t="str">
        <f aca="false">IF(IFERROR(IS_EBITDA/(DS_Total_Interest+DS_TL_Repayment),0)&gt;=Chk_DSCR_Min,"PASS","WARN")</f>
        <v>PASS</v>
      </c>
      <c r="D17" s="35" t="str">
        <f aca="false">IF(IFERROR(IS_EBITDA/(DS_Total_Interest+DS_TL_Repayment),0)&gt;=Chk_DSCR_Min,"PASS","WARN")</f>
        <v>PASS</v>
      </c>
      <c r="E17" s="35" t="str">
        <f aca="false">IF(IFERROR(IS_EBITDA/(DS_Total_Interest+DS_TL_Repayment),0)&gt;=Chk_DSCR_Min,"PASS","WARN")</f>
        <v>PASS</v>
      </c>
      <c r="F17" s="35" t="str">
        <f aca="false">IF(IFERROR(IS_EBITDA/(DS_Total_Interest+DS_TL_Repayment),0)&gt;=Chk_DSCR_Min,"PASS","WARN")</f>
        <v>PASS</v>
      </c>
      <c r="G17" s="35" t="str">
        <f aca="false">IF(IFERROR(IS_EBITDA/(DS_Total_Interest+DS_TL_Repayment),0)&gt;=Chk_DSCR_Min,"PASS","WARN")</f>
        <v>PASS</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2:B28"/>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2"/>
    <col collapsed="false" customWidth="true" hidden="false" outlineLevel="0" max="2" min="2" style="0" width="90"/>
    <col collapsed="false" customWidth="true" hidden="false" outlineLevel="0" max="3" min="3" style="0" width="2"/>
  </cols>
  <sheetData>
    <row r="2" customFormat="false" ht="31.5" hidden="false" customHeight="true" outlineLevel="0" collapsed="false">
      <c r="B2" s="43" t="s">
        <v>378</v>
      </c>
    </row>
    <row r="3" customFormat="false" ht="3.75" hidden="false" customHeight="true" outlineLevel="0" collapsed="false">
      <c r="B3" s="44"/>
    </row>
    <row r="5" customFormat="false" ht="19.5" hidden="false" customHeight="true" outlineLevel="0" collapsed="false">
      <c r="B5" s="45" t="s">
        <v>379</v>
      </c>
    </row>
    <row r="6" customFormat="false" ht="48" hidden="false" customHeight="true" outlineLevel="0" collapsed="false">
      <c r="B6" s="46" t="s">
        <v>380</v>
      </c>
    </row>
    <row r="8" customFormat="false" ht="19.5" hidden="false" customHeight="true" outlineLevel="0" collapsed="false">
      <c r="B8" s="45" t="s">
        <v>381</v>
      </c>
    </row>
    <row r="9" customFormat="false" ht="61.5" hidden="false" customHeight="true" outlineLevel="0" collapsed="false">
      <c r="B9" s="46" t="s">
        <v>382</v>
      </c>
    </row>
    <row r="11" customFormat="false" ht="19.5" hidden="false" customHeight="true" outlineLevel="0" collapsed="false">
      <c r="B11" s="45" t="s">
        <v>383</v>
      </c>
    </row>
    <row r="12" customFormat="false" ht="75.75" hidden="false" customHeight="true" outlineLevel="0" collapsed="false">
      <c r="B12" s="46" t="s">
        <v>384</v>
      </c>
    </row>
    <row r="14" customFormat="false" ht="19.5" hidden="false" customHeight="true" outlineLevel="0" collapsed="false">
      <c r="B14" s="45" t="s">
        <v>385</v>
      </c>
    </row>
    <row r="15" customFormat="false" ht="61.5" hidden="false" customHeight="true" outlineLevel="0" collapsed="false">
      <c r="B15" s="46" t="s">
        <v>386</v>
      </c>
    </row>
    <row r="17" customFormat="false" ht="19.5" hidden="false" customHeight="true" outlineLevel="0" collapsed="false">
      <c r="B17" s="45" t="s">
        <v>387</v>
      </c>
    </row>
    <row r="18" customFormat="false" ht="33.75" hidden="false" customHeight="true" outlineLevel="0" collapsed="false">
      <c r="B18" s="46" t="s">
        <v>388</v>
      </c>
    </row>
    <row r="20" customFormat="false" ht="19.5" hidden="false" customHeight="true" outlineLevel="0" collapsed="false">
      <c r="B20" s="45" t="s">
        <v>389</v>
      </c>
    </row>
    <row r="21" customFormat="false" ht="33.75" hidden="false" customHeight="true" outlineLevel="0" collapsed="false">
      <c r="B21" s="46" t="s">
        <v>390</v>
      </c>
    </row>
    <row r="23" customFormat="false" ht="21.75" hidden="false" customHeight="true" outlineLevel="0" collapsed="false">
      <c r="B23" s="47" t="s">
        <v>391</v>
      </c>
    </row>
    <row r="25" customFormat="false" ht="18" hidden="false" customHeight="true" outlineLevel="0" collapsed="false">
      <c r="B25" s="48" t="s">
        <v>392</v>
      </c>
    </row>
    <row r="26" customFormat="false" ht="201.75" hidden="false" customHeight="true" outlineLevel="0" collapsed="false">
      <c r="B26" s="49" t="s">
        <v>393</v>
      </c>
    </row>
    <row r="28" customFormat="false" ht="18" hidden="false" customHeight="true" outlineLevel="0" collapsed="false">
      <c r="B28" s="50" t="s">
        <v>394</v>
      </c>
    </row>
  </sheetData>
  <printOptions headings="false" gridLines="false" gridLinesSet="true" horizontalCentered="true" verticalCentered="false"/>
  <pageMargins left="0.4" right="0.4" top="1" bottom="1"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5B9BD5"/>
    <pageSetUpPr fitToPage="false"/>
  </sheetPr>
  <dimension ref="A1:AD98"/>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5"/>
    <col collapsed="false" customWidth="true" hidden="false" outlineLevel="0" max="3" min="3" style="0" width="18"/>
    <col collapsed="false" customWidth="true" hidden="false" outlineLevel="0" max="4" min="4" style="0" width="12"/>
    <col collapsed="false" customWidth="true" hidden="false" outlineLevel="0" max="5" min="5" style="0" width="35"/>
  </cols>
  <sheetData>
    <row r="1" customFormat="false" ht="15" hidden="false" customHeight="false" outlineLevel="0" collapsed="false">
      <c r="A1" s="1"/>
      <c r="B1" s="1"/>
      <c r="C1" s="1"/>
      <c r="D1" s="1"/>
      <c r="E1" s="1"/>
      <c r="F1" s="2"/>
      <c r="G1" s="2"/>
      <c r="H1" s="2"/>
      <c r="I1" s="2"/>
      <c r="J1" s="2"/>
      <c r="K1" s="2"/>
      <c r="L1" s="2"/>
      <c r="M1" s="2"/>
      <c r="N1" s="2"/>
      <c r="O1" s="2"/>
      <c r="P1" s="2"/>
      <c r="Q1" s="2"/>
      <c r="R1" s="2"/>
      <c r="S1" s="2"/>
      <c r="T1" s="2"/>
      <c r="U1" s="2"/>
      <c r="V1" s="2"/>
      <c r="W1" s="2"/>
      <c r="X1" s="2"/>
      <c r="Y1" s="2"/>
      <c r="Z1" s="2"/>
      <c r="AA1" s="2"/>
      <c r="AB1" s="2"/>
      <c r="AC1" s="2"/>
      <c r="AD1" s="2"/>
    </row>
    <row r="2" customFormat="false" ht="21.75" hidden="false" customHeight="true" outlineLevel="0" collapsed="false">
      <c r="A2" s="1"/>
      <c r="B2" s="3" t="s">
        <v>14</v>
      </c>
      <c r="C2" s="1"/>
      <c r="D2" s="1"/>
      <c r="E2" s="1"/>
      <c r="F2" s="2"/>
      <c r="G2" s="2"/>
      <c r="H2" s="2"/>
      <c r="I2" s="2"/>
      <c r="J2" s="2"/>
      <c r="K2" s="2"/>
      <c r="L2" s="2"/>
      <c r="M2" s="2"/>
      <c r="N2" s="2"/>
      <c r="O2" s="2"/>
      <c r="P2" s="2"/>
      <c r="Q2" s="2"/>
      <c r="R2" s="2"/>
      <c r="S2" s="2"/>
      <c r="T2" s="2"/>
      <c r="U2" s="2"/>
      <c r="V2" s="2"/>
      <c r="W2" s="2"/>
      <c r="X2" s="2"/>
      <c r="Y2" s="2"/>
      <c r="Z2" s="2"/>
      <c r="AA2" s="2"/>
      <c r="AB2" s="2"/>
      <c r="AC2" s="2"/>
      <c r="AD2" s="2"/>
    </row>
    <row r="3" customFormat="false" ht="15" hidden="false" customHeight="false" outlineLevel="0" collapsed="false">
      <c r="A3" s="1"/>
      <c r="B3" s="5" t="s">
        <v>89</v>
      </c>
      <c r="C3" s="1"/>
      <c r="D3" s="1"/>
      <c r="E3" s="1"/>
      <c r="F3" s="2"/>
      <c r="G3" s="2"/>
      <c r="H3" s="2"/>
      <c r="I3" s="2"/>
      <c r="J3" s="2"/>
      <c r="K3" s="2"/>
      <c r="L3" s="2"/>
      <c r="M3" s="2"/>
      <c r="N3" s="2"/>
      <c r="O3" s="2"/>
      <c r="P3" s="2"/>
      <c r="Q3" s="2"/>
      <c r="R3" s="2"/>
      <c r="S3" s="2"/>
      <c r="T3" s="2"/>
      <c r="U3" s="2"/>
      <c r="V3" s="2"/>
      <c r="W3" s="2"/>
      <c r="X3" s="2"/>
      <c r="Y3" s="2"/>
      <c r="Z3" s="2"/>
      <c r="AA3" s="2"/>
      <c r="AB3" s="2"/>
      <c r="AC3" s="2"/>
      <c r="AD3" s="2"/>
    </row>
    <row r="4" customFormat="false" ht="15" hidden="false" customHeight="false" outlineLevel="0" collapsed="false">
      <c r="A4" s="6"/>
      <c r="B4" s="6"/>
      <c r="C4" s="6"/>
      <c r="D4" s="6"/>
      <c r="E4" s="6"/>
    </row>
    <row r="5" customFormat="false" ht="15" hidden="false" customHeight="false" outlineLevel="0" collapsed="false">
      <c r="A5" s="6"/>
      <c r="B5" s="24" t="s">
        <v>90</v>
      </c>
      <c r="C5" s="24" t="s">
        <v>91</v>
      </c>
      <c r="D5" s="24" t="s">
        <v>92</v>
      </c>
      <c r="E5" s="24" t="s">
        <v>93</v>
      </c>
    </row>
    <row r="6" customFormat="false" ht="15" hidden="false" customHeight="false" outlineLevel="0" collapsed="false">
      <c r="A6" s="6"/>
      <c r="B6" s="6"/>
      <c r="C6" s="6"/>
      <c r="D6" s="6"/>
      <c r="E6" s="6"/>
    </row>
    <row r="7" customFormat="false" ht="15" hidden="false" customHeight="false" outlineLevel="0" collapsed="false">
      <c r="A7" s="6"/>
      <c r="B7" s="9" t="s">
        <v>94</v>
      </c>
      <c r="C7" s="9"/>
      <c r="D7" s="9"/>
      <c r="E7" s="9"/>
    </row>
    <row r="8" customFormat="false" ht="15" hidden="false" customHeight="false" outlineLevel="0" collapsed="false">
      <c r="A8" s="6"/>
      <c r="B8" s="8" t="s">
        <v>95</v>
      </c>
      <c r="C8" s="25" t="n">
        <v>2026</v>
      </c>
      <c r="D8" s="26"/>
      <c r="E8" s="26" t="s">
        <v>96</v>
      </c>
    </row>
    <row r="9" customFormat="false" ht="15" hidden="false" customHeight="false" outlineLevel="0" collapsed="false">
      <c r="A9" s="6"/>
      <c r="B9" s="6"/>
      <c r="C9" s="6"/>
      <c r="D9" s="6"/>
      <c r="E9" s="6"/>
    </row>
    <row r="10" customFormat="false" ht="15" hidden="false" customHeight="false" outlineLevel="0" collapsed="false">
      <c r="A10" s="6"/>
      <c r="B10" s="9" t="s">
        <v>97</v>
      </c>
      <c r="C10" s="9"/>
      <c r="D10" s="9"/>
      <c r="E10" s="9"/>
    </row>
    <row r="11" customFormat="false" ht="15" hidden="false" customHeight="false" outlineLevel="0" collapsed="false">
      <c r="A11" s="6"/>
      <c r="B11" s="8" t="s">
        <v>98</v>
      </c>
      <c r="C11" s="25" t="n">
        <v>1000000</v>
      </c>
      <c r="D11" s="26" t="s">
        <v>99</v>
      </c>
      <c r="E11" s="26" t="s">
        <v>100</v>
      </c>
    </row>
    <row r="12" customFormat="false" ht="15" hidden="false" customHeight="false" outlineLevel="0" collapsed="false">
      <c r="A12" s="6"/>
      <c r="B12" s="8" t="s">
        <v>101</v>
      </c>
      <c r="C12" s="27" t="n">
        <v>0.15</v>
      </c>
      <c r="D12" s="26" t="s">
        <v>102</v>
      </c>
      <c r="E12" s="26" t="s">
        <v>103</v>
      </c>
    </row>
    <row r="13" customFormat="false" ht="15" hidden="false" customHeight="false" outlineLevel="0" collapsed="false">
      <c r="A13" s="6"/>
      <c r="B13" s="8" t="s">
        <v>104</v>
      </c>
      <c r="C13" s="25" t="n">
        <v>4.5</v>
      </c>
      <c r="D13" s="26" t="s">
        <v>102</v>
      </c>
      <c r="E13" s="26" t="s">
        <v>105</v>
      </c>
    </row>
    <row r="14" customFormat="false" ht="15" hidden="false" customHeight="false" outlineLevel="0" collapsed="false">
      <c r="A14" s="6"/>
      <c r="B14" s="8" t="s">
        <v>106</v>
      </c>
      <c r="C14" s="27" t="n">
        <v>0.15</v>
      </c>
      <c r="D14" s="26" t="s">
        <v>107</v>
      </c>
      <c r="E14" s="26" t="s">
        <v>108</v>
      </c>
    </row>
    <row r="15" customFormat="false" ht="15" hidden="false" customHeight="false" outlineLevel="0" collapsed="false">
      <c r="A15" s="6"/>
      <c r="B15" s="8" t="s">
        <v>109</v>
      </c>
      <c r="C15" s="27" t="n">
        <v>1.25</v>
      </c>
      <c r="D15" s="26" t="s">
        <v>110</v>
      </c>
      <c r="E15" s="26" t="s">
        <v>111</v>
      </c>
    </row>
    <row r="16" customFormat="false" ht="15" hidden="false" customHeight="false" outlineLevel="0" collapsed="false">
      <c r="A16" s="6"/>
      <c r="B16" s="8" t="s">
        <v>112</v>
      </c>
      <c r="C16" s="25" t="n">
        <v>3120</v>
      </c>
      <c r="D16" s="26" t="s">
        <v>113</v>
      </c>
      <c r="E16" s="26" t="s">
        <v>114</v>
      </c>
    </row>
    <row r="17" customFormat="false" ht="15" hidden="false" customHeight="false" outlineLevel="0" collapsed="false">
      <c r="A17" s="6"/>
      <c r="B17" s="6"/>
      <c r="C17" s="6"/>
      <c r="D17" s="6"/>
      <c r="E17" s="6"/>
    </row>
    <row r="18" customFormat="false" ht="15" hidden="false" customHeight="false" outlineLevel="0" collapsed="false">
      <c r="A18" s="6"/>
      <c r="B18" s="9" t="s">
        <v>115</v>
      </c>
      <c r="C18" s="9"/>
      <c r="D18" s="9"/>
      <c r="E18" s="9"/>
    </row>
    <row r="19" customFormat="false" ht="15" hidden="false" customHeight="false" outlineLevel="0" collapsed="false">
      <c r="A19" s="6"/>
      <c r="B19" s="8" t="s">
        <v>116</v>
      </c>
      <c r="C19" s="25" t="n">
        <v>7.5</v>
      </c>
      <c r="D19" s="26" t="s">
        <v>117</v>
      </c>
      <c r="E19" s="26" t="s">
        <v>118</v>
      </c>
    </row>
    <row r="20" customFormat="false" ht="15" hidden="false" customHeight="false" outlineLevel="0" collapsed="false">
      <c r="A20" s="6"/>
      <c r="B20" s="8" t="s">
        <v>119</v>
      </c>
      <c r="C20" s="27" t="n">
        <v>0.1</v>
      </c>
      <c r="D20" s="26" t="s">
        <v>107</v>
      </c>
      <c r="E20" s="26" t="s">
        <v>120</v>
      </c>
    </row>
    <row r="21" customFormat="false" ht="15" hidden="false" customHeight="false" outlineLevel="0" collapsed="false">
      <c r="A21" s="6"/>
      <c r="B21" s="8" t="s">
        <v>121</v>
      </c>
      <c r="C21" s="27" t="n">
        <v>0.4</v>
      </c>
      <c r="D21" s="26" t="s">
        <v>107</v>
      </c>
      <c r="E21" s="26" t="s">
        <v>122</v>
      </c>
    </row>
    <row r="22" customFormat="false" ht="15" hidden="false" customHeight="false" outlineLevel="0" collapsed="false">
      <c r="A22" s="6"/>
      <c r="B22" s="8" t="s">
        <v>123</v>
      </c>
      <c r="C22" s="27" t="n">
        <v>0.02</v>
      </c>
      <c r="D22" s="26" t="s">
        <v>107</v>
      </c>
      <c r="E22" s="26" t="s">
        <v>124</v>
      </c>
    </row>
    <row r="23" customFormat="false" ht="15" hidden="false" customHeight="false" outlineLevel="0" collapsed="false">
      <c r="A23" s="6"/>
      <c r="B23" s="6"/>
      <c r="C23" s="6"/>
      <c r="D23" s="6"/>
      <c r="E23" s="6"/>
    </row>
    <row r="24" customFormat="false" ht="15" hidden="false" customHeight="false" outlineLevel="0" collapsed="false">
      <c r="A24" s="6"/>
      <c r="B24" s="9" t="s">
        <v>125</v>
      </c>
      <c r="C24" s="9"/>
      <c r="D24" s="9"/>
      <c r="E24" s="9"/>
    </row>
    <row r="25" customFormat="false" ht="15" hidden="false" customHeight="false" outlineLevel="0" collapsed="false">
      <c r="A25" s="6"/>
      <c r="B25" s="8" t="s">
        <v>126</v>
      </c>
      <c r="C25" s="27" t="n">
        <v>1.6</v>
      </c>
      <c r="D25" s="26" t="s">
        <v>117</v>
      </c>
      <c r="E25" s="26" t="s">
        <v>127</v>
      </c>
    </row>
    <row r="26" customFormat="false" ht="15" hidden="false" customHeight="false" outlineLevel="0" collapsed="false">
      <c r="A26" s="6"/>
      <c r="B26" s="8" t="s">
        <v>128</v>
      </c>
      <c r="C26" s="27" t="n">
        <v>0.03</v>
      </c>
      <c r="D26" s="26" t="s">
        <v>107</v>
      </c>
      <c r="E26" s="26" t="s">
        <v>129</v>
      </c>
    </row>
    <row r="27" customFormat="false" ht="15" hidden="false" customHeight="false" outlineLevel="0" collapsed="false">
      <c r="A27" s="6"/>
      <c r="B27" s="8" t="s">
        <v>130</v>
      </c>
      <c r="C27" s="27" t="n">
        <v>1.8</v>
      </c>
      <c r="D27" s="26" t="s">
        <v>131</v>
      </c>
      <c r="E27" s="26" t="s">
        <v>132</v>
      </c>
    </row>
    <row r="28" customFormat="false" ht="15" hidden="false" customHeight="false" outlineLevel="0" collapsed="false">
      <c r="A28" s="6"/>
      <c r="B28" s="8" t="s">
        <v>133</v>
      </c>
      <c r="C28" s="27" t="n">
        <v>0.02</v>
      </c>
      <c r="D28" s="26" t="s">
        <v>107</v>
      </c>
      <c r="E28" s="26" t="s">
        <v>129</v>
      </c>
    </row>
    <row r="29" customFormat="false" ht="15" hidden="false" customHeight="false" outlineLevel="0" collapsed="false">
      <c r="A29" s="6"/>
      <c r="B29" s="8" t="s">
        <v>134</v>
      </c>
      <c r="C29" s="27" t="n">
        <v>0.8</v>
      </c>
      <c r="D29" s="26" t="s">
        <v>117</v>
      </c>
      <c r="E29" s="26" t="s">
        <v>135</v>
      </c>
    </row>
    <row r="30" customFormat="false" ht="15" hidden="false" customHeight="false" outlineLevel="0" collapsed="false">
      <c r="A30" s="6"/>
      <c r="B30" s="8" t="s">
        <v>136</v>
      </c>
      <c r="C30" s="27" t="n">
        <v>0.02</v>
      </c>
      <c r="D30" s="26" t="s">
        <v>107</v>
      </c>
      <c r="E30" s="26" t="s">
        <v>129</v>
      </c>
    </row>
    <row r="31" customFormat="false" ht="15" hidden="false" customHeight="false" outlineLevel="0" collapsed="false">
      <c r="A31" s="6"/>
      <c r="B31" s="8" t="s">
        <v>137</v>
      </c>
      <c r="C31" s="27" t="n">
        <v>0.05</v>
      </c>
      <c r="D31" s="26" t="s">
        <v>107</v>
      </c>
      <c r="E31" s="26" t="s">
        <v>138</v>
      </c>
    </row>
    <row r="32" customFormat="false" ht="15" hidden="false" customHeight="false" outlineLevel="0" collapsed="false">
      <c r="A32" s="6"/>
      <c r="B32" s="8" t="s">
        <v>139</v>
      </c>
      <c r="C32" s="27" t="n">
        <v>0.15</v>
      </c>
      <c r="D32" s="26" t="s">
        <v>107</v>
      </c>
      <c r="E32" s="26" t="s">
        <v>140</v>
      </c>
    </row>
    <row r="33" customFormat="false" ht="15" hidden="false" customHeight="false" outlineLevel="0" collapsed="false">
      <c r="A33" s="6"/>
      <c r="B33" s="6"/>
      <c r="C33" s="6"/>
      <c r="D33" s="6"/>
      <c r="E33" s="6"/>
    </row>
    <row r="34" customFormat="false" ht="15" hidden="false" customHeight="false" outlineLevel="0" collapsed="false">
      <c r="A34" s="6"/>
      <c r="B34" s="9" t="s">
        <v>141</v>
      </c>
      <c r="C34" s="9"/>
      <c r="D34" s="9"/>
      <c r="E34" s="9"/>
    </row>
    <row r="35" customFormat="false" ht="15" hidden="false" customHeight="false" outlineLevel="0" collapsed="false">
      <c r="A35" s="6"/>
      <c r="B35" s="8" t="s">
        <v>142</v>
      </c>
      <c r="C35" s="25" t="n">
        <v>2000000</v>
      </c>
      <c r="D35" s="26" t="s">
        <v>143</v>
      </c>
      <c r="E35" s="26" t="s">
        <v>144</v>
      </c>
    </row>
    <row r="36" customFormat="false" ht="15" hidden="false" customHeight="false" outlineLevel="0" collapsed="false">
      <c r="A36" s="6"/>
      <c r="B36" s="8" t="s">
        <v>145</v>
      </c>
      <c r="C36" s="27" t="n">
        <v>0.03</v>
      </c>
      <c r="D36" s="26" t="s">
        <v>107</v>
      </c>
      <c r="E36" s="26" t="s">
        <v>146</v>
      </c>
    </row>
    <row r="37" customFormat="false" ht="15" hidden="false" customHeight="false" outlineLevel="0" collapsed="false">
      <c r="A37" s="6"/>
      <c r="B37" s="8" t="s">
        <v>147</v>
      </c>
      <c r="C37" s="27" t="n">
        <v>0.03</v>
      </c>
      <c r="D37" s="26" t="s">
        <v>107</v>
      </c>
      <c r="E37" s="26" t="s">
        <v>148</v>
      </c>
    </row>
    <row r="38" customFormat="false" ht="15" hidden="false" customHeight="false" outlineLevel="0" collapsed="false">
      <c r="A38" s="6"/>
      <c r="B38" s="8" t="s">
        <v>149</v>
      </c>
      <c r="C38" s="25" t="n">
        <v>500000</v>
      </c>
      <c r="D38" s="26" t="s">
        <v>143</v>
      </c>
      <c r="E38" s="26" t="s">
        <v>150</v>
      </c>
    </row>
    <row r="39" customFormat="false" ht="15" hidden="false" customHeight="false" outlineLevel="0" collapsed="false">
      <c r="A39" s="6"/>
      <c r="B39" s="8" t="s">
        <v>151</v>
      </c>
      <c r="C39" s="27" t="n">
        <v>0.03</v>
      </c>
      <c r="D39" s="26" t="s">
        <v>107</v>
      </c>
      <c r="E39" s="26" t="s">
        <v>146</v>
      </c>
    </row>
    <row r="40" customFormat="false" ht="15" hidden="false" customHeight="false" outlineLevel="0" collapsed="false">
      <c r="A40" s="6"/>
      <c r="B40" s="8" t="s">
        <v>152</v>
      </c>
      <c r="C40" s="27" t="n">
        <v>0.015</v>
      </c>
      <c r="D40" s="26" t="s">
        <v>107</v>
      </c>
      <c r="E40" s="26" t="s">
        <v>153</v>
      </c>
    </row>
    <row r="41" customFormat="false" ht="15" hidden="false" customHeight="false" outlineLevel="0" collapsed="false">
      <c r="A41" s="6"/>
      <c r="B41" s="6"/>
      <c r="C41" s="6"/>
      <c r="D41" s="6"/>
      <c r="E41" s="6"/>
    </row>
    <row r="42" customFormat="false" ht="15" hidden="false" customHeight="false" outlineLevel="0" collapsed="false">
      <c r="A42" s="6"/>
      <c r="B42" s="9" t="s">
        <v>154</v>
      </c>
      <c r="C42" s="9"/>
      <c r="D42" s="9"/>
      <c r="E42" s="9"/>
    </row>
    <row r="43" customFormat="false" ht="15" hidden="false" customHeight="false" outlineLevel="0" collapsed="false">
      <c r="A43" s="6"/>
      <c r="B43" s="8" t="s">
        <v>155</v>
      </c>
      <c r="C43" s="25" t="n">
        <v>40000000</v>
      </c>
      <c r="D43" s="26" t="s">
        <v>143</v>
      </c>
      <c r="E43" s="26" t="s">
        <v>156</v>
      </c>
    </row>
    <row r="44" customFormat="false" ht="15" hidden="false" customHeight="false" outlineLevel="0" collapsed="false">
      <c r="A44" s="6"/>
      <c r="B44" s="8" t="s">
        <v>157</v>
      </c>
      <c r="C44" s="25" t="n">
        <v>10000000</v>
      </c>
      <c r="D44" s="26" t="s">
        <v>143</v>
      </c>
      <c r="E44" s="26" t="s">
        <v>158</v>
      </c>
    </row>
    <row r="45" customFormat="false" ht="15" hidden="false" customHeight="false" outlineLevel="0" collapsed="false">
      <c r="A45" s="6"/>
      <c r="B45" s="8" t="s">
        <v>159</v>
      </c>
      <c r="C45" s="25" t="n">
        <v>15</v>
      </c>
      <c r="D45" s="26" t="s">
        <v>160</v>
      </c>
      <c r="E45" s="26" t="s">
        <v>161</v>
      </c>
    </row>
    <row r="46" customFormat="false" ht="15" hidden="false" customHeight="false" outlineLevel="0" collapsed="false">
      <c r="A46" s="6"/>
      <c r="B46" s="8" t="s">
        <v>162</v>
      </c>
      <c r="C46" s="27" t="n">
        <v>0.03</v>
      </c>
      <c r="D46" s="26" t="s">
        <v>107</v>
      </c>
      <c r="E46" s="26" t="s">
        <v>163</v>
      </c>
    </row>
    <row r="47" customFormat="false" ht="15" hidden="false" customHeight="false" outlineLevel="0" collapsed="false">
      <c r="A47" s="6"/>
      <c r="B47" s="8" t="s">
        <v>164</v>
      </c>
      <c r="C47" s="25" t="n">
        <v>5000000</v>
      </c>
      <c r="D47" s="26" t="s">
        <v>143</v>
      </c>
      <c r="E47" s="26" t="s">
        <v>165</v>
      </c>
    </row>
    <row r="48" customFormat="false" ht="15" hidden="false" customHeight="false" outlineLevel="0" collapsed="false">
      <c r="A48" s="6"/>
      <c r="B48" s="8" t="s">
        <v>166</v>
      </c>
      <c r="C48" s="25" t="n">
        <v>3</v>
      </c>
      <c r="D48" s="26" t="s">
        <v>160</v>
      </c>
      <c r="E48" s="26" t="s">
        <v>167</v>
      </c>
    </row>
    <row r="49" customFormat="false" ht="15" hidden="false" customHeight="false" outlineLevel="0" collapsed="false">
      <c r="A49" s="6"/>
      <c r="B49" s="8" t="s">
        <v>168</v>
      </c>
      <c r="C49" s="25" t="n">
        <v>10</v>
      </c>
      <c r="D49" s="26" t="s">
        <v>160</v>
      </c>
      <c r="E49" s="26" t="s">
        <v>161</v>
      </c>
    </row>
    <row r="50" customFormat="false" ht="15" hidden="false" customHeight="false" outlineLevel="0" collapsed="false">
      <c r="A50" s="6"/>
      <c r="B50" s="6"/>
      <c r="C50" s="6"/>
      <c r="D50" s="6"/>
      <c r="E50" s="6"/>
    </row>
    <row r="51" customFormat="false" ht="15" hidden="false" customHeight="false" outlineLevel="0" collapsed="false">
      <c r="A51" s="6"/>
      <c r="B51" s="9" t="s">
        <v>169</v>
      </c>
      <c r="C51" s="9"/>
      <c r="D51" s="9"/>
      <c r="E51" s="9"/>
    </row>
    <row r="52" customFormat="false" ht="15" hidden="false" customHeight="false" outlineLevel="0" collapsed="false">
      <c r="A52" s="6"/>
      <c r="B52" s="8" t="s">
        <v>170</v>
      </c>
      <c r="C52" s="25" t="n">
        <v>20</v>
      </c>
      <c r="D52" s="26" t="s">
        <v>171</v>
      </c>
      <c r="E52" s="26" t="s">
        <v>172</v>
      </c>
    </row>
    <row r="53" customFormat="false" ht="15" hidden="false" customHeight="false" outlineLevel="0" collapsed="false">
      <c r="A53" s="6"/>
      <c r="B53" s="8" t="s">
        <v>173</v>
      </c>
      <c r="C53" s="25" t="n">
        <v>45</v>
      </c>
      <c r="D53" s="26" t="s">
        <v>171</v>
      </c>
      <c r="E53" s="26" t="s">
        <v>174</v>
      </c>
    </row>
    <row r="54" customFormat="false" ht="15" hidden="false" customHeight="false" outlineLevel="0" collapsed="false">
      <c r="A54" s="6"/>
      <c r="B54" s="6"/>
      <c r="C54" s="6"/>
      <c r="D54" s="6"/>
      <c r="E54" s="6"/>
    </row>
    <row r="55" customFormat="false" ht="15" hidden="false" customHeight="false" outlineLevel="0" collapsed="false">
      <c r="A55" s="6"/>
      <c r="B55" s="9" t="s">
        <v>175</v>
      </c>
      <c r="C55" s="9"/>
      <c r="D55" s="9"/>
      <c r="E55" s="9"/>
    </row>
    <row r="56" customFormat="false" ht="15" hidden="false" customHeight="false" outlineLevel="0" collapsed="false">
      <c r="A56" s="6"/>
      <c r="B56" s="8" t="s">
        <v>176</v>
      </c>
      <c r="C56" s="25" t="n">
        <v>15000000</v>
      </c>
      <c r="D56" s="26" t="s">
        <v>143</v>
      </c>
      <c r="E56" s="26" t="s">
        <v>177</v>
      </c>
    </row>
    <row r="57" customFormat="false" ht="15" hidden="false" customHeight="false" outlineLevel="0" collapsed="false">
      <c r="A57" s="6"/>
      <c r="B57" s="8" t="s">
        <v>178</v>
      </c>
      <c r="C57" s="27" t="n">
        <v>0.065</v>
      </c>
      <c r="D57" s="26" t="s">
        <v>107</v>
      </c>
      <c r="E57" s="26" t="s">
        <v>179</v>
      </c>
    </row>
    <row r="58" customFormat="false" ht="15" hidden="false" customHeight="false" outlineLevel="0" collapsed="false">
      <c r="A58" s="6"/>
      <c r="B58" s="8" t="s">
        <v>180</v>
      </c>
      <c r="C58" s="25" t="n">
        <v>10</v>
      </c>
      <c r="D58" s="26" t="s">
        <v>160</v>
      </c>
      <c r="E58" s="26" t="s">
        <v>181</v>
      </c>
    </row>
    <row r="59" customFormat="false" ht="15" hidden="false" customHeight="false" outlineLevel="0" collapsed="false">
      <c r="A59" s="6"/>
      <c r="B59" s="8" t="s">
        <v>182</v>
      </c>
      <c r="C59" s="25" t="n">
        <v>20000000</v>
      </c>
      <c r="D59" s="26" t="s">
        <v>143</v>
      </c>
      <c r="E59" s="26" t="s">
        <v>183</v>
      </c>
    </row>
    <row r="60" customFormat="false" ht="15" hidden="false" customHeight="false" outlineLevel="0" collapsed="false">
      <c r="A60" s="6"/>
      <c r="B60" s="8" t="s">
        <v>184</v>
      </c>
      <c r="C60" s="25" t="n">
        <v>4000000</v>
      </c>
      <c r="D60" s="26" t="s">
        <v>143</v>
      </c>
      <c r="E60" s="26" t="s">
        <v>185</v>
      </c>
    </row>
    <row r="61" customFormat="false" ht="15" hidden="false" customHeight="false" outlineLevel="0" collapsed="false">
      <c r="A61" s="6"/>
      <c r="B61" s="8" t="s">
        <v>186</v>
      </c>
      <c r="C61" s="27" t="n">
        <v>0.075</v>
      </c>
      <c r="D61" s="26" t="s">
        <v>107</v>
      </c>
      <c r="E61" s="26" t="s">
        <v>187</v>
      </c>
    </row>
    <row r="62" customFormat="false" ht="15" hidden="false" customHeight="false" outlineLevel="0" collapsed="false">
      <c r="A62" s="6"/>
      <c r="B62" s="8" t="s">
        <v>188</v>
      </c>
      <c r="C62" s="27" t="n">
        <v>0.004</v>
      </c>
      <c r="D62" s="26" t="s">
        <v>107</v>
      </c>
      <c r="E62" s="26" t="s">
        <v>189</v>
      </c>
    </row>
    <row r="63" customFormat="false" ht="15" hidden="false" customHeight="false" outlineLevel="0" collapsed="false">
      <c r="A63" s="6"/>
      <c r="B63" s="8" t="s">
        <v>190</v>
      </c>
      <c r="C63" s="27" t="n">
        <v>0.6</v>
      </c>
      <c r="D63" s="26" t="s">
        <v>107</v>
      </c>
      <c r="E63" s="26" t="s">
        <v>191</v>
      </c>
    </row>
    <row r="64" customFormat="false" ht="15" hidden="false" customHeight="false" outlineLevel="0" collapsed="false">
      <c r="A64" s="6"/>
      <c r="B64" s="6"/>
      <c r="C64" s="6"/>
      <c r="D64" s="6"/>
      <c r="E64" s="6"/>
    </row>
    <row r="65" customFormat="false" ht="15" hidden="false" customHeight="false" outlineLevel="0" collapsed="false">
      <c r="A65" s="6"/>
      <c r="B65" s="9" t="s">
        <v>192</v>
      </c>
      <c r="C65" s="9"/>
      <c r="D65" s="9"/>
      <c r="E65" s="9"/>
    </row>
    <row r="66" customFormat="false" ht="15" hidden="false" customHeight="false" outlineLevel="0" collapsed="false">
      <c r="A66" s="6"/>
      <c r="B66" s="8" t="s">
        <v>193</v>
      </c>
      <c r="C66" s="27" t="n">
        <v>0.22</v>
      </c>
      <c r="D66" s="26" t="s">
        <v>107</v>
      </c>
      <c r="E66" s="26" t="s">
        <v>194</v>
      </c>
    </row>
    <row r="67" customFormat="false" ht="15" hidden="false" customHeight="false" outlineLevel="0" collapsed="false">
      <c r="A67" s="6"/>
      <c r="B67" s="8" t="s">
        <v>195</v>
      </c>
      <c r="C67" s="25" t="n">
        <v>0</v>
      </c>
      <c r="D67" s="26" t="s">
        <v>107</v>
      </c>
      <c r="E67" s="26" t="s">
        <v>196</v>
      </c>
    </row>
    <row r="68" customFormat="false" ht="15" hidden="false" customHeight="false" outlineLevel="0" collapsed="false">
      <c r="A68" s="6"/>
      <c r="B68" s="6"/>
      <c r="C68" s="6"/>
      <c r="D68" s="6"/>
      <c r="E68" s="6"/>
    </row>
    <row r="69" customFormat="false" ht="15" hidden="false" customHeight="false" outlineLevel="0" collapsed="false">
      <c r="A69" s="6"/>
      <c r="B69" s="9" t="s">
        <v>197</v>
      </c>
      <c r="C69" s="9"/>
      <c r="D69" s="9"/>
      <c r="E69" s="9"/>
    </row>
    <row r="70" customFormat="false" ht="15" hidden="false" customHeight="false" outlineLevel="0" collapsed="false">
      <c r="A70" s="6"/>
      <c r="B70" s="8" t="s">
        <v>198</v>
      </c>
      <c r="C70" s="25" t="n">
        <v>8000000</v>
      </c>
      <c r="D70" s="26" t="s">
        <v>143</v>
      </c>
      <c r="E70" s="26" t="s">
        <v>199</v>
      </c>
    </row>
    <row r="71" customFormat="false" ht="15" hidden="false" customHeight="false" outlineLevel="0" collapsed="false">
      <c r="A71" s="6"/>
      <c r="B71" s="8" t="s">
        <v>200</v>
      </c>
      <c r="C71" s="25" t="n">
        <v>30000000</v>
      </c>
      <c r="D71" s="26" t="s">
        <v>143</v>
      </c>
      <c r="E71" s="26" t="s">
        <v>201</v>
      </c>
    </row>
    <row r="72" customFormat="false" ht="15" hidden="false" customHeight="false" outlineLevel="0" collapsed="false">
      <c r="A72" s="6"/>
      <c r="B72" s="8" t="s">
        <v>202</v>
      </c>
      <c r="C72" s="25" t="n">
        <v>-6000000</v>
      </c>
      <c r="D72" s="26" t="s">
        <v>143</v>
      </c>
      <c r="E72" s="26" t="s">
        <v>203</v>
      </c>
    </row>
    <row r="73" customFormat="false" ht="15" hidden="false" customHeight="false" outlineLevel="0" collapsed="false">
      <c r="A73" s="6"/>
      <c r="B73" s="6"/>
      <c r="C73" s="6"/>
      <c r="D73" s="6"/>
      <c r="E73" s="6"/>
    </row>
    <row r="74" customFormat="false" ht="15" hidden="false" customHeight="false" outlineLevel="0" collapsed="false">
      <c r="A74" s="6"/>
      <c r="B74" s="6"/>
      <c r="C74" s="6"/>
      <c r="D74" s="6"/>
      <c r="E74" s="6"/>
    </row>
    <row r="75" customFormat="false" ht="15" hidden="false" customHeight="false" outlineLevel="0" collapsed="false">
      <c r="A75" s="6"/>
      <c r="B75" s="9" t="s">
        <v>204</v>
      </c>
      <c r="C75" s="9"/>
      <c r="D75" s="9"/>
      <c r="E75" s="9"/>
    </row>
    <row r="76" customFormat="false" ht="15" hidden="false" customHeight="false" outlineLevel="0" collapsed="false">
      <c r="A76" s="6"/>
      <c r="B76" s="8" t="s">
        <v>205</v>
      </c>
      <c r="C76" s="27" t="n">
        <v>0.05</v>
      </c>
      <c r="D76" s="26" t="s">
        <v>107</v>
      </c>
      <c r="E76" s="26" t="s">
        <v>206</v>
      </c>
    </row>
    <row r="77" customFormat="false" ht="15" hidden="false" customHeight="false" outlineLevel="0" collapsed="false">
      <c r="A77" s="6"/>
      <c r="B77" s="8" t="s">
        <v>207</v>
      </c>
      <c r="C77" s="27" t="n">
        <v>0.01</v>
      </c>
      <c r="D77" s="26" t="s">
        <v>107</v>
      </c>
      <c r="E77" s="26" t="s">
        <v>208</v>
      </c>
    </row>
    <row r="78" customFormat="false" ht="15" hidden="false" customHeight="false" outlineLevel="0" collapsed="false">
      <c r="A78" s="6"/>
      <c r="B78" s="8" t="s">
        <v>209</v>
      </c>
      <c r="C78" s="27" t="n">
        <v>0.005</v>
      </c>
      <c r="D78" s="26" t="s">
        <v>107</v>
      </c>
      <c r="E78" s="26" t="s">
        <v>210</v>
      </c>
    </row>
    <row r="79" customFormat="false" ht="15" hidden="false" customHeight="false" outlineLevel="0" collapsed="false">
      <c r="A79" s="6"/>
      <c r="B79" s="8" t="s">
        <v>211</v>
      </c>
      <c r="C79" s="25" t="n">
        <v>50</v>
      </c>
      <c r="D79" s="26" t="s">
        <v>212</v>
      </c>
      <c r="E79" s="26" t="s">
        <v>213</v>
      </c>
    </row>
    <row r="80" customFormat="false" ht="15" hidden="false" customHeight="false" outlineLevel="0" collapsed="false">
      <c r="A80" s="6"/>
      <c r="B80" s="8" t="s">
        <v>214</v>
      </c>
      <c r="C80" s="25" t="n">
        <v>0</v>
      </c>
      <c r="D80" s="26" t="s">
        <v>160</v>
      </c>
      <c r="E80" s="26" t="s">
        <v>215</v>
      </c>
    </row>
    <row r="81" customFormat="false" ht="15" hidden="false" customHeight="false" outlineLevel="0" collapsed="false">
      <c r="A81" s="6"/>
      <c r="B81" s="8" t="s">
        <v>216</v>
      </c>
      <c r="C81" s="25" t="n">
        <v>3825</v>
      </c>
      <c r="D81" s="26" t="s">
        <v>113</v>
      </c>
      <c r="E81" s="26" t="s">
        <v>217</v>
      </c>
    </row>
    <row r="82" customFormat="false" ht="15" hidden="false" customHeight="false" outlineLevel="0" collapsed="false">
      <c r="A82" s="6"/>
      <c r="B82" s="6"/>
      <c r="C82" s="6"/>
      <c r="D82" s="6"/>
      <c r="E82" s="6"/>
    </row>
    <row r="83" customFormat="false" ht="15" hidden="false" customHeight="false" outlineLevel="0" collapsed="false">
      <c r="A83" s="6"/>
      <c r="B83" s="9" t="s">
        <v>218</v>
      </c>
      <c r="C83" s="9"/>
      <c r="D83" s="9"/>
      <c r="E83" s="9"/>
    </row>
    <row r="84" customFormat="false" ht="15" hidden="false" customHeight="false" outlineLevel="0" collapsed="false">
      <c r="A84" s="6"/>
      <c r="B84" s="8" t="s">
        <v>219</v>
      </c>
      <c r="C84" s="27" t="n">
        <v>0.6</v>
      </c>
      <c r="D84" s="26" t="s">
        <v>107</v>
      </c>
      <c r="E84" s="26" t="s">
        <v>220</v>
      </c>
    </row>
    <row r="85" customFormat="false" ht="15" hidden="false" customHeight="false" outlineLevel="0" collapsed="false">
      <c r="A85" s="6"/>
      <c r="B85" s="8" t="s">
        <v>221</v>
      </c>
      <c r="C85" s="27" t="n">
        <v>0.7</v>
      </c>
      <c r="D85" s="26" t="s">
        <v>107</v>
      </c>
      <c r="E85" s="26" t="s">
        <v>222</v>
      </c>
    </row>
    <row r="86" customFormat="false" ht="15" hidden="false" customHeight="false" outlineLevel="0" collapsed="false">
      <c r="A86" s="6"/>
      <c r="B86" s="8" t="s">
        <v>223</v>
      </c>
      <c r="C86" s="25" t="n">
        <v>5000000</v>
      </c>
      <c r="D86" s="26" t="s">
        <v>143</v>
      </c>
      <c r="E86" s="26" t="s">
        <v>224</v>
      </c>
    </row>
    <row r="87" customFormat="false" ht="15" hidden="false" customHeight="false" outlineLevel="0" collapsed="false">
      <c r="A87" s="6"/>
      <c r="B87" s="6"/>
      <c r="C87" s="6"/>
      <c r="D87" s="6"/>
      <c r="E87" s="6"/>
    </row>
    <row r="88" customFormat="false" ht="15" hidden="false" customHeight="false" outlineLevel="0" collapsed="false">
      <c r="A88" s="6"/>
      <c r="B88" s="6"/>
      <c r="C88" s="6"/>
      <c r="D88" s="6"/>
      <c r="E88" s="6"/>
    </row>
    <row r="89" customFormat="false" ht="15" hidden="false" customHeight="false" outlineLevel="0" collapsed="false">
      <c r="A89" s="6"/>
      <c r="B89" s="8" t="s">
        <v>225</v>
      </c>
      <c r="C89" s="27" t="n">
        <v>0.8</v>
      </c>
      <c r="D89" s="26" t="s">
        <v>107</v>
      </c>
      <c r="E89" s="26" t="s">
        <v>226</v>
      </c>
    </row>
    <row r="90" customFormat="false" ht="15" hidden="false" customHeight="false" outlineLevel="0" collapsed="false">
      <c r="A90" s="6"/>
      <c r="B90" s="8" t="s">
        <v>227</v>
      </c>
      <c r="C90" s="25" t="n">
        <v>6000000</v>
      </c>
      <c r="D90" s="26" t="s">
        <v>143</v>
      </c>
      <c r="E90" s="26" t="s">
        <v>228</v>
      </c>
    </row>
    <row r="91" customFormat="false" ht="15" hidden="false" customHeight="false" outlineLevel="0" collapsed="false">
      <c r="A91" s="6"/>
      <c r="B91" s="6"/>
      <c r="C91" s="6"/>
      <c r="D91" s="6"/>
      <c r="E91" s="6"/>
    </row>
    <row r="92" customFormat="false" ht="15" hidden="false" customHeight="false" outlineLevel="0" collapsed="false">
      <c r="A92" s="6"/>
      <c r="B92" s="9" t="s">
        <v>229</v>
      </c>
      <c r="C92" s="9"/>
      <c r="D92" s="9"/>
      <c r="E92" s="9"/>
    </row>
    <row r="93" customFormat="false" ht="15" hidden="false" customHeight="false" outlineLevel="0" collapsed="false">
      <c r="A93" s="6"/>
      <c r="B93" s="8" t="s">
        <v>230</v>
      </c>
      <c r="C93" s="27" t="n">
        <v>1.1</v>
      </c>
      <c r="D93" s="26" t="s">
        <v>110</v>
      </c>
      <c r="E93" s="26" t="s">
        <v>231</v>
      </c>
    </row>
    <row r="94" customFormat="false" ht="15" hidden="false" customHeight="false" outlineLevel="0" collapsed="false">
      <c r="A94" s="6"/>
      <c r="B94" s="8" t="s">
        <v>232</v>
      </c>
      <c r="C94" s="27" t="n">
        <v>1.5</v>
      </c>
      <c r="D94" s="26" t="s">
        <v>110</v>
      </c>
      <c r="E94" s="26" t="s">
        <v>233</v>
      </c>
    </row>
    <row r="95" customFormat="false" ht="15" hidden="false" customHeight="false" outlineLevel="0" collapsed="false">
      <c r="A95" s="6"/>
      <c r="B95" s="8" t="s">
        <v>234</v>
      </c>
      <c r="C95" s="27" t="n">
        <v>0.5</v>
      </c>
      <c r="D95" s="26" t="s">
        <v>117</v>
      </c>
      <c r="E95" s="26" t="s">
        <v>235</v>
      </c>
    </row>
    <row r="96" customFormat="false" ht="15" hidden="false" customHeight="false" outlineLevel="0" collapsed="false">
      <c r="A96" s="6"/>
      <c r="B96" s="8" t="s">
        <v>236</v>
      </c>
      <c r="C96" s="25" t="n">
        <v>2.5</v>
      </c>
      <c r="D96" s="26" t="s">
        <v>117</v>
      </c>
      <c r="E96" s="26" t="s">
        <v>237</v>
      </c>
    </row>
    <row r="97" customFormat="false" ht="15" hidden="false" customHeight="false" outlineLevel="0" collapsed="false">
      <c r="A97" s="6"/>
      <c r="B97" s="8" t="s">
        <v>238</v>
      </c>
      <c r="C97" s="27" t="n">
        <v>1.2</v>
      </c>
      <c r="D97" s="26" t="s">
        <v>110</v>
      </c>
      <c r="E97" s="26" t="s">
        <v>239</v>
      </c>
    </row>
    <row r="98" customFormat="false" ht="15" hidden="false" customHeight="false" outlineLevel="0" collapsed="false">
      <c r="A98" s="6"/>
      <c r="B98" s="8" t="s">
        <v>240</v>
      </c>
      <c r="C98" s="25" t="n">
        <v>1000000</v>
      </c>
      <c r="D98" s="26" t="s">
        <v>143</v>
      </c>
      <c r="E98" s="26" t="s">
        <v>241</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70AD47"/>
    <pageSetUpPr fitToPage="false"/>
  </sheetPr>
  <dimension ref="A1:AD20"/>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0"/>
    <col collapsed="false" customWidth="true" hidden="false" outlineLevel="0" max="7" min="3" style="0" width="18"/>
  </cols>
  <sheetData>
    <row r="1" customFormat="false" ht="15" hidden="false" customHeight="false" outlineLevel="0" collapsed="false">
      <c r="A1" s="1"/>
      <c r="B1" s="1"/>
      <c r="C1" s="1"/>
      <c r="D1" s="1"/>
      <c r="E1" s="1"/>
      <c r="F1" s="1"/>
      <c r="G1" s="1"/>
      <c r="H1" s="2"/>
      <c r="I1" s="2"/>
      <c r="J1" s="2"/>
      <c r="K1" s="2"/>
      <c r="L1" s="2"/>
      <c r="M1" s="2"/>
      <c r="N1" s="2"/>
      <c r="O1" s="2"/>
      <c r="P1" s="2"/>
      <c r="Q1" s="2"/>
      <c r="R1" s="2"/>
      <c r="S1" s="2"/>
      <c r="T1" s="2"/>
      <c r="U1" s="2"/>
      <c r="V1" s="2"/>
      <c r="W1" s="2"/>
      <c r="X1" s="2"/>
      <c r="Y1" s="2"/>
      <c r="Z1" s="2"/>
      <c r="AA1" s="2"/>
      <c r="AB1" s="2"/>
      <c r="AC1" s="2"/>
      <c r="AD1" s="2"/>
    </row>
    <row r="2" customFormat="false" ht="21.75" hidden="false" customHeight="true" outlineLevel="0" collapsed="false">
      <c r="A2" s="1"/>
      <c r="B2" s="3" t="s">
        <v>242</v>
      </c>
      <c r="C2" s="1"/>
      <c r="D2" s="1"/>
      <c r="E2" s="1"/>
      <c r="F2" s="1"/>
      <c r="G2" s="1"/>
      <c r="H2" s="2"/>
      <c r="I2" s="2"/>
      <c r="J2" s="2"/>
      <c r="K2" s="2"/>
      <c r="L2" s="2"/>
      <c r="M2" s="2"/>
      <c r="N2" s="2"/>
      <c r="O2" s="2"/>
      <c r="P2" s="2"/>
      <c r="Q2" s="2"/>
      <c r="R2" s="2"/>
      <c r="S2" s="2"/>
      <c r="T2" s="2"/>
      <c r="U2" s="2"/>
      <c r="V2" s="2"/>
      <c r="W2" s="2"/>
      <c r="X2" s="2"/>
      <c r="Y2" s="2"/>
      <c r="Z2" s="2"/>
      <c r="AA2" s="2"/>
      <c r="AB2" s="2"/>
      <c r="AC2" s="2"/>
      <c r="AD2" s="2"/>
    </row>
    <row r="3" customFormat="false" ht="15" hidden="false" customHeight="false" outlineLevel="0" collapsed="false">
      <c r="A3" s="1"/>
      <c r="B3" s="5" t="s">
        <v>243</v>
      </c>
      <c r="C3" s="1"/>
      <c r="D3" s="1"/>
      <c r="E3" s="1"/>
      <c r="F3" s="1"/>
      <c r="G3" s="1"/>
      <c r="H3" s="2"/>
      <c r="I3" s="2"/>
      <c r="J3" s="2"/>
      <c r="K3" s="2"/>
      <c r="L3" s="2"/>
      <c r="M3" s="2"/>
      <c r="N3" s="2"/>
      <c r="O3" s="2"/>
      <c r="P3" s="2"/>
      <c r="Q3" s="2"/>
      <c r="R3" s="2"/>
      <c r="S3" s="2"/>
      <c r="T3" s="2"/>
      <c r="U3" s="2"/>
      <c r="V3" s="2"/>
      <c r="W3" s="2"/>
      <c r="X3" s="2"/>
      <c r="Y3" s="2"/>
      <c r="Z3" s="2"/>
      <c r="AA3" s="2"/>
      <c r="AB3" s="2"/>
      <c r="AC3" s="2"/>
      <c r="AD3" s="2"/>
    </row>
    <row r="4" customFormat="false" ht="15" hidden="false" customHeight="false" outlineLevel="0" collapsed="false">
      <c r="A4" s="6"/>
      <c r="B4" s="6"/>
      <c r="C4" s="6"/>
      <c r="D4" s="6"/>
      <c r="E4" s="6"/>
      <c r="F4" s="6"/>
      <c r="G4" s="6"/>
    </row>
    <row r="5" customFormat="false" ht="15" hidden="false" customHeight="false" outlineLevel="0" collapsed="false">
      <c r="A5" s="6"/>
      <c r="B5" s="9"/>
      <c r="C5" s="28" t="n">
        <f aca="false">Model_Start_Year+0</f>
        <v>2026</v>
      </c>
      <c r="D5" s="28" t="n">
        <f aca="false">Model_Start_Year+1</f>
        <v>2027</v>
      </c>
      <c r="E5" s="28" t="n">
        <f aca="false">Model_Start_Year+2</f>
        <v>2028</v>
      </c>
      <c r="F5" s="28" t="n">
        <f aca="false">Model_Start_Year+3</f>
        <v>2029</v>
      </c>
      <c r="G5" s="28" t="n">
        <f aca="false">Model_Start_Year+4</f>
        <v>2030</v>
      </c>
    </row>
    <row r="6" customFormat="false" ht="15" hidden="false" customHeight="false" outlineLevel="0" collapsed="false">
      <c r="A6" s="6"/>
      <c r="B6" s="29" t="s">
        <v>244</v>
      </c>
      <c r="C6" s="30" t="n">
        <f aca="false">COLUMN()-2</f>
        <v>1</v>
      </c>
      <c r="D6" s="30" t="n">
        <f aca="false">COLUMN()-2</f>
        <v>2</v>
      </c>
      <c r="E6" s="30" t="n">
        <f aca="false">COLUMN()-2</f>
        <v>3</v>
      </c>
      <c r="F6" s="30" t="n">
        <f aca="false">COLUMN()-2</f>
        <v>4</v>
      </c>
      <c r="G6" s="30" t="n">
        <f aca="false">COLUMN()-2</f>
        <v>5</v>
      </c>
    </row>
    <row r="7" customFormat="false" ht="15" hidden="false" customHeight="false" outlineLevel="0" collapsed="false">
      <c r="A7" s="6"/>
      <c r="B7" s="6"/>
      <c r="C7" s="6"/>
      <c r="D7" s="6"/>
      <c r="E7" s="6"/>
      <c r="F7" s="6"/>
      <c r="G7" s="6"/>
    </row>
    <row r="8" customFormat="false" ht="15" hidden="false" customHeight="false" outlineLevel="0" collapsed="false">
      <c r="A8" s="6"/>
      <c r="B8" s="9" t="s">
        <v>245</v>
      </c>
      <c r="C8" s="9"/>
      <c r="D8" s="9"/>
      <c r="E8" s="9"/>
      <c r="F8" s="9"/>
      <c r="G8" s="9"/>
    </row>
    <row r="9" customFormat="false" ht="15" hidden="false" customHeight="false" outlineLevel="0" collapsed="false">
      <c r="A9" s="6"/>
      <c r="B9" s="17" t="s">
        <v>246</v>
      </c>
      <c r="C9" s="18" t="n">
        <f aca="false">MAB_Limit+IF(C6&lt;=Growth_Capex_Yrs,Growth_Capex_Amt/Dollars_Per_M*MAB_Add_Per_Capex,0)</f>
        <v>3370</v>
      </c>
      <c r="D9" s="18" t="n">
        <f aca="false">C9+IF(D6&lt;=Growth_Capex_Yrs,Growth_Capex_Amt/Dollars_Per_M*MAB_Add_Per_Capex,0)</f>
        <v>3620</v>
      </c>
      <c r="E9" s="18" t="n">
        <f aca="false">D9+IF(E6&lt;=Growth_Capex_Yrs,Growth_Capex_Amt/Dollars_Per_M*MAB_Add_Per_Capex,0)</f>
        <v>3870</v>
      </c>
      <c r="F9" s="18" t="n">
        <f aca="false">E9+IF(F6&lt;=Growth_Capex_Yrs,Growth_Capex_Amt/Dollars_Per_M*MAB_Add_Per_Capex,0)</f>
        <v>3870</v>
      </c>
      <c r="G9" s="18" t="n">
        <f aca="false">F9+IF(G6&lt;=Growth_Capex_Yrs,Growth_Capex_Amt/Dollars_Per_M*MAB_Add_Per_Capex,0)</f>
        <v>3870</v>
      </c>
    </row>
    <row r="10" customFormat="false" ht="15" hidden="false" customHeight="false" outlineLevel="0" collapsed="false">
      <c r="A10" s="6"/>
      <c r="B10" s="31" t="s">
        <v>247</v>
      </c>
      <c r="C10" s="32" t="n">
        <f aca="false">Smolts_Stocked</f>
        <v>1000000</v>
      </c>
      <c r="D10" s="32" t="n">
        <f aca="false">C11*(1+Smolt_Growth_Pct)</f>
        <v>1050000</v>
      </c>
      <c r="E10" s="32" t="n">
        <f aca="false">D11*(1+Smolt_Growth_Pct)</f>
        <v>1102500</v>
      </c>
      <c r="F10" s="32" t="n">
        <f aca="false">E11*(1+Smolt_Growth_Pct)</f>
        <v>1157625</v>
      </c>
      <c r="G10" s="32" t="n">
        <f aca="false">F11*(1+Smolt_Growth_Pct)</f>
        <v>1215506.25</v>
      </c>
    </row>
    <row r="11" customFormat="false" ht="15" hidden="false" customHeight="false" outlineLevel="0" collapsed="false">
      <c r="A11" s="6"/>
      <c r="B11" s="8" t="s">
        <v>248</v>
      </c>
      <c r="C11" s="18" t="n">
        <f aca="false">MIN(C10,C9*1000/((Harvest_Weight+Smolt_Weight)/2*(1-Mortality_Rate)))</f>
        <v>1000000</v>
      </c>
      <c r="D11" s="18" t="n">
        <f aca="false">MIN(D10,D9*1000/((Harvest_Weight+Smolt_Weight)/2*(1-Mortality_Rate)))</f>
        <v>1050000</v>
      </c>
      <c r="E11" s="18" t="n">
        <f aca="false">MIN(E10,E9*1000/((Harvest_Weight+Smolt_Weight)/2*(1-Mortality_Rate)))</f>
        <v>1102500</v>
      </c>
      <c r="F11" s="18" t="n">
        <f aca="false">MIN(F10,F9*1000/((Harvest_Weight+Smolt_Weight)/2*(1-Mortality_Rate)))</f>
        <v>1157625</v>
      </c>
      <c r="G11" s="18" t="n">
        <f aca="false">MIN(G10,G9*1000/((Harvest_Weight+Smolt_Weight)/2*(1-Mortality_Rate)))</f>
        <v>1215506.25</v>
      </c>
    </row>
    <row r="12" customFormat="false" ht="15" hidden="false" customHeight="false" outlineLevel="0" collapsed="false">
      <c r="A12" s="6"/>
      <c r="B12" s="31" t="s">
        <v>249</v>
      </c>
      <c r="C12" s="33" t="n">
        <f aca="false">MAX(0,Mortality_Rate-Mortality_Improvement_Pct*(C6-1))</f>
        <v>0.15</v>
      </c>
      <c r="D12" s="33" t="n">
        <f aca="false">MAX(0,Mortality_Rate-Mortality_Improvement_Pct*(D6-1))</f>
        <v>0.145</v>
      </c>
      <c r="E12" s="33" t="n">
        <f aca="false">MAX(0,Mortality_Rate-Mortality_Improvement_Pct*(E6-1))</f>
        <v>0.14</v>
      </c>
      <c r="F12" s="33" t="n">
        <f aca="false">MAX(0,Mortality_Rate-Mortality_Improvement_Pct*(F6-1))</f>
        <v>0.135</v>
      </c>
      <c r="G12" s="33" t="n">
        <f aca="false">MAX(0,Mortality_Rate-Mortality_Improvement_Pct*(G6-1))</f>
        <v>0.13</v>
      </c>
    </row>
    <row r="13" customFormat="false" ht="15" hidden="false" customHeight="false" outlineLevel="0" collapsed="false">
      <c r="A13" s="6"/>
      <c r="B13" s="8" t="s">
        <v>250</v>
      </c>
      <c r="C13" s="18" t="n">
        <f aca="false">C11*(1-C12)</f>
        <v>850000</v>
      </c>
      <c r="D13" s="18" t="n">
        <f aca="false">D11*(1-D12)</f>
        <v>897750</v>
      </c>
      <c r="E13" s="18" t="n">
        <f aca="false">E11*(1-E12)</f>
        <v>948150</v>
      </c>
      <c r="F13" s="18" t="n">
        <f aca="false">F11*(1-F12)</f>
        <v>1001345.625</v>
      </c>
      <c r="G13" s="18" t="n">
        <f aca="false">G11*(1-G12)</f>
        <v>1057490.4375</v>
      </c>
    </row>
    <row r="14" customFormat="false" ht="15" hidden="false" customHeight="false" outlineLevel="0" collapsed="false">
      <c r="A14" s="6"/>
      <c r="B14" s="8" t="s">
        <v>251</v>
      </c>
      <c r="C14" s="34" t="n">
        <f aca="false">Harvest_Weight*(1+Harvest_Wt_Improvement_Pct)^(C6-1)</f>
        <v>4.5</v>
      </c>
      <c r="D14" s="34" t="n">
        <f aca="false">Harvest_Weight*(1+Harvest_Wt_Improvement_Pct)^(D6-1)</f>
        <v>4.545</v>
      </c>
      <c r="E14" s="34" t="n">
        <f aca="false">Harvest_Weight*(1+Harvest_Wt_Improvement_Pct)^(E6-1)</f>
        <v>4.59045</v>
      </c>
      <c r="F14" s="34" t="n">
        <f aca="false">Harvest_Weight*(1+Harvest_Wt_Improvement_Pct)^(F6-1)</f>
        <v>4.6363545</v>
      </c>
      <c r="G14" s="34" t="n">
        <f aca="false">Harvest_Weight*(1+Harvest_Wt_Improvement_Pct)^(G6-1)</f>
        <v>4.682718045</v>
      </c>
    </row>
    <row r="15" customFormat="false" ht="15" hidden="false" customHeight="false" outlineLevel="0" collapsed="false">
      <c r="A15" s="6"/>
      <c r="B15" s="8" t="s">
        <v>252</v>
      </c>
      <c r="C15" s="18" t="n">
        <f aca="false">IF(Harvest_Lag_Years=0,C13*C14/1000,IF(C6-Harvest_Lag_Years&lt;1,Y0_Harvest_Volume,INDEX($C$13:C13,C6-Harvest_Lag_Years)*INDEX($C$14:C14,C6-Harvest_Lag_Years)/1000))</f>
        <v>3825</v>
      </c>
      <c r="D15" s="18" t="n">
        <f aca="false">IF(Harvest_Lag_Years=0,D13*D14/1000,IF(D6-Harvest_Lag_Years&lt;1,Y0_Harvest_Volume,INDEX($C$13:D13,D6-Harvest_Lag_Years)*INDEX($C$14:D14,D6-Harvest_Lag_Years)/1000))</f>
        <v>4080.27375</v>
      </c>
      <c r="E15" s="18" t="n">
        <f aca="false">IF(Harvest_Lag_Years=0,E13*E14/1000,IF(E6-Harvest_Lag_Years&lt;1,Y0_Harvest_Volume,INDEX($C$13:E13,E6-Harvest_Lag_Years)*INDEX($C$14:E14,E6-Harvest_Lag_Years)/1000))</f>
        <v>4352.4351675</v>
      </c>
      <c r="F15" s="18" t="n">
        <f aca="false">IF(Harvest_Lag_Years=0,F13*F14/1000,IF(F6-Harvest_Lag_Years&lt;1,Y0_Harvest_Volume,INDEX($C$13:F13,F6-Harvest_Lag_Years)*INDEX($C$14:F14,F6-Harvest_Lag_Years)/1000))</f>
        <v>4642.59329452406</v>
      </c>
      <c r="G15" s="18" t="n">
        <f aca="false">IF(Harvest_Lag_Years=0,G13*G14/1000,IF(G6-Harvest_Lag_Years&lt;1,Y0_Harvest_Volume,INDEX($C$13:G13,G6-Harvest_Lag_Years)*INDEX($C$14:G14,G6-Harvest_Lag_Years)/1000))</f>
        <v>4951.92955409619</v>
      </c>
    </row>
    <row r="16" customFormat="false" ht="15" hidden="false" customHeight="false" outlineLevel="0" collapsed="false">
      <c r="A16" s="6"/>
      <c r="B16" s="8" t="s">
        <v>253</v>
      </c>
      <c r="C16" s="18" t="n">
        <f aca="false">C11*C12*(C14/2)/1000</f>
        <v>337.5</v>
      </c>
      <c r="D16" s="18" t="n">
        <f aca="false">D11*D12*(D14/2)/1000</f>
        <v>345.988125</v>
      </c>
      <c r="E16" s="18" t="n">
        <f aca="false">E11*E12*(E14/2)/1000</f>
        <v>354.26797875</v>
      </c>
      <c r="F16" s="18" t="n">
        <f aca="false">F11*F12*(F14/2)/1000</f>
        <v>362.283291769219</v>
      </c>
      <c r="G16" s="18" t="n">
        <f aca="false">G11*G12*(G14/2)/1000</f>
        <v>369.971748294543</v>
      </c>
    </row>
    <row r="17" customFormat="false" ht="15" hidden="false" customHeight="false" outlineLevel="0" collapsed="false">
      <c r="A17" s="6"/>
      <c r="B17" s="8" t="s">
        <v>254</v>
      </c>
      <c r="C17" s="18" t="n">
        <f aca="false">(C15+C16)-C11*Smolt_Weight/1000</f>
        <v>4012.5</v>
      </c>
      <c r="D17" s="18" t="n">
        <f aca="false">(D15+D16)-D11*Smolt_Weight/1000</f>
        <v>4268.761875</v>
      </c>
      <c r="E17" s="18" t="n">
        <f aca="false">(E15+E16)-E11*Smolt_Weight/1000</f>
        <v>4541.32814625</v>
      </c>
      <c r="F17" s="18" t="n">
        <f aca="false">(F15+F16)-F11*Smolt_Weight/1000</f>
        <v>4831.23283629328</v>
      </c>
      <c r="G17" s="18" t="n">
        <f aca="false">(G15+G16)-G11*Smolt_Weight/1000</f>
        <v>5139.57536489074</v>
      </c>
    </row>
    <row r="18" customFormat="false" ht="15" hidden="false" customHeight="false" outlineLevel="0" collapsed="false">
      <c r="A18" s="6"/>
      <c r="B18" s="8" t="s">
        <v>255</v>
      </c>
      <c r="C18" s="18" t="n">
        <f aca="false">C17*EFCR</f>
        <v>5015.625</v>
      </c>
      <c r="D18" s="18" t="n">
        <f aca="false">D17*EFCR</f>
        <v>5335.95234375</v>
      </c>
      <c r="E18" s="18" t="n">
        <f aca="false">E17*EFCR</f>
        <v>5676.6601828125</v>
      </c>
      <c r="F18" s="18" t="n">
        <f aca="false">F17*EFCR</f>
        <v>6039.0410453666</v>
      </c>
      <c r="G18" s="18" t="n">
        <f aca="false">G17*EFCR</f>
        <v>6424.46920611342</v>
      </c>
    </row>
    <row r="19" customFormat="false" ht="15" hidden="false" customHeight="false" outlineLevel="0" collapsed="false">
      <c r="A19" s="6"/>
      <c r="B19" s="8" t="s">
        <v>256</v>
      </c>
      <c r="C19" s="18" t="n">
        <f aca="false">C13*(C14+Smolt_Weight)/(2*1000)</f>
        <v>1976.25</v>
      </c>
      <c r="D19" s="18" t="n">
        <f aca="false">D13*(D14+Smolt_Weight)/(2*1000)</f>
        <v>2107.468125</v>
      </c>
      <c r="E19" s="18" t="n">
        <f aca="false">E13*(E14+Smolt_Weight)/(2*1000)</f>
        <v>2247.32883375</v>
      </c>
      <c r="F19" s="18" t="n">
        <f aca="false">F13*(F14+Smolt_Weight)/(2*1000)</f>
        <v>2396.39756913703</v>
      </c>
      <c r="G19" s="18" t="n">
        <f aca="false">G13*(G14+Smolt_Weight)/(2*1000)</f>
        <v>2555.2765598606</v>
      </c>
    </row>
    <row r="20" customFormat="false" ht="15" hidden="false" customHeight="false" outlineLevel="0" collapsed="false">
      <c r="A20" s="6"/>
      <c r="B20" s="8" t="s">
        <v>257</v>
      </c>
      <c r="C20" s="35" t="str">
        <f aca="false">IF(C19&lt;=C9,"OK","BREACH")</f>
        <v>OK</v>
      </c>
      <c r="D20" s="35" t="str">
        <f aca="false">IF(D19&lt;=D9,"OK","BREACH")</f>
        <v>OK</v>
      </c>
      <c r="E20" s="35" t="str">
        <f aca="false">IF(E19&lt;=E9,"OK","BREACH")</f>
        <v>OK</v>
      </c>
      <c r="F20" s="35" t="str">
        <f aca="false">IF(F19&lt;=F9,"OK","BREACH")</f>
        <v>OK</v>
      </c>
      <c r="G20" s="35" t="str">
        <f aca="false">IF(G19&lt;=G9,"OK","BREACH")</f>
        <v>OK</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70AD47"/>
    <pageSetUpPr fitToPage="false"/>
  </sheetPr>
  <dimension ref="A1:AD18"/>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0"/>
    <col collapsed="false" customWidth="true" hidden="false" outlineLevel="0" max="7" min="3" style="0" width="18"/>
  </cols>
  <sheetData>
    <row r="1" customFormat="false" ht="15" hidden="false" customHeight="false" outlineLevel="0" collapsed="false">
      <c r="A1" s="1"/>
      <c r="B1" s="1"/>
      <c r="C1" s="1"/>
      <c r="D1" s="1"/>
      <c r="E1" s="1"/>
      <c r="F1" s="1"/>
      <c r="G1" s="1"/>
      <c r="H1" s="2"/>
      <c r="I1" s="2"/>
      <c r="J1" s="2"/>
      <c r="K1" s="2"/>
      <c r="L1" s="2"/>
      <c r="M1" s="2"/>
      <c r="N1" s="2"/>
      <c r="O1" s="2"/>
      <c r="P1" s="2"/>
      <c r="Q1" s="2"/>
      <c r="R1" s="2"/>
      <c r="S1" s="2"/>
      <c r="T1" s="2"/>
      <c r="U1" s="2"/>
      <c r="V1" s="2"/>
      <c r="W1" s="2"/>
      <c r="X1" s="2"/>
      <c r="Y1" s="2"/>
      <c r="Z1" s="2"/>
      <c r="AA1" s="2"/>
      <c r="AB1" s="2"/>
      <c r="AC1" s="2"/>
      <c r="AD1" s="2"/>
    </row>
    <row r="2" customFormat="false" ht="21.75" hidden="false" customHeight="true" outlineLevel="0" collapsed="false">
      <c r="A2" s="1"/>
      <c r="B2" s="3" t="s">
        <v>18</v>
      </c>
      <c r="C2" s="1"/>
      <c r="D2" s="1"/>
      <c r="E2" s="1"/>
      <c r="F2" s="1"/>
      <c r="G2" s="1"/>
      <c r="H2" s="2"/>
      <c r="I2" s="2"/>
      <c r="J2" s="2"/>
      <c r="K2" s="2"/>
      <c r="L2" s="2"/>
      <c r="M2" s="2"/>
      <c r="N2" s="2"/>
      <c r="O2" s="2"/>
      <c r="P2" s="2"/>
      <c r="Q2" s="2"/>
      <c r="R2" s="2"/>
      <c r="S2" s="2"/>
      <c r="T2" s="2"/>
      <c r="U2" s="2"/>
      <c r="V2" s="2"/>
      <c r="W2" s="2"/>
      <c r="X2" s="2"/>
      <c r="Y2" s="2"/>
      <c r="Z2" s="2"/>
      <c r="AA2" s="2"/>
      <c r="AB2" s="2"/>
      <c r="AC2" s="2"/>
      <c r="AD2" s="2"/>
    </row>
    <row r="3" customFormat="false" ht="15" hidden="false" customHeight="false" outlineLevel="0" collapsed="false">
      <c r="A3" s="1"/>
      <c r="B3" s="5" t="s">
        <v>258</v>
      </c>
      <c r="C3" s="1"/>
      <c r="D3" s="1"/>
      <c r="E3" s="1"/>
      <c r="F3" s="1"/>
      <c r="G3" s="1"/>
      <c r="H3" s="2"/>
      <c r="I3" s="2"/>
      <c r="J3" s="2"/>
      <c r="K3" s="2"/>
      <c r="L3" s="2"/>
      <c r="M3" s="2"/>
      <c r="N3" s="2"/>
      <c r="O3" s="2"/>
      <c r="P3" s="2"/>
      <c r="Q3" s="2"/>
      <c r="R3" s="2"/>
      <c r="S3" s="2"/>
      <c r="T3" s="2"/>
      <c r="U3" s="2"/>
      <c r="V3" s="2"/>
      <c r="W3" s="2"/>
      <c r="X3" s="2"/>
      <c r="Y3" s="2"/>
      <c r="Z3" s="2"/>
      <c r="AA3" s="2"/>
      <c r="AB3" s="2"/>
      <c r="AC3" s="2"/>
      <c r="AD3" s="2"/>
    </row>
    <row r="4" customFormat="false" ht="15" hidden="false" customHeight="false" outlineLevel="0" collapsed="false">
      <c r="A4" s="6"/>
      <c r="B4" s="6"/>
      <c r="C4" s="6"/>
      <c r="D4" s="6"/>
      <c r="E4" s="6"/>
      <c r="F4" s="6"/>
      <c r="G4" s="6"/>
    </row>
    <row r="5" customFormat="false" ht="15" hidden="false" customHeight="false" outlineLevel="0" collapsed="false">
      <c r="A5" s="6"/>
      <c r="B5" s="9"/>
      <c r="C5" s="28" t="n">
        <f aca="false">Model_Start_Year+0</f>
        <v>2026</v>
      </c>
      <c r="D5" s="28" t="n">
        <f aca="false">Model_Start_Year+1</f>
        <v>2027</v>
      </c>
      <c r="E5" s="28" t="n">
        <f aca="false">Model_Start_Year+2</f>
        <v>2028</v>
      </c>
      <c r="F5" s="28" t="n">
        <f aca="false">Model_Start_Year+3</f>
        <v>2029</v>
      </c>
      <c r="G5" s="28" t="n">
        <f aca="false">Model_Start_Year+4</f>
        <v>2030</v>
      </c>
    </row>
    <row r="6" customFormat="false" ht="15" hidden="false" customHeight="false" outlineLevel="0" collapsed="false">
      <c r="A6" s="6"/>
      <c r="B6" s="29" t="s">
        <v>244</v>
      </c>
      <c r="C6" s="30" t="n">
        <f aca="false">COLUMN()-2</f>
        <v>1</v>
      </c>
      <c r="D6" s="30" t="n">
        <f aca="false">COLUMN()-2</f>
        <v>2</v>
      </c>
      <c r="E6" s="30" t="n">
        <f aca="false">COLUMN()-2</f>
        <v>3</v>
      </c>
      <c r="F6" s="30" t="n">
        <f aca="false">COLUMN()-2</f>
        <v>4</v>
      </c>
      <c r="G6" s="30" t="n">
        <f aca="false">COLUMN()-2</f>
        <v>5</v>
      </c>
    </row>
    <row r="7" customFormat="false" ht="15" hidden="false" customHeight="false" outlineLevel="0" collapsed="false">
      <c r="A7" s="6"/>
      <c r="B7" s="6"/>
      <c r="C7" s="6"/>
      <c r="D7" s="6"/>
      <c r="E7" s="6"/>
      <c r="F7" s="6"/>
      <c r="G7" s="6"/>
    </row>
    <row r="8" customFormat="false" ht="15" hidden="false" customHeight="false" outlineLevel="0" collapsed="false">
      <c r="A8" s="6"/>
      <c r="B8" s="9" t="s">
        <v>259</v>
      </c>
      <c r="C8" s="9"/>
      <c r="D8" s="9"/>
      <c r="E8" s="9"/>
      <c r="F8" s="9"/>
      <c r="G8" s="9"/>
    </row>
    <row r="9" customFormat="false" ht="15" hidden="false" customHeight="false" outlineLevel="0" collapsed="false">
      <c r="A9" s="6"/>
      <c r="B9" s="8" t="s">
        <v>72</v>
      </c>
      <c r="C9" s="18" t="n">
        <f aca="false">PS_Harvest_Vol</f>
        <v>3825</v>
      </c>
      <c r="D9" s="18" t="n">
        <f aca="false">PS_Harvest_Vol</f>
        <v>4080.27375</v>
      </c>
      <c r="E9" s="18" t="n">
        <f aca="false">PS_Harvest_Vol</f>
        <v>4352.4351675</v>
      </c>
      <c r="F9" s="18" t="n">
        <f aca="false">PS_Harvest_Vol</f>
        <v>4642.59329452406</v>
      </c>
      <c r="G9" s="18" t="n">
        <f aca="false">PS_Harvest_Vol</f>
        <v>4951.92955409619</v>
      </c>
    </row>
    <row r="10" customFormat="false" ht="15" hidden="false" customHeight="false" outlineLevel="0" collapsed="false">
      <c r="A10" s="6"/>
      <c r="B10" s="36" t="s">
        <v>260</v>
      </c>
      <c r="C10" s="18" t="n">
        <f aca="false">C9*(1-Downgrade_Pct)</f>
        <v>3442.5</v>
      </c>
      <c r="D10" s="18" t="n">
        <f aca="false">D9*(1-Downgrade_Pct)</f>
        <v>3672.246375</v>
      </c>
      <c r="E10" s="18" t="n">
        <f aca="false">E9*(1-Downgrade_Pct)</f>
        <v>3917.19165075</v>
      </c>
      <c r="F10" s="18" t="n">
        <f aca="false">F9*(1-Downgrade_Pct)</f>
        <v>4178.33396507166</v>
      </c>
      <c r="G10" s="18" t="n">
        <f aca="false">G9*(1-Downgrade_Pct)</f>
        <v>4456.73659868657</v>
      </c>
    </row>
    <row r="11" customFormat="false" ht="15" hidden="false" customHeight="false" outlineLevel="0" collapsed="false">
      <c r="A11" s="6"/>
      <c r="B11" s="36" t="s">
        <v>261</v>
      </c>
      <c r="C11" s="18" t="n">
        <f aca="false">C9*Downgrade_Pct</f>
        <v>382.5</v>
      </c>
      <c r="D11" s="18" t="n">
        <f aca="false">D9*Downgrade_Pct</f>
        <v>408.027375</v>
      </c>
      <c r="E11" s="18" t="n">
        <f aca="false">E9*Downgrade_Pct</f>
        <v>435.24351675</v>
      </c>
      <c r="F11" s="18" t="n">
        <f aca="false">F9*Downgrade_Pct</f>
        <v>464.259329452406</v>
      </c>
      <c r="G11" s="18" t="n">
        <f aca="false">G9*Downgrade_Pct</f>
        <v>495.192955409619</v>
      </c>
    </row>
    <row r="12" customFormat="false" ht="15" hidden="false" customHeight="false" outlineLevel="0" collapsed="false">
      <c r="A12" s="6"/>
      <c r="B12" s="8" t="s">
        <v>262</v>
      </c>
      <c r="C12" s="37" t="n">
        <f aca="false">Premium_Price*(1+Price_Growth)^(C6-1)</f>
        <v>7.5</v>
      </c>
      <c r="D12" s="37" t="n">
        <f aca="false">Premium_Price*(1+Price_Growth)^(D6-1)</f>
        <v>7.65</v>
      </c>
      <c r="E12" s="37" t="n">
        <f aca="false">Premium_Price*(1+Price_Growth)^(E6-1)</f>
        <v>7.803</v>
      </c>
      <c r="F12" s="37" t="n">
        <f aca="false">Premium_Price*(1+Price_Growth)^(F6-1)</f>
        <v>7.95906</v>
      </c>
      <c r="G12" s="37" t="n">
        <f aca="false">Premium_Price*(1+Price_Growth)^(G6-1)</f>
        <v>8.1182412</v>
      </c>
    </row>
    <row r="13" customFormat="false" ht="15" hidden="false" customHeight="false" outlineLevel="0" collapsed="false">
      <c r="A13" s="6"/>
      <c r="B13" s="36" t="s">
        <v>263</v>
      </c>
      <c r="C13" s="37" t="n">
        <f aca="false">C12*(1-Downgrade_Disc)</f>
        <v>4.5</v>
      </c>
      <c r="D13" s="37" t="n">
        <f aca="false">D12*(1-Downgrade_Disc)</f>
        <v>4.59</v>
      </c>
      <c r="E13" s="37" t="n">
        <f aca="false">E12*(1-Downgrade_Disc)</f>
        <v>4.6818</v>
      </c>
      <c r="F13" s="37" t="n">
        <f aca="false">F12*(1-Downgrade_Disc)</f>
        <v>4.775436</v>
      </c>
      <c r="G13" s="37" t="n">
        <f aca="false">G12*(1-Downgrade_Disc)</f>
        <v>4.87094472</v>
      </c>
    </row>
    <row r="14" customFormat="false" ht="15" hidden="false" customHeight="false" outlineLevel="0" collapsed="false">
      <c r="A14" s="6"/>
      <c r="B14" s="9" t="s">
        <v>264</v>
      </c>
      <c r="C14" s="9"/>
      <c r="D14" s="9"/>
      <c r="E14" s="9"/>
      <c r="F14" s="9"/>
      <c r="G14" s="9"/>
    </row>
    <row r="15" customFormat="false" ht="15" hidden="false" customHeight="false" outlineLevel="0" collapsed="false">
      <c r="A15" s="6"/>
      <c r="B15" s="36" t="s">
        <v>265</v>
      </c>
      <c r="C15" s="18" t="n">
        <f aca="false">C10*1000*C12</f>
        <v>25818750</v>
      </c>
      <c r="D15" s="18" t="n">
        <f aca="false">D10*1000*D12</f>
        <v>28092684.76875</v>
      </c>
      <c r="E15" s="18" t="n">
        <f aca="false">E10*1000*E12</f>
        <v>30565846.4508023</v>
      </c>
      <c r="F15" s="18" t="n">
        <f aca="false">F10*1000*F12</f>
        <v>33255610.7280432</v>
      </c>
      <c r="G15" s="18" t="n">
        <f aca="false">G10*1000*G12</f>
        <v>36180862.6730052</v>
      </c>
    </row>
    <row r="16" customFormat="false" ht="15" hidden="false" customHeight="false" outlineLevel="0" collapsed="false">
      <c r="A16" s="6"/>
      <c r="B16" s="36" t="s">
        <v>266</v>
      </c>
      <c r="C16" s="18" t="n">
        <f aca="false">C11*1000*C13</f>
        <v>1721250</v>
      </c>
      <c r="D16" s="18" t="n">
        <f aca="false">D11*1000*D13</f>
        <v>1872845.65125</v>
      </c>
      <c r="E16" s="18" t="n">
        <f aca="false">E11*1000*E13</f>
        <v>2037723.09672015</v>
      </c>
      <c r="F16" s="18" t="n">
        <f aca="false">F11*1000*F13</f>
        <v>2217040.71520288</v>
      </c>
      <c r="G16" s="18" t="n">
        <f aca="false">G11*1000*G13</f>
        <v>2412057.51153368</v>
      </c>
    </row>
    <row r="17" customFormat="false" ht="15" hidden="false" customHeight="false" outlineLevel="0" collapsed="false">
      <c r="A17" s="6"/>
      <c r="B17" s="6"/>
      <c r="C17" s="6"/>
      <c r="D17" s="6"/>
      <c r="E17" s="6"/>
      <c r="F17" s="6"/>
      <c r="G17" s="6"/>
    </row>
    <row r="18" customFormat="false" ht="15" hidden="false" customHeight="false" outlineLevel="0" collapsed="false">
      <c r="A18" s="6"/>
      <c r="B18" s="7" t="s">
        <v>267</v>
      </c>
      <c r="C18" s="38" t="n">
        <f aca="false">C15+C16</f>
        <v>27540000</v>
      </c>
      <c r="D18" s="38" t="n">
        <f aca="false">D15+D16</f>
        <v>29965530.42</v>
      </c>
      <c r="E18" s="38" t="n">
        <f aca="false">E15+E16</f>
        <v>32603569.5475224</v>
      </c>
      <c r="F18" s="38" t="n">
        <f aca="false">F15+F16</f>
        <v>35472651.4432461</v>
      </c>
      <c r="G18" s="38" t="n">
        <f aca="false">G15+G16</f>
        <v>38592920.1845389</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ED7D31"/>
    <pageSetUpPr fitToPage="false"/>
  </sheetPr>
  <dimension ref="A1:AD23"/>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0"/>
    <col collapsed="false" customWidth="true" hidden="false" outlineLevel="0" max="7" min="3" style="0" width="18"/>
  </cols>
  <sheetData>
    <row r="1" customFormat="false" ht="15" hidden="false" customHeight="false" outlineLevel="0" collapsed="false">
      <c r="A1" s="1"/>
      <c r="B1" s="1"/>
      <c r="C1" s="1"/>
      <c r="D1" s="1"/>
      <c r="E1" s="1"/>
      <c r="F1" s="1"/>
      <c r="G1" s="1"/>
      <c r="H1" s="2"/>
      <c r="I1" s="2"/>
      <c r="J1" s="2"/>
      <c r="K1" s="2"/>
      <c r="L1" s="2"/>
      <c r="M1" s="2"/>
      <c r="N1" s="2"/>
      <c r="O1" s="2"/>
      <c r="P1" s="2"/>
      <c r="Q1" s="2"/>
      <c r="R1" s="2"/>
      <c r="S1" s="2"/>
      <c r="T1" s="2"/>
      <c r="U1" s="2"/>
      <c r="V1" s="2"/>
      <c r="W1" s="2"/>
      <c r="X1" s="2"/>
      <c r="Y1" s="2"/>
      <c r="Z1" s="2"/>
      <c r="AA1" s="2"/>
      <c r="AB1" s="2"/>
      <c r="AC1" s="2"/>
      <c r="AD1" s="2"/>
    </row>
    <row r="2" customFormat="false" ht="21.75" hidden="false" customHeight="true" outlineLevel="0" collapsed="false">
      <c r="A2" s="1"/>
      <c r="B2" s="3" t="s">
        <v>268</v>
      </c>
      <c r="C2" s="1"/>
      <c r="D2" s="1"/>
      <c r="E2" s="1"/>
      <c r="F2" s="1"/>
      <c r="G2" s="1"/>
      <c r="H2" s="2"/>
      <c r="I2" s="2"/>
      <c r="J2" s="2"/>
      <c r="K2" s="2"/>
      <c r="L2" s="2"/>
      <c r="M2" s="2"/>
      <c r="N2" s="2"/>
      <c r="O2" s="2"/>
      <c r="P2" s="2"/>
      <c r="Q2" s="2"/>
      <c r="R2" s="2"/>
      <c r="S2" s="2"/>
      <c r="T2" s="2"/>
      <c r="U2" s="2"/>
      <c r="V2" s="2"/>
      <c r="W2" s="2"/>
      <c r="X2" s="2"/>
      <c r="Y2" s="2"/>
      <c r="Z2" s="2"/>
      <c r="AA2" s="2"/>
      <c r="AB2" s="2"/>
      <c r="AC2" s="2"/>
      <c r="AD2" s="2"/>
    </row>
    <row r="3" customFormat="false" ht="15" hidden="false" customHeight="false" outlineLevel="0" collapsed="false">
      <c r="A3" s="1"/>
      <c r="B3" s="5" t="s">
        <v>269</v>
      </c>
      <c r="C3" s="1"/>
      <c r="D3" s="1"/>
      <c r="E3" s="1"/>
      <c r="F3" s="1"/>
      <c r="G3" s="1"/>
      <c r="H3" s="2"/>
      <c r="I3" s="2"/>
      <c r="J3" s="2"/>
      <c r="K3" s="2"/>
      <c r="L3" s="2"/>
      <c r="M3" s="2"/>
      <c r="N3" s="2"/>
      <c r="O3" s="2"/>
      <c r="P3" s="2"/>
      <c r="Q3" s="2"/>
      <c r="R3" s="2"/>
      <c r="S3" s="2"/>
      <c r="T3" s="2"/>
      <c r="U3" s="2"/>
      <c r="V3" s="2"/>
      <c r="W3" s="2"/>
      <c r="X3" s="2"/>
      <c r="Y3" s="2"/>
      <c r="Z3" s="2"/>
      <c r="AA3" s="2"/>
      <c r="AB3" s="2"/>
      <c r="AC3" s="2"/>
      <c r="AD3" s="2"/>
    </row>
    <row r="4" customFormat="false" ht="15" hidden="false" customHeight="false" outlineLevel="0" collapsed="false">
      <c r="A4" s="6"/>
      <c r="B4" s="6"/>
      <c r="C4" s="6"/>
      <c r="D4" s="6"/>
      <c r="E4" s="6"/>
      <c r="F4" s="6"/>
      <c r="G4" s="6"/>
    </row>
    <row r="5" customFormat="false" ht="15" hidden="false" customHeight="false" outlineLevel="0" collapsed="false">
      <c r="A5" s="6"/>
      <c r="B5" s="9"/>
      <c r="C5" s="28" t="n">
        <f aca="false">Model_Start_Year+0</f>
        <v>2026</v>
      </c>
      <c r="D5" s="28" t="n">
        <f aca="false">Model_Start_Year+1</f>
        <v>2027</v>
      </c>
      <c r="E5" s="28" t="n">
        <f aca="false">Model_Start_Year+2</f>
        <v>2028</v>
      </c>
      <c r="F5" s="28" t="n">
        <f aca="false">Model_Start_Year+3</f>
        <v>2029</v>
      </c>
      <c r="G5" s="28" t="n">
        <f aca="false">Model_Start_Year+4</f>
        <v>2030</v>
      </c>
    </row>
    <row r="6" customFormat="false" ht="15" hidden="false" customHeight="false" outlineLevel="0" collapsed="false">
      <c r="A6" s="6"/>
      <c r="B6" s="29" t="s">
        <v>244</v>
      </c>
      <c r="C6" s="30" t="n">
        <f aca="false">COLUMN()-2</f>
        <v>1</v>
      </c>
      <c r="D6" s="30" t="n">
        <f aca="false">COLUMN()-2</f>
        <v>2</v>
      </c>
      <c r="E6" s="30" t="n">
        <f aca="false">COLUMN()-2</f>
        <v>3</v>
      </c>
      <c r="F6" s="30" t="n">
        <f aca="false">COLUMN()-2</f>
        <v>4</v>
      </c>
      <c r="G6" s="30" t="n">
        <f aca="false">COLUMN()-2</f>
        <v>5</v>
      </c>
    </row>
    <row r="7" customFormat="false" ht="15" hidden="false" customHeight="false" outlineLevel="0" collapsed="false">
      <c r="A7" s="6"/>
      <c r="B7" s="6"/>
      <c r="C7" s="6"/>
      <c r="D7" s="6"/>
      <c r="E7" s="6"/>
      <c r="F7" s="6"/>
      <c r="G7" s="6"/>
    </row>
    <row r="8" customFormat="false" ht="15" hidden="false" customHeight="false" outlineLevel="0" collapsed="false">
      <c r="A8" s="6"/>
      <c r="B8" s="9" t="s">
        <v>270</v>
      </c>
      <c r="C8" s="9"/>
      <c r="D8" s="9"/>
      <c r="E8" s="9"/>
      <c r="F8" s="9"/>
      <c r="G8" s="9"/>
    </row>
    <row r="9" customFormat="false" ht="15" hidden="false" customHeight="false" outlineLevel="0" collapsed="false">
      <c r="A9" s="6"/>
      <c r="B9" s="36" t="s">
        <v>271</v>
      </c>
      <c r="C9" s="18" t="n">
        <f aca="false">PS_Feed_Consumed*1000*Feed_Price*(1+Feed_Inflation)^(C6-1)</f>
        <v>8025000</v>
      </c>
      <c r="D9" s="18" t="n">
        <f aca="false">PS_Feed_Consumed*1000*Feed_Price*(1+Feed_Inflation)^(D6-1)</f>
        <v>8793649.4625</v>
      </c>
      <c r="E9" s="18" t="n">
        <f aca="false">PS_Feed_Consumed*1000*Feed_Price*(1+Feed_Inflation)^(E6-1)</f>
        <v>9635790.06071325</v>
      </c>
      <c r="F9" s="18" t="n">
        <f aca="false">PS_Feed_Consumed*1000*Feed_Price*(1+Feed_Inflation)^(F6-1)</f>
        <v>10558437.1270085</v>
      </c>
      <c r="G9" s="18" t="n">
        <f aca="false">PS_Feed_Consumed*1000*Feed_Price*(1+Feed_Inflation)^(G6-1)</f>
        <v>11569274.705687</v>
      </c>
    </row>
    <row r="10" customFormat="false" ht="15" hidden="false" customHeight="false" outlineLevel="0" collapsed="false">
      <c r="A10" s="6"/>
      <c r="B10" s="36" t="s">
        <v>272</v>
      </c>
      <c r="C10" s="18" t="n">
        <f aca="false">PS_Smolts*Smolt_Cost*(1+Smolt_Inflation)^(C6-1)</f>
        <v>1800000</v>
      </c>
      <c r="D10" s="18" t="n">
        <f aca="false">PS_Smolts*Smolt_Cost*(1+Smolt_Inflation)^(D6-1)</f>
        <v>1927800</v>
      </c>
      <c r="E10" s="18" t="n">
        <f aca="false">PS_Smolts*Smolt_Cost*(1+Smolt_Inflation)^(E6-1)</f>
        <v>2064673.8</v>
      </c>
      <c r="F10" s="18" t="n">
        <f aca="false">PS_Smolts*Smolt_Cost*(1+Smolt_Inflation)^(F6-1)</f>
        <v>2211265.6398</v>
      </c>
      <c r="G10" s="18" t="n">
        <f aca="false">PS_Smolts*Smolt_Cost*(1+Smolt_Inflation)^(G6-1)</f>
        <v>2368265.5002258</v>
      </c>
    </row>
    <row r="11" customFormat="false" ht="15" hidden="false" customHeight="false" outlineLevel="0" collapsed="false">
      <c r="A11" s="6"/>
      <c r="B11" s="36" t="s">
        <v>134</v>
      </c>
      <c r="C11" s="18" t="n">
        <f aca="false">PS_Harvest_Vol*1000*Processing_Cost*(1+Processing_Infl)^(C6-1)</f>
        <v>3060000</v>
      </c>
      <c r="D11" s="18" t="n">
        <f aca="false">PS_Harvest_Vol*1000*Processing_Cost*(1+Processing_Infl)^(D6-1)</f>
        <v>3329503.38</v>
      </c>
      <c r="E11" s="18" t="n">
        <f aca="false">PS_Harvest_Vol*1000*Processing_Cost*(1+Processing_Infl)^(E6-1)</f>
        <v>3622618.8386136</v>
      </c>
      <c r="F11" s="18" t="n">
        <f aca="false">PS_Harvest_Vol*1000*Processing_Cost*(1+Processing_Infl)^(F6-1)</f>
        <v>3941405.71591623</v>
      </c>
      <c r="G11" s="18" t="n">
        <f aca="false">PS_Harvest_Vol*1000*Processing_Cost*(1+Processing_Infl)^(G6-1)</f>
        <v>4288102.24272654</v>
      </c>
    </row>
    <row r="12" customFormat="false" ht="15" hidden="false" customHeight="false" outlineLevel="0" collapsed="false">
      <c r="A12" s="6"/>
      <c r="B12" s="36" t="s">
        <v>273</v>
      </c>
      <c r="C12" s="18" t="n">
        <f aca="false">(C9+C10+C11)*Health_Pct</f>
        <v>644250</v>
      </c>
      <c r="D12" s="18" t="n">
        <f aca="false">(D9+D10+D11)*Health_Pct</f>
        <v>702547.642125</v>
      </c>
      <c r="E12" s="18" t="n">
        <f aca="false">(E9+E10+E11)*Health_Pct</f>
        <v>766154.134966343</v>
      </c>
      <c r="F12" s="18" t="n">
        <f aca="false">(F9+F10+F11)*Health_Pct</f>
        <v>835555.424136237</v>
      </c>
      <c r="G12" s="18" t="n">
        <f aca="false">(G9+G10+G11)*Health_Pct</f>
        <v>911282.122431966</v>
      </c>
    </row>
    <row r="13" customFormat="false" ht="15" hidden="false" customHeight="false" outlineLevel="0" collapsed="false">
      <c r="A13" s="6"/>
      <c r="B13" s="7" t="s">
        <v>274</v>
      </c>
      <c r="C13" s="39" t="n">
        <f aca="false">SUM(C9:C12)</f>
        <v>13529250</v>
      </c>
      <c r="D13" s="39" t="n">
        <f aca="false">SUM(D9:D12)</f>
        <v>14753500.484625</v>
      </c>
      <c r="E13" s="39" t="n">
        <f aca="false">SUM(E9:E12)</f>
        <v>16089236.8342932</v>
      </c>
      <c r="F13" s="39" t="n">
        <f aca="false">SUM(F9:F12)</f>
        <v>17546663.906861</v>
      </c>
      <c r="G13" s="39" t="n">
        <f aca="false">SUM(G9:G12)</f>
        <v>19136924.5710713</v>
      </c>
    </row>
    <row r="14" customFormat="false" ht="15" hidden="false" customHeight="false" outlineLevel="0" collapsed="false">
      <c r="A14" s="6"/>
      <c r="B14" s="6"/>
      <c r="C14" s="6"/>
      <c r="D14" s="6"/>
      <c r="E14" s="6"/>
      <c r="F14" s="6"/>
      <c r="G14" s="6"/>
    </row>
    <row r="15" customFormat="false" ht="15" hidden="false" customHeight="false" outlineLevel="0" collapsed="false">
      <c r="A15" s="6"/>
      <c r="B15" s="36" t="s">
        <v>139</v>
      </c>
      <c r="C15" s="18" t="n">
        <f aca="false">C13*Site_Overhead_Pct</f>
        <v>2029387.5</v>
      </c>
      <c r="D15" s="18" t="n">
        <f aca="false">D13*Site_Overhead_Pct</f>
        <v>2213025.07269375</v>
      </c>
      <c r="E15" s="18" t="n">
        <f aca="false">E13*Site_Overhead_Pct</f>
        <v>2413385.52514398</v>
      </c>
      <c r="F15" s="18" t="n">
        <f aca="false">F13*Site_Overhead_Pct</f>
        <v>2631999.58602915</v>
      </c>
      <c r="G15" s="18" t="n">
        <f aca="false">G13*Site_Overhead_Pct</f>
        <v>2870538.68566069</v>
      </c>
    </row>
    <row r="16" customFormat="false" ht="15" hidden="false" customHeight="false" outlineLevel="0" collapsed="false">
      <c r="A16" s="6"/>
      <c r="B16" s="7" t="s">
        <v>275</v>
      </c>
      <c r="C16" s="38" t="n">
        <f aca="false">C13+C15</f>
        <v>15558637.5</v>
      </c>
      <c r="D16" s="38" t="n">
        <f aca="false">D13+D15</f>
        <v>16966525.5573188</v>
      </c>
      <c r="E16" s="38" t="n">
        <f aca="false">E13+E15</f>
        <v>18502622.3594372</v>
      </c>
      <c r="F16" s="38" t="n">
        <f aca="false">F13+F15</f>
        <v>20178663.4928901</v>
      </c>
      <c r="G16" s="38" t="n">
        <f aca="false">G13+G15</f>
        <v>22007463.256732</v>
      </c>
    </row>
    <row r="17" customFormat="false" ht="15" hidden="false" customHeight="false" outlineLevel="0" collapsed="false">
      <c r="A17" s="6"/>
      <c r="B17" s="6"/>
      <c r="C17" s="6"/>
      <c r="D17" s="6"/>
      <c r="E17" s="6"/>
      <c r="F17" s="6"/>
      <c r="G17" s="6"/>
    </row>
    <row r="18" customFormat="false" ht="15" hidden="false" customHeight="false" outlineLevel="0" collapsed="false">
      <c r="A18" s="6"/>
      <c r="B18" s="9" t="s">
        <v>141</v>
      </c>
      <c r="C18" s="9"/>
      <c r="D18" s="9"/>
      <c r="E18" s="9"/>
      <c r="F18" s="9"/>
      <c r="G18" s="9"/>
    </row>
    <row r="19" customFormat="false" ht="15" hidden="false" customHeight="false" outlineLevel="0" collapsed="false">
      <c r="A19" s="6"/>
      <c r="B19" s="36" t="s">
        <v>276</v>
      </c>
      <c r="C19" s="18" t="n">
        <f aca="false">GA_Base*(1+GA_Growth)^(C6-1)</f>
        <v>2000000</v>
      </c>
      <c r="D19" s="18" t="n">
        <f aca="false">GA_Base*(1+GA_Growth)^(D6-1)</f>
        <v>2060000</v>
      </c>
      <c r="E19" s="18" t="n">
        <f aca="false">GA_Base*(1+GA_Growth)^(E6-1)</f>
        <v>2121800</v>
      </c>
      <c r="F19" s="18" t="n">
        <f aca="false">GA_Base*(1+GA_Growth)^(F6-1)</f>
        <v>2185454</v>
      </c>
      <c r="G19" s="18" t="n">
        <f aca="false">GA_Base*(1+GA_Growth)^(G6-1)</f>
        <v>2251017.62</v>
      </c>
    </row>
    <row r="20" customFormat="false" ht="15" hidden="false" customHeight="false" outlineLevel="0" collapsed="false">
      <c r="A20" s="6"/>
      <c r="B20" s="36" t="s">
        <v>277</v>
      </c>
      <c r="C20" s="18" t="n">
        <f aca="false">WC_Bio_Inv*Insurance_Pct</f>
        <v>241158.88125</v>
      </c>
      <c r="D20" s="18" t="n">
        <f aca="false">WC_Bio_Inv*Insurance_Pct</f>
        <v>262897.153437662</v>
      </c>
      <c r="E20" s="18" t="n">
        <f aca="false">WC_Bio_Inv*Insurance_Pct</f>
        <v>286608.35919287</v>
      </c>
      <c r="F20" s="18" t="n">
        <f aca="false">WC_Bio_Inv*Insurance_Pct</f>
        <v>312472.558385625</v>
      </c>
      <c r="G20" s="18" t="n">
        <f aca="false">WC_Bio_Inv*Insurance_Pct</f>
        <v>340686.318661804</v>
      </c>
    </row>
    <row r="21" customFormat="false" ht="15" hidden="false" customHeight="false" outlineLevel="0" collapsed="false">
      <c r="A21" s="6"/>
      <c r="B21" s="36" t="s">
        <v>149</v>
      </c>
      <c r="C21" s="18" t="n">
        <f aca="false">Env_Reg_Base*(1+Env_Reg_Growth)^(C6-1)</f>
        <v>500000</v>
      </c>
      <c r="D21" s="18" t="n">
        <f aca="false">Env_Reg_Base*(1+Env_Reg_Growth)^(D6-1)</f>
        <v>515000</v>
      </c>
      <c r="E21" s="18" t="n">
        <f aca="false">Env_Reg_Base*(1+Env_Reg_Growth)^(E6-1)</f>
        <v>530450</v>
      </c>
      <c r="F21" s="18" t="n">
        <f aca="false">Env_Reg_Base*(1+Env_Reg_Growth)^(F6-1)</f>
        <v>546363.5</v>
      </c>
      <c r="G21" s="18" t="n">
        <f aca="false">Env_Reg_Base*(1+Env_Reg_Growth)^(G6-1)</f>
        <v>562754.405</v>
      </c>
    </row>
    <row r="22" customFormat="false" ht="15" hidden="false" customHeight="false" outlineLevel="0" collapsed="false">
      <c r="A22" s="6"/>
      <c r="B22" s="36" t="s">
        <v>278</v>
      </c>
      <c r="C22" s="18" t="n">
        <f aca="false">REV_Total*Marketing_Pct</f>
        <v>413100</v>
      </c>
      <c r="D22" s="18" t="n">
        <f aca="false">REV_Total*Marketing_Pct</f>
        <v>449482.9563</v>
      </c>
      <c r="E22" s="18" t="n">
        <f aca="false">REV_Total*Marketing_Pct</f>
        <v>489053.543212836</v>
      </c>
      <c r="F22" s="18" t="n">
        <f aca="false">REV_Total*Marketing_Pct</f>
        <v>532089.771648692</v>
      </c>
      <c r="G22" s="18" t="n">
        <f aca="false">REV_Total*Marketing_Pct</f>
        <v>578893.802768083</v>
      </c>
    </row>
    <row r="23" customFormat="false" ht="15" hidden="false" customHeight="false" outlineLevel="0" collapsed="false">
      <c r="A23" s="6"/>
      <c r="B23" s="7" t="s">
        <v>279</v>
      </c>
      <c r="C23" s="38" t="n">
        <f aca="false">SUM(C19:C22)</f>
        <v>3154258.88125</v>
      </c>
      <c r="D23" s="38" t="n">
        <f aca="false">SUM(D19:D22)</f>
        <v>3287380.10973766</v>
      </c>
      <c r="E23" s="38" t="n">
        <f aca="false">SUM(E19:E22)</f>
        <v>3427911.90240571</v>
      </c>
      <c r="F23" s="38" t="n">
        <f aca="false">SUM(F19:F22)</f>
        <v>3576379.83003432</v>
      </c>
      <c r="G23" s="38" t="n">
        <f aca="false">SUM(G19:G22)</f>
        <v>3733352.14642989</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ED7D31"/>
    <pageSetUpPr fitToPage="false"/>
  </sheetPr>
  <dimension ref="A1:AD20"/>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0"/>
    <col collapsed="false" customWidth="true" hidden="false" outlineLevel="0" max="7" min="3" style="0" width="18"/>
  </cols>
  <sheetData>
    <row r="1" customFormat="false" ht="15" hidden="false" customHeight="false" outlineLevel="0" collapsed="false">
      <c r="A1" s="1"/>
      <c r="B1" s="1"/>
      <c r="C1" s="1"/>
      <c r="D1" s="1"/>
      <c r="E1" s="1"/>
      <c r="F1" s="1"/>
      <c r="G1" s="1"/>
      <c r="H1" s="2"/>
      <c r="I1" s="2"/>
      <c r="J1" s="2"/>
      <c r="K1" s="2"/>
      <c r="L1" s="2"/>
      <c r="M1" s="2"/>
      <c r="N1" s="2"/>
      <c r="O1" s="2"/>
      <c r="P1" s="2"/>
      <c r="Q1" s="2"/>
      <c r="R1" s="2"/>
      <c r="S1" s="2"/>
      <c r="T1" s="2"/>
      <c r="U1" s="2"/>
      <c r="V1" s="2"/>
      <c r="W1" s="2"/>
      <c r="X1" s="2"/>
      <c r="Y1" s="2"/>
      <c r="Z1" s="2"/>
      <c r="AA1" s="2"/>
      <c r="AB1" s="2"/>
      <c r="AC1" s="2"/>
      <c r="AD1" s="2"/>
    </row>
    <row r="2" customFormat="false" ht="21.75" hidden="false" customHeight="true" outlineLevel="0" collapsed="false">
      <c r="A2" s="1"/>
      <c r="B2" s="3" t="s">
        <v>154</v>
      </c>
      <c r="C2" s="1"/>
      <c r="D2" s="1"/>
      <c r="E2" s="1"/>
      <c r="F2" s="1"/>
      <c r="G2" s="1"/>
      <c r="H2" s="2"/>
      <c r="I2" s="2"/>
      <c r="J2" s="2"/>
      <c r="K2" s="2"/>
      <c r="L2" s="2"/>
      <c r="M2" s="2"/>
      <c r="N2" s="2"/>
      <c r="O2" s="2"/>
      <c r="P2" s="2"/>
      <c r="Q2" s="2"/>
      <c r="R2" s="2"/>
      <c r="S2" s="2"/>
      <c r="T2" s="2"/>
      <c r="U2" s="2"/>
      <c r="V2" s="2"/>
      <c r="W2" s="2"/>
      <c r="X2" s="2"/>
      <c r="Y2" s="2"/>
      <c r="Z2" s="2"/>
      <c r="AA2" s="2"/>
      <c r="AB2" s="2"/>
      <c r="AC2" s="2"/>
      <c r="AD2" s="2"/>
    </row>
    <row r="3" customFormat="false" ht="15" hidden="false" customHeight="false" outlineLevel="0" collapsed="false">
      <c r="A3" s="1"/>
      <c r="B3" s="5" t="s">
        <v>280</v>
      </c>
      <c r="C3" s="1"/>
      <c r="D3" s="1"/>
      <c r="E3" s="1"/>
      <c r="F3" s="1"/>
      <c r="G3" s="1"/>
      <c r="H3" s="2"/>
      <c r="I3" s="2"/>
      <c r="J3" s="2"/>
      <c r="K3" s="2"/>
      <c r="L3" s="2"/>
      <c r="M3" s="2"/>
      <c r="N3" s="2"/>
      <c r="O3" s="2"/>
      <c r="P3" s="2"/>
      <c r="Q3" s="2"/>
      <c r="R3" s="2"/>
      <c r="S3" s="2"/>
      <c r="T3" s="2"/>
      <c r="U3" s="2"/>
      <c r="V3" s="2"/>
      <c r="W3" s="2"/>
      <c r="X3" s="2"/>
      <c r="Y3" s="2"/>
      <c r="Z3" s="2"/>
      <c r="AA3" s="2"/>
      <c r="AB3" s="2"/>
      <c r="AC3" s="2"/>
      <c r="AD3" s="2"/>
    </row>
    <row r="4" customFormat="false" ht="15" hidden="false" customHeight="false" outlineLevel="0" collapsed="false">
      <c r="A4" s="6"/>
      <c r="B4" s="6"/>
      <c r="C4" s="6"/>
      <c r="D4" s="6"/>
      <c r="E4" s="6"/>
      <c r="F4" s="6"/>
      <c r="G4" s="6"/>
    </row>
    <row r="5" customFormat="false" ht="15" hidden="false" customHeight="false" outlineLevel="0" collapsed="false">
      <c r="A5" s="6"/>
      <c r="B5" s="9"/>
      <c r="C5" s="28" t="n">
        <f aca="false">Model_Start_Year+0</f>
        <v>2026</v>
      </c>
      <c r="D5" s="28" t="n">
        <f aca="false">Model_Start_Year+1</f>
        <v>2027</v>
      </c>
      <c r="E5" s="28" t="n">
        <f aca="false">Model_Start_Year+2</f>
        <v>2028</v>
      </c>
      <c r="F5" s="28" t="n">
        <f aca="false">Model_Start_Year+3</f>
        <v>2029</v>
      </c>
      <c r="G5" s="28" t="n">
        <f aca="false">Model_Start_Year+4</f>
        <v>2030</v>
      </c>
    </row>
    <row r="6" customFormat="false" ht="15" hidden="false" customHeight="false" outlineLevel="0" collapsed="false">
      <c r="A6" s="6"/>
      <c r="B6" s="29" t="s">
        <v>244</v>
      </c>
      <c r="C6" s="30" t="n">
        <f aca="false">COLUMN()-2</f>
        <v>1</v>
      </c>
      <c r="D6" s="30" t="n">
        <f aca="false">COLUMN()-2</f>
        <v>2</v>
      </c>
      <c r="E6" s="30" t="n">
        <f aca="false">COLUMN()-2</f>
        <v>3</v>
      </c>
      <c r="F6" s="30" t="n">
        <f aca="false">COLUMN()-2</f>
        <v>4</v>
      </c>
      <c r="G6" s="30" t="n">
        <f aca="false">COLUMN()-2</f>
        <v>5</v>
      </c>
    </row>
    <row r="7" customFormat="false" ht="15" hidden="false" customHeight="false" outlineLevel="0" collapsed="false">
      <c r="A7" s="6"/>
      <c r="B7" s="6"/>
      <c r="C7" s="6"/>
      <c r="D7" s="6"/>
      <c r="E7" s="6"/>
      <c r="F7" s="6"/>
      <c r="G7" s="6"/>
    </row>
    <row r="8" customFormat="false" ht="15" hidden="false" customHeight="false" outlineLevel="0" collapsed="false">
      <c r="A8" s="6"/>
      <c r="B8" s="9" t="s">
        <v>281</v>
      </c>
      <c r="C8" s="9"/>
      <c r="D8" s="9"/>
      <c r="E8" s="9"/>
      <c r="F8" s="9"/>
      <c r="G8" s="9"/>
    </row>
    <row r="9" customFormat="false" ht="15" hidden="false" customHeight="false" outlineLevel="0" collapsed="false">
      <c r="A9" s="6"/>
      <c r="B9" s="8" t="s">
        <v>155</v>
      </c>
      <c r="C9" s="18" t="n">
        <f aca="false">Opening_PPE_Gross</f>
        <v>40000000</v>
      </c>
      <c r="D9" s="18" t="n">
        <f aca="false">C13</f>
        <v>45826200</v>
      </c>
      <c r="E9" s="18" t="n">
        <f aca="false">D13</f>
        <v>51725165.9126</v>
      </c>
      <c r="F9" s="18" t="n">
        <f aca="false">E13</f>
        <v>57703272.9990257</v>
      </c>
      <c r="G9" s="18" t="n">
        <f aca="false">F13</f>
        <v>58767452.542323</v>
      </c>
    </row>
    <row r="10" customFormat="false" ht="15" hidden="false" customHeight="false" outlineLevel="0" collapsed="false">
      <c r="A10" s="6"/>
      <c r="B10" s="36" t="s">
        <v>282</v>
      </c>
      <c r="C10" s="18" t="n">
        <f aca="false">REV_Total*Maint_Capex_Pct</f>
        <v>826200</v>
      </c>
      <c r="D10" s="18" t="n">
        <f aca="false">REV_Total*Maint_Capex_Pct</f>
        <v>898965.9126</v>
      </c>
      <c r="E10" s="18" t="n">
        <f aca="false">REV_Total*Maint_Capex_Pct</f>
        <v>978107.086425672</v>
      </c>
      <c r="F10" s="18" t="n">
        <f aca="false">REV_Total*Maint_Capex_Pct</f>
        <v>1064179.54329738</v>
      </c>
      <c r="G10" s="18" t="n">
        <f aca="false">REV_Total*Maint_Capex_Pct</f>
        <v>1157787.60553617</v>
      </c>
    </row>
    <row r="11" customFormat="false" ht="15" hidden="false" customHeight="false" outlineLevel="0" collapsed="false">
      <c r="A11" s="6"/>
      <c r="B11" s="36" t="s">
        <v>283</v>
      </c>
      <c r="C11" s="18" t="n">
        <f aca="false">IF(C6&lt;=Growth_Capex_Yrs,Growth_Capex_Amt,0)</f>
        <v>5000000</v>
      </c>
      <c r="D11" s="18" t="n">
        <f aca="false">IF(D6&lt;=Growth_Capex_Yrs,Growth_Capex_Amt,0)</f>
        <v>5000000</v>
      </c>
      <c r="E11" s="18" t="n">
        <f aca="false">IF(E6&lt;=Growth_Capex_Yrs,Growth_Capex_Amt,0)</f>
        <v>5000000</v>
      </c>
      <c r="F11" s="18" t="n">
        <f aca="false">IF(F6&lt;=Growth_Capex_Yrs,Growth_Capex_Amt,0)</f>
        <v>0</v>
      </c>
      <c r="G11" s="18" t="n">
        <f aca="false">IF(G6&lt;=Growth_Capex_Yrs,Growth_Capex_Amt,0)</f>
        <v>0</v>
      </c>
    </row>
    <row r="12" customFormat="false" ht="15" hidden="false" customHeight="false" outlineLevel="0" collapsed="false">
      <c r="A12" s="6"/>
      <c r="B12" s="7" t="s">
        <v>284</v>
      </c>
      <c r="C12" s="39" t="n">
        <f aca="false">C10+C11</f>
        <v>5826200</v>
      </c>
      <c r="D12" s="39" t="n">
        <f aca="false">D10+D11</f>
        <v>5898965.9126</v>
      </c>
      <c r="E12" s="39" t="n">
        <f aca="false">E10+E11</f>
        <v>5978107.08642567</v>
      </c>
      <c r="F12" s="39" t="n">
        <f aca="false">F10+F11</f>
        <v>1064179.54329738</v>
      </c>
      <c r="G12" s="39" t="n">
        <f aca="false">G10+G11</f>
        <v>1157787.60553617</v>
      </c>
    </row>
    <row r="13" customFormat="false" ht="15" hidden="false" customHeight="false" outlineLevel="0" collapsed="false">
      <c r="A13" s="6"/>
      <c r="B13" s="8" t="s">
        <v>285</v>
      </c>
      <c r="C13" s="18" t="n">
        <f aca="false">C9+C12</f>
        <v>45826200</v>
      </c>
      <c r="D13" s="18" t="n">
        <f aca="false">D9+D12</f>
        <v>51725165.9126</v>
      </c>
      <c r="E13" s="18" t="n">
        <f aca="false">E9+E12</f>
        <v>57703272.9990257</v>
      </c>
      <c r="F13" s="18" t="n">
        <f aca="false">F9+F12</f>
        <v>58767452.542323</v>
      </c>
      <c r="G13" s="18" t="n">
        <f aca="false">G9+G12</f>
        <v>59925240.1478592</v>
      </c>
    </row>
    <row r="14" customFormat="false" ht="15" hidden="false" customHeight="false" outlineLevel="0" collapsed="false">
      <c r="A14" s="6"/>
      <c r="B14" s="9" t="s">
        <v>286</v>
      </c>
      <c r="C14" s="9"/>
      <c r="D14" s="9"/>
      <c r="E14" s="9"/>
      <c r="F14" s="9"/>
      <c r="G14" s="9"/>
    </row>
    <row r="15" customFormat="false" ht="15" hidden="false" customHeight="false" outlineLevel="0" collapsed="false">
      <c r="A15" s="6"/>
      <c r="B15" s="36" t="s">
        <v>287</v>
      </c>
      <c r="C15" s="18" t="n">
        <f aca="false">MIN((Opening_PPE_Gross-Accum_Depr_Open)/Useful_Life_Exist,MAX(0,(Opening_PPE_Gross-Accum_Depr_Open)-(Opening_PPE_Gross-Accum_Depr_Open)/Useful_Life_Exist*(C6-1)))</f>
        <v>2000000</v>
      </c>
      <c r="D15" s="18" t="n">
        <f aca="false">MIN((Opening_PPE_Gross-Accum_Depr_Open)/Useful_Life_Exist,MAX(0,(Opening_PPE_Gross-Accum_Depr_Open)-(Opening_PPE_Gross-Accum_Depr_Open)/Useful_Life_Exist*(D6-1)))</f>
        <v>2000000</v>
      </c>
      <c r="E15" s="18" t="n">
        <f aca="false">MIN((Opening_PPE_Gross-Accum_Depr_Open)/Useful_Life_Exist,MAX(0,(Opening_PPE_Gross-Accum_Depr_Open)-(Opening_PPE_Gross-Accum_Depr_Open)/Useful_Life_Exist*(E6-1)))</f>
        <v>2000000</v>
      </c>
      <c r="F15" s="18" t="n">
        <f aca="false">MIN((Opening_PPE_Gross-Accum_Depr_Open)/Useful_Life_Exist,MAX(0,(Opening_PPE_Gross-Accum_Depr_Open)-(Opening_PPE_Gross-Accum_Depr_Open)/Useful_Life_Exist*(F6-1)))</f>
        <v>2000000</v>
      </c>
      <c r="G15" s="18" t="n">
        <f aca="false">MIN((Opening_PPE_Gross-Accum_Depr_Open)/Useful_Life_Exist,MAX(0,(Opening_PPE_Gross-Accum_Depr_Open)-(Opening_PPE_Gross-Accum_Depr_Open)/Useful_Life_Exist*(G6-1)))</f>
        <v>2000000</v>
      </c>
    </row>
    <row r="16" customFormat="false" ht="15" hidden="false" customHeight="false" outlineLevel="0" collapsed="false">
      <c r="A16" s="6"/>
      <c r="B16" s="36" t="s">
        <v>288</v>
      </c>
      <c r="C16" s="18" t="n">
        <f aca="false">SUM($C$12:C12)/New_Asset_Life</f>
        <v>582620</v>
      </c>
      <c r="D16" s="18" t="n">
        <f aca="false">SUM($C$12:D12)/New_Asset_Life</f>
        <v>1172516.59126</v>
      </c>
      <c r="E16" s="18" t="n">
        <f aca="false">SUM($C$12:E12)/New_Asset_Life</f>
        <v>1770327.29990257</v>
      </c>
      <c r="F16" s="18" t="n">
        <f aca="false">SUM($C$12:F12)/New_Asset_Life</f>
        <v>1876745.25423231</v>
      </c>
      <c r="G16" s="18" t="n">
        <f aca="false">SUM($C$12:G12)/New_Asset_Life</f>
        <v>1992524.01478592</v>
      </c>
    </row>
    <row r="17" customFormat="false" ht="15" hidden="false" customHeight="false" outlineLevel="0" collapsed="false">
      <c r="A17" s="6"/>
      <c r="B17" s="6"/>
      <c r="C17" s="6"/>
      <c r="D17" s="6"/>
      <c r="E17" s="6"/>
      <c r="F17" s="6"/>
      <c r="G17" s="6"/>
    </row>
    <row r="18" customFormat="false" ht="15" hidden="false" customHeight="false" outlineLevel="0" collapsed="false">
      <c r="A18" s="6"/>
      <c r="B18" s="7" t="s">
        <v>289</v>
      </c>
      <c r="C18" s="39" t="n">
        <f aca="false">C15+C16</f>
        <v>2582620</v>
      </c>
      <c r="D18" s="39" t="n">
        <f aca="false">D15+D16</f>
        <v>3172516.59126</v>
      </c>
      <c r="E18" s="39" t="n">
        <f aca="false">E15+E16</f>
        <v>3770327.29990257</v>
      </c>
      <c r="F18" s="39" t="n">
        <f aca="false">F15+F16</f>
        <v>3876745.25423231</v>
      </c>
      <c r="G18" s="39" t="n">
        <f aca="false">G15+G16</f>
        <v>3992524.01478592</v>
      </c>
    </row>
    <row r="19" customFormat="false" ht="15" hidden="false" customHeight="false" outlineLevel="0" collapsed="false">
      <c r="A19" s="6"/>
      <c r="B19" s="8" t="s">
        <v>157</v>
      </c>
      <c r="C19" s="18" t="n">
        <f aca="false">Accum_Depr_Open+SUM($C$18:C18)</f>
        <v>12582620</v>
      </c>
      <c r="D19" s="18" t="n">
        <f aca="false">Accum_Depr_Open+SUM($C$18:D18)</f>
        <v>15755136.59126</v>
      </c>
      <c r="E19" s="18" t="n">
        <f aca="false">Accum_Depr_Open+SUM($C$18:E18)</f>
        <v>19525463.8911626</v>
      </c>
      <c r="F19" s="18" t="n">
        <f aca="false">Accum_Depr_Open+SUM($C$18:F18)</f>
        <v>23402209.1453949</v>
      </c>
      <c r="G19" s="18" t="n">
        <f aca="false">Accum_Depr_Open+SUM($C$18:G18)</f>
        <v>27394733.1601808</v>
      </c>
    </row>
    <row r="20" customFormat="false" ht="15" hidden="false" customHeight="false" outlineLevel="0" collapsed="false">
      <c r="A20" s="6"/>
      <c r="B20" s="7" t="s">
        <v>69</v>
      </c>
      <c r="C20" s="39" t="n">
        <f aca="false">C13-C19</f>
        <v>33243580</v>
      </c>
      <c r="D20" s="39" t="n">
        <f aca="false">D13-D19</f>
        <v>35970029.32134</v>
      </c>
      <c r="E20" s="39" t="n">
        <f aca="false">E13-E19</f>
        <v>38177809.1078631</v>
      </c>
      <c r="F20" s="39" t="n">
        <f aca="false">F13-F19</f>
        <v>35365243.3969282</v>
      </c>
      <c r="G20" s="39" t="n">
        <f aca="false">G13-G19</f>
        <v>32530506.9876784</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A5A5A5"/>
    <pageSetUpPr fitToPage="false"/>
  </sheetPr>
  <dimension ref="A1:AD42"/>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0"/>
    <col collapsed="false" customWidth="true" hidden="false" outlineLevel="0" max="7" min="3" style="0" width="18"/>
  </cols>
  <sheetData>
    <row r="1" customFormat="false" ht="15" hidden="false" customHeight="false" outlineLevel="0" collapsed="false">
      <c r="A1" s="1"/>
      <c r="B1" s="1"/>
      <c r="C1" s="1"/>
      <c r="D1" s="1"/>
      <c r="E1" s="1"/>
      <c r="F1" s="1"/>
      <c r="G1" s="1"/>
      <c r="H1" s="2"/>
      <c r="I1" s="2"/>
      <c r="J1" s="2"/>
      <c r="K1" s="2"/>
      <c r="L1" s="2"/>
      <c r="M1" s="2"/>
      <c r="N1" s="2"/>
      <c r="O1" s="2"/>
      <c r="P1" s="2"/>
      <c r="Q1" s="2"/>
      <c r="R1" s="2"/>
      <c r="S1" s="2"/>
      <c r="T1" s="2"/>
      <c r="U1" s="2"/>
      <c r="V1" s="2"/>
      <c r="W1" s="2"/>
      <c r="X1" s="2"/>
      <c r="Y1" s="2"/>
      <c r="Z1" s="2"/>
      <c r="AA1" s="2"/>
      <c r="AB1" s="2"/>
      <c r="AC1" s="2"/>
      <c r="AD1" s="2"/>
    </row>
    <row r="2" customFormat="false" ht="21.75" hidden="false" customHeight="true" outlineLevel="0" collapsed="false">
      <c r="A2" s="1"/>
      <c r="B2" s="3" t="s">
        <v>290</v>
      </c>
      <c r="C2" s="1"/>
      <c r="D2" s="1"/>
      <c r="E2" s="1"/>
      <c r="F2" s="1"/>
      <c r="G2" s="1"/>
      <c r="H2" s="2"/>
      <c r="I2" s="2"/>
      <c r="J2" s="2"/>
      <c r="K2" s="2"/>
      <c r="L2" s="2"/>
      <c r="M2" s="2"/>
      <c r="N2" s="2"/>
      <c r="O2" s="2"/>
      <c r="P2" s="2"/>
      <c r="Q2" s="2"/>
      <c r="R2" s="2"/>
      <c r="S2" s="2"/>
      <c r="T2" s="2"/>
      <c r="U2" s="2"/>
      <c r="V2" s="2"/>
      <c r="W2" s="2"/>
      <c r="X2" s="2"/>
      <c r="Y2" s="2"/>
      <c r="Z2" s="2"/>
      <c r="AA2" s="2"/>
      <c r="AB2" s="2"/>
      <c r="AC2" s="2"/>
      <c r="AD2" s="2"/>
    </row>
    <row r="3" customFormat="false" ht="15" hidden="false" customHeight="false" outlineLevel="0" collapsed="false">
      <c r="A3" s="1"/>
      <c r="B3" s="5" t="s">
        <v>291</v>
      </c>
      <c r="C3" s="1"/>
      <c r="D3" s="1"/>
      <c r="E3" s="1"/>
      <c r="F3" s="1"/>
      <c r="G3" s="1"/>
      <c r="H3" s="2"/>
      <c r="I3" s="2"/>
      <c r="J3" s="2"/>
      <c r="K3" s="2"/>
      <c r="L3" s="2"/>
      <c r="M3" s="2"/>
      <c r="N3" s="2"/>
      <c r="O3" s="2"/>
      <c r="P3" s="2"/>
      <c r="Q3" s="2"/>
      <c r="R3" s="2"/>
      <c r="S3" s="2"/>
      <c r="T3" s="2"/>
      <c r="U3" s="2"/>
      <c r="V3" s="2"/>
      <c r="W3" s="2"/>
      <c r="X3" s="2"/>
      <c r="Y3" s="2"/>
      <c r="Z3" s="2"/>
      <c r="AA3" s="2"/>
      <c r="AB3" s="2"/>
      <c r="AC3" s="2"/>
      <c r="AD3" s="2"/>
    </row>
    <row r="4" customFormat="false" ht="15" hidden="false" customHeight="false" outlineLevel="0" collapsed="false">
      <c r="A4" s="6"/>
      <c r="B4" s="6"/>
      <c r="C4" s="6"/>
      <c r="D4" s="6"/>
      <c r="E4" s="6"/>
      <c r="F4" s="6"/>
      <c r="G4" s="6"/>
    </row>
    <row r="5" customFormat="false" ht="15" hidden="false" customHeight="false" outlineLevel="0" collapsed="false">
      <c r="A5" s="6"/>
      <c r="B5" s="9"/>
      <c r="C5" s="28" t="n">
        <f aca="false">Model_Start_Year+0</f>
        <v>2026</v>
      </c>
      <c r="D5" s="28" t="n">
        <f aca="false">Model_Start_Year+1</f>
        <v>2027</v>
      </c>
      <c r="E5" s="28" t="n">
        <f aca="false">Model_Start_Year+2</f>
        <v>2028</v>
      </c>
      <c r="F5" s="28" t="n">
        <f aca="false">Model_Start_Year+3</f>
        <v>2029</v>
      </c>
      <c r="G5" s="28" t="n">
        <f aca="false">Model_Start_Year+4</f>
        <v>2030</v>
      </c>
    </row>
    <row r="6" customFormat="false" ht="15" hidden="false" customHeight="false" outlineLevel="0" collapsed="false">
      <c r="A6" s="6"/>
      <c r="B6" s="29" t="s">
        <v>244</v>
      </c>
      <c r="C6" s="30" t="n">
        <f aca="false">COLUMN()-2</f>
        <v>1</v>
      </c>
      <c r="D6" s="30" t="n">
        <f aca="false">COLUMN()-2</f>
        <v>2</v>
      </c>
      <c r="E6" s="30" t="n">
        <f aca="false">COLUMN()-2</f>
        <v>3</v>
      </c>
      <c r="F6" s="30" t="n">
        <f aca="false">COLUMN()-2</f>
        <v>4</v>
      </c>
      <c r="G6" s="30" t="n">
        <f aca="false">COLUMN()-2</f>
        <v>5</v>
      </c>
    </row>
    <row r="7" customFormat="false" ht="15" hidden="false" customHeight="false" outlineLevel="0" collapsed="false">
      <c r="A7" s="6"/>
      <c r="B7" s="6"/>
      <c r="C7" s="6"/>
      <c r="D7" s="6"/>
      <c r="E7" s="6"/>
      <c r="F7" s="6"/>
      <c r="G7" s="6"/>
    </row>
    <row r="8" customFormat="false" ht="15" hidden="false" customHeight="false" outlineLevel="0" collapsed="false">
      <c r="A8" s="6"/>
      <c r="B8" s="9" t="s">
        <v>292</v>
      </c>
      <c r="C8" s="9"/>
      <c r="D8" s="9"/>
      <c r="E8" s="9"/>
      <c r="F8" s="9"/>
      <c r="G8" s="9"/>
    </row>
    <row r="9" customFormat="false" ht="15" hidden="false" customHeight="false" outlineLevel="0" collapsed="false">
      <c r="A9" s="6"/>
      <c r="B9" s="8" t="s">
        <v>18</v>
      </c>
      <c r="C9" s="18" t="n">
        <f aca="false">REV_Total</f>
        <v>27540000</v>
      </c>
      <c r="D9" s="18" t="n">
        <f aca="false">REV_Total</f>
        <v>29965530.42</v>
      </c>
      <c r="E9" s="18" t="n">
        <f aca="false">REV_Total</f>
        <v>32603569.5475224</v>
      </c>
      <c r="F9" s="18" t="n">
        <f aca="false">REV_Total</f>
        <v>35472651.4432461</v>
      </c>
      <c r="G9" s="18" t="n">
        <f aca="false">REV_Total</f>
        <v>38592920.1845389</v>
      </c>
    </row>
    <row r="10" customFormat="false" ht="15" hidden="false" customHeight="false" outlineLevel="0" collapsed="false">
      <c r="A10" s="6"/>
      <c r="B10" s="36" t="s">
        <v>293</v>
      </c>
      <c r="C10" s="18" t="n">
        <f aca="false">OC_Total_COGS</f>
        <v>15558637.5</v>
      </c>
      <c r="D10" s="18" t="n">
        <f aca="false">OC_Total_COGS</f>
        <v>16966525.5573188</v>
      </c>
      <c r="E10" s="18" t="n">
        <f aca="false">OC_Total_COGS</f>
        <v>18502622.3594372</v>
      </c>
      <c r="F10" s="18" t="n">
        <f aca="false">OC_Total_COGS</f>
        <v>20178663.4928901</v>
      </c>
      <c r="G10" s="18" t="n">
        <f aca="false">OC_Total_COGS</f>
        <v>22007463.256732</v>
      </c>
    </row>
    <row r="11" customFormat="false" ht="15" hidden="false" customHeight="false" outlineLevel="0" collapsed="false">
      <c r="A11" s="6"/>
      <c r="B11" s="7" t="s">
        <v>294</v>
      </c>
      <c r="C11" s="38" t="n">
        <f aca="false">C9-C10</f>
        <v>11981362.5</v>
      </c>
      <c r="D11" s="38" t="n">
        <f aca="false">D9-D10</f>
        <v>12999004.8626812</v>
      </c>
      <c r="E11" s="38" t="n">
        <f aca="false">E9-E10</f>
        <v>14100947.1880852</v>
      </c>
      <c r="F11" s="38" t="n">
        <f aca="false">F9-F10</f>
        <v>15293987.950356</v>
      </c>
      <c r="G11" s="38" t="n">
        <f aca="false">G9-G10</f>
        <v>16585456.9278069</v>
      </c>
    </row>
    <row r="12" customFormat="false" ht="15" hidden="false" customHeight="false" outlineLevel="0" collapsed="false">
      <c r="A12" s="6"/>
      <c r="B12" s="26" t="s">
        <v>295</v>
      </c>
      <c r="C12" s="33" t="n">
        <f aca="false">IFERROR(C11/C9,0)</f>
        <v>0.435053104575163</v>
      </c>
      <c r="D12" s="33" t="n">
        <f aca="false">IFERROR(D11/D9,0)</f>
        <v>0.43379859059679</v>
      </c>
      <c r="E12" s="33" t="n">
        <f aca="false">IFERROR(E11/E9,0)</f>
        <v>0.432497035870012</v>
      </c>
      <c r="F12" s="33" t="n">
        <f aca="false">IFERROR(F11/F9,0)</f>
        <v>0.431148711136673</v>
      </c>
      <c r="G12" s="33" t="n">
        <f aca="false">IFERROR(G11/G9,0)</f>
        <v>0.429753873210439</v>
      </c>
    </row>
    <row r="13" customFormat="false" ht="15" hidden="false" customHeight="false" outlineLevel="0" collapsed="false">
      <c r="A13" s="6"/>
      <c r="B13" s="6"/>
      <c r="C13" s="6"/>
      <c r="D13" s="6"/>
      <c r="E13" s="6"/>
      <c r="F13" s="6"/>
      <c r="G13" s="6"/>
    </row>
    <row r="14" customFormat="false" ht="15" hidden="false" customHeight="false" outlineLevel="0" collapsed="false">
      <c r="A14" s="6"/>
      <c r="B14" s="36" t="s">
        <v>141</v>
      </c>
      <c r="C14" s="18" t="n">
        <f aca="false">OC_Total_OpEx</f>
        <v>3154258.88125</v>
      </c>
      <c r="D14" s="18" t="n">
        <f aca="false">OC_Total_OpEx</f>
        <v>3287380.10973766</v>
      </c>
      <c r="E14" s="18" t="n">
        <f aca="false">OC_Total_OpEx</f>
        <v>3427911.90240571</v>
      </c>
      <c r="F14" s="18" t="n">
        <f aca="false">OC_Total_OpEx</f>
        <v>3576379.83003432</v>
      </c>
      <c r="G14" s="18" t="n">
        <f aca="false">OC_Total_OpEx</f>
        <v>3733352.14642989</v>
      </c>
    </row>
    <row r="15" customFormat="false" ht="15" hidden="false" customHeight="false" outlineLevel="0" collapsed="false">
      <c r="A15" s="6"/>
      <c r="B15" s="7" t="s">
        <v>52</v>
      </c>
      <c r="C15" s="38" t="n">
        <f aca="false">C11-C14</f>
        <v>8827103.61875</v>
      </c>
      <c r="D15" s="38" t="n">
        <f aca="false">D11-D14</f>
        <v>9711624.75294359</v>
      </c>
      <c r="E15" s="38" t="n">
        <f aca="false">E11-E14</f>
        <v>10673035.2856795</v>
      </c>
      <c r="F15" s="38" t="n">
        <f aca="false">F11-F14</f>
        <v>11717608.1203217</v>
      </c>
      <c r="G15" s="38" t="n">
        <f aca="false">G11-G14</f>
        <v>12852104.781377</v>
      </c>
    </row>
    <row r="16" customFormat="false" ht="15" hidden="false" customHeight="false" outlineLevel="0" collapsed="false">
      <c r="A16" s="6"/>
      <c r="B16" s="26" t="s">
        <v>296</v>
      </c>
      <c r="C16" s="33" t="n">
        <f aca="false">IFERROR(C15/C9,0)</f>
        <v>0.320519376134713</v>
      </c>
      <c r="D16" s="33" t="n">
        <f aca="false">IFERROR(D15/D9,0)</f>
        <v>0.324093203651811</v>
      </c>
      <c r="E16" s="33" t="n">
        <f aca="false">IFERROR(E15/E9,0)</f>
        <v>0.327357876263294</v>
      </c>
      <c r="F16" s="33" t="n">
        <f aca="false">IFERROR(F15/F9,0)</f>
        <v>0.33032794684291</v>
      </c>
      <c r="G16" s="33" t="n">
        <f aca="false">IFERROR(G15/G9,0)</f>
        <v>0.333017162731465</v>
      </c>
    </row>
    <row r="17" customFormat="false" ht="15" hidden="false" customHeight="false" outlineLevel="0" collapsed="false">
      <c r="A17" s="6"/>
      <c r="B17" s="6"/>
      <c r="C17" s="6"/>
      <c r="D17" s="6"/>
      <c r="E17" s="6"/>
      <c r="F17" s="6"/>
      <c r="G17" s="6"/>
    </row>
    <row r="18" customFormat="false" ht="15" hidden="false" customHeight="false" outlineLevel="0" collapsed="false">
      <c r="A18" s="6"/>
      <c r="B18" s="36" t="s">
        <v>297</v>
      </c>
      <c r="C18" s="18" t="n">
        <f aca="false">CD_Total_DA</f>
        <v>2582620</v>
      </c>
      <c r="D18" s="18" t="n">
        <f aca="false">CD_Total_DA</f>
        <v>3172516.59126</v>
      </c>
      <c r="E18" s="18" t="n">
        <f aca="false">CD_Total_DA</f>
        <v>3770327.29990257</v>
      </c>
      <c r="F18" s="18" t="n">
        <f aca="false">CD_Total_DA</f>
        <v>3876745.25423231</v>
      </c>
      <c r="G18" s="18" t="n">
        <f aca="false">CD_Total_DA</f>
        <v>3992524.01478592</v>
      </c>
    </row>
    <row r="19" customFormat="false" ht="15" hidden="false" customHeight="false" outlineLevel="0" collapsed="false">
      <c r="A19" s="6"/>
      <c r="B19" s="7" t="s">
        <v>53</v>
      </c>
      <c r="C19" s="38" t="n">
        <f aca="false">C15-C18</f>
        <v>6244483.61875</v>
      </c>
      <c r="D19" s="38" t="n">
        <f aca="false">D15-D18</f>
        <v>6539108.16168359</v>
      </c>
      <c r="E19" s="38" t="n">
        <f aca="false">E15-E18</f>
        <v>6902707.98577696</v>
      </c>
      <c r="F19" s="38" t="n">
        <f aca="false">F15-F18</f>
        <v>7840862.86608937</v>
      </c>
      <c r="G19" s="38" t="n">
        <f aca="false">G15-G18</f>
        <v>8859580.76659109</v>
      </c>
    </row>
    <row r="20" customFormat="false" ht="15" hidden="false" customHeight="false" outlineLevel="0" collapsed="false">
      <c r="A20" s="6"/>
      <c r="B20" s="26" t="s">
        <v>298</v>
      </c>
      <c r="C20" s="33" t="n">
        <f aca="false">IFERROR(C19/C9,0)</f>
        <v>0.226742324573348</v>
      </c>
      <c r="D20" s="33" t="n">
        <f aca="false">IFERROR(D19/D9,0)</f>
        <v>0.218221004935697</v>
      </c>
      <c r="E20" s="33" t="n">
        <f aca="false">IFERROR(E19/E9,0)</f>
        <v>0.211716326818623</v>
      </c>
      <c r="F20" s="33" t="n">
        <f aca="false">IFERROR(F19/F9,0)</f>
        <v>0.221039661459596</v>
      </c>
      <c r="G20" s="33" t="n">
        <f aca="false">IFERROR(G19/G9,0)</f>
        <v>0.229564923416716</v>
      </c>
    </row>
    <row r="21" customFormat="false" ht="15" hidden="false" customHeight="false" outlineLevel="0" collapsed="false">
      <c r="A21" s="6"/>
      <c r="B21" s="26" t="s">
        <v>299</v>
      </c>
      <c r="C21" s="40" t="n">
        <f aca="false">IFERROR(C19/(REV_Harvest_Vol*1000),0)</f>
        <v>1.6325447369281</v>
      </c>
      <c r="D21" s="40" t="n">
        <f aca="false">IFERROR(D19/(REV_Harvest_Vol*1000),0)</f>
        <v>1.60261506024776</v>
      </c>
      <c r="E21" s="40" t="n">
        <f aca="false">IFERROR(E19/(REV_Harvest_Vol*1000),0)</f>
        <v>1.58594159823909</v>
      </c>
      <c r="F21" s="40" t="n">
        <f aca="false">IFERROR(F19/(REV_Harvest_Vol*1000),0)</f>
        <v>1.68889721081915</v>
      </c>
      <c r="G21" s="40" t="n">
        <f aca="false">IFERROR(G19/(REV_Harvest_Vol*1000),0)</f>
        <v>1.78911688258217</v>
      </c>
    </row>
    <row r="22" customFormat="false" ht="15" hidden="false" customHeight="false" outlineLevel="0" collapsed="false">
      <c r="A22" s="6"/>
      <c r="B22" s="6"/>
      <c r="C22" s="6"/>
      <c r="D22" s="6"/>
      <c r="E22" s="6"/>
      <c r="F22" s="6"/>
      <c r="G22" s="6"/>
    </row>
    <row r="23" customFormat="false" ht="15" hidden="false" customHeight="false" outlineLevel="0" collapsed="false">
      <c r="A23" s="6"/>
      <c r="B23" s="9" t="s">
        <v>300</v>
      </c>
      <c r="C23" s="9"/>
      <c r="D23" s="9"/>
      <c r="E23" s="9"/>
      <c r="F23" s="9"/>
      <c r="G23" s="9"/>
    </row>
    <row r="24" customFormat="false" ht="15" hidden="false" customHeight="false" outlineLevel="0" collapsed="false">
      <c r="A24" s="6"/>
      <c r="B24" s="36" t="s">
        <v>301</v>
      </c>
      <c r="C24" s="18" t="n">
        <f aca="false">DS_TL_Interest</f>
        <v>975000</v>
      </c>
      <c r="D24" s="18" t="n">
        <f aca="false">DS_TL_Interest</f>
        <v>877500</v>
      </c>
      <c r="E24" s="18" t="n">
        <f aca="false">DS_TL_Interest</f>
        <v>780000</v>
      </c>
      <c r="F24" s="18" t="n">
        <f aca="false">DS_TL_Interest</f>
        <v>682500</v>
      </c>
      <c r="G24" s="18" t="n">
        <f aca="false">DS_TL_Interest</f>
        <v>585000</v>
      </c>
    </row>
    <row r="25" customFormat="false" ht="15" hidden="false" customHeight="false" outlineLevel="0" collapsed="false">
      <c r="A25" s="6"/>
      <c r="B25" s="36" t="s">
        <v>302</v>
      </c>
      <c r="C25" s="18" t="n">
        <f aca="false">DS_Rev_Interest</f>
        <v>300000</v>
      </c>
      <c r="D25" s="18" t="n">
        <f aca="false">DS_Rev_Interest</f>
        <v>280133.4375</v>
      </c>
      <c r="E25" s="18" t="n">
        <f aca="false">DS_Rev_Interest</f>
        <v>304708.278853125</v>
      </c>
      <c r="F25" s="18" t="n">
        <f aca="false">DS_Rev_Interest</f>
        <v>331428.640216299</v>
      </c>
      <c r="G25" s="18" t="n">
        <f aca="false">DS_Rev_Interest</f>
        <v>360481.061492038</v>
      </c>
    </row>
    <row r="26" customFormat="false" ht="15" hidden="false" customHeight="false" outlineLevel="0" collapsed="false">
      <c r="A26" s="6"/>
      <c r="B26" s="36" t="s">
        <v>188</v>
      </c>
      <c r="C26" s="18" t="n">
        <f aca="false">DS_Commit_Fee_Amt</f>
        <v>65059.55</v>
      </c>
      <c r="D26" s="18" t="n">
        <f aca="false">DS_Commit_Fee_Amt</f>
        <v>63748.8917945</v>
      </c>
      <c r="E26" s="18" t="n">
        <f aca="false">DS_Commit_Fee_Amt</f>
        <v>62323.8058551307</v>
      </c>
      <c r="F26" s="18" t="n">
        <f aca="false">DS_Commit_Fee_Amt</f>
        <v>60774.3433870913</v>
      </c>
      <c r="G26" s="18" t="n">
        <f aca="false">DS_Commit_Fee_Amt</f>
        <v>59089.6937427802</v>
      </c>
    </row>
    <row r="27" customFormat="false" ht="15" hidden="false" customHeight="false" outlineLevel="0" collapsed="false">
      <c r="A27" s="6"/>
      <c r="B27" s="7" t="s">
        <v>303</v>
      </c>
      <c r="C27" s="39" t="n">
        <f aca="false">C24+C25+C26</f>
        <v>1340059.55</v>
      </c>
      <c r="D27" s="39" t="n">
        <f aca="false">D24+D25+D26</f>
        <v>1221382.3292945</v>
      </c>
      <c r="E27" s="39" t="n">
        <f aca="false">E24+E25+E26</f>
        <v>1147032.08470826</v>
      </c>
      <c r="F27" s="39" t="n">
        <f aca="false">F24+F25+F26</f>
        <v>1074702.98360339</v>
      </c>
      <c r="G27" s="39" t="n">
        <f aca="false">G24+G25+G26</f>
        <v>1004570.75523482</v>
      </c>
    </row>
    <row r="28" customFormat="false" ht="15" hidden="false" customHeight="false" outlineLevel="0" collapsed="false">
      <c r="A28" s="6"/>
      <c r="B28" s="6"/>
      <c r="C28" s="6"/>
      <c r="D28" s="6"/>
      <c r="E28" s="6"/>
      <c r="F28" s="6"/>
      <c r="G28" s="6"/>
    </row>
    <row r="29" customFormat="false" ht="15" hidden="false" customHeight="false" outlineLevel="0" collapsed="false">
      <c r="A29" s="6"/>
      <c r="B29" s="7" t="s">
        <v>56</v>
      </c>
      <c r="C29" s="39" t="n">
        <f aca="false">C19-C27</f>
        <v>4904424.06875</v>
      </c>
      <c r="D29" s="39" t="n">
        <f aca="false">D19-D27</f>
        <v>5317725.83238909</v>
      </c>
      <c r="E29" s="39" t="n">
        <f aca="false">E19-E27</f>
        <v>5755675.9010687</v>
      </c>
      <c r="F29" s="39" t="n">
        <f aca="false">F19-F27</f>
        <v>6766159.88248598</v>
      </c>
      <c r="G29" s="39" t="n">
        <f aca="false">G19-G27</f>
        <v>7855010.01135627</v>
      </c>
    </row>
    <row r="30" customFormat="false" ht="15" hidden="false" customHeight="false" outlineLevel="0" collapsed="false">
      <c r="A30" s="6"/>
      <c r="B30" s="36" t="s">
        <v>57</v>
      </c>
      <c r="C30" s="18" t="n">
        <f aca="false">C42*Tax_Rate</f>
        <v>215794.659025</v>
      </c>
      <c r="D30" s="18" t="n">
        <f aca="false">D42*Tax_Rate</f>
        <v>713078.319225599</v>
      </c>
      <c r="E30" s="18" t="n">
        <f aca="false">E42*Tax_Rate</f>
        <v>1266248.69823511</v>
      </c>
      <c r="F30" s="18" t="n">
        <f aca="false">F42*Tax_Rate</f>
        <v>1488555.17414692</v>
      </c>
      <c r="G30" s="18" t="n">
        <f aca="false">G42*Tax_Rate</f>
        <v>1728102.20249838</v>
      </c>
    </row>
    <row r="31" customFormat="false" ht="15" hidden="false" customHeight="false" outlineLevel="0" collapsed="false">
      <c r="A31" s="6"/>
      <c r="B31" s="6"/>
      <c r="C31" s="6"/>
      <c r="D31" s="6"/>
      <c r="E31" s="6"/>
      <c r="F31" s="6"/>
      <c r="G31" s="6"/>
    </row>
    <row r="32" customFormat="false" ht="15" hidden="false" customHeight="false" outlineLevel="0" collapsed="false">
      <c r="A32" s="6"/>
      <c r="B32" s="7" t="s">
        <v>304</v>
      </c>
      <c r="C32" s="38" t="n">
        <f aca="false">C29-C30</f>
        <v>4688629.409725</v>
      </c>
      <c r="D32" s="38" t="n">
        <f aca="false">D29-D30</f>
        <v>4604647.51316349</v>
      </c>
      <c r="E32" s="38" t="n">
        <f aca="false">E29-E30</f>
        <v>4489427.20283359</v>
      </c>
      <c r="F32" s="38" t="n">
        <f aca="false">F29-F30</f>
        <v>5277604.70833907</v>
      </c>
      <c r="G32" s="38" t="n">
        <f aca="false">G29-G30</f>
        <v>6126907.80885789</v>
      </c>
    </row>
    <row r="33" customFormat="false" ht="15" hidden="false" customHeight="false" outlineLevel="0" collapsed="false">
      <c r="A33" s="6"/>
      <c r="B33" s="26" t="s">
        <v>305</v>
      </c>
      <c r="C33" s="33" t="n">
        <f aca="false">IFERROR(C32/C9,0)</f>
        <v>0.170247981471496</v>
      </c>
      <c r="D33" s="33" t="n">
        <f aca="false">IFERROR(D32/D9,0)</f>
        <v>0.153664809153193</v>
      </c>
      <c r="E33" s="33" t="n">
        <f aca="false">IFERROR(E32/E9,0)</f>
        <v>0.137697413661712</v>
      </c>
      <c r="F33" s="33" t="n">
        <f aca="false">IFERROR(F32/F9,0)</f>
        <v>0.148779538422237</v>
      </c>
      <c r="G33" s="33" t="n">
        <f aca="false">IFERROR(G32/G9,0)</f>
        <v>0.15875730003226</v>
      </c>
    </row>
    <row r="34" customFormat="false" ht="15" hidden="false" customHeight="false" outlineLevel="0" collapsed="false">
      <c r="A34" s="6"/>
      <c r="B34" s="6"/>
      <c r="C34" s="6"/>
      <c r="D34" s="6"/>
      <c r="E34" s="6"/>
      <c r="F34" s="6"/>
      <c r="G34" s="6"/>
    </row>
    <row r="35" customFormat="false" ht="15" hidden="false" customHeight="false" outlineLevel="0" collapsed="false">
      <c r="A35" s="6"/>
      <c r="B35" s="8" t="s">
        <v>306</v>
      </c>
      <c r="C35" s="18" t="n">
        <f aca="false">MAX(0,C32*Dividend_Payout)</f>
        <v>0</v>
      </c>
      <c r="D35" s="18" t="n">
        <f aca="false">MAX(0,D32*Dividend_Payout)</f>
        <v>0</v>
      </c>
      <c r="E35" s="18" t="n">
        <f aca="false">MAX(0,E32*Dividend_Payout)</f>
        <v>0</v>
      </c>
      <c r="F35" s="18" t="n">
        <f aca="false">MAX(0,F32*Dividend_Payout)</f>
        <v>0</v>
      </c>
      <c r="G35" s="18" t="n">
        <f aca="false">MAX(0,G32*Dividend_Payout)</f>
        <v>0</v>
      </c>
    </row>
    <row r="36" customFormat="false" ht="15" hidden="false" customHeight="false" outlineLevel="0" collapsed="false">
      <c r="A36" s="6"/>
      <c r="B36" s="6"/>
      <c r="C36" s="6"/>
      <c r="D36" s="6"/>
      <c r="E36" s="6"/>
      <c r="F36" s="6"/>
      <c r="G36" s="6"/>
    </row>
    <row r="37" customFormat="false" ht="15" hidden="false" customHeight="false" outlineLevel="0" collapsed="false">
      <c r="A37" s="6"/>
      <c r="B37" s="9" t="s">
        <v>307</v>
      </c>
      <c r="C37" s="9"/>
      <c r="D37" s="9"/>
      <c r="E37" s="9"/>
      <c r="F37" s="9"/>
      <c r="G37" s="9"/>
    </row>
    <row r="38" customFormat="false" ht="15" hidden="false" customHeight="false" outlineLevel="0" collapsed="false">
      <c r="A38" s="6"/>
      <c r="B38" s="36" t="s">
        <v>308</v>
      </c>
      <c r="C38" s="18" t="n">
        <f aca="false">NOL_Open_Balance</f>
        <v>6000000</v>
      </c>
      <c r="D38" s="18" t="n">
        <f aca="false">C41</f>
        <v>2076460.745</v>
      </c>
      <c r="E38" s="18" t="n">
        <f aca="false">D41</f>
        <v>0</v>
      </c>
      <c r="F38" s="18" t="n">
        <f aca="false">E41</f>
        <v>0</v>
      </c>
      <c r="G38" s="18" t="n">
        <f aca="false">F41</f>
        <v>0</v>
      </c>
    </row>
    <row r="39" customFormat="false" ht="15" hidden="false" customHeight="false" outlineLevel="0" collapsed="false">
      <c r="A39" s="6"/>
      <c r="B39" s="36" t="s">
        <v>309</v>
      </c>
      <c r="C39" s="18" t="n">
        <f aca="false">IF(C29&lt;=0,0,MIN(C38,C29*NOL_Cap_Pct))</f>
        <v>3923539.255</v>
      </c>
      <c r="D39" s="18" t="n">
        <f aca="false">IF(D29&lt;=0,0,MIN(D38,D29*NOL_Cap_Pct))</f>
        <v>2076460.745</v>
      </c>
      <c r="E39" s="18" t="n">
        <f aca="false">IF(E29&lt;=0,0,MIN(E38,E29*NOL_Cap_Pct))</f>
        <v>0</v>
      </c>
      <c r="F39" s="18" t="n">
        <f aca="false">IF(F29&lt;=0,0,MIN(F38,F29*NOL_Cap_Pct))</f>
        <v>0</v>
      </c>
      <c r="G39" s="18" t="n">
        <f aca="false">IF(G29&lt;=0,0,MIN(G38,G29*NOL_Cap_Pct))</f>
        <v>0</v>
      </c>
    </row>
    <row r="40" customFormat="false" ht="15" hidden="false" customHeight="false" outlineLevel="0" collapsed="false">
      <c r="A40" s="6"/>
      <c r="B40" s="36" t="s">
        <v>310</v>
      </c>
      <c r="C40" s="18" t="n">
        <f aca="false">MAX(0,-C29)</f>
        <v>0</v>
      </c>
      <c r="D40" s="18" t="n">
        <f aca="false">MAX(0,-D29)</f>
        <v>0</v>
      </c>
      <c r="E40" s="18" t="n">
        <f aca="false">MAX(0,-E29)</f>
        <v>0</v>
      </c>
      <c r="F40" s="18" t="n">
        <f aca="false">MAX(0,-F29)</f>
        <v>0</v>
      </c>
      <c r="G40" s="18" t="n">
        <f aca="false">MAX(0,-G29)</f>
        <v>0</v>
      </c>
    </row>
    <row r="41" customFormat="false" ht="15" hidden="false" customHeight="false" outlineLevel="0" collapsed="false">
      <c r="A41" s="6"/>
      <c r="B41" s="7" t="s">
        <v>311</v>
      </c>
      <c r="C41" s="39" t="n">
        <f aca="false">C38-C39+C40</f>
        <v>2076460.745</v>
      </c>
      <c r="D41" s="39" t="n">
        <f aca="false">D38-D39+D40</f>
        <v>0</v>
      </c>
      <c r="E41" s="39" t="n">
        <f aca="false">E38-E39+E40</f>
        <v>0</v>
      </c>
      <c r="F41" s="39" t="n">
        <f aca="false">F38-F39+F40</f>
        <v>0</v>
      </c>
      <c r="G41" s="39" t="n">
        <f aca="false">G38-G39+G40</f>
        <v>0</v>
      </c>
    </row>
    <row r="42" customFormat="false" ht="15" hidden="false" customHeight="false" outlineLevel="0" collapsed="false">
      <c r="A42" s="6"/>
      <c r="B42" s="31" t="s">
        <v>312</v>
      </c>
      <c r="C42" s="32" t="n">
        <f aca="false">MAX(0,C29-C39)</f>
        <v>980884.81375</v>
      </c>
      <c r="D42" s="32" t="n">
        <f aca="false">MAX(0,D29-D39)</f>
        <v>3241265.08738909</v>
      </c>
      <c r="E42" s="32" t="n">
        <f aca="false">MAX(0,E29-E39)</f>
        <v>5755675.9010687</v>
      </c>
      <c r="F42" s="32" t="n">
        <f aca="false">MAX(0,F29-F39)</f>
        <v>6766159.88248598</v>
      </c>
      <c r="G42" s="32" t="n">
        <f aca="false">MAX(0,G29-G39)</f>
        <v>7855010.01135627</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ED7D31"/>
    <pageSetUpPr fitToPage="false"/>
  </sheetPr>
  <dimension ref="A1:AD19"/>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0"/>
    <col collapsed="false" customWidth="true" hidden="false" outlineLevel="0" max="7" min="3" style="0" width="18"/>
  </cols>
  <sheetData>
    <row r="1" customFormat="false" ht="15" hidden="false" customHeight="false" outlineLevel="0" collapsed="false">
      <c r="A1" s="1"/>
      <c r="B1" s="1"/>
      <c r="C1" s="1"/>
      <c r="D1" s="1"/>
      <c r="E1" s="1"/>
      <c r="F1" s="1"/>
      <c r="G1" s="1"/>
      <c r="H1" s="2"/>
      <c r="I1" s="2"/>
      <c r="J1" s="2"/>
      <c r="K1" s="2"/>
      <c r="L1" s="2"/>
      <c r="M1" s="2"/>
      <c r="N1" s="2"/>
      <c r="O1" s="2"/>
      <c r="P1" s="2"/>
      <c r="Q1" s="2"/>
      <c r="R1" s="2"/>
      <c r="S1" s="2"/>
      <c r="T1" s="2"/>
      <c r="U1" s="2"/>
      <c r="V1" s="2"/>
      <c r="W1" s="2"/>
      <c r="X1" s="2"/>
      <c r="Y1" s="2"/>
      <c r="Z1" s="2"/>
      <c r="AA1" s="2"/>
      <c r="AB1" s="2"/>
      <c r="AC1" s="2"/>
      <c r="AD1" s="2"/>
    </row>
    <row r="2" customFormat="false" ht="21.75" hidden="false" customHeight="true" outlineLevel="0" collapsed="false">
      <c r="A2" s="1"/>
      <c r="B2" s="3" t="s">
        <v>169</v>
      </c>
      <c r="C2" s="1"/>
      <c r="D2" s="1"/>
      <c r="E2" s="1"/>
      <c r="F2" s="1"/>
      <c r="G2" s="1"/>
      <c r="H2" s="2"/>
      <c r="I2" s="2"/>
      <c r="J2" s="2"/>
      <c r="K2" s="2"/>
      <c r="L2" s="2"/>
      <c r="M2" s="2"/>
      <c r="N2" s="2"/>
      <c r="O2" s="2"/>
      <c r="P2" s="2"/>
      <c r="Q2" s="2"/>
      <c r="R2" s="2"/>
      <c r="S2" s="2"/>
      <c r="T2" s="2"/>
      <c r="U2" s="2"/>
      <c r="V2" s="2"/>
      <c r="W2" s="2"/>
      <c r="X2" s="2"/>
      <c r="Y2" s="2"/>
      <c r="Z2" s="2"/>
      <c r="AA2" s="2"/>
      <c r="AB2" s="2"/>
      <c r="AC2" s="2"/>
      <c r="AD2" s="2"/>
    </row>
    <row r="3" customFormat="false" ht="15" hidden="false" customHeight="false" outlineLevel="0" collapsed="false">
      <c r="A3" s="1"/>
      <c r="B3" s="5" t="s">
        <v>313</v>
      </c>
      <c r="C3" s="1"/>
      <c r="D3" s="1"/>
      <c r="E3" s="1"/>
      <c r="F3" s="1"/>
      <c r="G3" s="1"/>
      <c r="H3" s="2"/>
      <c r="I3" s="2"/>
      <c r="J3" s="2"/>
      <c r="K3" s="2"/>
      <c r="L3" s="2"/>
      <c r="M3" s="2"/>
      <c r="N3" s="2"/>
      <c r="O3" s="2"/>
      <c r="P3" s="2"/>
      <c r="Q3" s="2"/>
      <c r="R3" s="2"/>
      <c r="S3" s="2"/>
      <c r="T3" s="2"/>
      <c r="U3" s="2"/>
      <c r="V3" s="2"/>
      <c r="W3" s="2"/>
      <c r="X3" s="2"/>
      <c r="Y3" s="2"/>
      <c r="Z3" s="2"/>
      <c r="AA3" s="2"/>
      <c r="AB3" s="2"/>
      <c r="AC3" s="2"/>
      <c r="AD3" s="2"/>
    </row>
    <row r="4" customFormat="false" ht="15" hidden="false" customHeight="false" outlineLevel="0" collapsed="false">
      <c r="A4" s="6"/>
      <c r="B4" s="6"/>
      <c r="C4" s="6"/>
      <c r="D4" s="6"/>
      <c r="E4" s="6"/>
      <c r="F4" s="6"/>
      <c r="G4" s="6"/>
    </row>
    <row r="5" customFormat="false" ht="15" hidden="false" customHeight="false" outlineLevel="0" collapsed="false">
      <c r="A5" s="6"/>
      <c r="B5" s="9"/>
      <c r="C5" s="28" t="n">
        <f aca="false">Model_Start_Year+0</f>
        <v>2026</v>
      </c>
      <c r="D5" s="28" t="n">
        <f aca="false">Model_Start_Year+1</f>
        <v>2027</v>
      </c>
      <c r="E5" s="28" t="n">
        <f aca="false">Model_Start_Year+2</f>
        <v>2028</v>
      </c>
      <c r="F5" s="28" t="n">
        <f aca="false">Model_Start_Year+3</f>
        <v>2029</v>
      </c>
      <c r="G5" s="28" t="n">
        <f aca="false">Model_Start_Year+4</f>
        <v>2030</v>
      </c>
    </row>
    <row r="6" customFormat="false" ht="15" hidden="false" customHeight="false" outlineLevel="0" collapsed="false">
      <c r="A6" s="6"/>
      <c r="B6" s="29" t="s">
        <v>244</v>
      </c>
      <c r="C6" s="30" t="n">
        <f aca="false">COLUMN()-2</f>
        <v>1</v>
      </c>
      <c r="D6" s="30" t="n">
        <f aca="false">COLUMN()-2</f>
        <v>2</v>
      </c>
      <c r="E6" s="30" t="n">
        <f aca="false">COLUMN()-2</f>
        <v>3</v>
      </c>
      <c r="F6" s="30" t="n">
        <f aca="false">COLUMN()-2</f>
        <v>4</v>
      </c>
      <c r="G6" s="30" t="n">
        <f aca="false">COLUMN()-2</f>
        <v>5</v>
      </c>
    </row>
    <row r="7" customFormat="false" ht="15" hidden="false" customHeight="false" outlineLevel="0" collapsed="false">
      <c r="A7" s="6"/>
      <c r="B7" s="6"/>
      <c r="C7" s="6"/>
      <c r="D7" s="6"/>
      <c r="E7" s="6"/>
      <c r="F7" s="6"/>
      <c r="G7" s="6"/>
    </row>
    <row r="8" customFormat="false" ht="15" hidden="false" customHeight="false" outlineLevel="0" collapsed="false">
      <c r="A8" s="6"/>
      <c r="B8" s="9" t="s">
        <v>314</v>
      </c>
      <c r="C8" s="9"/>
      <c r="D8" s="9"/>
      <c r="E8" s="9"/>
      <c r="F8" s="9"/>
      <c r="G8" s="9"/>
    </row>
    <row r="9" customFormat="false" ht="15" hidden="false" customHeight="false" outlineLevel="0" collapsed="false">
      <c r="A9" s="6"/>
      <c r="B9" s="36" t="s">
        <v>315</v>
      </c>
      <c r="C9" s="18" t="n">
        <f aca="false">IS_Revenue*DSO_Days/365</f>
        <v>1509041.09589041</v>
      </c>
      <c r="D9" s="18" t="n">
        <f aca="false">IS_Revenue*DSO_Days/365</f>
        <v>1641946.87232877</v>
      </c>
      <c r="E9" s="18" t="n">
        <f aca="false">IS_Revenue*DSO_Days/365</f>
        <v>1786496.96150808</v>
      </c>
      <c r="F9" s="18" t="n">
        <f aca="false">IS_Revenue*DSO_Days/365</f>
        <v>1943706.92839705</v>
      </c>
      <c r="G9" s="18" t="n">
        <f aca="false">IS_Revenue*DSO_Days/365</f>
        <v>2114680.55805693</v>
      </c>
    </row>
    <row r="10" customFormat="false" ht="15" hidden="false" customHeight="false" outlineLevel="0" collapsed="false">
      <c r="A10" s="6"/>
      <c r="B10" s="36" t="s">
        <v>316</v>
      </c>
      <c r="C10" s="18" t="n">
        <f aca="false">PS_Standing_Bio*1000*IFERROR(OC_Total_COGS/(REV_Harvest_Vol*1000),0)</f>
        <v>8038629.375</v>
      </c>
      <c r="D10" s="18" t="n">
        <f aca="false">PS_Standing_Bio*1000*IFERROR(OC_Total_COGS/(REV_Harvest_Vol*1000),0)</f>
        <v>8763238.44792206</v>
      </c>
      <c r="E10" s="18" t="n">
        <f aca="false">PS_Standing_Bio*1000*IFERROR(OC_Total_COGS/(REV_Harvest_Vol*1000),0)</f>
        <v>9553611.97309566</v>
      </c>
      <c r="F10" s="18" t="n">
        <f aca="false">PS_Standing_Bio*1000*IFERROR(OC_Total_COGS/(REV_Harvest_Vol*1000),0)</f>
        <v>10415751.9461875</v>
      </c>
      <c r="G10" s="18" t="n">
        <f aca="false">PS_Standing_Bio*1000*IFERROR(OC_Total_COGS/(REV_Harvest_Vol*1000),0)</f>
        <v>11356210.6220601</v>
      </c>
    </row>
    <row r="11" customFormat="false" ht="15" hidden="false" customHeight="false" outlineLevel="0" collapsed="false">
      <c r="A11" s="6"/>
      <c r="B11" s="6"/>
      <c r="C11" s="6"/>
      <c r="D11" s="6"/>
      <c r="E11" s="6"/>
      <c r="F11" s="6"/>
      <c r="G11" s="6"/>
    </row>
    <row r="12" customFormat="false" ht="15" hidden="false" customHeight="false" outlineLevel="0" collapsed="false">
      <c r="A12" s="6"/>
      <c r="B12" s="7" t="s">
        <v>317</v>
      </c>
      <c r="C12" s="39" t="n">
        <f aca="false">C9+C10</f>
        <v>9547670.47089041</v>
      </c>
      <c r="D12" s="39" t="n">
        <f aca="false">D9+D10</f>
        <v>10405185.3202508</v>
      </c>
      <c r="E12" s="39" t="n">
        <f aca="false">E9+E10</f>
        <v>11340108.9346037</v>
      </c>
      <c r="F12" s="39" t="n">
        <f aca="false">F9+F10</f>
        <v>12359458.8745845</v>
      </c>
      <c r="G12" s="39" t="n">
        <f aca="false">G9+G10</f>
        <v>13470891.180117</v>
      </c>
    </row>
    <row r="13" customFormat="false" ht="15" hidden="false" customHeight="false" outlineLevel="0" collapsed="false">
      <c r="A13" s="6"/>
      <c r="B13" s="9" t="s">
        <v>318</v>
      </c>
      <c r="C13" s="9"/>
      <c r="D13" s="9"/>
      <c r="E13" s="9"/>
      <c r="F13" s="9"/>
      <c r="G13" s="9"/>
    </row>
    <row r="14" customFormat="false" ht="15" hidden="false" customHeight="false" outlineLevel="0" collapsed="false">
      <c r="A14" s="6"/>
      <c r="B14" s="36" t="s">
        <v>319</v>
      </c>
      <c r="C14" s="18" t="n">
        <f aca="false">OC_Total_COGS*DPO_Days/365</f>
        <v>1918188.18493151</v>
      </c>
      <c r="D14" s="18" t="n">
        <f aca="false">OC_Total_COGS*DPO_Days/365</f>
        <v>2091763.42487491</v>
      </c>
      <c r="E14" s="18" t="n">
        <f aca="false">OC_Total_COGS*DPO_Days/365</f>
        <v>2281145.22239636</v>
      </c>
      <c r="F14" s="18" t="n">
        <f aca="false">OC_Total_COGS*DPO_Days/365</f>
        <v>2487780.43063029</v>
      </c>
      <c r="G14" s="18" t="n">
        <f aca="false">OC_Total_COGS*DPO_Days/365</f>
        <v>2713248.89466559</v>
      </c>
    </row>
    <row r="15" customFormat="false" ht="15" hidden="false" customHeight="false" outlineLevel="0" collapsed="false">
      <c r="A15" s="6"/>
      <c r="B15" s="6"/>
      <c r="C15" s="6"/>
      <c r="D15" s="6"/>
      <c r="E15" s="6"/>
      <c r="F15" s="6"/>
      <c r="G15" s="6"/>
    </row>
    <row r="16" customFormat="false" ht="15" hidden="false" customHeight="false" outlineLevel="0" collapsed="false">
      <c r="A16" s="6"/>
      <c r="B16" s="7" t="s">
        <v>320</v>
      </c>
      <c r="C16" s="39" t="n">
        <f aca="false">C14</f>
        <v>1918188.18493151</v>
      </c>
      <c r="D16" s="39" t="n">
        <f aca="false">D14</f>
        <v>2091763.42487491</v>
      </c>
      <c r="E16" s="39" t="n">
        <f aca="false">E14</f>
        <v>2281145.22239636</v>
      </c>
      <c r="F16" s="39" t="n">
        <f aca="false">F14</f>
        <v>2487780.43063029</v>
      </c>
      <c r="G16" s="39" t="n">
        <f aca="false">G14</f>
        <v>2713248.89466559</v>
      </c>
    </row>
    <row r="17" customFormat="false" ht="15" hidden="false" customHeight="false" outlineLevel="0" collapsed="false">
      <c r="A17" s="6"/>
      <c r="B17" s="9" t="s">
        <v>321</v>
      </c>
      <c r="C17" s="9"/>
      <c r="D17" s="9"/>
      <c r="E17" s="9"/>
      <c r="F17" s="9"/>
      <c r="G17" s="9"/>
    </row>
    <row r="18" customFormat="false" ht="15" hidden="false" customHeight="false" outlineLevel="0" collapsed="false">
      <c r="A18" s="6"/>
      <c r="B18" s="7" t="s">
        <v>321</v>
      </c>
      <c r="C18" s="39" t="n">
        <f aca="false">C12-C16</f>
        <v>7629482.28595891</v>
      </c>
      <c r="D18" s="39" t="n">
        <f aca="false">D12-D16</f>
        <v>8313421.89537592</v>
      </c>
      <c r="E18" s="39" t="n">
        <f aca="false">E12-E16</f>
        <v>9058963.71220738</v>
      </c>
      <c r="F18" s="39" t="n">
        <f aca="false">F12-F16</f>
        <v>9871678.44395426</v>
      </c>
      <c r="G18" s="39" t="n">
        <f aca="false">G12-G16</f>
        <v>10757642.2854515</v>
      </c>
    </row>
    <row r="19" customFormat="false" ht="15" hidden="false" customHeight="false" outlineLevel="0" collapsed="false">
      <c r="A19" s="6"/>
      <c r="B19" s="8" t="s">
        <v>322</v>
      </c>
      <c r="C19" s="18" t="n">
        <f aca="false">C18-Open_NWC</f>
        <v>2629482.28595891</v>
      </c>
      <c r="D19" s="18" t="n">
        <f aca="false">D18-C18</f>
        <v>683939.60941701</v>
      </c>
      <c r="E19" s="18" t="n">
        <f aca="false">E18-D18</f>
        <v>745541.81683146</v>
      </c>
      <c r="F19" s="18" t="n">
        <f aca="false">F18-E18</f>
        <v>812714.731746882</v>
      </c>
      <c r="G19" s="18" t="n">
        <f aca="false">G18-F18</f>
        <v>885963.841497196</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FF0000"/>
    <pageSetUpPr fitToPage="false"/>
  </sheetPr>
  <dimension ref="A1:AD29"/>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0"/>
    <col collapsed="false" customWidth="true" hidden="false" outlineLevel="0" max="7" min="3" style="0" width="18"/>
  </cols>
  <sheetData>
    <row r="1" customFormat="false" ht="15" hidden="false" customHeight="false" outlineLevel="0" collapsed="false">
      <c r="A1" s="1"/>
      <c r="B1" s="1"/>
      <c r="C1" s="1"/>
      <c r="D1" s="1"/>
      <c r="E1" s="1"/>
      <c r="F1" s="1"/>
      <c r="G1" s="1"/>
      <c r="H1" s="2"/>
      <c r="I1" s="2"/>
      <c r="J1" s="2"/>
      <c r="K1" s="2"/>
      <c r="L1" s="2"/>
      <c r="M1" s="2"/>
      <c r="N1" s="2"/>
      <c r="O1" s="2"/>
      <c r="P1" s="2"/>
      <c r="Q1" s="2"/>
      <c r="R1" s="2"/>
      <c r="S1" s="2"/>
      <c r="T1" s="2"/>
      <c r="U1" s="2"/>
      <c r="V1" s="2"/>
      <c r="W1" s="2"/>
      <c r="X1" s="2"/>
      <c r="Y1" s="2"/>
      <c r="Z1" s="2"/>
      <c r="AA1" s="2"/>
      <c r="AB1" s="2"/>
      <c r="AC1" s="2"/>
      <c r="AD1" s="2"/>
    </row>
    <row r="2" customFormat="false" ht="21.75" hidden="false" customHeight="true" outlineLevel="0" collapsed="false">
      <c r="A2" s="1"/>
      <c r="B2" s="3" t="s">
        <v>47</v>
      </c>
      <c r="C2" s="1"/>
      <c r="D2" s="1"/>
      <c r="E2" s="1"/>
      <c r="F2" s="1"/>
      <c r="G2" s="1"/>
      <c r="H2" s="2"/>
      <c r="I2" s="2"/>
      <c r="J2" s="2"/>
      <c r="K2" s="2"/>
      <c r="L2" s="2"/>
      <c r="M2" s="2"/>
      <c r="N2" s="2"/>
      <c r="O2" s="2"/>
      <c r="P2" s="2"/>
      <c r="Q2" s="2"/>
      <c r="R2" s="2"/>
      <c r="S2" s="2"/>
      <c r="T2" s="2"/>
      <c r="U2" s="2"/>
      <c r="V2" s="2"/>
      <c r="W2" s="2"/>
      <c r="X2" s="2"/>
      <c r="Y2" s="2"/>
      <c r="Z2" s="2"/>
      <c r="AA2" s="2"/>
      <c r="AB2" s="2"/>
      <c r="AC2" s="2"/>
      <c r="AD2" s="2"/>
    </row>
    <row r="3" customFormat="false" ht="15" hidden="false" customHeight="false" outlineLevel="0" collapsed="false">
      <c r="A3" s="1"/>
      <c r="B3" s="5" t="s">
        <v>323</v>
      </c>
      <c r="C3" s="1"/>
      <c r="D3" s="1"/>
      <c r="E3" s="1"/>
      <c r="F3" s="1"/>
      <c r="G3" s="1"/>
      <c r="H3" s="2"/>
      <c r="I3" s="2"/>
      <c r="J3" s="2"/>
      <c r="K3" s="2"/>
      <c r="L3" s="2"/>
      <c r="M3" s="2"/>
      <c r="N3" s="2"/>
      <c r="O3" s="2"/>
      <c r="P3" s="2"/>
      <c r="Q3" s="2"/>
      <c r="R3" s="2"/>
      <c r="S3" s="2"/>
      <c r="T3" s="2"/>
      <c r="U3" s="2"/>
      <c r="V3" s="2"/>
      <c r="W3" s="2"/>
      <c r="X3" s="2"/>
      <c r="Y3" s="2"/>
      <c r="Z3" s="2"/>
      <c r="AA3" s="2"/>
      <c r="AB3" s="2"/>
      <c r="AC3" s="2"/>
      <c r="AD3" s="2"/>
    </row>
    <row r="4" customFormat="false" ht="15" hidden="false" customHeight="false" outlineLevel="0" collapsed="false">
      <c r="A4" s="6"/>
      <c r="B4" s="6"/>
      <c r="C4" s="6"/>
      <c r="D4" s="6"/>
      <c r="E4" s="6"/>
      <c r="F4" s="6"/>
      <c r="G4" s="6"/>
    </row>
    <row r="5" customFormat="false" ht="15" hidden="false" customHeight="false" outlineLevel="0" collapsed="false">
      <c r="A5" s="6"/>
      <c r="B5" s="9"/>
      <c r="C5" s="28" t="n">
        <f aca="false">Model_Start_Year+0</f>
        <v>2026</v>
      </c>
      <c r="D5" s="28" t="n">
        <f aca="false">Model_Start_Year+1</f>
        <v>2027</v>
      </c>
      <c r="E5" s="28" t="n">
        <f aca="false">Model_Start_Year+2</f>
        <v>2028</v>
      </c>
      <c r="F5" s="28" t="n">
        <f aca="false">Model_Start_Year+3</f>
        <v>2029</v>
      </c>
      <c r="G5" s="28" t="n">
        <f aca="false">Model_Start_Year+4</f>
        <v>2030</v>
      </c>
    </row>
    <row r="6" customFormat="false" ht="15" hidden="false" customHeight="false" outlineLevel="0" collapsed="false">
      <c r="A6" s="6"/>
      <c r="B6" s="29" t="s">
        <v>244</v>
      </c>
      <c r="C6" s="30" t="n">
        <f aca="false">COLUMN()-2</f>
        <v>1</v>
      </c>
      <c r="D6" s="30" t="n">
        <f aca="false">COLUMN()-2</f>
        <v>2</v>
      </c>
      <c r="E6" s="30" t="n">
        <f aca="false">COLUMN()-2</f>
        <v>3</v>
      </c>
      <c r="F6" s="30" t="n">
        <f aca="false">COLUMN()-2</f>
        <v>4</v>
      </c>
      <c r="G6" s="30" t="n">
        <f aca="false">COLUMN()-2</f>
        <v>5</v>
      </c>
    </row>
    <row r="7" customFormat="false" ht="15" hidden="false" customHeight="false" outlineLevel="0" collapsed="false">
      <c r="A7" s="6"/>
      <c r="B7" s="6"/>
      <c r="C7" s="6"/>
      <c r="D7" s="6"/>
      <c r="E7" s="6"/>
      <c r="F7" s="6"/>
      <c r="G7" s="6"/>
    </row>
    <row r="8" customFormat="false" ht="15" hidden="false" customHeight="false" outlineLevel="0" collapsed="false">
      <c r="A8" s="6"/>
      <c r="B8" s="9" t="s">
        <v>176</v>
      </c>
      <c r="C8" s="9"/>
      <c r="D8" s="9"/>
      <c r="E8" s="9"/>
      <c r="F8" s="9"/>
      <c r="G8" s="9"/>
    </row>
    <row r="9" customFormat="false" ht="15" hidden="false" customHeight="false" outlineLevel="0" collapsed="false">
      <c r="A9" s="6"/>
      <c r="B9" s="8" t="s">
        <v>324</v>
      </c>
      <c r="C9" s="18" t="n">
        <f aca="false">Term_Loan_Amt</f>
        <v>15000000</v>
      </c>
      <c r="D9" s="18" t="n">
        <f aca="false">C11</f>
        <v>13500000</v>
      </c>
      <c r="E9" s="18" t="n">
        <f aca="false">D11</f>
        <v>12000000</v>
      </c>
      <c r="F9" s="18" t="n">
        <f aca="false">E11</f>
        <v>10500000</v>
      </c>
      <c r="G9" s="18" t="n">
        <f aca="false">F11</f>
        <v>9000000</v>
      </c>
    </row>
    <row r="10" customFormat="false" ht="15" hidden="false" customHeight="false" outlineLevel="0" collapsed="false">
      <c r="A10" s="6"/>
      <c r="B10" s="36" t="s">
        <v>325</v>
      </c>
      <c r="C10" s="18" t="n">
        <f aca="false">MIN(Term_Loan_Amt/Term_Loan_Tenor,C9)</f>
        <v>1500000</v>
      </c>
      <c r="D10" s="18" t="n">
        <f aca="false">MIN(Term_Loan_Amt/Term_Loan_Tenor,D9)</f>
        <v>1500000</v>
      </c>
      <c r="E10" s="18" t="n">
        <f aca="false">MIN(Term_Loan_Amt/Term_Loan_Tenor,E9)</f>
        <v>1500000</v>
      </c>
      <c r="F10" s="18" t="n">
        <f aca="false">MIN(Term_Loan_Amt/Term_Loan_Tenor,F9)</f>
        <v>1500000</v>
      </c>
      <c r="G10" s="18" t="n">
        <f aca="false">MIN(Term_Loan_Amt/Term_Loan_Tenor,G9)</f>
        <v>1500000</v>
      </c>
    </row>
    <row r="11" customFormat="false" ht="15" hidden="false" customHeight="false" outlineLevel="0" collapsed="false">
      <c r="A11" s="6"/>
      <c r="B11" s="8" t="s">
        <v>326</v>
      </c>
      <c r="C11" s="18" t="n">
        <f aca="false">C9-C10</f>
        <v>13500000</v>
      </c>
      <c r="D11" s="18" t="n">
        <f aca="false">D9-D10</f>
        <v>12000000</v>
      </c>
      <c r="E11" s="18" t="n">
        <f aca="false">E9-E10</f>
        <v>10500000</v>
      </c>
      <c r="F11" s="18" t="n">
        <f aca="false">F9-F10</f>
        <v>9000000</v>
      </c>
      <c r="G11" s="18" t="n">
        <f aca="false">G9-G10</f>
        <v>7500000</v>
      </c>
    </row>
    <row r="12" customFormat="false" ht="15" hidden="false" customHeight="false" outlineLevel="0" collapsed="false">
      <c r="A12" s="6"/>
      <c r="B12" s="36" t="s">
        <v>327</v>
      </c>
      <c r="C12" s="18" t="n">
        <f aca="false">C9*Term_Loan_Rate</f>
        <v>975000</v>
      </c>
      <c r="D12" s="18" t="n">
        <f aca="false">D9*Term_Loan_Rate</f>
        <v>877500</v>
      </c>
      <c r="E12" s="18" t="n">
        <f aca="false">E9*Term_Loan_Rate</f>
        <v>780000</v>
      </c>
      <c r="F12" s="18" t="n">
        <f aca="false">F9*Term_Loan_Rate</f>
        <v>682500</v>
      </c>
      <c r="G12" s="18" t="n">
        <f aca="false">G9*Term_Loan_Rate</f>
        <v>585000</v>
      </c>
    </row>
    <row r="13" customFormat="false" ht="15" hidden="false" customHeight="false" outlineLevel="0" collapsed="false">
      <c r="A13" s="6"/>
      <c r="B13" s="6"/>
      <c r="C13" s="6"/>
      <c r="D13" s="6"/>
      <c r="E13" s="6"/>
      <c r="F13" s="6"/>
      <c r="G13" s="6"/>
    </row>
    <row r="14" customFormat="false" ht="15" hidden="false" customHeight="false" outlineLevel="0" collapsed="false">
      <c r="A14" s="6"/>
      <c r="B14" s="9" t="s">
        <v>328</v>
      </c>
      <c r="C14" s="9"/>
      <c r="D14" s="9"/>
      <c r="E14" s="9"/>
      <c r="F14" s="9"/>
      <c r="G14" s="9"/>
    </row>
    <row r="15" customFormat="false" ht="15" hidden="false" customHeight="false" outlineLevel="0" collapsed="false">
      <c r="A15" s="6"/>
      <c r="B15" s="26" t="s">
        <v>329</v>
      </c>
      <c r="C15" s="32" t="n">
        <f aca="false">PS_Standing_Bio*1000*REV_Premium_Price*Liquidation_Haircut*Advance_Rate</f>
        <v>6225187.5</v>
      </c>
      <c r="D15" s="32" t="n">
        <f aca="false">PS_Standing_Bio*1000*REV_Premium_Price*Liquidation_Haircut*Advance_Rate</f>
        <v>6771295.085625</v>
      </c>
      <c r="E15" s="32" t="n">
        <f aca="false">PS_Standing_Bio*1000*REV_Premium_Price*Liquidation_Haircut*Advance_Rate</f>
        <v>7365080.89369553</v>
      </c>
      <c r="F15" s="32" t="n">
        <f aca="false">PS_Standing_Bio*1000*REV_Premium_Price*Liquidation_Haircut*Advance_Rate</f>
        <v>8010690.25537863</v>
      </c>
      <c r="G15" s="32" t="n">
        <f aca="false">PS_Standing_Bio*1000*REV_Premium_Price*Liquidation_Haircut*Advance_Rate</f>
        <v>8712627.60717492</v>
      </c>
    </row>
    <row r="16" customFormat="false" ht="15" hidden="false" customHeight="false" outlineLevel="0" collapsed="false">
      <c r="A16" s="6"/>
      <c r="B16" s="31" t="s">
        <v>330</v>
      </c>
      <c r="C16" s="32" t="n">
        <f aca="false">MIN(C15*Revolver_Target_Pct,Revolver_Limit)</f>
        <v>3735112.5</v>
      </c>
      <c r="D16" s="32" t="n">
        <f aca="false">MIN(D15*Revolver_Target_Pct,Revolver_Limit)</f>
        <v>4062777.051375</v>
      </c>
      <c r="E16" s="32" t="n">
        <f aca="false">MIN(E15*Revolver_Target_Pct,Revolver_Limit)</f>
        <v>4419048.53621732</v>
      </c>
      <c r="F16" s="32" t="n">
        <f aca="false">MIN(F15*Revolver_Target_Pct,Revolver_Limit)</f>
        <v>4806414.15322718</v>
      </c>
      <c r="G16" s="32" t="n">
        <f aca="false">MIN(G15*Revolver_Target_Pct,Revolver_Limit)</f>
        <v>5227576.56430495</v>
      </c>
    </row>
    <row r="17" customFormat="false" ht="15" hidden="false" customHeight="false" outlineLevel="0" collapsed="false">
      <c r="A17" s="6"/>
      <c r="B17" s="8" t="s">
        <v>324</v>
      </c>
      <c r="C17" s="18" t="n">
        <f aca="false">Revolver_Drawn</f>
        <v>4000000</v>
      </c>
      <c r="D17" s="18" t="n">
        <f aca="false">C21</f>
        <v>3735112.5</v>
      </c>
      <c r="E17" s="18" t="n">
        <f aca="false">D21</f>
        <v>4062777.051375</v>
      </c>
      <c r="F17" s="18" t="n">
        <f aca="false">E21</f>
        <v>4419048.53621732</v>
      </c>
      <c r="G17" s="18" t="n">
        <f aca="false">F21</f>
        <v>4806414.15322718</v>
      </c>
    </row>
    <row r="18" customFormat="false" ht="15" hidden="false" customHeight="false" outlineLevel="0" collapsed="false">
      <c r="A18" s="6"/>
      <c r="B18" s="31" t="s">
        <v>331</v>
      </c>
      <c r="C18" s="32" t="n">
        <f aca="false">C16-C17</f>
        <v>-264887.5</v>
      </c>
      <c r="D18" s="32" t="n">
        <f aca="false">D16-D17</f>
        <v>327664.551374999</v>
      </c>
      <c r="E18" s="32" t="n">
        <f aca="false">E16-E17</f>
        <v>356271.484842316</v>
      </c>
      <c r="F18" s="32" t="n">
        <f aca="false">F16-F17</f>
        <v>387365.617009861</v>
      </c>
      <c r="G18" s="32" t="n">
        <f aca="false">G16-G17</f>
        <v>421162.411077774</v>
      </c>
    </row>
    <row r="19" customFormat="false" ht="15" hidden="false" customHeight="false" outlineLevel="0" collapsed="false">
      <c r="A19" s="6"/>
      <c r="B19" s="36" t="s">
        <v>332</v>
      </c>
      <c r="C19" s="18" t="n">
        <f aca="false">MAX(0,C18)</f>
        <v>0</v>
      </c>
      <c r="D19" s="18" t="n">
        <f aca="false">MAX(0,D18)</f>
        <v>327664.551374999</v>
      </c>
      <c r="E19" s="18" t="n">
        <f aca="false">MAX(0,E18)</f>
        <v>356271.484842316</v>
      </c>
      <c r="F19" s="18" t="n">
        <f aca="false">MAX(0,F18)</f>
        <v>387365.617009861</v>
      </c>
      <c r="G19" s="18" t="n">
        <f aca="false">MAX(0,G18)</f>
        <v>421162.411077774</v>
      </c>
    </row>
    <row r="20" customFormat="false" ht="15" hidden="false" customHeight="false" outlineLevel="0" collapsed="false">
      <c r="A20" s="6"/>
      <c r="B20" s="36" t="s">
        <v>333</v>
      </c>
      <c r="C20" s="18" t="n">
        <f aca="false">MAX(0,-C18)</f>
        <v>264887.5</v>
      </c>
      <c r="D20" s="18" t="n">
        <f aca="false">MAX(0,-D18)</f>
        <v>0</v>
      </c>
      <c r="E20" s="18" t="n">
        <f aca="false">MAX(0,-E18)</f>
        <v>0</v>
      </c>
      <c r="F20" s="18" t="n">
        <f aca="false">MAX(0,-F18)</f>
        <v>0</v>
      </c>
      <c r="G20" s="18" t="n">
        <f aca="false">MAX(0,-G18)</f>
        <v>0</v>
      </c>
    </row>
    <row r="21" customFormat="false" ht="15" hidden="false" customHeight="false" outlineLevel="0" collapsed="false">
      <c r="A21" s="6"/>
      <c r="B21" s="8" t="s">
        <v>326</v>
      </c>
      <c r="C21" s="18" t="n">
        <f aca="false">C17+C19-C20</f>
        <v>3735112.5</v>
      </c>
      <c r="D21" s="18" t="n">
        <f aca="false">D17+D19-D20</f>
        <v>4062777.051375</v>
      </c>
      <c r="E21" s="18" t="n">
        <f aca="false">E17+E19-E20</f>
        <v>4419048.53621732</v>
      </c>
      <c r="F21" s="18" t="n">
        <f aca="false">F17+F19-F20</f>
        <v>4806414.15322718</v>
      </c>
      <c r="G21" s="18" t="n">
        <f aca="false">G17+G19-G20</f>
        <v>5227576.56430495</v>
      </c>
    </row>
    <row r="22" customFormat="false" ht="15" hidden="false" customHeight="false" outlineLevel="0" collapsed="false">
      <c r="A22" s="6"/>
      <c r="B22" s="36" t="s">
        <v>327</v>
      </c>
      <c r="C22" s="18" t="n">
        <f aca="false">C17*Revolver_Rate</f>
        <v>300000</v>
      </c>
      <c r="D22" s="18" t="n">
        <f aca="false">D17*Revolver_Rate</f>
        <v>280133.4375</v>
      </c>
      <c r="E22" s="18" t="n">
        <f aca="false">E17*Revolver_Rate</f>
        <v>304708.278853125</v>
      </c>
      <c r="F22" s="18" t="n">
        <f aca="false">F17*Revolver_Rate</f>
        <v>331428.640216299</v>
      </c>
      <c r="G22" s="18" t="n">
        <f aca="false">G17*Revolver_Rate</f>
        <v>360481.061492038</v>
      </c>
    </row>
    <row r="23" customFormat="false" ht="15" hidden="false" customHeight="false" outlineLevel="0" collapsed="false">
      <c r="A23" s="6"/>
      <c r="B23" s="26" t="s">
        <v>334</v>
      </c>
      <c r="C23" s="32" t="n">
        <f aca="false">Revolver_Limit-C21</f>
        <v>16264887.5</v>
      </c>
      <c r="D23" s="32" t="n">
        <f aca="false">Revolver_Limit-D21</f>
        <v>15937222.948625</v>
      </c>
      <c r="E23" s="32" t="n">
        <f aca="false">Revolver_Limit-E21</f>
        <v>15580951.4637827</v>
      </c>
      <c r="F23" s="32" t="n">
        <f aca="false">Revolver_Limit-F21</f>
        <v>15193585.8467728</v>
      </c>
      <c r="G23" s="32" t="n">
        <f aca="false">Revolver_Limit-G21</f>
        <v>14772423.435695</v>
      </c>
    </row>
    <row r="24" customFormat="false" ht="15" hidden="false" customHeight="false" outlineLevel="0" collapsed="false">
      <c r="A24" s="6"/>
      <c r="B24" s="36" t="s">
        <v>188</v>
      </c>
      <c r="C24" s="18" t="n">
        <f aca="false">C23*Commit_Fee_Rate</f>
        <v>65059.55</v>
      </c>
      <c r="D24" s="18" t="n">
        <f aca="false">D23*Commit_Fee_Rate</f>
        <v>63748.8917945</v>
      </c>
      <c r="E24" s="18" t="n">
        <f aca="false">E23*Commit_Fee_Rate</f>
        <v>62323.8058551307</v>
      </c>
      <c r="F24" s="18" t="n">
        <f aca="false">F23*Commit_Fee_Rate</f>
        <v>60774.3433870913</v>
      </c>
      <c r="G24" s="18" t="n">
        <f aca="false">G23*Commit_Fee_Rate</f>
        <v>59089.6937427802</v>
      </c>
    </row>
    <row r="25" customFormat="false" ht="15" hidden="false" customHeight="false" outlineLevel="0" collapsed="false">
      <c r="A25" s="6"/>
      <c r="B25" s="6"/>
      <c r="C25" s="6"/>
      <c r="D25" s="6"/>
      <c r="E25" s="6"/>
      <c r="F25" s="6"/>
      <c r="G25" s="6"/>
    </row>
    <row r="26" customFormat="false" ht="15" hidden="false" customHeight="false" outlineLevel="0" collapsed="false">
      <c r="A26" s="6"/>
      <c r="B26" s="6"/>
      <c r="C26" s="6"/>
      <c r="D26" s="6"/>
      <c r="E26" s="6"/>
      <c r="F26" s="6"/>
      <c r="G26" s="6"/>
    </row>
    <row r="27" customFormat="false" ht="15" hidden="false" customHeight="false" outlineLevel="0" collapsed="false">
      <c r="A27" s="6"/>
      <c r="B27" s="7" t="s">
        <v>70</v>
      </c>
      <c r="C27" s="39" t="n">
        <f aca="false">C11+C21</f>
        <v>17235112.5</v>
      </c>
      <c r="D27" s="39" t="n">
        <f aca="false">D11+D21</f>
        <v>16062777.051375</v>
      </c>
      <c r="E27" s="39" t="n">
        <f aca="false">E11+E21</f>
        <v>14919048.5362173</v>
      </c>
      <c r="F27" s="39" t="n">
        <f aca="false">F11+F21</f>
        <v>13806414.1532272</v>
      </c>
      <c r="G27" s="39" t="n">
        <f aca="false">G11+G21</f>
        <v>12727576.564305</v>
      </c>
    </row>
    <row r="28" customFormat="false" ht="15" hidden="false" customHeight="false" outlineLevel="0" collapsed="false">
      <c r="A28" s="6"/>
      <c r="B28" s="6"/>
      <c r="C28" s="6"/>
      <c r="D28" s="6"/>
      <c r="E28" s="6"/>
      <c r="F28" s="6"/>
      <c r="G28" s="6"/>
    </row>
    <row r="29" customFormat="false" ht="15" hidden="false" customHeight="false" outlineLevel="0" collapsed="false">
      <c r="A29" s="6"/>
      <c r="B29" s="7" t="s">
        <v>335</v>
      </c>
      <c r="C29" s="39" t="n">
        <f aca="false">C12+C22+C24</f>
        <v>1340059.55</v>
      </c>
      <c r="D29" s="39" t="n">
        <f aca="false">D12+D22+D24</f>
        <v>1221382.3292945</v>
      </c>
      <c r="E29" s="39" t="n">
        <f aca="false">E12+E22+E24</f>
        <v>1147032.08470826</v>
      </c>
      <c r="F29" s="39" t="n">
        <f aca="false">F12+F22+F24</f>
        <v>1074702.98360339</v>
      </c>
      <c r="G29" s="39" t="n">
        <f aca="false">G12+G22+G24</f>
        <v>1004570.75523482</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LibreOffice/26.2.0.3$MacOSX_AARCH64 LibreOffice_project/afbbd0df0edb6d40b450b0337ac646b0913a760c</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2026-05-15T18:52:46Z</dcterms:created>
  <dc:creator>openpyxl</dc:creator>
  <dc:description/>
  <dc:language>en-GB</dc:language>
  <cp:lastModifiedBy/>
  <dcterms:modified xsi:type="dcterms:W3CDTF">2026-05-15T18:52:46Z</dcterms:modified>
  <cp:revision>0</cp:revision>
  <dc:subject/>
  <dc:title/>
</cp:coreProperties>
</file>

<file path=docProps/custom.xml><?xml version="1.0" encoding="utf-8"?>
<Properties xmlns="http://schemas.openxmlformats.org/officeDocument/2006/custom-properties" xmlns:vt="http://schemas.openxmlformats.org/officeDocument/2006/docPropsVTypes"/>
</file>