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1.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Balance_Sheet" sheetId="3" state="visible" r:id="rId5"/>
    <sheet name="Interest_Income_Expense" sheetId="4" state="visible" r:id="rId6"/>
    <sheet name="Non_Interest_Income_Opex" sheetId="5" state="visible" r:id="rId7"/>
    <sheet name="Provisions" sheetId="6" state="visible" r:id="rId8"/>
    <sheet name="Income_Statement" sheetId="7" state="visible" r:id="rId9"/>
    <sheet name="Capital_Adequacy" sheetId="8" state="visible" r:id="rId10"/>
    <sheet name="Valuation_DDM" sheetId="9" state="visible" r:id="rId11"/>
    <sheet name="Checks" sheetId="10" state="visible" r:id="rId12"/>
    <sheet name="Disclaimer" sheetId="11" state="visible" r:id="rId13"/>
  </sheets>
  <definedNames>
    <definedName function="false" hidden="false" name="Account_Growth" vbProcedure="false">Assumptions!$C$59</definedName>
    <definedName function="false" hidden="false" name="ASF_Equity" vbProcedure="false">Assumptions!$C$95</definedName>
    <definedName function="false" hidden="false" name="ASF_IB" vbProcedure="false">Assumptions!$C$97</definedName>
    <definedName function="false" hidden="false" name="ASF_NIB" vbProcedure="false">Assumptions!$C$96</definedName>
    <definedName function="false" hidden="false" name="ASF_Wholesale" vbProcedure="false">Assumptions!$C$98</definedName>
    <definedName function="false" hidden="false" name="AUM_Base" vbProcedure="false">Assumptions!$C$52</definedName>
    <definedName function="false" hidden="false" name="AUM_Growth" vbProcedure="false">Assumptions!$C$53</definedName>
    <definedName function="false" hidden="false" name="Avg_Acct_Fee" vbProcedure="false">Assumptions!$C$60</definedName>
    <definedName function="false" hidden="false" name="Beta_Assets" vbProcedure="false">Assumptions!$C$108</definedName>
    <definedName function="false" hidden="false" name="Beta_Liabs" vbProcedure="false">Assumptions!$C$109</definedName>
    <definedName function="false" hidden="false" name="Card_BPS" vbProcedure="false">Assumptions!$C$57</definedName>
    <definedName function="false" hidden="false" name="Card_Vol_Base" vbProcedure="false">Assumptions!$C$55</definedName>
    <definedName function="false" hidden="false" name="Card_Vol_Growth" vbProcedure="false">Assumptions!$C$56</definedName>
    <definedName function="false" hidden="false" name="Cash_Pct" vbProcedure="false">Assumptions!$C$13</definedName>
    <definedName function="false" hidden="false" name="Charge_Off_Ratio" vbProcedure="false">Assumptions!$C$74</definedName>
    <definedName function="false" hidden="false" name="Commercial_Pct" vbProcedure="false">Assumptions!$C$21</definedName>
    <definedName function="false" hidden="false" name="Consumer_Pct" vbProcedure="false">Assumptions!$C$20</definedName>
    <definedName function="false" hidden="false" name="Cost_IB_Y0" vbProcedure="false">Assumptions!$C$48</definedName>
    <definedName function="false" hidden="false" name="Cost_Of_Equity" vbProcedure="false">Assumptions!$C$112</definedName>
    <definedName function="false" hidden="false" name="Cost_Wholesale" vbProcedure="false">Assumptions!$C$49</definedName>
    <definedName function="false" hidden="false" name="Deposit_Beta" vbProcedure="false">Assumptions!$C$47</definedName>
    <definedName function="false" hidden="false" name="Deposit_Growth" vbProcedure="false">Assumptions!$C$36</definedName>
    <definedName function="false" hidden="false" name="Deposit_Pct" vbProcedure="false">Assumptions!$C$25</definedName>
    <definedName function="false" hidden="false" name="Dividend_Payout" vbProcedure="false">Assumptions!$C$90</definedName>
    <definedName function="false" hidden="false" name="Efficiency_Ratio" vbProcedure="false">Assumptions!$C$64</definedName>
    <definedName function="false" hidden="false" name="Float_Pct_Assets" vbProcedure="false">Assumptions!$C$106</definedName>
    <definedName function="false" hidden="false" name="Float_Pct_Liabs" vbProcedure="false">Assumptions!$C$107</definedName>
    <definedName function="false" hidden="false" name="IB_Fee_Pct" vbProcedure="false">Assumptions!$C$61</definedName>
    <definedName function="false" hidden="false" name="IT_Pct" vbProcedure="false">Assumptions!$C$66</definedName>
    <definedName function="false" hidden="false" name="Loan_Growth" vbProcedure="false">Assumptions!$C$35</definedName>
    <definedName function="false" hidden="false" name="Loan_Pct" vbProcedure="false">Assumptions!$C$11</definedName>
    <definedName function="false" hidden="false" name="Model_Start_Year" vbProcedure="false">Assumptions!$C$8</definedName>
    <definedName function="false" hidden="false" name="Mortgage_Pct" vbProcedure="false">Assumptions!$C$19</definedName>
    <definedName function="false" hidden="false" name="Net_Outflow_Rate" vbProcedure="false">Assumptions!$C$93</definedName>
    <definedName function="false" hidden="false" name="NIB_Deposit_Pct" vbProcedure="false">Assumptions!$C$26</definedName>
    <definedName function="false" hidden="false" name="NonInt_Inc_Growth" vbProcedure="false">Assumptions!$C$38</definedName>
    <definedName function="false" hidden="false" name="NPL_Ratio" vbProcedure="false">Assumptions!$C$75</definedName>
    <definedName function="false" hidden="false" name="Num_Accounts" vbProcedure="false">Assumptions!$C$58</definedName>
    <definedName function="false" hidden="false" name="Open_AT1" vbProcedure="false">Assumptions!$C$31</definedName>
    <definedName function="false" hidden="false" name="Open_Gross_Loans" vbProcedure="false">Assumptions!$C$15</definedName>
    <definedName function="false" hidden="false" name="Open_Ret_Earn" vbProcedure="false">Assumptions!$C$30</definedName>
    <definedName function="false" hidden="false" name="Open_Share_Cap" vbProcedure="false">Assumptions!$C$29</definedName>
    <definedName function="false" hidden="false" name="Open_T2" vbProcedure="false">Assumptions!$C$32</definedName>
    <definedName function="false" hidden="false" name="Open_Wholesale" vbProcedure="false">Assumptions!$C$16</definedName>
    <definedName function="false" hidden="false" name="Op_Risk_Mult" vbProcedure="false">Assumptions!$C$85</definedName>
    <definedName function="false" hidden="false" name="Other_Pct" vbProcedure="false">Assumptions!$C$69</definedName>
    <definedName function="false" hidden="false" name="PCL_Rate" vbProcedure="false">Assumptions!$C$73</definedName>
    <definedName function="false" hidden="false" name="PPE_Pct" vbProcedure="false">Assumptions!$C$14</definedName>
    <definedName function="false" hidden="false" name="Premises_Pct" vbProcedure="false">Assumptions!$C$67</definedName>
    <definedName function="false" hidden="false" name="Professional_Pct" vbProcedure="false">Assumptions!$C$68</definedName>
    <definedName function="false" hidden="false" name="RSF_Cash" vbProcedure="false">Assumptions!$C$100</definedName>
    <definedName function="false" hidden="false" name="RSF_Loans" vbProcedure="false">Assumptions!$C$99</definedName>
    <definedName function="false" hidden="false" name="RSF_PPE" vbProcedure="false">Assumptions!$C$102</definedName>
    <definedName function="false" hidden="false" name="RSF_Sec" vbProcedure="false">Assumptions!$C$101</definedName>
    <definedName function="false" hidden="false" name="RW_Cash" vbProcedure="false">Assumptions!$C$79</definedName>
    <definedName function="false" hidden="false" name="RW_Commercial" vbProcedure="false">Assumptions!$C$83</definedName>
    <definedName function="false" hidden="false" name="RW_Consumer" vbProcedure="false">Assumptions!$C$82</definedName>
    <definedName function="false" hidden="false" name="RW_Mortgage" vbProcedure="false">Assumptions!$C$81</definedName>
    <definedName function="false" hidden="false" name="RW_PPE" vbProcedure="false">Assumptions!$C$84</definedName>
    <definedName function="false" hidden="false" name="RW_Securities" vbProcedure="false">Assumptions!$C$80</definedName>
    <definedName function="false" hidden="false" name="Securities_Growth" vbProcedure="false">Assumptions!$C$37</definedName>
    <definedName function="false" hidden="false" name="Securities_Pct" vbProcedure="false">Assumptions!$C$12</definedName>
    <definedName function="false" hidden="false" name="Staff_Pct" vbProcedure="false">Assumptions!$C$65</definedName>
    <definedName function="false" hidden="false" name="Target_CET1" vbProcedure="false">Assumptions!$C$86</definedName>
    <definedName function="false" hidden="false" name="Target_LCR" vbProcedure="false">Assumptions!$C$94</definedName>
    <definedName function="false" hidden="false" name="Target_Leverage" vbProcedure="false">Assumptions!$C$89</definedName>
    <definedName function="false" hidden="false" name="Target_NSFR" vbProcedure="false">Assumptions!$C$103</definedName>
    <definedName function="false" hidden="false" name="Target_T1" vbProcedure="false">Assumptions!$C$87</definedName>
    <definedName function="false" hidden="false" name="Target_TC" vbProcedure="false">Assumptions!$C$88</definedName>
    <definedName function="false" hidden="false" name="Tax_Rate" vbProcedure="false">Assumptions!$C$76</definedName>
    <definedName function="false" hidden="false" name="Terminal_Growth" vbProcedure="false">Assumptions!$C$113</definedName>
    <definedName function="false" hidden="false" name="Wholesale_Floor" vbProcedure="false">Assumptions!$C$17</definedName>
    <definedName function="false" hidden="false" name="WM_BPS" vbProcedure="false">Assumptions!$C$54</definedName>
    <definedName function="false" hidden="false" name="Yield_Cash" vbProcedure="false">Assumptions!$C$45</definedName>
    <definedName function="false" hidden="false" name="Yield_Commercial" vbProcedure="false">Assumptions!$C$43</definedName>
    <definedName function="false" hidden="false" name="Yield_Consumer" vbProcedure="false">Assumptions!$C$42</definedName>
    <definedName function="false" hidden="false" name="Yield_Mortgage" vbProcedure="false">Assumptions!$C$41</definedName>
    <definedName function="false" hidden="false" name="Yield_Securities" vbProcedure="false">Assumptions!$C$44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<sst xmlns="http://schemas.openxmlformats.org/spreadsheetml/2006/main" count="525" uniqueCount="420">
  <si>
    <t xml:space="preserve">Bank Capital Adequacy Model</t>
  </si>
  <si>
    <t xml:space="preserve">FINAMODEL.com</t>
  </si>
  <si>
    <t xml:space="preserve">Basel III compliance: capital stack, liquidity, RWA decomposition, DDM</t>
  </si>
  <si>
    <t xml:space="preserve">Template</t>
  </si>
  <si>
    <t xml:space="preserve">bank-capital-adequacy</t>
  </si>
  <si>
    <t xml:space="preserve">Version</t>
  </si>
  <si>
    <t xml:space="preserve">2.0</t>
  </si>
  <si>
    <t xml:space="preserve">Currency</t>
  </si>
  <si>
    <t xml:space="preserve">USD ($M)</t>
  </si>
  <si>
    <t xml:space="preserve">Last updated</t>
  </si>
  <si>
    <t xml:space="preserve">2026-05-15</t>
  </si>
  <si>
    <t xml:space="preserve">Author</t>
  </si>
  <si>
    <t xml:space="preserve">Finamodel</t>
  </si>
  <si>
    <t xml:space="preserve">Sheet Index</t>
  </si>
  <si>
    <t xml:space="preserve">Tab colour</t>
  </si>
  <si>
    <t xml:space="preserve">Assumptions</t>
  </si>
  <si>
    <t xml:space="preserve">Model inputs</t>
  </si>
  <si>
    <t xml:space="preserve">Balance_Sheet</t>
  </si>
  <si>
    <t xml:space="preserve">Assets and liabilities</t>
  </si>
  <si>
    <t xml:space="preserve">Interest_Income_Expense</t>
  </si>
  <si>
    <t xml:space="preserve">NII + rate sensitivity</t>
  </si>
  <si>
    <t xml:space="preserve">Non_Interest_Income_Opex</t>
  </si>
  <si>
    <t xml:space="preserve">Fee income breakdown + OpEx</t>
  </si>
  <si>
    <t xml:space="preserve">Provisions</t>
  </si>
  <si>
    <t xml:space="preserve">PCL roll-forward + NPL coverage</t>
  </si>
  <si>
    <t xml:space="preserve">Income_Statement</t>
  </si>
  <si>
    <t xml:space="preserve">P&amp;L summary</t>
  </si>
  <si>
    <t xml:space="preserve">Capital_Adequacy</t>
  </si>
  <si>
    <t xml:space="preserve">Capital stack + Liquidity (LCR/NSFR)</t>
  </si>
  <si>
    <t xml:space="preserve">Valuation_DDM</t>
  </si>
  <si>
    <t xml:space="preserve">Dividend discount model</t>
  </si>
  <si>
    <t xml:space="preserve">Checks</t>
  </si>
  <si>
    <t xml:space="preserve">Model validation</t>
  </si>
  <si>
    <t xml:space="preserve">Legend</t>
  </si>
  <si>
    <t xml:space="preserve">Coloured square = sheet tab colour in Excel</t>
  </si>
  <si>
    <t xml:space="preserve">Blue text = input cell; black text = formula; row 5 intentionally blank</t>
  </si>
  <si>
    <t xml:space="preserve">About this model</t>
  </si>
  <si>
    <t xml:space="preserve">A bank capital adequacy model calculates regulatory capital ratios (CET1, Tier 1, Tier 2, leverage ratio) across a base-case forecast and stress scenarios to determine whether a bank maintains sufficient regulatory capital as it grows its loan book and manages net interest margin compression from rising deposit costs. The model answers whether the bank can support dividend payments while meeting Basel III capital requirements and how much loan growth is sustainable given retained earnings and capital constraints.
Revenue is driven by net interest income (interest earned on loans and securities less interest paid on deposits and wholesale funding), scaled by average balance methodology to avoid circular references, plus non-interest income from fees and services. Cost of credit is modelled as provision for credit losses (PCL) on gross loans, scaled by a through-the-cycle expected loss rate (0.3â0.6% of loans). Operating expenses include staff costs (typically 50â60% of opex), IT and technology, premises, and professional fees, with efficiency ratio (OpEx/Revenue) a key metric (target 50â65%). Risk-weighted assets (RWA) are calculated by applying Basel III risk weights to each asset category (cash 0%, securities 20%, loans 75%, PP&amp;E 100%), and capital ratios are derived as CET1/RWA.
Bank investors, regulators, rating agencies, and depositors use bank models to confirm the institution maintains adequate capital buffers for loan losses, assess ROAE (return on average equity) vs. cost of capital, benchmark efficiency ratios against peers, and project dividend capacity constrained by target CET1 ratio maintenance.</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</si>
  <si>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</si>
  <si>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</si>
  <si>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</si>
  <si>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</si>
  <si>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inputs — blue cells = drivers</t>
  </si>
  <si>
    <t xml:space="preserve">Parameter</t>
  </si>
  <si>
    <t xml:space="preserve">Value</t>
  </si>
  <si>
    <t xml:space="preserve">Unit</t>
  </si>
  <si>
    <t xml:space="preserve">Notes</t>
  </si>
  <si>
    <t xml:space="preserve">Timing</t>
  </si>
  <si>
    <t xml:space="preserve">Model Start Year</t>
  </si>
  <si>
    <t xml:space="preserve">year</t>
  </si>
  <si>
    <t xml:space="preserve">First projection year</t>
  </si>
  <si>
    <t xml:space="preserve">Balance Sheet Anchor (Net Loans drives Total Assets)</t>
  </si>
  <si>
    <t xml:space="preserve">Net Loans % of Assets</t>
  </si>
  <si>
    <t xml:space="preserve">%</t>
  </si>
  <si>
    <t xml:space="preserve">Anchor: TA = Net Loans / Loan_Pct</t>
  </si>
  <si>
    <t xml:space="preserve">Securities % of Assets</t>
  </si>
  <si>
    <t xml:space="preserve">HQLA portfolio</t>
  </si>
  <si>
    <t xml:space="preserve">Cash % of Assets</t>
  </si>
  <si>
    <t xml:space="preserve">Central bank reserves (HQLA L1)</t>
  </si>
  <si>
    <t xml:space="preserve">PP&amp;E % of Assets</t>
  </si>
  <si>
    <t xml:space="preserve">Branches and IT (small / flat)</t>
  </si>
  <si>
    <t xml:space="preserve">Opening Gross Loans</t>
  </si>
  <si>
    <t xml:space="preserve">$M</t>
  </si>
  <si>
    <t xml:space="preserve">Y0 closing balance, drives Y1 growth + opening allowance</t>
  </si>
  <si>
    <t xml:space="preserve">Opening Wholesale Funding</t>
  </si>
  <si>
    <t xml:space="preserve">Y0 closing balance for Y1 interest expense (breaks circularity)</t>
  </si>
  <si>
    <t xml:space="preserve">Wholesale Funding Floor</t>
  </si>
  <si>
    <t xml:space="preserve">Minimum wholesale; actual is residual plug</t>
  </si>
  <si>
    <t xml:space="preserve">Loan Book Mix (must sum to 100%)</t>
  </si>
  <si>
    <t xml:space="preserve">Mortgage % of Loans</t>
  </si>
  <si>
    <t xml:space="preserve">Residential mortgages (RW 50%)</t>
  </si>
  <si>
    <t xml:space="preserve">Consumer % of Loans</t>
  </si>
  <si>
    <t xml:space="preserve">Auto / credit card / personal (RW 100%)</t>
  </si>
  <si>
    <t xml:space="preserve">Commercial % of Loans</t>
  </si>
  <si>
    <t xml:space="preserve">C&amp;I and CRE (RW 75%)</t>
  </si>
  <si>
    <t xml:space="preserve">Loan Mix Sum (check)</t>
  </si>
  <si>
    <t xml:space="preserve">Must equal 100.00%</t>
  </si>
  <si>
    <t xml:space="preserve">Funding Mix (Wholesale is the BS plug)</t>
  </si>
  <si>
    <t xml:space="preserve">Deposits % of Total Funding</t>
  </si>
  <si>
    <t xml:space="preserve">Indicative; actual deposits driven from BS plug logic</t>
  </si>
  <si>
    <t xml:space="preserve">NIB Deposits % of Deposits</t>
  </si>
  <si>
    <t xml:space="preserve">Non-interest-bearing share</t>
  </si>
  <si>
    <t xml:space="preserve">Opening Capital Stack</t>
  </si>
  <si>
    <t xml:space="preserve">Opening Share Capital</t>
  </si>
  <si>
    <t xml:space="preserve">Initial CET1 — common equity</t>
  </si>
  <si>
    <t xml:space="preserve">Opening Retained Earnings</t>
  </si>
  <si>
    <t xml:space="preserve">Accumulated earnings (CET1)</t>
  </si>
  <si>
    <t xml:space="preserve">Opening AT1 Capital</t>
  </si>
  <si>
    <t xml:space="preserve">Perpetual preferreds / CoCos</t>
  </si>
  <si>
    <t xml:space="preserve">Opening Tier 2 Capital</t>
  </si>
  <si>
    <t xml:space="preserve">Subordinated debt</t>
  </si>
  <si>
    <t xml:space="preserve">Growth Rates</t>
  </si>
  <si>
    <t xml:space="preserve">Loan Growth Rate</t>
  </si>
  <si>
    <t xml:space="preserve">Aligned with nominal GDP</t>
  </si>
  <si>
    <t xml:space="preserve">Deposit Growth Rate</t>
  </si>
  <si>
    <t xml:space="preserve">Slightly lags loan growth</t>
  </si>
  <si>
    <t xml:space="preserve">Securities Growth Rate</t>
  </si>
  <si>
    <t xml:space="preserve">Memo only (now anchored to TA)</t>
  </si>
  <si>
    <t xml:space="preserve">Non-Interest Income Growth</t>
  </si>
  <si>
    <t xml:space="preserve">Inflation + modest growth (legacy fallback)</t>
  </si>
  <si>
    <t xml:space="preserve">Interest Rates</t>
  </si>
  <si>
    <t xml:space="preserve">Yield - Mortgage Loans</t>
  </si>
  <si>
    <t xml:space="preserve">30y mortgage</t>
  </si>
  <si>
    <t xml:space="preserve">Yield - Consumer Loans</t>
  </si>
  <si>
    <t xml:space="preserve">Auto/card/personal</t>
  </si>
  <si>
    <t xml:space="preserve">Yield - Commercial Loans</t>
  </si>
  <si>
    <t xml:space="preserve">C&amp;I prime + spread</t>
  </si>
  <si>
    <t xml:space="preserve">Yield - Securities</t>
  </si>
  <si>
    <t xml:space="preserve">HQLA (Treasuries / IG)</t>
  </si>
  <si>
    <t xml:space="preserve">Yield - Cash (IORB)</t>
  </si>
  <si>
    <t xml:space="preserve">Interest on reserve balances</t>
  </si>
  <si>
    <t xml:space="preserve">Base Rate Path (Y1..Y5)</t>
  </si>
  <si>
    <t xml:space="preserve">Deposit Beta</t>
  </si>
  <si>
    <t xml:space="preserve">Pass-through of rate change to IB deposit cost</t>
  </si>
  <si>
    <t xml:space="preserve">Cost of IB Deposits (Y0)</t>
  </si>
  <si>
    <t xml:space="preserve">Starting cost; evolves via beta</t>
  </si>
  <si>
    <t xml:space="preserve">Cost of Wholesale Funding</t>
  </si>
  <si>
    <t xml:space="preserve">Base + 100bps spread</t>
  </si>
  <si>
    <t xml:space="preserve">Fee Income Drivers</t>
  </si>
  <si>
    <t xml:space="preserve">Wealth AUM (base)</t>
  </si>
  <si>
    <t xml:space="preserve">Year-1 AUM</t>
  </si>
  <si>
    <t xml:space="preserve">AUM Growth</t>
  </si>
  <si>
    <t xml:space="preserve">Market + flows</t>
  </si>
  <si>
    <t xml:space="preserve">WM Fee (bps on AUM)</t>
  </si>
  <si>
    <t xml:space="preserve">85 bps annual mgmt fee</t>
  </si>
  <si>
    <t xml:space="preserve">Card Tx Volume (base)</t>
  </si>
  <si>
    <t xml:space="preserve">Year-1 transaction volume</t>
  </si>
  <si>
    <t xml:space="preserve">Card Volume Growth</t>
  </si>
  <si>
    <t xml:space="preserve">Transaction growth</t>
  </si>
  <si>
    <t xml:space="preserve">Card Fee (bps)</t>
  </si>
  <si>
    <t xml:space="preserve">Interchange + fees</t>
  </si>
  <si>
    <t xml:space="preserve"># Deposit Accounts (k)</t>
  </si>
  <si>
    <t xml:space="preserve">k</t>
  </si>
  <si>
    <t xml:space="preserve">Year-1 account count (thousands)</t>
  </si>
  <si>
    <t xml:space="preserve">Account Growth</t>
  </si>
  <si>
    <t xml:space="preserve">Customer growth</t>
  </si>
  <si>
    <t xml:space="preserve">Avg Fee / Account</t>
  </si>
  <si>
    <t xml:space="preserve">$</t>
  </si>
  <si>
    <t xml:space="preserve">Annual deposit account fee</t>
  </si>
  <si>
    <t xml:space="preserve">IB/Capital Markets Fees % of NII</t>
  </si>
  <si>
    <t xml:space="preserve">Investment banking &amp; markets</t>
  </si>
  <si>
    <t xml:space="preserve">Operating Expense Mix (% must sum to 100%)</t>
  </si>
  <si>
    <t xml:space="preserve">Efficiency Ratio Target</t>
  </si>
  <si>
    <t xml:space="preserve">Non-Int Exp / Total Revenue</t>
  </si>
  <si>
    <t xml:space="preserve">Staff Costs % of OpEx</t>
  </si>
  <si>
    <t xml:space="preserve">Salaries + benefits</t>
  </si>
  <si>
    <t xml:space="preserve">IT &amp; Technology % of OpEx</t>
  </si>
  <si>
    <t xml:space="preserve">Core systems + cloud</t>
  </si>
  <si>
    <t xml:space="preserve">Premises % of OpEx</t>
  </si>
  <si>
    <t xml:space="preserve">Branches + offices</t>
  </si>
  <si>
    <t xml:space="preserve">Professional Fees % of OpEx</t>
  </si>
  <si>
    <t xml:space="preserve">Legal + audit + consulting</t>
  </si>
  <si>
    <t xml:space="preserve">Other % of OpEx</t>
  </si>
  <si>
    <t xml:space="preserve">Marketing + insurance + misc</t>
  </si>
  <si>
    <t xml:space="preserve">OpEx Mix Sum (check)</t>
  </si>
  <si>
    <t xml:space="preserve">Credit Quality</t>
  </si>
  <si>
    <t xml:space="preserve">PCL Rate (% of Gross Loans)</t>
  </si>
  <si>
    <t xml:space="preserve">Through-the-cycle expected loss</t>
  </si>
  <si>
    <t xml:space="preserve">Charge-Off Ratio (of PCL)</t>
  </si>
  <si>
    <t xml:space="preserve">Fraction of provision flowing to charge-offs</t>
  </si>
  <si>
    <t xml:space="preserve">NPL Ratio (% of Gross Loans)</t>
  </si>
  <si>
    <t xml:space="preserve">Non-performing loans</t>
  </si>
  <si>
    <t xml:space="preserve">Effective Tax Rate</t>
  </si>
  <si>
    <t xml:space="preserve">Blended corporate rate</t>
  </si>
  <si>
    <t xml:space="preserve">Capital Requirements (Basel III)</t>
  </si>
  <si>
    <t xml:space="preserve">Risk Weight - Cash</t>
  </si>
  <si>
    <t xml:space="preserve">Sovereign / central bank</t>
  </si>
  <si>
    <t xml:space="preserve">Risk Weight - Securities</t>
  </si>
  <si>
    <t xml:space="preserve">High-quality bonds</t>
  </si>
  <si>
    <t xml:space="preserve">Risk Weight - Mortgages</t>
  </si>
  <si>
    <t xml:space="preserve">Residential mortgages</t>
  </si>
  <si>
    <t xml:space="preserve">Risk Weight - Consumer</t>
  </si>
  <si>
    <t xml:space="preserve">Consumer + retail</t>
  </si>
  <si>
    <t xml:space="preserve">Risk Weight - Commercial</t>
  </si>
  <si>
    <t xml:space="preserve">Diversified commercial</t>
  </si>
  <si>
    <t xml:space="preserve">Risk Weight - PP&amp;E</t>
  </si>
  <si>
    <t xml:space="preserve">Other assets</t>
  </si>
  <si>
    <t xml:space="preserve">Op Risk RWA Multiplier</t>
  </si>
  <si>
    <t xml:space="preserve">x</t>
  </si>
  <si>
    <t xml:space="preserve">15% × Gross Income / 8% (Basel BIA)</t>
  </si>
  <si>
    <t xml:space="preserve">Target CET1 Ratio</t>
  </si>
  <si>
    <t xml:space="preserve">4.5% min + 2.5% capital conservation + 4.5% buffers</t>
  </si>
  <si>
    <t xml:space="preserve">Target Tier 1 Ratio</t>
  </si>
  <si>
    <t xml:space="preserve">6% min + buffers</t>
  </si>
  <si>
    <t xml:space="preserve">Target Total Capital Ratio</t>
  </si>
  <si>
    <t xml:space="preserve">8% min + buffers</t>
  </si>
  <si>
    <t xml:space="preserve">Target Leverage Ratio</t>
  </si>
  <si>
    <t xml:space="preserve">3% min + G-SIB buffer</t>
  </si>
  <si>
    <t xml:space="preserve">Dividend Payout Ratio</t>
  </si>
  <si>
    <t xml:space="preserve">Constrained by capital adequacy</t>
  </si>
  <si>
    <t xml:space="preserve">Liquidity (LCR / NSFR)</t>
  </si>
  <si>
    <t xml:space="preserve">Net 30-day Outflow Rate</t>
  </si>
  <si>
    <t xml:space="preserve">Applied to (IB Dep + Wholesale)</t>
  </si>
  <si>
    <t xml:space="preserve">Target LCR</t>
  </si>
  <si>
    <t xml:space="preserve">100% Basel III minimum</t>
  </si>
  <si>
    <t xml:space="preserve">ASF Weight - Equity</t>
  </si>
  <si>
    <t xml:space="preserve">Stable funding factor</t>
  </si>
  <si>
    <t xml:space="preserve">ASF Weight - NIB Deposits</t>
  </si>
  <si>
    <t xml:space="preserve">Highly stable retail</t>
  </si>
  <si>
    <t xml:space="preserve">ASF Weight - IB Deposits</t>
  </si>
  <si>
    <t xml:space="preserve">Stable retail</t>
  </si>
  <si>
    <t xml:space="preserve">ASF Weight - Wholesale</t>
  </si>
  <si>
    <t xml:space="preserve">Less stable</t>
  </si>
  <si>
    <t xml:space="preserve">RSF Weight - Loans</t>
  </si>
  <si>
    <t xml:space="preserve">Required stable funding</t>
  </si>
  <si>
    <t xml:space="preserve">RSF Weight - Cash</t>
  </si>
  <si>
    <t xml:space="preserve">Low requirement</t>
  </si>
  <si>
    <t xml:space="preserve">RSF Weight - Securities</t>
  </si>
  <si>
    <t xml:space="preserve">HQLA</t>
  </si>
  <si>
    <t xml:space="preserve">RSF Weight - PP&amp;E</t>
  </si>
  <si>
    <t xml:space="preserve">Illiquid</t>
  </si>
  <si>
    <t xml:space="preserve">Target NSFR</t>
  </si>
  <si>
    <t xml:space="preserve">Interest-Rate Sensitivity</t>
  </si>
  <si>
    <t xml:space="preserve">Floating % of Assets</t>
  </si>
  <si>
    <t xml:space="preserve">Assets that reprice within 1y</t>
  </si>
  <si>
    <t xml:space="preserve">Floating % of Liabilities</t>
  </si>
  <si>
    <t xml:space="preserve">Liabilities that reprice within 1y</t>
  </si>
  <si>
    <t xml:space="preserve">Beta - Asset Yields</t>
  </si>
  <si>
    <t xml:space="preserve">Full passthrough of rate move</t>
  </si>
  <si>
    <t xml:space="preserve">Beta - Liability Costs</t>
  </si>
  <si>
    <t xml:space="preserve">Deposit beta on the liability side</t>
  </si>
  <si>
    <t xml:space="preserve">Valuation</t>
  </si>
  <si>
    <t xml:space="preserve">Cost of Equity (Ke)</t>
  </si>
  <si>
    <t xml:space="preserve">DDM discount rate</t>
  </si>
  <si>
    <t xml:space="preserve">Terminal Growth Rate</t>
  </si>
  <si>
    <t xml:space="preserve">Long-run sustainable growth</t>
  </si>
  <si>
    <t xml:space="preserve">Balance Sheet</t>
  </si>
  <si>
    <t xml:space="preserve">Assets and liabilities — Wholesale is residual plug</t>
  </si>
  <si>
    <t xml:space="preserve">Year</t>
  </si>
  <si>
    <t xml:space="preserve">Period</t>
  </si>
  <si>
    <t xml:space="preserve">Assets</t>
  </si>
  <si>
    <t xml:space="preserve">Cash &amp; Reserves</t>
  </si>
  <si>
    <t xml:space="preserve">Investment Securities</t>
  </si>
  <si>
    <t xml:space="preserve">Gross Loans</t>
  </si>
  <si>
    <t xml:space="preserve">Less: Allowance for Credit Losses</t>
  </si>
  <si>
    <t xml:space="preserve">Net Loans</t>
  </si>
  <si>
    <t xml:space="preserve">PP&amp;E</t>
  </si>
  <si>
    <t xml:space="preserve">TOTAL ASSETS</t>
  </si>
  <si>
    <t xml:space="preserve">Liabilities</t>
  </si>
  <si>
    <t xml:space="preserve">NIB Deposits</t>
  </si>
  <si>
    <t xml:space="preserve">IB Deposits</t>
  </si>
  <si>
    <t xml:space="preserve">Total Deposits</t>
  </si>
  <si>
    <t xml:space="preserve">Wholesale Funding (residual plug)</t>
  </si>
  <si>
    <t xml:space="preserve">TOTAL LIABILITIES</t>
  </si>
  <si>
    <t xml:space="preserve">Equity / Capital</t>
  </si>
  <si>
    <t xml:space="preserve">Share Capital (CET1)</t>
  </si>
  <si>
    <t xml:space="preserve">Retained Earnings (CET1)</t>
  </si>
  <si>
    <t xml:space="preserve">AT1 Capital</t>
  </si>
  <si>
    <t xml:space="preserve">Tier 2 Capital</t>
  </si>
  <si>
    <t xml:space="preserve">TOTAL EQUITY &amp; SUB. CAP.</t>
  </si>
  <si>
    <t xml:space="preserve">TOTAL LIABILITIES &amp; EQUITY</t>
  </si>
  <si>
    <t xml:space="preserve">Balance Check (should = 0)</t>
  </si>
  <si>
    <t xml:space="preserve">Interest Income &amp; Expense</t>
  </si>
  <si>
    <t xml:space="preserve">Average balances × yields; deposit beta passthrough</t>
  </si>
  <si>
    <t xml:space="preserve">Average Earning Asset Balances</t>
  </si>
  <si>
    <t xml:space="preserve">Avg Mortgage Loans</t>
  </si>
  <si>
    <t xml:space="preserve">Avg Consumer Loans</t>
  </si>
  <si>
    <t xml:space="preserve">Avg Commercial Loans</t>
  </si>
  <si>
    <t xml:space="preserve">Total Avg Gross Loans</t>
  </si>
  <si>
    <t xml:space="preserve">Avg Securities</t>
  </si>
  <si>
    <t xml:space="preserve">Avg Cash</t>
  </si>
  <si>
    <t xml:space="preserve">Total Avg Earning Assets</t>
  </si>
  <si>
    <t xml:space="preserve">Interest Income</t>
  </si>
  <si>
    <t xml:space="preserve">Interest - Mortgage</t>
  </si>
  <si>
    <t xml:space="preserve">Interest - Consumer</t>
  </si>
  <si>
    <t xml:space="preserve">Interest - Commercial</t>
  </si>
  <si>
    <t xml:space="preserve">Total Loan Interest</t>
  </si>
  <si>
    <t xml:space="preserve">Interest - Securities</t>
  </si>
  <si>
    <t xml:space="preserve">Interest - Cash (IORB)</t>
  </si>
  <si>
    <t xml:space="preserve">TOTAL INTEREST INCOME</t>
  </si>
  <si>
    <t xml:space="preserve">Average IB Liability Balances</t>
  </si>
  <si>
    <t xml:space="preserve">Avg IB Deposits</t>
  </si>
  <si>
    <t xml:space="preserve">Avg Wholesale Funding (opening basis)</t>
  </si>
  <si>
    <t xml:space="preserve">Total Avg IB Liabilities</t>
  </si>
  <si>
    <t xml:space="preserve">Interest Expense (Deposit Beta)</t>
  </si>
  <si>
    <t xml:space="preserve">Base Rate (per period)</t>
  </si>
  <si>
    <t xml:space="preserve">Cost of IB Deposits (effective)</t>
  </si>
  <si>
    <t xml:space="preserve">Interest on IB Deposits</t>
  </si>
  <si>
    <t xml:space="preserve">Interest on Wholesale</t>
  </si>
  <si>
    <t xml:space="preserve">TOTAL INTEREST EXPENSE</t>
  </si>
  <si>
    <t xml:space="preserve">NET INTEREST INCOME</t>
  </si>
  <si>
    <t xml:space="preserve">Net Interest Margin</t>
  </si>
  <si>
    <t xml:space="preserve">Interest-Rate Sensitivity (±100bps)</t>
  </si>
  <si>
    <t xml:space="preserve">Floating Assets (1y reprice)</t>
  </si>
  <si>
    <t xml:space="preserve">Floating Liabilities (1y reprice)</t>
  </si>
  <si>
    <t xml:space="preserve">Δ NII at +100bps</t>
  </si>
  <si>
    <t xml:space="preserve">Δ NII at -100bps</t>
  </si>
  <si>
    <t xml:space="preserve">Non-Interest Income &amp; OpEx</t>
  </si>
  <si>
    <t xml:space="preserve">Fee income decomposition + OpEx by category</t>
  </si>
  <si>
    <t xml:space="preserve">Fee &amp; Commission Income</t>
  </si>
  <si>
    <t xml:space="preserve">Avg AUM</t>
  </si>
  <si>
    <t xml:space="preserve">Wealth Management Fees</t>
  </si>
  <si>
    <t xml:space="preserve">Card Tx Volume</t>
  </si>
  <si>
    <t xml:space="preserve">Card / Payment Fees</t>
  </si>
  <si>
    <t xml:space="preserve">Deposit Account Fees</t>
  </si>
  <si>
    <t xml:space="preserve">Investment Banking Fees</t>
  </si>
  <si>
    <t xml:space="preserve">TOTAL NON-INTEREST INCOME</t>
  </si>
  <si>
    <t xml:space="preserve">Operating Expenses</t>
  </si>
  <si>
    <t xml:space="preserve">Total Revenue (memo)</t>
  </si>
  <si>
    <t xml:space="preserve">Total OpEx (Efficiency × Revenue)</t>
  </si>
  <si>
    <t xml:space="preserve">Staff Costs</t>
  </si>
  <si>
    <t xml:space="preserve">IT &amp; Technology</t>
  </si>
  <si>
    <t xml:space="preserve">Premises &amp; Equipment</t>
  </si>
  <si>
    <t xml:space="preserve">Professional Fees</t>
  </si>
  <si>
    <t xml:space="preserve">Other Expenses</t>
  </si>
  <si>
    <t xml:space="preserve">Sub-total check</t>
  </si>
  <si>
    <t xml:space="preserve">Efficiency Ratio (calc)</t>
  </si>
  <si>
    <t xml:space="preserve">PCL + allowance roll-forward + NPL coverage</t>
  </si>
  <si>
    <t xml:space="preserve">Provision for Credit Losses</t>
  </si>
  <si>
    <t xml:space="preserve">Provision (P&amp;L charge)</t>
  </si>
  <si>
    <t xml:space="preserve">Allowance Roll-Forward</t>
  </si>
  <si>
    <t xml:space="preserve">Opening Allowance</t>
  </si>
  <si>
    <t xml:space="preserve">Less: Charge-Offs</t>
  </si>
  <si>
    <t xml:space="preserve">Closing Allowance</t>
  </si>
  <si>
    <t xml:space="preserve">Non-Performing Loans</t>
  </si>
  <si>
    <t xml:space="preserve">NPL Balance</t>
  </si>
  <si>
    <t xml:space="preserve">Coverage Ratio (Allowance / NPL)</t>
  </si>
  <si>
    <t xml:space="preserve">Income Statement</t>
  </si>
  <si>
    <t xml:space="preserve">Bank P&amp;L: NII + Fees − OpEx − PCL − Tax</t>
  </si>
  <si>
    <t xml:space="preserve">Net Interest Income</t>
  </si>
  <si>
    <t xml:space="preserve">Less: Interest Expense</t>
  </si>
  <si>
    <t xml:space="preserve">Non-Interest Income</t>
  </si>
  <si>
    <t xml:space="preserve">TOTAL REVENUE</t>
  </si>
  <si>
    <t xml:space="preserve">Non-Interest Expense</t>
  </si>
  <si>
    <t xml:space="preserve">PRE-PROVISION OP. PROFIT</t>
  </si>
  <si>
    <t xml:space="preserve">Credit Losses</t>
  </si>
  <si>
    <t xml:space="preserve">PRE-TAX INCOME</t>
  </si>
  <si>
    <t xml:space="preserve">Tax Expense</t>
  </si>
  <si>
    <t xml:space="preserve">NET INCOME</t>
  </si>
  <si>
    <t xml:space="preserve">Key Ratios</t>
  </si>
  <si>
    <t xml:space="preserve">Efficiency Ratio</t>
  </si>
  <si>
    <t xml:space="preserve">ROAA</t>
  </si>
  <si>
    <t xml:space="preserve">ROAE</t>
  </si>
  <si>
    <t xml:space="preserve">Capital Adequacy</t>
  </si>
  <si>
    <t xml:space="preserve">Basel III: RWA, Capital Stack, Leverage, LCR/NSFR</t>
  </si>
  <si>
    <t xml:space="preserve">Risk-Weighted Assets (Basel III)</t>
  </si>
  <si>
    <t xml:space="preserve">Cash × RW</t>
  </si>
  <si>
    <t xml:space="preserve">Securities × RW</t>
  </si>
  <si>
    <t xml:space="preserve">Mortgage Loans × RW</t>
  </si>
  <si>
    <t xml:space="preserve">Consumer Loans × RW</t>
  </si>
  <si>
    <t xml:space="preserve">Commercial Loans × RW</t>
  </si>
  <si>
    <t xml:space="preserve">PP&amp;E × RW</t>
  </si>
  <si>
    <t xml:space="preserve">Credit RWA</t>
  </si>
  <si>
    <t xml:space="preserve">Operational Risk RWA (BIA)</t>
  </si>
  <si>
    <t xml:space="preserve">TOTAL RWA</t>
  </si>
  <si>
    <t xml:space="preserve">Capital Stack</t>
  </si>
  <si>
    <t xml:space="preserve">Share Capital</t>
  </si>
  <si>
    <t xml:space="preserve">Retained Earnings</t>
  </si>
  <si>
    <t xml:space="preserve">CET1 CAPITAL</t>
  </si>
  <si>
    <t xml:space="preserve">TIER 1 CAPITAL</t>
  </si>
  <si>
    <t xml:space="preserve">TOTAL CAPITAL</t>
  </si>
  <si>
    <t xml:space="preserve">Capital Ratios</t>
  </si>
  <si>
    <t xml:space="preserve">CET1 Ratio</t>
  </si>
  <si>
    <t xml:space="preserve">Tier 1 Ratio</t>
  </si>
  <si>
    <t xml:space="preserve">Total Capital Ratio</t>
  </si>
  <si>
    <t xml:space="preserve">Leverage Ratio (Tier 1 / TA)</t>
  </si>
  <si>
    <t xml:space="preserve">HQLA (Cash + Securities)</t>
  </si>
  <si>
    <t xml:space="preserve">Net 30-day Outflows</t>
  </si>
  <si>
    <t xml:space="preserve">LCR</t>
  </si>
  <si>
    <t xml:space="preserve">ASF (Avail. Stable Funding)</t>
  </si>
  <si>
    <t xml:space="preserve">RSF (Req. Stable Funding)</t>
  </si>
  <si>
    <t xml:space="preserve">NSFR</t>
  </si>
  <si>
    <t xml:space="preserve">Capital Distribution</t>
  </si>
  <si>
    <t xml:space="preserve">Required CET1 Capital</t>
  </si>
  <si>
    <t xml:space="preserve">Required CET1 Increase</t>
  </si>
  <si>
    <t xml:space="preserve">Net Income</t>
  </si>
  <si>
    <t xml:space="preserve">Dividend Capacity</t>
  </si>
  <si>
    <t xml:space="preserve">Payout Dividend</t>
  </si>
  <si>
    <t xml:space="preserve">ACTUAL DIVIDENDS</t>
  </si>
  <si>
    <t xml:space="preserve">Valuation (DDM)</t>
  </si>
  <si>
    <t xml:space="preserve">Dividend Discount Model — banks-appropriate valuation</t>
  </si>
  <si>
    <t xml:space="preserve">As at Model_Start_Year</t>
  </si>
  <si>
    <t xml:space="preserve">Implied Equity Value (t=0)</t>
  </si>
  <si>
    <t xml:space="preserve">Current Book Equity (t=0)</t>
  </si>
  <si>
    <t xml:space="preserve">Implied P/B Multiple</t>
  </si>
  <si>
    <t xml:space="preserve">Dividend Stream</t>
  </si>
  <si>
    <t xml:space="preserve">Dividends</t>
  </si>
  <si>
    <t xml:space="preserve">Discount Factor</t>
  </si>
  <si>
    <t xml:space="preserve">PV of Dividends</t>
  </si>
  <si>
    <t xml:space="preserve">Cumulative PV of Divs</t>
  </si>
  <si>
    <t xml:space="preserve">Terminal Value</t>
  </si>
  <si>
    <t xml:space="preserve">Terminal Dividend (Y+1)</t>
  </si>
  <si>
    <t xml:space="preserve">Gordon Growth Terminal Value</t>
  </si>
  <si>
    <t xml:space="preserve">PV of Terminal Value</t>
  </si>
  <si>
    <t xml:space="preserve">Equity Valuation (last forecast column only)</t>
  </si>
  <si>
    <t xml:space="preserve">Implied Equity Value (memo, last col)</t>
  </si>
  <si>
    <t xml:space="preserve">Validation Checks</t>
  </si>
  <si>
    <t xml:space="preserve">BS Balances</t>
  </si>
  <si>
    <t xml:space="preserve">CET1 ≥ Target</t>
  </si>
  <si>
    <t xml:space="preserve">Tier 1 ≥ Target</t>
  </si>
  <si>
    <t xml:space="preserve">Total Capital ≥ Target</t>
  </si>
  <si>
    <t xml:space="preserve">Leverage ≥ Target</t>
  </si>
  <si>
    <t xml:space="preserve">LCR ≥ Target</t>
  </si>
  <si>
    <t xml:space="preserve">NSFR ≥ Target</t>
  </si>
  <si>
    <t xml:space="preserve">Efficiency 40-80%</t>
  </si>
  <si>
    <t xml:space="preserve">NIM 1.5-5%</t>
  </si>
  <si>
    <t xml:space="preserve">LDR ≤ 110%</t>
  </si>
  <si>
    <t xml:space="preserve">Divs ≤ Capacity</t>
  </si>
  <si>
    <t xml:space="preserve">ROAE 5-20%</t>
  </si>
  <si>
    <t xml:space="preserve">NPL Coverage 80-150%</t>
  </si>
  <si>
    <t xml:space="preserve">Loan Mix sums to 100%</t>
  </si>
  <si>
    <t xml:space="preserve">OpEx Mix sums to 100%</t>
  </si>
  <si>
    <t xml:space="preserve">BS Allowance = Provisions</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</si>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</sst>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8">
    <numFmt numFmtId="164" formatCode="General"/>
    <numFmt numFmtId="165" formatCode="0"/>
    <numFmt numFmtId="166" formatCode="0.00%"/>
    <numFmt numFmtId="167" formatCode="#,##0.00"/>
    <numFmt numFmtId="168" formatCode="0.00"/>
    <numFmt numFmtId="169" formatCode="#,##0.0"/>
    <numFmt numFmtId="170" formatCode="0.00\x"/>
    <numFmt numFmtId="171" formatCode="@"/>
  </numFmts>
  <fonts count="27">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i val="true"/>
      <sz val="11"/>
      <color rgb="FF80808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0"/>
      <name val="Arial"/>
      <family val="0"/>
      <charset val="1"/>
    </font>
    <font>
      <b val="true"/>
      <sz val="11"/>
      <color rgb="FF000000"/>
      <name val="Arial"/>
      <family val="0"/>
      <charset val="1"/>
    </font>
    <font>
      <sz val="11"/>
      <color theme="3"/>
      <name val="Arial"/>
      <family val="0"/>
      <charset val="1"/>
    </font>
    <font>
      <sz val="11"/>
      <color rgb="FF00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4">
    <fill>
      <patternFill patternType="none"/>
    </fill>
    <fill>
      <patternFill patternType="gray125"/>
    </fill>
    <fill>
      <patternFill patternType="solid">
        <fgColor theme="3"/>
        <bgColor rgb="FF1F4E79"/>
      </patternFill>
    </fill>
    <fill>
      <patternFill patternType="solid">
        <fgColor rgb="FF5B9BD5"/>
        <bgColor rgb="FF808080"/>
      </patternFill>
    </fill>
    <fill>
      <patternFill patternType="solid">
        <fgColor rgb="FFA5A5A5"/>
        <bgColor rgb="FFC0C0C0"/>
      </patternFill>
    </fill>
    <fill>
      <patternFill patternType="solid">
        <fgColor rgb="FF70AD47"/>
        <bgColor rgb="FF99CC00"/>
      </patternFill>
    </fill>
    <fill>
      <patternFill patternType="solid">
        <fgColor rgb="FFED7D31"/>
        <bgColor rgb="FFFF8080"/>
      </patternFill>
    </fill>
    <fill>
      <patternFill patternType="solid">
        <fgColor rgb="FFC00000"/>
        <bgColor rgb="FF800000"/>
      </patternFill>
    </fill>
    <fill>
      <patternFill patternType="solid">
        <fgColor rgb="FF000000"/>
        <bgColor rgb="FF262626"/>
      </patternFill>
    </fill>
    <fill>
      <patternFill patternType="solid">
        <fgColor rgb="FFD6E4F0"/>
        <bgColor rgb="FFD9D9D9"/>
      </patternFill>
    </fill>
    <fill>
      <patternFill patternType="solid">
        <fgColor rgb="FFD9D9D9"/>
        <bgColor rgb="FFD6E4F0"/>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9" fillId="6" borderId="0" xfId="0" applyFont="true" applyBorder="false" applyAlignment="false" applyProtection="false">
      <alignment horizontal="general" vertical="bottom" textRotation="0" wrapText="false" indent="0" shrinkToFit="false"/>
      <protection locked="true" hidden="false"/>
    </xf>
    <xf numFmtId="164" fontId="9" fillId="7" borderId="0" xfId="0" applyFont="true" applyBorder="false" applyAlignment="false" applyProtection="false">
      <alignment horizontal="general" vertical="bottom" textRotation="0" wrapText="false" indent="0" shrinkToFit="false"/>
      <protection locked="true" hidden="false"/>
    </xf>
    <xf numFmtId="164" fontId="9" fillId="8" borderId="0" xfId="0" applyFont="true" applyBorder="false" applyAlignment="false" applyProtection="false">
      <alignment horizontal="general" vertical="bottom" textRotation="0" wrapText="false" indent="0" shrinkToFit="false"/>
      <protection locked="true" hidden="false"/>
    </xf>
    <xf numFmtId="164" fontId="12" fillId="9" borderId="0" xfId="0" applyFont="true" applyBorder="false" applyAlignment="true" applyProtection="false">
      <alignment horizontal="left" vertical="center" textRotation="0" wrapText="false" indent="0" shrinkToFit="false"/>
      <protection locked="true" hidden="false"/>
    </xf>
    <xf numFmtId="164" fontId="13" fillId="9"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2" borderId="0" xfId="0" applyFont="true" applyBorder="false" applyAlignment="true" applyProtection="false">
      <alignment horizontal="left" vertical="bottom" textRotation="0" wrapText="false" indent="0" shrinkToFit="false"/>
      <protection locked="true" hidden="false"/>
    </xf>
    <xf numFmtId="164" fontId="17" fillId="2" borderId="0" xfId="0" applyFont="true" applyBorder="false" applyAlignment="true" applyProtection="false">
      <alignment horizontal="center" vertical="bottom" textRotation="0" wrapText="false" indent="0" shrinkToFit="false"/>
      <protection locked="true" hidden="false"/>
    </xf>
    <xf numFmtId="164" fontId="18" fillId="10" borderId="0" xfId="0" applyFont="true" applyBorder="false" applyAlignment="false" applyProtection="false">
      <alignment horizontal="general" vertical="bottom" textRotation="0" wrapText="false" indent="0" shrinkToFit="false"/>
      <protection locked="true" hidden="false"/>
    </xf>
    <xf numFmtId="164" fontId="9" fillId="1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5" fontId="19" fillId="11" borderId="0" xfId="0" applyFont="true" applyBorder="false" applyAlignment="true" applyProtection="false">
      <alignment horizontal="right" vertical="bottom" textRotation="0" wrapText="false" indent="0" shrinkToFit="false"/>
      <protection locked="true" hidden="false"/>
    </xf>
    <xf numFmtId="164" fontId="11" fillId="0" borderId="0" xfId="0" applyFont="true" applyBorder="false" applyAlignment="true" applyProtection="false">
      <alignment horizontal="left" vertical="bottom" textRotation="0" wrapText="false" indent="0" shrinkToFit="false"/>
      <protection locked="true" hidden="false"/>
    </xf>
    <xf numFmtId="166" fontId="19" fillId="11" borderId="0" xfId="0" applyFont="true" applyBorder="false" applyAlignment="true" applyProtection="false">
      <alignment horizontal="right" vertical="bottom" textRotation="0" wrapText="false" indent="0" shrinkToFit="false"/>
      <protection locked="true" hidden="false"/>
    </xf>
    <xf numFmtId="167" fontId="19" fillId="11" borderId="0" xfId="0" applyFont="true" applyBorder="false" applyAlignment="true" applyProtection="false">
      <alignment horizontal="right" vertical="bottom" textRotation="0" wrapText="false" indent="0" shrinkToFit="false"/>
      <protection locked="true" hidden="false"/>
    </xf>
    <xf numFmtId="166" fontId="11" fillId="0" borderId="0" xfId="0" applyFont="true" applyBorder="false" applyAlignment="true" applyProtection="false">
      <alignment horizontal="right" vertical="bottom" textRotation="0" wrapText="false" indent="0" shrinkToFit="false"/>
      <protection locked="true" hidden="false"/>
    </xf>
    <xf numFmtId="168" fontId="19" fillId="11" borderId="0" xfId="0" applyFont="true" applyBorder="false" applyAlignment="true" applyProtection="false">
      <alignment horizontal="right" vertical="bottom" textRotation="0" wrapText="false" indent="0" shrinkToFit="false"/>
      <protection locked="true" hidden="false"/>
    </xf>
    <xf numFmtId="165" fontId="17" fillId="2" borderId="0" xfId="0" applyFont="true" applyBorder="false" applyAlignment="true" applyProtection="false">
      <alignment horizontal="center" vertical="bottom" textRotation="0" wrapText="false" indent="0" shrinkToFit="false"/>
      <protection locked="true" hidden="false"/>
    </xf>
    <xf numFmtId="165" fontId="11"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1" shrinkToFit="false"/>
      <protection locked="true" hidden="false"/>
    </xf>
    <xf numFmtId="167" fontId="20"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2" shrinkToFit="false"/>
      <protection locked="true" hidden="false"/>
    </xf>
    <xf numFmtId="164" fontId="10" fillId="0" borderId="1" xfId="0" applyFont="true" applyBorder="true" applyAlignment="true" applyProtection="false">
      <alignment horizontal="general" vertical="bottom" textRotation="0" wrapText="false" indent="1" shrinkToFit="false"/>
      <protection locked="true" hidden="false"/>
    </xf>
    <xf numFmtId="167" fontId="10" fillId="0" borderId="1" xfId="0" applyFont="true" applyBorder="true" applyAlignment="true" applyProtection="false">
      <alignment horizontal="right" vertical="bottom" textRotation="0" wrapText="false" indent="0" shrinkToFit="false"/>
      <protection locked="true" hidden="false"/>
    </xf>
    <xf numFmtId="164" fontId="10" fillId="0" borderId="2" xfId="0" applyFont="true" applyBorder="true" applyAlignment="true" applyProtection="false">
      <alignment horizontal="left" vertical="bottom" textRotation="0" wrapText="false" indent="0" shrinkToFit="false"/>
      <protection locked="true" hidden="false"/>
    </xf>
    <xf numFmtId="167" fontId="10" fillId="0" borderId="2" xfId="0" applyFont="true" applyBorder="true" applyAlignment="true" applyProtection="false">
      <alignment horizontal="right"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69" fontId="11" fillId="0" borderId="0" xfId="0" applyFont="true" applyBorder="false" applyAlignment="true" applyProtection="false">
      <alignment horizontal="right"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1" shrinkToFit="false"/>
      <protection locked="true" hidden="false"/>
    </xf>
    <xf numFmtId="167" fontId="11"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6" fontId="10" fillId="0" borderId="0" xfId="0" applyFont="true" applyBorder="false" applyAlignment="true" applyProtection="false">
      <alignment horizontal="right"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7" fontId="0" fillId="0" borderId="0" xfId="0" applyFont="true" applyBorder="false" applyAlignment="true" applyProtection="false">
      <alignment horizontal="right" vertical="bottom" textRotation="0" wrapText="false" indent="0" shrinkToFit="false"/>
      <protection locked="true" hidden="false"/>
    </xf>
    <xf numFmtId="170" fontId="11" fillId="0" borderId="0" xfId="0" applyFont="true" applyBorder="false" applyAlignment="true" applyProtection="false">
      <alignment horizontal="right" vertical="bottom" textRotation="0" wrapText="false" indent="0" shrinkToFit="false"/>
      <protection locked="true" hidden="false"/>
    </xf>
    <xf numFmtId="168" fontId="20" fillId="0" borderId="0" xfId="0" applyFont="true" applyBorder="false" applyAlignment="true" applyProtection="false">
      <alignment horizontal="right" vertical="bottom" textRotation="0" wrapText="false" indent="0" shrinkToFit="false"/>
      <protection locked="true" hidden="false"/>
    </xf>
    <xf numFmtId="167" fontId="10" fillId="0" borderId="0" xfId="0" applyFont="true" applyBorder="false" applyAlignment="true" applyProtection="false">
      <alignment horizontal="right" vertical="bottom" textRotation="0" wrapText="false" indent="0" shrinkToFit="false"/>
      <protection locked="true" hidden="false"/>
    </xf>
    <xf numFmtId="171" fontId="0"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2" fillId="12" borderId="0" xfId="0" applyFont="true" applyBorder="false" applyAlignment="true" applyProtection="false">
      <alignment horizontal="left" vertical="center" textRotation="0" wrapText="false" indent="1" shrinkToFit="false"/>
      <protection locked="true" hidden="false"/>
    </xf>
    <xf numFmtId="164" fontId="23" fillId="0" borderId="0" xfId="0" applyFont="true" applyBorder="fals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5" fillId="13" borderId="0" xfId="0" applyFont="true" applyBorder="false" applyAlignment="true" applyProtection="false">
      <alignment horizontal="left" vertical="top" textRotation="0" wrapText="true" indent="1" shrinkToFit="false"/>
      <protection locked="true" hidden="false"/>
    </xf>
    <xf numFmtId="164" fontId="26"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8F0F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4"/>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3" min="3" style="0" width="30"/>
    <col collapsed="false" customWidth="true" hidden="false" outlineLevel="0" max="4" min="4" style="0" width="20"/>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6"/>
      <c r="C5" s="6"/>
      <c r="D5" s="6"/>
    </row>
    <row r="6" customFormat="false" ht="15" hidden="false" customHeight="false" outlineLevel="0" collapsed="false">
      <c r="A6" s="6"/>
      <c r="B6" s="7" t="s">
        <v>3</v>
      </c>
      <c r="C6" s="7" t="s">
        <v>4</v>
      </c>
      <c r="D6" s="6"/>
    </row>
    <row r="7" customFormat="false" ht="15" hidden="false" customHeight="false" outlineLevel="0" collapsed="false">
      <c r="A7" s="6"/>
      <c r="B7" s="7" t="s">
        <v>5</v>
      </c>
      <c r="C7" s="7" t="s">
        <v>6</v>
      </c>
      <c r="D7" s="6"/>
    </row>
    <row r="8" customFormat="false" ht="15" hidden="false" customHeight="false" outlineLevel="0" collapsed="false">
      <c r="A8" s="6"/>
      <c r="B8" s="7" t="s">
        <v>7</v>
      </c>
      <c r="C8" s="7" t="s">
        <v>8</v>
      </c>
      <c r="D8" s="6"/>
    </row>
    <row r="9" customFormat="false" ht="15" hidden="false" customHeight="false" outlineLevel="0" collapsed="false">
      <c r="A9" s="6"/>
      <c r="B9" s="7" t="s">
        <v>9</v>
      </c>
      <c r="C9" s="7" t="s">
        <v>10</v>
      </c>
      <c r="D9" s="6"/>
    </row>
    <row r="10" customFormat="false" ht="15" hidden="false" customHeight="false" outlineLevel="0" collapsed="false">
      <c r="A10" s="6"/>
      <c r="B10" s="7" t="s">
        <v>11</v>
      </c>
      <c r="C10" s="7" t="s">
        <v>12</v>
      </c>
      <c r="D10" s="6"/>
    </row>
    <row r="11" customFormat="false" ht="15" hidden="false" customHeight="false" outlineLevel="0" collapsed="false">
      <c r="A11" s="6"/>
      <c r="B11" s="6"/>
      <c r="C11" s="6"/>
      <c r="D11" s="6"/>
    </row>
    <row r="12" customFormat="false" ht="15" hidden="false" customHeight="false" outlineLevel="0" collapsed="false">
      <c r="A12" s="6"/>
      <c r="B12" s="8" t="s">
        <v>13</v>
      </c>
      <c r="C12" s="6"/>
      <c r="D12" s="9" t="s">
        <v>14</v>
      </c>
    </row>
    <row r="13" customFormat="false" ht="15" hidden="false" customHeight="false" outlineLevel="0" collapsed="false">
      <c r="A13" s="6"/>
      <c r="B13" s="8" t="s">
        <v>15</v>
      </c>
      <c r="C13" s="9" t="s">
        <v>16</v>
      </c>
      <c r="D13" s="10"/>
    </row>
    <row r="14" customFormat="false" ht="15" hidden="false" customHeight="false" outlineLevel="0" collapsed="false">
      <c r="A14" s="6"/>
      <c r="B14" s="8" t="s">
        <v>17</v>
      </c>
      <c r="C14" s="9" t="s">
        <v>18</v>
      </c>
      <c r="D14" s="11"/>
    </row>
    <row r="15" customFormat="false" ht="15" hidden="false" customHeight="false" outlineLevel="0" collapsed="false">
      <c r="A15" s="6"/>
      <c r="B15" s="8" t="s">
        <v>19</v>
      </c>
      <c r="C15" s="9" t="s">
        <v>20</v>
      </c>
      <c r="D15" s="12"/>
    </row>
    <row r="16" customFormat="false" ht="15" hidden="false" customHeight="false" outlineLevel="0" collapsed="false">
      <c r="A16" s="6"/>
      <c r="B16" s="8" t="s">
        <v>21</v>
      </c>
      <c r="C16" s="9" t="s">
        <v>22</v>
      </c>
      <c r="D16" s="13"/>
    </row>
    <row r="17" customFormat="false" ht="15" hidden="false" customHeight="false" outlineLevel="0" collapsed="false">
      <c r="A17" s="6"/>
      <c r="B17" s="8" t="s">
        <v>23</v>
      </c>
      <c r="C17" s="9" t="s">
        <v>24</v>
      </c>
      <c r="D17" s="14"/>
    </row>
    <row r="18" customFormat="false" ht="15" hidden="false" customHeight="false" outlineLevel="0" collapsed="false">
      <c r="A18" s="6"/>
      <c r="B18" s="8" t="s">
        <v>25</v>
      </c>
      <c r="C18" s="9" t="s">
        <v>26</v>
      </c>
      <c r="D18" s="11"/>
    </row>
    <row r="19" customFormat="false" ht="15" hidden="false" customHeight="false" outlineLevel="0" collapsed="false">
      <c r="A19" s="6"/>
      <c r="B19" s="8" t="s">
        <v>27</v>
      </c>
      <c r="C19" s="9" t="s">
        <v>28</v>
      </c>
      <c r="D19" s="14"/>
    </row>
    <row r="20" customFormat="false" ht="15" hidden="false" customHeight="false" outlineLevel="0" collapsed="false">
      <c r="A20" s="6"/>
      <c r="B20" s="8" t="s">
        <v>29</v>
      </c>
      <c r="C20" s="9" t="s">
        <v>30</v>
      </c>
      <c r="D20" s="11"/>
    </row>
    <row r="21" customFormat="false" ht="15" hidden="false" customHeight="false" outlineLevel="0" collapsed="false">
      <c r="A21" s="6"/>
      <c r="B21" s="8" t="s">
        <v>31</v>
      </c>
      <c r="C21" s="9" t="s">
        <v>32</v>
      </c>
      <c r="D21" s="15"/>
    </row>
    <row r="22" customFormat="false" ht="15" hidden="false" customHeight="false" outlineLevel="0" collapsed="false">
      <c r="A22" s="6"/>
      <c r="B22" s="6"/>
      <c r="C22" s="6"/>
      <c r="D22" s="6"/>
    </row>
    <row r="23" customFormat="false" ht="15" hidden="false" customHeight="false" outlineLevel="0" collapsed="false">
      <c r="A23" s="6"/>
      <c r="B23" s="8" t="s">
        <v>33</v>
      </c>
      <c r="C23" s="6"/>
      <c r="D23" s="6"/>
    </row>
    <row r="24" customFormat="false" ht="15" hidden="false" customHeight="false" outlineLevel="0" collapsed="false">
      <c r="A24" s="6"/>
      <c r="B24" s="9" t="s">
        <v>34</v>
      </c>
      <c r="C24" s="6"/>
      <c r="D24" s="6"/>
    </row>
    <row r="25" customFormat="false" ht="15" hidden="false" customHeight="false" outlineLevel="0" collapsed="false">
      <c r="A25" s="6"/>
      <c r="B25" s="9" t="s">
        <v>35</v>
      </c>
      <c r="C25" s="6"/>
      <c r="D25" s="6"/>
    </row>
    <row r="28" customFormat="false" ht="19.5" hidden="false" customHeight="true" outlineLevel="0" collapsed="false">
      <c r="B28" s="16" t="s">
        <v>36</v>
      </c>
      <c r="C28" s="17"/>
      <c r="D28" s="17"/>
      <c r="E28" s="17"/>
      <c r="F28" s="17"/>
      <c r="G28" s="17"/>
    </row>
    <row r="29" customFormat="false" ht="246" hidden="false" customHeight="true" outlineLevel="0" collapsed="false">
      <c r="B29" s="18" t="s">
        <v>37</v>
      </c>
      <c r="C29" s="18"/>
      <c r="D29" s="18"/>
      <c r="E29" s="18"/>
      <c r="F29" s="18"/>
      <c r="G29" s="18"/>
    </row>
    <row r="31" customFormat="false" ht="19.5" hidden="false" customHeight="true" outlineLevel="0" collapsed="false">
      <c r="B31" s="16" t="s">
        <v>38</v>
      </c>
      <c r="C31" s="17"/>
      <c r="D31" s="17"/>
      <c r="E31" s="17"/>
      <c r="F31" s="17"/>
      <c r="G31" s="17"/>
    </row>
    <row r="32" customFormat="false" ht="57" hidden="false" customHeight="true" outlineLevel="0" collapsed="false">
      <c r="B32" s="18" t="s">
        <v>39</v>
      </c>
      <c r="C32" s="18"/>
      <c r="D32" s="18"/>
      <c r="E32" s="18"/>
      <c r="F32" s="18"/>
      <c r="G32" s="18"/>
    </row>
    <row r="33" customFormat="false" ht="15" hidden="false" customHeight="false" outlineLevel="0" collapsed="false">
      <c r="B33" s="19" t="s">
        <v>40</v>
      </c>
      <c r="C33" s="19"/>
      <c r="D33" s="19"/>
      <c r="E33" s="19"/>
      <c r="F33" s="19"/>
      <c r="G33" s="19"/>
    </row>
    <row r="34" customFormat="false" ht="15" hidden="false" customHeight="false" outlineLevel="0" collapsed="false">
      <c r="B34" s="20" t="s">
        <v>41</v>
      </c>
    </row>
  </sheetData>
  <mergeCells count="3">
    <mergeCell ref="B29:G29"/>
    <mergeCell ref="B32:G32"/>
    <mergeCell ref="B33:G33"/>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0000"/>
    <pageSetUpPr fitToPage="false"/>
  </sheetPr>
  <dimension ref="A1:AD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31</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21" t="s">
        <v>228</v>
      </c>
      <c r="C6" s="32" t="n">
        <f aca="false">Model_Start_Year+0</f>
        <v>2026</v>
      </c>
      <c r="D6" s="32" t="n">
        <f aca="false">Model_Start_Year+1</f>
        <v>2027</v>
      </c>
      <c r="E6" s="32" t="n">
        <f aca="false">Model_Start_Year+2</f>
        <v>2028</v>
      </c>
      <c r="F6" s="32" t="n">
        <f aca="false">Model_Start_Year+3</f>
        <v>2029</v>
      </c>
      <c r="G6" s="32" t="n">
        <f aca="false">Model_Start_Year+4</f>
        <v>2030</v>
      </c>
    </row>
    <row r="7" customFormat="false" ht="15" hidden="false" customHeight="false" outlineLevel="0" collapsed="false">
      <c r="A7" s="6"/>
      <c r="B7" s="23" t="s">
        <v>386</v>
      </c>
      <c r="C7" s="24"/>
      <c r="D7" s="24"/>
      <c r="E7" s="24"/>
      <c r="F7" s="24"/>
      <c r="G7" s="24"/>
    </row>
    <row r="8" customFormat="false" ht="15" hidden="false" customHeight="false" outlineLevel="0" collapsed="false">
      <c r="A8" s="6"/>
      <c r="B8" s="25" t="s">
        <v>387</v>
      </c>
      <c r="C8" s="52" t="str">
        <f aca="false">IF(ABS(Balance_Sheet!C36)&lt;=0.01,"PASS","FAIL")</f>
        <v>PASS</v>
      </c>
      <c r="D8" s="52" t="str">
        <f aca="false">IF(ABS(Balance_Sheet!D36)&lt;=0.01,"PASS","FAIL")</f>
        <v>PASS</v>
      </c>
      <c r="E8" s="52" t="str">
        <f aca="false">IF(ABS(Balance_Sheet!E36)&lt;=0.01,"PASS","FAIL")</f>
        <v>PASS</v>
      </c>
      <c r="F8" s="52" t="str">
        <f aca="false">IF(ABS(Balance_Sheet!F36)&lt;=0.01,"PASS","FAIL")</f>
        <v>PASS</v>
      </c>
      <c r="G8" s="52" t="str">
        <f aca="false">IF(ABS(Balance_Sheet!G36)&lt;=0.01,"PASS","FAIL")</f>
        <v>PASS</v>
      </c>
    </row>
    <row r="9" customFormat="false" ht="15" hidden="false" customHeight="false" outlineLevel="0" collapsed="false">
      <c r="A9" s="6"/>
      <c r="B9" s="25" t="s">
        <v>388</v>
      </c>
      <c r="C9" s="52" t="str">
        <f aca="false">IF(Capital_Adequacy!C$29&gt;=Target_CET1,"PASS","FAIL")</f>
        <v>PASS</v>
      </c>
      <c r="D9" s="52" t="str">
        <f aca="false">IF(Capital_Adequacy!D$29&gt;=Target_CET1,"PASS","FAIL")</f>
        <v>PASS</v>
      </c>
      <c r="E9" s="52" t="str">
        <f aca="false">IF(Capital_Adequacy!E$29&gt;=Target_CET1,"PASS","FAIL")</f>
        <v>PASS</v>
      </c>
      <c r="F9" s="52" t="str">
        <f aca="false">IF(Capital_Adequacy!F$29&gt;=Target_CET1,"PASS","FAIL")</f>
        <v>PASS</v>
      </c>
      <c r="G9" s="52" t="str">
        <f aca="false">IF(Capital_Adequacy!G$29&gt;=Target_CET1,"PASS","FAIL")</f>
        <v>PASS</v>
      </c>
    </row>
    <row r="10" customFormat="false" ht="15" hidden="false" customHeight="false" outlineLevel="0" collapsed="false">
      <c r="A10" s="6"/>
      <c r="B10" s="25" t="s">
        <v>389</v>
      </c>
      <c r="C10" s="52" t="str">
        <f aca="false">IF(Capital_Adequacy!C$30&gt;=Target_T1,"PASS","FAIL")</f>
        <v>PASS</v>
      </c>
      <c r="D10" s="52" t="str">
        <f aca="false">IF(Capital_Adequacy!D$30&gt;=Target_T1,"PASS","FAIL")</f>
        <v>PASS</v>
      </c>
      <c r="E10" s="52" t="str">
        <f aca="false">IF(Capital_Adequacy!E$30&gt;=Target_T1,"PASS","FAIL")</f>
        <v>PASS</v>
      </c>
      <c r="F10" s="52" t="str">
        <f aca="false">IF(Capital_Adequacy!F$30&gt;=Target_T1,"PASS","FAIL")</f>
        <v>PASS</v>
      </c>
      <c r="G10" s="52" t="str">
        <f aca="false">IF(Capital_Adequacy!G$30&gt;=Target_T1,"PASS","FAIL")</f>
        <v>PASS</v>
      </c>
    </row>
    <row r="11" customFormat="false" ht="15" hidden="false" customHeight="false" outlineLevel="0" collapsed="false">
      <c r="A11" s="6"/>
      <c r="B11" s="25" t="s">
        <v>390</v>
      </c>
      <c r="C11" s="52" t="str">
        <f aca="false">IF(Capital_Adequacy!C$31&gt;=Target_TC,"PASS","FAIL")</f>
        <v>PASS</v>
      </c>
      <c r="D11" s="52" t="str">
        <f aca="false">IF(Capital_Adequacy!D$31&gt;=Target_TC,"PASS","FAIL")</f>
        <v>PASS</v>
      </c>
      <c r="E11" s="52" t="str">
        <f aca="false">IF(Capital_Adequacy!E$31&gt;=Target_TC,"PASS","FAIL")</f>
        <v>PASS</v>
      </c>
      <c r="F11" s="52" t="str">
        <f aca="false">IF(Capital_Adequacy!F$31&gt;=Target_TC,"PASS","FAIL")</f>
        <v>PASS</v>
      </c>
      <c r="G11" s="52" t="str">
        <f aca="false">IF(Capital_Adequacy!G$31&gt;=Target_TC,"PASS","FAIL")</f>
        <v>PASS</v>
      </c>
    </row>
    <row r="12" customFormat="false" ht="15" hidden="false" customHeight="false" outlineLevel="0" collapsed="false">
      <c r="A12" s="6"/>
      <c r="B12" s="25" t="s">
        <v>391</v>
      </c>
      <c r="C12" s="52" t="str">
        <f aca="false">IF(Capital_Adequacy!C$32&gt;=Target_Leverage,"PASS","FAIL")</f>
        <v>PASS</v>
      </c>
      <c r="D12" s="52" t="str">
        <f aca="false">IF(Capital_Adequacy!D$32&gt;=Target_Leverage,"PASS","FAIL")</f>
        <v>PASS</v>
      </c>
      <c r="E12" s="52" t="str">
        <f aca="false">IF(Capital_Adequacy!E$32&gt;=Target_Leverage,"PASS","FAIL")</f>
        <v>PASS</v>
      </c>
      <c r="F12" s="52" t="str">
        <f aca="false">IF(Capital_Adequacy!F$32&gt;=Target_Leverage,"PASS","FAIL")</f>
        <v>PASS</v>
      </c>
      <c r="G12" s="52" t="str">
        <f aca="false">IF(Capital_Adequacy!G$32&gt;=Target_Leverage,"PASS","FAIL")</f>
        <v>PASS</v>
      </c>
    </row>
    <row r="13" customFormat="false" ht="15" hidden="false" customHeight="false" outlineLevel="0" collapsed="false">
      <c r="A13" s="6"/>
      <c r="B13" s="25" t="s">
        <v>392</v>
      </c>
      <c r="C13" s="52" t="str">
        <f aca="false">IF(Capital_Adequacy!C$41&gt;=Target_LCR,"PASS","FAIL")</f>
        <v>PASS</v>
      </c>
      <c r="D13" s="52" t="str">
        <f aca="false">IF(Capital_Adequacy!D$41&gt;=Target_LCR,"PASS","FAIL")</f>
        <v>PASS</v>
      </c>
      <c r="E13" s="52" t="str">
        <f aca="false">IF(Capital_Adequacy!E$41&gt;=Target_LCR,"PASS","FAIL")</f>
        <v>PASS</v>
      </c>
      <c r="F13" s="52" t="str">
        <f aca="false">IF(Capital_Adequacy!F$41&gt;=Target_LCR,"PASS","FAIL")</f>
        <v>PASS</v>
      </c>
      <c r="G13" s="52" t="str">
        <f aca="false">IF(Capital_Adequacy!G$41&gt;=Target_LCR,"PASS","FAIL")</f>
        <v>PASS</v>
      </c>
    </row>
    <row r="14" customFormat="false" ht="15" hidden="false" customHeight="false" outlineLevel="0" collapsed="false">
      <c r="A14" s="6"/>
      <c r="B14" s="25" t="s">
        <v>393</v>
      </c>
      <c r="C14" s="52" t="str">
        <f aca="false">IF(Capital_Adequacy!C$45&gt;=Target_NSFR,"PASS","FAIL")</f>
        <v>PASS</v>
      </c>
      <c r="D14" s="52" t="str">
        <f aca="false">IF(Capital_Adequacy!D$45&gt;=Target_NSFR,"PASS","FAIL")</f>
        <v>PASS</v>
      </c>
      <c r="E14" s="52" t="str">
        <f aca="false">IF(Capital_Adequacy!E$45&gt;=Target_NSFR,"PASS","FAIL")</f>
        <v>PASS</v>
      </c>
      <c r="F14" s="52" t="str">
        <f aca="false">IF(Capital_Adequacy!F$45&gt;=Target_NSFR,"PASS","FAIL")</f>
        <v>PASS</v>
      </c>
      <c r="G14" s="52" t="str">
        <f aca="false">IF(Capital_Adequacy!G$45&gt;=Target_NSFR,"PASS","FAIL")</f>
        <v>PASS</v>
      </c>
    </row>
    <row r="15" customFormat="false" ht="15" hidden="false" customHeight="false" outlineLevel="0" collapsed="false">
      <c r="A15" s="6"/>
      <c r="B15" s="25" t="s">
        <v>394</v>
      </c>
      <c r="C15" s="52" t="str">
        <f aca="false">IF(AND(Non_Interest_Income_Opex!C$28&gt;=0.4,Non_Interest_Income_Opex!C$28&lt;=0.8),"PASS","WARN")</f>
        <v>PASS</v>
      </c>
      <c r="D15" s="52" t="str">
        <f aca="false">IF(AND(Non_Interest_Income_Opex!D$28&gt;=0.4,Non_Interest_Income_Opex!D$28&lt;=0.8),"PASS","WARN")</f>
        <v>PASS</v>
      </c>
      <c r="E15" s="52" t="str">
        <f aca="false">IF(AND(Non_Interest_Income_Opex!E$28&gt;=0.4,Non_Interest_Income_Opex!E$28&lt;=0.8),"PASS","WARN")</f>
        <v>PASS</v>
      </c>
      <c r="F15" s="52" t="str">
        <f aca="false">IF(AND(Non_Interest_Income_Opex!F$28&gt;=0.4,Non_Interest_Income_Opex!F$28&lt;=0.8),"PASS","WARN")</f>
        <v>PASS</v>
      </c>
      <c r="G15" s="52" t="str">
        <f aca="false">IF(AND(Non_Interest_Income_Opex!G$28&gt;=0.4,Non_Interest_Income_Opex!G$28&lt;=0.8),"PASS","WARN")</f>
        <v>PASS</v>
      </c>
    </row>
    <row r="16" customFormat="false" ht="15" hidden="false" customHeight="false" outlineLevel="0" collapsed="false">
      <c r="A16" s="6"/>
      <c r="B16" s="25" t="s">
        <v>395</v>
      </c>
      <c r="C16" s="52" t="str">
        <f aca="false">IF(AND(Interest_Income_Expense!C$39&gt;=0.015,Interest_Income_Expense!C$39&lt;=0.05),"PASS","WARN")</f>
        <v>PASS</v>
      </c>
      <c r="D16" s="52" t="str">
        <f aca="false">IF(AND(Interest_Income_Expense!D$39&gt;=0.015,Interest_Income_Expense!D$39&lt;=0.05),"PASS","WARN")</f>
        <v>PASS</v>
      </c>
      <c r="E16" s="52" t="str">
        <f aca="false">IF(AND(Interest_Income_Expense!E$39&gt;=0.015,Interest_Income_Expense!E$39&lt;=0.05),"PASS","WARN")</f>
        <v>PASS</v>
      </c>
      <c r="F16" s="52" t="str">
        <f aca="false">IF(AND(Interest_Income_Expense!F$39&gt;=0.015,Interest_Income_Expense!F$39&lt;=0.05),"PASS","WARN")</f>
        <v>PASS</v>
      </c>
      <c r="G16" s="52" t="str">
        <f aca="false">IF(AND(Interest_Income_Expense!G$39&gt;=0.015,Interest_Income_Expense!G$39&lt;=0.05),"PASS","WARN")</f>
        <v>PASS</v>
      </c>
    </row>
    <row r="17" customFormat="false" ht="15" hidden="false" customHeight="false" outlineLevel="0" collapsed="false">
      <c r="A17" s="6"/>
      <c r="B17" s="25" t="s">
        <v>396</v>
      </c>
      <c r="C17" s="52" t="str">
        <f aca="false">IF(IFERROR(Balance_Sheet!C$12/Balance_Sheet!C$22,0)&lt;=1.1,"PASS","WARN")</f>
        <v>PASS</v>
      </c>
      <c r="D17" s="52" t="str">
        <f aca="false">IF(IFERROR(Balance_Sheet!D$12/Balance_Sheet!D$22,0)&lt;=1.1,"PASS","WARN")</f>
        <v>PASS</v>
      </c>
      <c r="E17" s="52" t="str">
        <f aca="false">IF(IFERROR(Balance_Sheet!E$12/Balance_Sheet!E$22,0)&lt;=1.1,"PASS","WARN")</f>
        <v>PASS</v>
      </c>
      <c r="F17" s="52" t="str">
        <f aca="false">IF(IFERROR(Balance_Sheet!F$12/Balance_Sheet!F$22,0)&lt;=1.1,"PASS","WARN")</f>
        <v>PASS</v>
      </c>
      <c r="G17" s="52" t="str">
        <f aca="false">IF(IFERROR(Balance_Sheet!G$12/Balance_Sheet!G$22,0)&lt;=1.1,"PASS","WARN")</f>
        <v>PASS</v>
      </c>
    </row>
    <row r="18" customFormat="false" ht="15" hidden="false" customHeight="false" outlineLevel="0" collapsed="false">
      <c r="A18" s="6"/>
      <c r="B18" s="25" t="s">
        <v>397</v>
      </c>
      <c r="C18" s="52" t="str">
        <f aca="false">IF(Capital_Adequacy!C$54&lt;=Capital_Adequacy!C$52+0.01,"PASS","FAIL")</f>
        <v>PASS</v>
      </c>
      <c r="D18" s="52" t="str">
        <f aca="false">IF(Capital_Adequacy!D$54&lt;=Capital_Adequacy!D$52+0.01,"PASS","FAIL")</f>
        <v>PASS</v>
      </c>
      <c r="E18" s="52" t="str">
        <f aca="false">IF(Capital_Adequacy!E$54&lt;=Capital_Adequacy!E$52+0.01,"PASS","FAIL")</f>
        <v>PASS</v>
      </c>
      <c r="F18" s="52" t="str">
        <f aca="false">IF(Capital_Adequacy!F$54&lt;=Capital_Adequacy!F$52+0.01,"PASS","FAIL")</f>
        <v>PASS</v>
      </c>
      <c r="G18" s="52" t="str">
        <f aca="false">IF(Capital_Adequacy!G$54&lt;=Capital_Adequacy!G$52+0.01,"PASS","FAIL")</f>
        <v>PASS</v>
      </c>
    </row>
    <row r="19" customFormat="false" ht="15" hidden="false" customHeight="false" outlineLevel="0" collapsed="false">
      <c r="A19" s="6"/>
      <c r="B19" s="25" t="s">
        <v>398</v>
      </c>
      <c r="C19" s="52" t="str">
        <f aca="false">IF(AND(Income_Statement!C$31&gt;=0.05,Income_Statement!C$31&lt;=0.2),"PASS","WARN")</f>
        <v>WARN</v>
      </c>
      <c r="D19" s="52" t="str">
        <f aca="false">IF(AND(Income_Statement!D$31&gt;=0.05,Income_Statement!D$31&lt;=0.2),"PASS","WARN")</f>
        <v>PASS</v>
      </c>
      <c r="E19" s="52" t="str">
        <f aca="false">IF(AND(Income_Statement!E$31&gt;=0.05,Income_Statement!E$31&lt;=0.2),"PASS","WARN")</f>
        <v>PASS</v>
      </c>
      <c r="F19" s="52" t="str">
        <f aca="false">IF(AND(Income_Statement!F$31&gt;=0.05,Income_Statement!F$31&lt;=0.2),"PASS","WARN")</f>
        <v>PASS</v>
      </c>
      <c r="G19" s="52" t="str">
        <f aca="false">IF(AND(Income_Statement!G$31&gt;=0.05,Income_Statement!G$31&lt;=0.2),"PASS","WARN")</f>
        <v>PASS</v>
      </c>
    </row>
    <row r="20" customFormat="false" ht="15" hidden="false" customHeight="false" outlineLevel="0" collapsed="false">
      <c r="A20" s="6"/>
      <c r="B20" s="25" t="s">
        <v>399</v>
      </c>
      <c r="C20" s="52" t="str">
        <f aca="false">IF(AND(Provisions!C$19&gt;=0.8,Provisions!C$19&lt;=1.5),"PASS","WARN")</f>
        <v>WARN</v>
      </c>
      <c r="D20" s="52" t="str">
        <f aca="false">IF(AND(Provisions!D$19&gt;=0.8,Provisions!D$19&lt;=1.5),"PASS","WARN")</f>
        <v>WARN</v>
      </c>
      <c r="E20" s="52" t="str">
        <f aca="false">IF(AND(Provisions!E$19&gt;=0.8,Provisions!E$19&lt;=1.5),"PASS","WARN")</f>
        <v>WARN</v>
      </c>
      <c r="F20" s="52" t="str">
        <f aca="false">IF(AND(Provisions!F$19&gt;=0.8,Provisions!F$19&lt;=1.5),"PASS","WARN")</f>
        <v>WARN</v>
      </c>
      <c r="G20" s="52" t="str">
        <f aca="false">IF(AND(Provisions!G$19&gt;=0.8,Provisions!G$19&lt;=1.5),"PASS","WARN")</f>
        <v>WARN</v>
      </c>
    </row>
    <row r="21" customFormat="false" ht="15" hidden="false" customHeight="false" outlineLevel="0" collapsed="false">
      <c r="A21" s="6"/>
      <c r="B21" s="25" t="s">
        <v>400</v>
      </c>
      <c r="C21" s="52" t="str">
        <f aca="false">IF(ABS(Mortgage_Pct+Consumer_Pct+Commercial_Pct-1)&lt;0.001,"PASS","FAIL")</f>
        <v>PASS</v>
      </c>
      <c r="D21" s="52" t="str">
        <f aca="false">IF(ABS(Mortgage_Pct+Consumer_Pct+Commercial_Pct-1)&lt;0.001,"PASS","FAIL")</f>
        <v>PASS</v>
      </c>
      <c r="E21" s="52" t="str">
        <f aca="false">IF(ABS(Mortgage_Pct+Consumer_Pct+Commercial_Pct-1)&lt;0.001,"PASS","FAIL")</f>
        <v>PASS</v>
      </c>
      <c r="F21" s="52" t="str">
        <f aca="false">IF(ABS(Mortgage_Pct+Consumer_Pct+Commercial_Pct-1)&lt;0.001,"PASS","FAIL")</f>
        <v>PASS</v>
      </c>
      <c r="G21" s="52" t="str">
        <f aca="false">IF(ABS(Mortgage_Pct+Consumer_Pct+Commercial_Pct-1)&lt;0.001,"PASS","FAIL")</f>
        <v>PASS</v>
      </c>
    </row>
    <row r="22" customFormat="false" ht="15" hidden="false" customHeight="false" outlineLevel="0" collapsed="false">
      <c r="A22" s="6"/>
      <c r="B22" s="25" t="s">
        <v>401</v>
      </c>
      <c r="C22" s="52" t="str">
        <f aca="false">IF(ABS(Staff_Pct+IT_Pct+Premises_Pct+Professional_Pct+Other_Pct-1)&lt;0.001,"PASS","FAIL")</f>
        <v>PASS</v>
      </c>
      <c r="D22" s="52" t="str">
        <f aca="false">IF(ABS(Staff_Pct+IT_Pct+Premises_Pct+Professional_Pct+Other_Pct-1)&lt;0.001,"PASS","FAIL")</f>
        <v>PASS</v>
      </c>
      <c r="E22" s="52" t="str">
        <f aca="false">IF(ABS(Staff_Pct+IT_Pct+Premises_Pct+Professional_Pct+Other_Pct-1)&lt;0.001,"PASS","FAIL")</f>
        <v>PASS</v>
      </c>
      <c r="F22" s="52" t="str">
        <f aca="false">IF(ABS(Staff_Pct+IT_Pct+Premises_Pct+Professional_Pct+Other_Pct-1)&lt;0.001,"PASS","FAIL")</f>
        <v>PASS</v>
      </c>
      <c r="G22" s="52" t="str">
        <f aca="false">IF(ABS(Staff_Pct+IT_Pct+Premises_Pct+Professional_Pct+Other_Pct-1)&lt;0.001,"PASS","FAIL")</f>
        <v>PASS</v>
      </c>
    </row>
    <row r="23" customFormat="false" ht="15" hidden="false" customHeight="false" outlineLevel="0" collapsed="false">
      <c r="A23" s="6"/>
      <c r="B23" s="25" t="s">
        <v>402</v>
      </c>
      <c r="C23" s="52" t="str">
        <f aca="false">IF(ABS(Balance_Sheet!C13+Provisions!C$15)&lt;0.01,"PASS","FAIL")</f>
        <v>PASS</v>
      </c>
      <c r="D23" s="52" t="str">
        <f aca="false">IF(ABS(Balance_Sheet!D13+Provisions!D$15)&lt;0.01,"PASS","FAIL")</f>
        <v>PASS</v>
      </c>
      <c r="E23" s="52" t="str">
        <f aca="false">IF(ABS(Balance_Sheet!E13+Provisions!E$15)&lt;0.01,"PASS","FAIL")</f>
        <v>PASS</v>
      </c>
      <c r="F23" s="52" t="str">
        <f aca="false">IF(ABS(Balance_Sheet!F13+Provisions!F$15)&lt;0.01,"PASS","FAIL")</f>
        <v>PASS</v>
      </c>
      <c r="G23" s="52" t="str">
        <f aca="false">IF(ABS(Balance_Sheet!G13+Provisions!G$15)&lt;0.01,"PASS","FAIL")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53" t="s">
        <v>403</v>
      </c>
    </row>
    <row r="3" customFormat="false" ht="3.75" hidden="false" customHeight="true" outlineLevel="0" collapsed="false">
      <c r="B3" s="54"/>
    </row>
    <row r="5" customFormat="false" ht="19.5" hidden="false" customHeight="true" outlineLevel="0" collapsed="false">
      <c r="B5" s="55" t="s">
        <v>404</v>
      </c>
    </row>
    <row r="6" customFormat="false" ht="48" hidden="false" customHeight="true" outlineLevel="0" collapsed="false">
      <c r="B6" s="56" t="s">
        <v>405</v>
      </c>
    </row>
    <row r="8" customFormat="false" ht="19.5" hidden="false" customHeight="true" outlineLevel="0" collapsed="false">
      <c r="B8" s="55" t="s">
        <v>406</v>
      </c>
    </row>
    <row r="9" customFormat="false" ht="61.5" hidden="false" customHeight="true" outlineLevel="0" collapsed="false">
      <c r="B9" s="56" t="s">
        <v>407</v>
      </c>
    </row>
    <row r="11" customFormat="false" ht="19.5" hidden="false" customHeight="true" outlineLevel="0" collapsed="false">
      <c r="B11" s="55" t="s">
        <v>408</v>
      </c>
    </row>
    <row r="12" customFormat="false" ht="75.75" hidden="false" customHeight="true" outlineLevel="0" collapsed="false">
      <c r="B12" s="56" t="s">
        <v>409</v>
      </c>
    </row>
    <row r="14" customFormat="false" ht="19.5" hidden="false" customHeight="true" outlineLevel="0" collapsed="false">
      <c r="B14" s="55" t="s">
        <v>410</v>
      </c>
    </row>
    <row r="15" customFormat="false" ht="61.5" hidden="false" customHeight="true" outlineLevel="0" collapsed="false">
      <c r="B15" s="56" t="s">
        <v>411</v>
      </c>
    </row>
    <row r="17" customFormat="false" ht="19.5" hidden="false" customHeight="true" outlineLevel="0" collapsed="false">
      <c r="B17" s="55" t="s">
        <v>412</v>
      </c>
    </row>
    <row r="18" customFormat="false" ht="33.75" hidden="false" customHeight="true" outlineLevel="0" collapsed="false">
      <c r="B18" s="56" t="s">
        <v>413</v>
      </c>
    </row>
    <row r="20" customFormat="false" ht="19.5" hidden="false" customHeight="true" outlineLevel="0" collapsed="false">
      <c r="B20" s="55" t="s">
        <v>414</v>
      </c>
    </row>
    <row r="21" customFormat="false" ht="33.75" hidden="false" customHeight="true" outlineLevel="0" collapsed="false">
      <c r="B21" s="56" t="s">
        <v>415</v>
      </c>
    </row>
    <row r="23" customFormat="false" ht="21.75" hidden="false" customHeight="true" outlineLevel="0" collapsed="false">
      <c r="B23" s="57" t="s">
        <v>416</v>
      </c>
    </row>
    <row r="25" customFormat="false" ht="18" hidden="false" customHeight="true" outlineLevel="0" collapsed="false">
      <c r="B25" s="58" t="s">
        <v>417</v>
      </c>
    </row>
    <row r="26" customFormat="false" ht="201.75" hidden="false" customHeight="true" outlineLevel="0" collapsed="false">
      <c r="B26" s="59" t="s">
        <v>418</v>
      </c>
    </row>
    <row r="28" customFormat="false" ht="18" hidden="false" customHeight="true" outlineLevel="0" collapsed="false">
      <c r="B28" s="60" t="s">
        <v>419</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1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3" min="3" style="0" width="18"/>
    <col collapsed="false" customWidth="true" hidden="false" outlineLevel="0" max="4" min="4" style="0" width="12"/>
    <col collapsed="false" customWidth="true" hidden="false" outlineLevel="0" max="5" min="5" style="0" width="60"/>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15</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42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21" t="s">
        <v>43</v>
      </c>
      <c r="C6" s="22" t="s">
        <v>44</v>
      </c>
      <c r="D6" s="22" t="s">
        <v>45</v>
      </c>
      <c r="E6" s="22" t="s">
        <v>46</v>
      </c>
      <c r="F6" s="6"/>
      <c r="G6" s="6"/>
    </row>
    <row r="7" customFormat="false" ht="15" hidden="false" customHeight="false" outlineLevel="0" collapsed="false">
      <c r="A7" s="6"/>
      <c r="B7" s="23" t="s">
        <v>47</v>
      </c>
      <c r="C7" s="24"/>
      <c r="D7" s="24"/>
      <c r="E7" s="24"/>
      <c r="F7" s="24"/>
      <c r="G7" s="24"/>
    </row>
    <row r="8" customFormat="false" ht="15" hidden="false" customHeight="false" outlineLevel="0" collapsed="false">
      <c r="A8" s="6"/>
      <c r="B8" s="25" t="s">
        <v>48</v>
      </c>
      <c r="C8" s="26" t="n">
        <v>2026</v>
      </c>
      <c r="D8" s="25" t="s">
        <v>49</v>
      </c>
      <c r="E8" s="27" t="s">
        <v>50</v>
      </c>
      <c r="F8" s="6"/>
      <c r="G8" s="6"/>
    </row>
    <row r="9" customFormat="false" ht="15" hidden="false" customHeight="false" outlineLevel="0" collapsed="false">
      <c r="A9" s="6"/>
      <c r="B9" s="6"/>
      <c r="C9" s="6"/>
      <c r="D9" s="6"/>
      <c r="E9" s="6"/>
      <c r="F9" s="6"/>
      <c r="G9" s="6"/>
    </row>
    <row r="10" customFormat="false" ht="15" hidden="false" customHeight="false" outlineLevel="0" collapsed="false">
      <c r="A10" s="6"/>
      <c r="B10" s="23" t="s">
        <v>51</v>
      </c>
      <c r="C10" s="24"/>
      <c r="D10" s="24"/>
      <c r="E10" s="24"/>
      <c r="F10" s="24"/>
      <c r="G10" s="24"/>
    </row>
    <row r="11" customFormat="false" ht="15" hidden="false" customHeight="false" outlineLevel="0" collapsed="false">
      <c r="A11" s="6"/>
      <c r="B11" s="25" t="s">
        <v>52</v>
      </c>
      <c r="C11" s="28" t="n">
        <v>0.65</v>
      </c>
      <c r="D11" s="25" t="s">
        <v>53</v>
      </c>
      <c r="E11" s="27" t="s">
        <v>54</v>
      </c>
      <c r="F11" s="6"/>
      <c r="G11" s="6"/>
    </row>
    <row r="12" customFormat="false" ht="15" hidden="false" customHeight="false" outlineLevel="0" collapsed="false">
      <c r="A12" s="6"/>
      <c r="B12" s="25" t="s">
        <v>55</v>
      </c>
      <c r="C12" s="28" t="n">
        <v>0.2</v>
      </c>
      <c r="D12" s="25" t="s">
        <v>53</v>
      </c>
      <c r="E12" s="27" t="s">
        <v>56</v>
      </c>
      <c r="F12" s="6"/>
      <c r="G12" s="6"/>
    </row>
    <row r="13" customFormat="false" ht="15" hidden="false" customHeight="false" outlineLevel="0" collapsed="false">
      <c r="A13" s="6"/>
      <c r="B13" s="25" t="s">
        <v>57</v>
      </c>
      <c r="C13" s="28" t="n">
        <v>0.1</v>
      </c>
      <c r="D13" s="25" t="s">
        <v>53</v>
      </c>
      <c r="E13" s="27" t="s">
        <v>58</v>
      </c>
      <c r="F13" s="6"/>
      <c r="G13" s="6"/>
    </row>
    <row r="14" customFormat="false" ht="15" hidden="false" customHeight="false" outlineLevel="0" collapsed="false">
      <c r="A14" s="6"/>
      <c r="B14" s="25" t="s">
        <v>59</v>
      </c>
      <c r="C14" s="28" t="n">
        <v>0.02</v>
      </c>
      <c r="D14" s="25" t="s">
        <v>53</v>
      </c>
      <c r="E14" s="27" t="s">
        <v>60</v>
      </c>
      <c r="F14" s="6"/>
      <c r="G14" s="6"/>
    </row>
    <row r="15" customFormat="false" ht="15" hidden="false" customHeight="false" outlineLevel="0" collapsed="false">
      <c r="A15" s="6"/>
      <c r="B15" s="25" t="s">
        <v>61</v>
      </c>
      <c r="C15" s="29" t="n">
        <v>6500</v>
      </c>
      <c r="D15" s="25" t="s">
        <v>62</v>
      </c>
      <c r="E15" s="27" t="s">
        <v>63</v>
      </c>
      <c r="F15" s="6"/>
      <c r="G15" s="6"/>
    </row>
    <row r="16" customFormat="false" ht="15" hidden="false" customHeight="false" outlineLevel="0" collapsed="false">
      <c r="A16" s="6"/>
      <c r="B16" s="25" t="s">
        <v>64</v>
      </c>
      <c r="C16" s="29" t="n">
        <v>800</v>
      </c>
      <c r="D16" s="25" t="s">
        <v>62</v>
      </c>
      <c r="E16" s="27" t="s">
        <v>65</v>
      </c>
      <c r="F16" s="6"/>
      <c r="G16" s="6"/>
    </row>
    <row r="17" customFormat="false" ht="15" hidden="false" customHeight="false" outlineLevel="0" collapsed="false">
      <c r="A17" s="6"/>
      <c r="B17" s="25" t="s">
        <v>66</v>
      </c>
      <c r="C17" s="29" t="n">
        <v>0</v>
      </c>
      <c r="D17" s="25" t="s">
        <v>62</v>
      </c>
      <c r="E17" s="27" t="s">
        <v>67</v>
      </c>
      <c r="F17" s="6"/>
      <c r="G17" s="6"/>
    </row>
    <row r="18" customFormat="false" ht="15" hidden="false" customHeight="false" outlineLevel="0" collapsed="false">
      <c r="A18" s="6"/>
      <c r="B18" s="23" t="s">
        <v>68</v>
      </c>
      <c r="C18" s="24"/>
      <c r="D18" s="24"/>
      <c r="E18" s="24"/>
      <c r="F18" s="24"/>
      <c r="G18" s="24"/>
    </row>
    <row r="19" customFormat="false" ht="15" hidden="false" customHeight="false" outlineLevel="0" collapsed="false">
      <c r="A19" s="6"/>
      <c r="B19" s="25" t="s">
        <v>69</v>
      </c>
      <c r="C19" s="28" t="n">
        <v>0.4</v>
      </c>
      <c r="D19" s="25" t="s">
        <v>53</v>
      </c>
      <c r="E19" s="27" t="s">
        <v>70</v>
      </c>
      <c r="F19" s="6"/>
      <c r="G19" s="6"/>
    </row>
    <row r="20" customFormat="false" ht="15" hidden="false" customHeight="false" outlineLevel="0" collapsed="false">
      <c r="A20" s="6"/>
      <c r="B20" s="25" t="s">
        <v>71</v>
      </c>
      <c r="C20" s="28" t="n">
        <v>0.2</v>
      </c>
      <c r="D20" s="25" t="s">
        <v>53</v>
      </c>
      <c r="E20" s="27" t="s">
        <v>72</v>
      </c>
      <c r="F20" s="6"/>
      <c r="G20" s="6"/>
    </row>
    <row r="21" customFormat="false" ht="15" hidden="false" customHeight="false" outlineLevel="0" collapsed="false">
      <c r="A21" s="6"/>
      <c r="B21" s="25" t="s">
        <v>73</v>
      </c>
      <c r="C21" s="28" t="n">
        <v>0.4</v>
      </c>
      <c r="D21" s="25" t="s">
        <v>53</v>
      </c>
      <c r="E21" s="27" t="s">
        <v>74</v>
      </c>
      <c r="F21" s="6"/>
      <c r="G21" s="6"/>
    </row>
    <row r="22" customFormat="false" ht="15" hidden="false" customHeight="false" outlineLevel="0" collapsed="false">
      <c r="A22" s="6"/>
      <c r="B22" s="9" t="s">
        <v>75</v>
      </c>
      <c r="C22" s="30" t="n">
        <f aca="false">Mortgage_Pct+Consumer_Pct+Commercial_Pct</f>
        <v>1</v>
      </c>
      <c r="D22" s="6"/>
      <c r="E22" s="9" t="s">
        <v>76</v>
      </c>
      <c r="F22" s="6"/>
      <c r="G22" s="6"/>
    </row>
    <row r="23" customFormat="false" ht="15" hidden="false" customHeight="false" outlineLevel="0" collapsed="false">
      <c r="A23" s="6"/>
      <c r="B23" s="6"/>
      <c r="C23" s="6"/>
      <c r="D23" s="6"/>
      <c r="E23" s="6"/>
      <c r="F23" s="6"/>
      <c r="G23" s="6"/>
    </row>
    <row r="24" customFormat="false" ht="15" hidden="false" customHeight="false" outlineLevel="0" collapsed="false">
      <c r="A24" s="6"/>
      <c r="B24" s="23" t="s">
        <v>77</v>
      </c>
      <c r="C24" s="24"/>
      <c r="D24" s="24"/>
      <c r="E24" s="24"/>
      <c r="F24" s="24"/>
      <c r="G24" s="24"/>
    </row>
    <row r="25" customFormat="false" ht="15" hidden="false" customHeight="false" outlineLevel="0" collapsed="false">
      <c r="A25" s="6"/>
      <c r="B25" s="25" t="s">
        <v>78</v>
      </c>
      <c r="C25" s="28" t="n">
        <v>0.8</v>
      </c>
      <c r="D25" s="25" t="s">
        <v>53</v>
      </c>
      <c r="E25" s="27" t="s">
        <v>79</v>
      </c>
      <c r="F25" s="6"/>
      <c r="G25" s="6"/>
    </row>
    <row r="26" customFormat="false" ht="15" hidden="false" customHeight="false" outlineLevel="0" collapsed="false">
      <c r="A26" s="6"/>
      <c r="B26" s="25" t="s">
        <v>80</v>
      </c>
      <c r="C26" s="28" t="n">
        <v>0.25</v>
      </c>
      <c r="D26" s="25" t="s">
        <v>53</v>
      </c>
      <c r="E26" s="27" t="s">
        <v>81</v>
      </c>
      <c r="F26" s="6"/>
      <c r="G26" s="6"/>
    </row>
    <row r="27" customFormat="false" ht="15" hidden="false" customHeight="false" outlineLevel="0" collapsed="false">
      <c r="A27" s="6"/>
      <c r="B27" s="6"/>
      <c r="C27" s="6"/>
      <c r="D27" s="6"/>
      <c r="E27" s="6"/>
      <c r="F27" s="6"/>
      <c r="G27" s="6"/>
    </row>
    <row r="28" customFormat="false" ht="15" hidden="false" customHeight="false" outlineLevel="0" collapsed="false">
      <c r="A28" s="6"/>
      <c r="B28" s="23" t="s">
        <v>82</v>
      </c>
      <c r="C28" s="24"/>
      <c r="D28" s="24"/>
      <c r="E28" s="24"/>
      <c r="F28" s="24"/>
      <c r="G28" s="24"/>
    </row>
    <row r="29" customFormat="false" ht="15" hidden="false" customHeight="false" outlineLevel="0" collapsed="false">
      <c r="A29" s="6"/>
      <c r="B29" s="25" t="s">
        <v>83</v>
      </c>
      <c r="C29" s="29" t="n">
        <v>600</v>
      </c>
      <c r="D29" s="25" t="s">
        <v>62</v>
      </c>
      <c r="E29" s="27" t="s">
        <v>84</v>
      </c>
      <c r="F29" s="6"/>
      <c r="G29" s="6"/>
    </row>
    <row r="30" customFormat="false" ht="15" hidden="false" customHeight="false" outlineLevel="0" collapsed="false">
      <c r="A30" s="6"/>
      <c r="B30" s="25" t="s">
        <v>85</v>
      </c>
      <c r="C30" s="29" t="n">
        <v>300</v>
      </c>
      <c r="D30" s="25" t="s">
        <v>62</v>
      </c>
      <c r="E30" s="27" t="s">
        <v>86</v>
      </c>
      <c r="F30" s="6"/>
      <c r="G30" s="6"/>
    </row>
    <row r="31" customFormat="false" ht="15" hidden="false" customHeight="false" outlineLevel="0" collapsed="false">
      <c r="A31" s="6"/>
      <c r="B31" s="25" t="s">
        <v>87</v>
      </c>
      <c r="C31" s="29" t="n">
        <v>100</v>
      </c>
      <c r="D31" s="25" t="s">
        <v>62</v>
      </c>
      <c r="E31" s="27" t="s">
        <v>88</v>
      </c>
      <c r="F31" s="6"/>
      <c r="G31" s="6"/>
    </row>
    <row r="32" customFormat="false" ht="15" hidden="false" customHeight="false" outlineLevel="0" collapsed="false">
      <c r="A32" s="6"/>
      <c r="B32" s="25" t="s">
        <v>89</v>
      </c>
      <c r="C32" s="29" t="n">
        <v>150</v>
      </c>
      <c r="D32" s="25" t="s">
        <v>62</v>
      </c>
      <c r="E32" s="27" t="s">
        <v>90</v>
      </c>
      <c r="F32" s="6"/>
      <c r="G32" s="6"/>
    </row>
    <row r="33" customFormat="false" ht="15" hidden="false" customHeight="false" outlineLevel="0" collapsed="false">
      <c r="A33" s="6"/>
      <c r="B33" s="6"/>
      <c r="C33" s="6"/>
      <c r="D33" s="6"/>
      <c r="E33" s="6"/>
      <c r="F33" s="6"/>
      <c r="G33" s="6"/>
    </row>
    <row r="34" customFormat="false" ht="15" hidden="false" customHeight="false" outlineLevel="0" collapsed="false">
      <c r="A34" s="6"/>
      <c r="B34" s="23" t="s">
        <v>91</v>
      </c>
      <c r="C34" s="24"/>
      <c r="D34" s="24"/>
      <c r="E34" s="24"/>
      <c r="F34" s="24"/>
      <c r="G34" s="24"/>
    </row>
    <row r="35" customFormat="false" ht="15" hidden="false" customHeight="false" outlineLevel="0" collapsed="false">
      <c r="A35" s="6"/>
      <c r="B35" s="25" t="s">
        <v>92</v>
      </c>
      <c r="C35" s="28" t="n">
        <v>0.05</v>
      </c>
      <c r="D35" s="25" t="s">
        <v>53</v>
      </c>
      <c r="E35" s="27" t="s">
        <v>93</v>
      </c>
      <c r="F35" s="6"/>
      <c r="G35" s="6"/>
    </row>
    <row r="36" customFormat="false" ht="15" hidden="false" customHeight="false" outlineLevel="0" collapsed="false">
      <c r="A36" s="6"/>
      <c r="B36" s="25" t="s">
        <v>94</v>
      </c>
      <c r="C36" s="28" t="n">
        <v>0.04</v>
      </c>
      <c r="D36" s="25" t="s">
        <v>53</v>
      </c>
      <c r="E36" s="27" t="s">
        <v>95</v>
      </c>
      <c r="F36" s="6"/>
      <c r="G36" s="6"/>
    </row>
    <row r="37" customFormat="false" ht="15" hidden="false" customHeight="false" outlineLevel="0" collapsed="false">
      <c r="A37" s="6"/>
      <c r="B37" s="25" t="s">
        <v>96</v>
      </c>
      <c r="C37" s="28" t="n">
        <v>0.03</v>
      </c>
      <c r="D37" s="25" t="s">
        <v>53</v>
      </c>
      <c r="E37" s="27" t="s">
        <v>97</v>
      </c>
      <c r="F37" s="6"/>
      <c r="G37" s="6"/>
    </row>
    <row r="38" customFormat="false" ht="15" hidden="false" customHeight="false" outlineLevel="0" collapsed="false">
      <c r="A38" s="6"/>
      <c r="B38" s="25" t="s">
        <v>98</v>
      </c>
      <c r="C38" s="28" t="n">
        <v>0.03</v>
      </c>
      <c r="D38" s="25" t="s">
        <v>53</v>
      </c>
      <c r="E38" s="27" t="s">
        <v>99</v>
      </c>
      <c r="F38" s="6"/>
      <c r="G38" s="6"/>
    </row>
    <row r="39" customFormat="false" ht="15" hidden="false" customHeight="false" outlineLevel="0" collapsed="false">
      <c r="A39" s="6"/>
      <c r="B39" s="6"/>
      <c r="C39" s="6"/>
      <c r="D39" s="6"/>
      <c r="E39" s="6"/>
      <c r="F39" s="6"/>
      <c r="G39" s="6"/>
    </row>
    <row r="40" customFormat="false" ht="15" hidden="false" customHeight="false" outlineLevel="0" collapsed="false">
      <c r="A40" s="6"/>
      <c r="B40" s="23" t="s">
        <v>100</v>
      </c>
      <c r="C40" s="24"/>
      <c r="D40" s="24"/>
      <c r="E40" s="24"/>
      <c r="F40" s="24"/>
      <c r="G40" s="24"/>
    </row>
    <row r="41" customFormat="false" ht="15" hidden="false" customHeight="false" outlineLevel="0" collapsed="false">
      <c r="A41" s="6"/>
      <c r="B41" s="25" t="s">
        <v>101</v>
      </c>
      <c r="C41" s="28" t="n">
        <v>0.055</v>
      </c>
      <c r="D41" s="25" t="s">
        <v>53</v>
      </c>
      <c r="E41" s="27" t="s">
        <v>102</v>
      </c>
      <c r="F41" s="6"/>
      <c r="G41" s="6"/>
    </row>
    <row r="42" customFormat="false" ht="15" hidden="false" customHeight="false" outlineLevel="0" collapsed="false">
      <c r="A42" s="6"/>
      <c r="B42" s="25" t="s">
        <v>103</v>
      </c>
      <c r="C42" s="28" t="n">
        <v>0.08</v>
      </c>
      <c r="D42" s="25" t="s">
        <v>53</v>
      </c>
      <c r="E42" s="27" t="s">
        <v>104</v>
      </c>
      <c r="F42" s="6"/>
      <c r="G42" s="6"/>
    </row>
    <row r="43" customFormat="false" ht="15" hidden="false" customHeight="false" outlineLevel="0" collapsed="false">
      <c r="A43" s="6"/>
      <c r="B43" s="25" t="s">
        <v>105</v>
      </c>
      <c r="C43" s="28" t="n">
        <v>0.065</v>
      </c>
      <c r="D43" s="25" t="s">
        <v>53</v>
      </c>
      <c r="E43" s="27" t="s">
        <v>106</v>
      </c>
      <c r="F43" s="6"/>
      <c r="G43" s="6"/>
    </row>
    <row r="44" customFormat="false" ht="15" hidden="false" customHeight="false" outlineLevel="0" collapsed="false">
      <c r="A44" s="6"/>
      <c r="B44" s="25" t="s">
        <v>107</v>
      </c>
      <c r="C44" s="28" t="n">
        <v>0.04</v>
      </c>
      <c r="D44" s="25" t="s">
        <v>53</v>
      </c>
      <c r="E44" s="27" t="s">
        <v>108</v>
      </c>
      <c r="F44" s="6"/>
      <c r="G44" s="6"/>
    </row>
    <row r="45" customFormat="false" ht="15" hidden="false" customHeight="false" outlineLevel="0" collapsed="false">
      <c r="A45" s="6"/>
      <c r="B45" s="25" t="s">
        <v>109</v>
      </c>
      <c r="C45" s="28" t="n">
        <v>0.035</v>
      </c>
      <c r="D45" s="25" t="s">
        <v>53</v>
      </c>
      <c r="E45" s="27" t="s">
        <v>110</v>
      </c>
      <c r="F45" s="6"/>
      <c r="G45" s="6"/>
    </row>
    <row r="46" customFormat="false" ht="15" hidden="false" customHeight="false" outlineLevel="0" collapsed="false">
      <c r="A46" s="6"/>
      <c r="B46" s="25" t="s">
        <v>111</v>
      </c>
      <c r="C46" s="28" t="n">
        <v>0.05</v>
      </c>
      <c r="D46" s="28" t="n">
        <v>0.05</v>
      </c>
      <c r="E46" s="28" t="n">
        <v>0.045</v>
      </c>
      <c r="F46" s="28" t="n">
        <v>0.04</v>
      </c>
      <c r="G46" s="28" t="n">
        <v>0.04</v>
      </c>
    </row>
    <row r="47" customFormat="false" ht="15" hidden="false" customHeight="false" outlineLevel="0" collapsed="false">
      <c r="A47" s="6"/>
      <c r="B47" s="25" t="s">
        <v>112</v>
      </c>
      <c r="C47" s="28" t="n">
        <v>0.6</v>
      </c>
      <c r="D47" s="25" t="s">
        <v>53</v>
      </c>
      <c r="E47" s="27" t="s">
        <v>113</v>
      </c>
      <c r="F47" s="6"/>
      <c r="G47" s="6"/>
    </row>
    <row r="48" customFormat="false" ht="15" hidden="false" customHeight="false" outlineLevel="0" collapsed="false">
      <c r="A48" s="6"/>
      <c r="B48" s="25" t="s">
        <v>114</v>
      </c>
      <c r="C48" s="28" t="n">
        <v>0.025</v>
      </c>
      <c r="D48" s="25" t="s">
        <v>53</v>
      </c>
      <c r="E48" s="27" t="s">
        <v>115</v>
      </c>
      <c r="F48" s="6"/>
      <c r="G48" s="6"/>
    </row>
    <row r="49" customFormat="false" ht="15" hidden="false" customHeight="false" outlineLevel="0" collapsed="false">
      <c r="A49" s="6"/>
      <c r="B49" s="25" t="s">
        <v>116</v>
      </c>
      <c r="C49" s="28" t="n">
        <v>0.055</v>
      </c>
      <c r="D49" s="25" t="s">
        <v>53</v>
      </c>
      <c r="E49" s="27" t="s">
        <v>117</v>
      </c>
      <c r="F49" s="6"/>
      <c r="G49" s="6"/>
    </row>
    <row r="50" customFormat="false" ht="15" hidden="false" customHeight="false" outlineLevel="0" collapsed="false">
      <c r="A50" s="6"/>
      <c r="B50" s="6"/>
      <c r="C50" s="6"/>
      <c r="D50" s="6"/>
      <c r="E50" s="6"/>
      <c r="F50" s="6"/>
      <c r="G50" s="6"/>
    </row>
    <row r="51" customFormat="false" ht="15" hidden="false" customHeight="false" outlineLevel="0" collapsed="false">
      <c r="A51" s="6"/>
      <c r="B51" s="23" t="s">
        <v>118</v>
      </c>
      <c r="C51" s="24"/>
      <c r="D51" s="24"/>
      <c r="E51" s="24"/>
      <c r="F51" s="24"/>
      <c r="G51" s="24"/>
    </row>
    <row r="52" customFormat="false" ht="15" hidden="false" customHeight="false" outlineLevel="0" collapsed="false">
      <c r="A52" s="6"/>
      <c r="B52" s="25" t="s">
        <v>119</v>
      </c>
      <c r="C52" s="29" t="n">
        <v>25000</v>
      </c>
      <c r="D52" s="25" t="s">
        <v>62</v>
      </c>
      <c r="E52" s="27" t="s">
        <v>120</v>
      </c>
      <c r="F52" s="6"/>
      <c r="G52" s="6"/>
    </row>
    <row r="53" customFormat="false" ht="15" hidden="false" customHeight="false" outlineLevel="0" collapsed="false">
      <c r="A53" s="6"/>
      <c r="B53" s="25" t="s">
        <v>121</v>
      </c>
      <c r="C53" s="28" t="n">
        <v>0.06</v>
      </c>
      <c r="D53" s="25" t="s">
        <v>53</v>
      </c>
      <c r="E53" s="27" t="s">
        <v>122</v>
      </c>
      <c r="F53" s="6"/>
      <c r="G53" s="6"/>
    </row>
    <row r="54" customFormat="false" ht="15" hidden="false" customHeight="false" outlineLevel="0" collapsed="false">
      <c r="A54" s="6"/>
      <c r="B54" s="25" t="s">
        <v>123</v>
      </c>
      <c r="C54" s="28" t="n">
        <v>0.0085</v>
      </c>
      <c r="D54" s="25" t="s">
        <v>53</v>
      </c>
      <c r="E54" s="27" t="s">
        <v>124</v>
      </c>
      <c r="F54" s="6"/>
      <c r="G54" s="6"/>
    </row>
    <row r="55" customFormat="false" ht="15" hidden="false" customHeight="false" outlineLevel="0" collapsed="false">
      <c r="A55" s="6"/>
      <c r="B55" s="25" t="s">
        <v>125</v>
      </c>
      <c r="C55" s="29" t="n">
        <v>35000</v>
      </c>
      <c r="D55" s="25" t="s">
        <v>62</v>
      </c>
      <c r="E55" s="27" t="s">
        <v>126</v>
      </c>
      <c r="F55" s="6"/>
      <c r="G55" s="6"/>
    </row>
    <row r="56" customFormat="false" ht="15" hidden="false" customHeight="false" outlineLevel="0" collapsed="false">
      <c r="A56" s="6"/>
      <c r="B56" s="25" t="s">
        <v>127</v>
      </c>
      <c r="C56" s="28" t="n">
        <v>0.07</v>
      </c>
      <c r="D56" s="25" t="s">
        <v>53</v>
      </c>
      <c r="E56" s="27" t="s">
        <v>128</v>
      </c>
      <c r="F56" s="6"/>
      <c r="G56" s="6"/>
    </row>
    <row r="57" customFormat="false" ht="15" hidden="false" customHeight="false" outlineLevel="0" collapsed="false">
      <c r="A57" s="6"/>
      <c r="B57" s="25" t="s">
        <v>129</v>
      </c>
      <c r="C57" s="28" t="n">
        <v>0.0015</v>
      </c>
      <c r="D57" s="25" t="s">
        <v>53</v>
      </c>
      <c r="E57" s="27" t="s">
        <v>130</v>
      </c>
      <c r="F57" s="6"/>
      <c r="G57" s="6"/>
    </row>
    <row r="58" customFormat="false" ht="15" hidden="false" customHeight="false" outlineLevel="0" collapsed="false">
      <c r="A58" s="6"/>
      <c r="B58" s="25" t="s">
        <v>131</v>
      </c>
      <c r="C58" s="29" t="n">
        <v>1500</v>
      </c>
      <c r="D58" s="25" t="s">
        <v>132</v>
      </c>
      <c r="E58" s="27" t="s">
        <v>133</v>
      </c>
      <c r="F58" s="6"/>
      <c r="G58" s="6"/>
    </row>
    <row r="59" customFormat="false" ht="15" hidden="false" customHeight="false" outlineLevel="0" collapsed="false">
      <c r="A59" s="6"/>
      <c r="B59" s="25" t="s">
        <v>134</v>
      </c>
      <c r="C59" s="28" t="n">
        <v>0.02</v>
      </c>
      <c r="D59" s="25" t="s">
        <v>53</v>
      </c>
      <c r="E59" s="27" t="s">
        <v>135</v>
      </c>
      <c r="F59" s="6"/>
      <c r="G59" s="6"/>
    </row>
    <row r="60" customFormat="false" ht="15" hidden="false" customHeight="false" outlineLevel="0" collapsed="false">
      <c r="A60" s="6"/>
      <c r="B60" s="25" t="s">
        <v>136</v>
      </c>
      <c r="C60" s="29" t="n">
        <v>25</v>
      </c>
      <c r="D60" s="25" t="s">
        <v>137</v>
      </c>
      <c r="E60" s="27" t="s">
        <v>138</v>
      </c>
      <c r="F60" s="6"/>
      <c r="G60" s="6"/>
    </row>
    <row r="61" customFormat="false" ht="15" hidden="false" customHeight="false" outlineLevel="0" collapsed="false">
      <c r="A61" s="6"/>
      <c r="B61" s="25" t="s">
        <v>139</v>
      </c>
      <c r="C61" s="28" t="n">
        <v>0.08</v>
      </c>
      <c r="D61" s="25" t="s">
        <v>53</v>
      </c>
      <c r="E61" s="27" t="s">
        <v>140</v>
      </c>
      <c r="F61" s="6"/>
      <c r="G61" s="6"/>
    </row>
    <row r="62" customFormat="false" ht="15" hidden="false" customHeight="false" outlineLevel="0" collapsed="false">
      <c r="A62" s="6"/>
      <c r="B62" s="6"/>
      <c r="C62" s="6"/>
      <c r="D62" s="6"/>
      <c r="E62" s="6"/>
      <c r="F62" s="6"/>
      <c r="G62" s="6"/>
    </row>
    <row r="63" customFormat="false" ht="15" hidden="false" customHeight="false" outlineLevel="0" collapsed="false">
      <c r="A63" s="6"/>
      <c r="B63" s="23" t="s">
        <v>141</v>
      </c>
      <c r="C63" s="24"/>
      <c r="D63" s="24"/>
      <c r="E63" s="24"/>
      <c r="F63" s="24"/>
      <c r="G63" s="24"/>
    </row>
    <row r="64" customFormat="false" ht="15" hidden="false" customHeight="false" outlineLevel="0" collapsed="false">
      <c r="A64" s="6"/>
      <c r="B64" s="25" t="s">
        <v>142</v>
      </c>
      <c r="C64" s="28" t="n">
        <v>0.55</v>
      </c>
      <c r="D64" s="25" t="s">
        <v>53</v>
      </c>
      <c r="E64" s="27" t="s">
        <v>143</v>
      </c>
      <c r="F64" s="6"/>
      <c r="G64" s="6"/>
    </row>
    <row r="65" customFormat="false" ht="15" hidden="false" customHeight="false" outlineLevel="0" collapsed="false">
      <c r="A65" s="6"/>
      <c r="B65" s="25" t="s">
        <v>144</v>
      </c>
      <c r="C65" s="28" t="n">
        <v>0.55</v>
      </c>
      <c r="D65" s="25" t="s">
        <v>53</v>
      </c>
      <c r="E65" s="27" t="s">
        <v>145</v>
      </c>
      <c r="F65" s="6"/>
      <c r="G65" s="6"/>
    </row>
    <row r="66" customFormat="false" ht="15" hidden="false" customHeight="false" outlineLevel="0" collapsed="false">
      <c r="A66" s="6"/>
      <c r="B66" s="25" t="s">
        <v>146</v>
      </c>
      <c r="C66" s="28" t="n">
        <v>0.18</v>
      </c>
      <c r="D66" s="25" t="s">
        <v>53</v>
      </c>
      <c r="E66" s="27" t="s">
        <v>147</v>
      </c>
      <c r="F66" s="6"/>
      <c r="G66" s="6"/>
    </row>
    <row r="67" customFormat="false" ht="15" hidden="false" customHeight="false" outlineLevel="0" collapsed="false">
      <c r="A67" s="6"/>
      <c r="B67" s="25" t="s">
        <v>148</v>
      </c>
      <c r="C67" s="28" t="n">
        <v>0.12</v>
      </c>
      <c r="D67" s="25" t="s">
        <v>53</v>
      </c>
      <c r="E67" s="27" t="s">
        <v>149</v>
      </c>
      <c r="F67" s="6"/>
      <c r="G67" s="6"/>
    </row>
    <row r="68" customFormat="false" ht="15" hidden="false" customHeight="false" outlineLevel="0" collapsed="false">
      <c r="A68" s="6"/>
      <c r="B68" s="25" t="s">
        <v>150</v>
      </c>
      <c r="C68" s="28" t="n">
        <v>0.08</v>
      </c>
      <c r="D68" s="25" t="s">
        <v>53</v>
      </c>
      <c r="E68" s="27" t="s">
        <v>151</v>
      </c>
      <c r="F68" s="6"/>
      <c r="G68" s="6"/>
    </row>
    <row r="69" customFormat="false" ht="15" hidden="false" customHeight="false" outlineLevel="0" collapsed="false">
      <c r="A69" s="6"/>
      <c r="B69" s="25" t="s">
        <v>152</v>
      </c>
      <c r="C69" s="28" t="n">
        <v>0.07</v>
      </c>
      <c r="D69" s="25" t="s">
        <v>53</v>
      </c>
      <c r="E69" s="27" t="s">
        <v>153</v>
      </c>
      <c r="F69" s="6"/>
      <c r="G69" s="6"/>
    </row>
    <row r="70" customFormat="false" ht="15" hidden="false" customHeight="false" outlineLevel="0" collapsed="false">
      <c r="A70" s="6"/>
      <c r="B70" s="9" t="s">
        <v>154</v>
      </c>
      <c r="C70" s="30" t="n">
        <f aca="false">Staff_Pct+IT_Pct+Premises_Pct+Professional_Pct+Other_Pct</f>
        <v>1</v>
      </c>
      <c r="D70" s="6"/>
      <c r="E70" s="9" t="s">
        <v>76</v>
      </c>
      <c r="F70" s="6"/>
      <c r="G70" s="6"/>
    </row>
    <row r="71" customFormat="false" ht="15" hidden="false" customHeight="false" outlineLevel="0" collapsed="false">
      <c r="A71" s="6"/>
      <c r="B71" s="6"/>
      <c r="C71" s="6"/>
      <c r="D71" s="6"/>
      <c r="E71" s="6"/>
      <c r="F71" s="6"/>
      <c r="G71" s="6"/>
    </row>
    <row r="72" customFormat="false" ht="15" hidden="false" customHeight="false" outlineLevel="0" collapsed="false">
      <c r="A72" s="6"/>
      <c r="B72" s="23" t="s">
        <v>155</v>
      </c>
      <c r="C72" s="24"/>
      <c r="D72" s="24"/>
      <c r="E72" s="24"/>
      <c r="F72" s="24"/>
      <c r="G72" s="24"/>
    </row>
    <row r="73" customFormat="false" ht="15" hidden="false" customHeight="false" outlineLevel="0" collapsed="false">
      <c r="A73" s="6"/>
      <c r="B73" s="25" t="s">
        <v>156</v>
      </c>
      <c r="C73" s="28" t="n">
        <v>0.004</v>
      </c>
      <c r="D73" s="25" t="s">
        <v>53</v>
      </c>
      <c r="E73" s="27" t="s">
        <v>157</v>
      </c>
      <c r="F73" s="6"/>
      <c r="G73" s="6"/>
    </row>
    <row r="74" customFormat="false" ht="15" hidden="false" customHeight="false" outlineLevel="0" collapsed="false">
      <c r="A74" s="6"/>
      <c r="B74" s="25" t="s">
        <v>158</v>
      </c>
      <c r="C74" s="28" t="n">
        <v>0.8</v>
      </c>
      <c r="D74" s="25" t="s">
        <v>53</v>
      </c>
      <c r="E74" s="27" t="s">
        <v>159</v>
      </c>
      <c r="F74" s="6"/>
      <c r="G74" s="6"/>
    </row>
    <row r="75" customFormat="false" ht="15" hidden="false" customHeight="false" outlineLevel="0" collapsed="false">
      <c r="A75" s="6"/>
      <c r="B75" s="25" t="s">
        <v>160</v>
      </c>
      <c r="C75" s="28" t="n">
        <v>0.02</v>
      </c>
      <c r="D75" s="25" t="s">
        <v>53</v>
      </c>
      <c r="E75" s="27" t="s">
        <v>161</v>
      </c>
      <c r="F75" s="6"/>
      <c r="G75" s="6"/>
    </row>
    <row r="76" customFormat="false" ht="15" hidden="false" customHeight="false" outlineLevel="0" collapsed="false">
      <c r="A76" s="6"/>
      <c r="B76" s="25" t="s">
        <v>162</v>
      </c>
      <c r="C76" s="28" t="n">
        <v>0.24</v>
      </c>
      <c r="D76" s="25" t="s">
        <v>53</v>
      </c>
      <c r="E76" s="27" t="s">
        <v>163</v>
      </c>
      <c r="F76" s="6"/>
      <c r="G76" s="6"/>
    </row>
    <row r="77" customFormat="false" ht="15" hidden="false" customHeight="false" outlineLevel="0" collapsed="false">
      <c r="A77" s="6"/>
      <c r="B77" s="6"/>
      <c r="C77" s="6"/>
      <c r="D77" s="6"/>
      <c r="E77" s="6"/>
      <c r="F77" s="6"/>
      <c r="G77" s="6"/>
    </row>
    <row r="78" customFormat="false" ht="15" hidden="false" customHeight="false" outlineLevel="0" collapsed="false">
      <c r="A78" s="6"/>
      <c r="B78" s="23" t="s">
        <v>164</v>
      </c>
      <c r="C78" s="24"/>
      <c r="D78" s="24"/>
      <c r="E78" s="24"/>
      <c r="F78" s="24"/>
      <c r="G78" s="24"/>
    </row>
    <row r="79" customFormat="false" ht="15" hidden="false" customHeight="false" outlineLevel="0" collapsed="false">
      <c r="A79" s="6"/>
      <c r="B79" s="25" t="s">
        <v>165</v>
      </c>
      <c r="C79" s="28" t="n">
        <v>0</v>
      </c>
      <c r="D79" s="25" t="s">
        <v>53</v>
      </c>
      <c r="E79" s="27" t="s">
        <v>166</v>
      </c>
      <c r="F79" s="6"/>
      <c r="G79" s="6"/>
    </row>
    <row r="80" customFormat="false" ht="15" hidden="false" customHeight="false" outlineLevel="0" collapsed="false">
      <c r="A80" s="6"/>
      <c r="B80" s="25" t="s">
        <v>167</v>
      </c>
      <c r="C80" s="28" t="n">
        <v>0.2</v>
      </c>
      <c r="D80" s="25" t="s">
        <v>53</v>
      </c>
      <c r="E80" s="27" t="s">
        <v>168</v>
      </c>
      <c r="F80" s="6"/>
      <c r="G80" s="6"/>
    </row>
    <row r="81" customFormat="false" ht="15" hidden="false" customHeight="false" outlineLevel="0" collapsed="false">
      <c r="A81" s="6"/>
      <c r="B81" s="25" t="s">
        <v>169</v>
      </c>
      <c r="C81" s="28" t="n">
        <v>0.5</v>
      </c>
      <c r="D81" s="25" t="s">
        <v>53</v>
      </c>
      <c r="E81" s="27" t="s">
        <v>170</v>
      </c>
      <c r="F81" s="6"/>
      <c r="G81" s="6"/>
    </row>
    <row r="82" customFormat="false" ht="15" hidden="false" customHeight="false" outlineLevel="0" collapsed="false">
      <c r="A82" s="6"/>
      <c r="B82" s="25" t="s">
        <v>171</v>
      </c>
      <c r="C82" s="28" t="n">
        <v>1</v>
      </c>
      <c r="D82" s="25" t="s">
        <v>53</v>
      </c>
      <c r="E82" s="27" t="s">
        <v>172</v>
      </c>
      <c r="F82" s="6"/>
      <c r="G82" s="6"/>
    </row>
    <row r="83" customFormat="false" ht="15" hidden="false" customHeight="false" outlineLevel="0" collapsed="false">
      <c r="A83" s="6"/>
      <c r="B83" s="25" t="s">
        <v>173</v>
      </c>
      <c r="C83" s="28" t="n">
        <v>0.75</v>
      </c>
      <c r="D83" s="25" t="s">
        <v>53</v>
      </c>
      <c r="E83" s="27" t="s">
        <v>174</v>
      </c>
      <c r="F83" s="6"/>
      <c r="G83" s="6"/>
    </row>
    <row r="84" customFormat="false" ht="15" hidden="false" customHeight="false" outlineLevel="0" collapsed="false">
      <c r="A84" s="6"/>
      <c r="B84" s="25" t="s">
        <v>175</v>
      </c>
      <c r="C84" s="28" t="n">
        <v>1</v>
      </c>
      <c r="D84" s="25" t="s">
        <v>53</v>
      </c>
      <c r="E84" s="27" t="s">
        <v>176</v>
      </c>
      <c r="F84" s="6"/>
      <c r="G84" s="6"/>
    </row>
    <row r="85" customFormat="false" ht="15" hidden="false" customHeight="false" outlineLevel="0" collapsed="false">
      <c r="A85" s="6"/>
      <c r="B85" s="25" t="s">
        <v>177</v>
      </c>
      <c r="C85" s="31" t="n">
        <v>1.875</v>
      </c>
      <c r="D85" s="25" t="s">
        <v>178</v>
      </c>
      <c r="E85" s="27" t="s">
        <v>179</v>
      </c>
      <c r="F85" s="6"/>
      <c r="G85" s="6"/>
    </row>
    <row r="86" customFormat="false" ht="15" hidden="false" customHeight="false" outlineLevel="0" collapsed="false">
      <c r="A86" s="6"/>
      <c r="B86" s="25" t="s">
        <v>180</v>
      </c>
      <c r="C86" s="28" t="n">
        <v>0.115</v>
      </c>
      <c r="D86" s="25" t="s">
        <v>53</v>
      </c>
      <c r="E86" s="27" t="s">
        <v>181</v>
      </c>
      <c r="F86" s="6"/>
      <c r="G86" s="6"/>
    </row>
    <row r="87" customFormat="false" ht="15" hidden="false" customHeight="false" outlineLevel="0" collapsed="false">
      <c r="A87" s="6"/>
      <c r="B87" s="25" t="s">
        <v>182</v>
      </c>
      <c r="C87" s="28" t="n">
        <v>0.13</v>
      </c>
      <c r="D87" s="25" t="s">
        <v>53</v>
      </c>
      <c r="E87" s="27" t="s">
        <v>183</v>
      </c>
      <c r="F87" s="6"/>
      <c r="G87" s="6"/>
    </row>
    <row r="88" customFormat="false" ht="15" hidden="false" customHeight="false" outlineLevel="0" collapsed="false">
      <c r="A88" s="6"/>
      <c r="B88" s="25" t="s">
        <v>184</v>
      </c>
      <c r="C88" s="28" t="n">
        <v>0.155</v>
      </c>
      <c r="D88" s="25" t="s">
        <v>53</v>
      </c>
      <c r="E88" s="27" t="s">
        <v>185</v>
      </c>
      <c r="F88" s="6"/>
      <c r="G88" s="6"/>
    </row>
    <row r="89" customFormat="false" ht="15" hidden="false" customHeight="false" outlineLevel="0" collapsed="false">
      <c r="A89" s="6"/>
      <c r="B89" s="25" t="s">
        <v>186</v>
      </c>
      <c r="C89" s="28" t="n">
        <v>0.05</v>
      </c>
      <c r="D89" s="25" t="s">
        <v>53</v>
      </c>
      <c r="E89" s="27" t="s">
        <v>187</v>
      </c>
      <c r="F89" s="6"/>
      <c r="G89" s="6"/>
    </row>
    <row r="90" customFormat="false" ht="15" hidden="false" customHeight="false" outlineLevel="0" collapsed="false">
      <c r="A90" s="6"/>
      <c r="B90" s="25" t="s">
        <v>188</v>
      </c>
      <c r="C90" s="28" t="n">
        <v>0.4</v>
      </c>
      <c r="D90" s="25" t="s">
        <v>53</v>
      </c>
      <c r="E90" s="27" t="s">
        <v>189</v>
      </c>
      <c r="F90" s="6"/>
      <c r="G90" s="6"/>
    </row>
    <row r="91" customFormat="false" ht="15" hidden="false" customHeight="false" outlineLevel="0" collapsed="false">
      <c r="A91" s="6"/>
      <c r="B91" s="6"/>
      <c r="C91" s="6"/>
      <c r="D91" s="6"/>
      <c r="E91" s="6"/>
      <c r="F91" s="6"/>
      <c r="G91" s="6"/>
    </row>
    <row r="92" customFormat="false" ht="15" hidden="false" customHeight="false" outlineLevel="0" collapsed="false">
      <c r="A92" s="6"/>
      <c r="B92" s="23" t="s">
        <v>190</v>
      </c>
      <c r="C92" s="24"/>
      <c r="D92" s="24"/>
      <c r="E92" s="24"/>
      <c r="F92" s="24"/>
      <c r="G92" s="24"/>
    </row>
    <row r="93" customFormat="false" ht="15" hidden="false" customHeight="false" outlineLevel="0" collapsed="false">
      <c r="A93" s="6"/>
      <c r="B93" s="25" t="s">
        <v>191</v>
      </c>
      <c r="C93" s="28" t="n">
        <v>0.25</v>
      </c>
      <c r="D93" s="25" t="s">
        <v>53</v>
      </c>
      <c r="E93" s="27" t="s">
        <v>192</v>
      </c>
      <c r="F93" s="6"/>
      <c r="G93" s="6"/>
    </row>
    <row r="94" customFormat="false" ht="15" hidden="false" customHeight="false" outlineLevel="0" collapsed="false">
      <c r="A94" s="6"/>
      <c r="B94" s="25" t="s">
        <v>193</v>
      </c>
      <c r="C94" s="28" t="n">
        <v>1</v>
      </c>
      <c r="D94" s="25" t="s">
        <v>53</v>
      </c>
      <c r="E94" s="27" t="s">
        <v>194</v>
      </c>
      <c r="F94" s="6"/>
      <c r="G94" s="6"/>
    </row>
    <row r="95" customFormat="false" ht="15" hidden="false" customHeight="false" outlineLevel="0" collapsed="false">
      <c r="A95" s="6"/>
      <c r="B95" s="25" t="s">
        <v>195</v>
      </c>
      <c r="C95" s="28" t="n">
        <v>1</v>
      </c>
      <c r="D95" s="25" t="s">
        <v>53</v>
      </c>
      <c r="E95" s="27" t="s">
        <v>196</v>
      </c>
      <c r="F95" s="6"/>
      <c r="G95" s="6"/>
    </row>
    <row r="96" customFormat="false" ht="15" hidden="false" customHeight="false" outlineLevel="0" collapsed="false">
      <c r="A96" s="6"/>
      <c r="B96" s="25" t="s">
        <v>197</v>
      </c>
      <c r="C96" s="28" t="n">
        <v>0.95</v>
      </c>
      <c r="D96" s="25" t="s">
        <v>53</v>
      </c>
      <c r="E96" s="27" t="s">
        <v>198</v>
      </c>
      <c r="F96" s="6"/>
      <c r="G96" s="6"/>
    </row>
    <row r="97" customFormat="false" ht="15" hidden="false" customHeight="false" outlineLevel="0" collapsed="false">
      <c r="A97" s="6"/>
      <c r="B97" s="25" t="s">
        <v>199</v>
      </c>
      <c r="C97" s="28" t="n">
        <v>0.9</v>
      </c>
      <c r="D97" s="25" t="s">
        <v>53</v>
      </c>
      <c r="E97" s="27" t="s">
        <v>200</v>
      </c>
      <c r="F97" s="6"/>
      <c r="G97" s="6"/>
    </row>
    <row r="98" customFormat="false" ht="15" hidden="false" customHeight="false" outlineLevel="0" collapsed="false">
      <c r="A98" s="6"/>
      <c r="B98" s="25" t="s">
        <v>201</v>
      </c>
      <c r="C98" s="28" t="n">
        <v>0.5</v>
      </c>
      <c r="D98" s="25" t="s">
        <v>53</v>
      </c>
      <c r="E98" s="27" t="s">
        <v>202</v>
      </c>
      <c r="F98" s="6"/>
      <c r="G98" s="6"/>
    </row>
    <row r="99" customFormat="false" ht="15" hidden="false" customHeight="false" outlineLevel="0" collapsed="false">
      <c r="A99" s="6"/>
      <c r="B99" s="25" t="s">
        <v>203</v>
      </c>
      <c r="C99" s="28" t="n">
        <v>0.85</v>
      </c>
      <c r="D99" s="25" t="s">
        <v>53</v>
      </c>
      <c r="E99" s="27" t="s">
        <v>204</v>
      </c>
      <c r="F99" s="6"/>
      <c r="G99" s="6"/>
    </row>
    <row r="100" customFormat="false" ht="15" hidden="false" customHeight="false" outlineLevel="0" collapsed="false">
      <c r="A100" s="6"/>
      <c r="B100" s="25" t="s">
        <v>205</v>
      </c>
      <c r="C100" s="28" t="n">
        <v>0.05</v>
      </c>
      <c r="D100" s="25" t="s">
        <v>53</v>
      </c>
      <c r="E100" s="27" t="s">
        <v>206</v>
      </c>
      <c r="F100" s="6"/>
      <c r="G100" s="6"/>
    </row>
    <row r="101" customFormat="false" ht="15" hidden="false" customHeight="false" outlineLevel="0" collapsed="false">
      <c r="A101" s="6"/>
      <c r="B101" s="25" t="s">
        <v>207</v>
      </c>
      <c r="C101" s="28" t="n">
        <v>0.15</v>
      </c>
      <c r="D101" s="25" t="s">
        <v>53</v>
      </c>
      <c r="E101" s="27" t="s">
        <v>208</v>
      </c>
      <c r="F101" s="6"/>
      <c r="G101" s="6"/>
    </row>
    <row r="102" customFormat="false" ht="15" hidden="false" customHeight="false" outlineLevel="0" collapsed="false">
      <c r="A102" s="6"/>
      <c r="B102" s="25" t="s">
        <v>209</v>
      </c>
      <c r="C102" s="28" t="n">
        <v>1</v>
      </c>
      <c r="D102" s="25" t="s">
        <v>53</v>
      </c>
      <c r="E102" s="27" t="s">
        <v>210</v>
      </c>
      <c r="F102" s="6"/>
      <c r="G102" s="6"/>
    </row>
    <row r="103" customFormat="false" ht="15" hidden="false" customHeight="false" outlineLevel="0" collapsed="false">
      <c r="A103" s="6"/>
      <c r="B103" s="25" t="s">
        <v>211</v>
      </c>
      <c r="C103" s="28" t="n">
        <v>1</v>
      </c>
      <c r="D103" s="25" t="s">
        <v>53</v>
      </c>
      <c r="E103" s="27" t="s">
        <v>194</v>
      </c>
      <c r="F103" s="6"/>
      <c r="G103" s="6"/>
    </row>
    <row r="104" customFormat="false" ht="15" hidden="false" customHeight="false" outlineLevel="0" collapsed="false">
      <c r="A104" s="6"/>
      <c r="B104" s="6"/>
      <c r="C104" s="6"/>
      <c r="D104" s="6"/>
      <c r="E104" s="6"/>
      <c r="F104" s="6"/>
      <c r="G104" s="6"/>
    </row>
    <row r="105" customFormat="false" ht="15" hidden="false" customHeight="false" outlineLevel="0" collapsed="false">
      <c r="A105" s="6"/>
      <c r="B105" s="23" t="s">
        <v>212</v>
      </c>
      <c r="C105" s="24"/>
      <c r="D105" s="24"/>
      <c r="E105" s="24"/>
      <c r="F105" s="24"/>
      <c r="G105" s="24"/>
    </row>
    <row r="106" customFormat="false" ht="15" hidden="false" customHeight="false" outlineLevel="0" collapsed="false">
      <c r="A106" s="6"/>
      <c r="B106" s="25" t="s">
        <v>213</v>
      </c>
      <c r="C106" s="28" t="n">
        <v>0.5</v>
      </c>
      <c r="D106" s="25" t="s">
        <v>53</v>
      </c>
      <c r="E106" s="27" t="s">
        <v>214</v>
      </c>
      <c r="F106" s="6"/>
      <c r="G106" s="6"/>
    </row>
    <row r="107" customFormat="false" ht="15" hidden="false" customHeight="false" outlineLevel="0" collapsed="false">
      <c r="A107" s="6"/>
      <c r="B107" s="25" t="s">
        <v>215</v>
      </c>
      <c r="C107" s="28" t="n">
        <v>0.65</v>
      </c>
      <c r="D107" s="25" t="s">
        <v>53</v>
      </c>
      <c r="E107" s="27" t="s">
        <v>216</v>
      </c>
      <c r="F107" s="6"/>
      <c r="G107" s="6"/>
    </row>
    <row r="108" customFormat="false" ht="15" hidden="false" customHeight="false" outlineLevel="0" collapsed="false">
      <c r="A108" s="6"/>
      <c r="B108" s="25" t="s">
        <v>217</v>
      </c>
      <c r="C108" s="28" t="n">
        <v>1</v>
      </c>
      <c r="D108" s="25" t="s">
        <v>53</v>
      </c>
      <c r="E108" s="27" t="s">
        <v>218</v>
      </c>
      <c r="F108" s="6"/>
      <c r="G108" s="6"/>
    </row>
    <row r="109" customFormat="false" ht="15" hidden="false" customHeight="false" outlineLevel="0" collapsed="false">
      <c r="A109" s="6"/>
      <c r="B109" s="25" t="s">
        <v>219</v>
      </c>
      <c r="C109" s="28" t="n">
        <v>0.6</v>
      </c>
      <c r="D109" s="25" t="s">
        <v>53</v>
      </c>
      <c r="E109" s="27" t="s">
        <v>220</v>
      </c>
      <c r="F109" s="6"/>
      <c r="G109" s="6"/>
    </row>
    <row r="110" customFormat="false" ht="15" hidden="false" customHeight="false" outlineLevel="0" collapsed="false">
      <c r="A110" s="6"/>
      <c r="B110" s="6"/>
      <c r="C110" s="6"/>
      <c r="D110" s="6"/>
      <c r="E110" s="6"/>
      <c r="F110" s="6"/>
      <c r="G110" s="6"/>
    </row>
    <row r="111" customFormat="false" ht="15" hidden="false" customHeight="false" outlineLevel="0" collapsed="false">
      <c r="A111" s="6"/>
      <c r="B111" s="23" t="s">
        <v>221</v>
      </c>
      <c r="C111" s="24"/>
      <c r="D111" s="24"/>
      <c r="E111" s="24"/>
      <c r="F111" s="24"/>
      <c r="G111" s="24"/>
    </row>
    <row r="112" customFormat="false" ht="15" hidden="false" customHeight="false" outlineLevel="0" collapsed="false">
      <c r="A112" s="6"/>
      <c r="B112" s="25" t="s">
        <v>222</v>
      </c>
      <c r="C112" s="28" t="n">
        <v>0.1</v>
      </c>
      <c r="D112" s="25" t="s">
        <v>53</v>
      </c>
      <c r="E112" s="27" t="s">
        <v>223</v>
      </c>
      <c r="F112" s="6"/>
      <c r="G112" s="6"/>
    </row>
    <row r="113" customFormat="false" ht="15" hidden="false" customHeight="false" outlineLevel="0" collapsed="false">
      <c r="A113" s="6"/>
      <c r="B113" s="25" t="s">
        <v>224</v>
      </c>
      <c r="C113" s="28" t="n">
        <v>0.02</v>
      </c>
      <c r="D113" s="25" t="s">
        <v>53</v>
      </c>
      <c r="E113" s="27" t="s">
        <v>225</v>
      </c>
      <c r="F113" s="6"/>
      <c r="G113"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226</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227</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21" t="s">
        <v>228</v>
      </c>
      <c r="C6" s="32" t="n">
        <f aca="false">Model_Start_Year+0</f>
        <v>2026</v>
      </c>
      <c r="D6" s="32" t="n">
        <f aca="false">Model_Start_Year+1</f>
        <v>2027</v>
      </c>
      <c r="E6" s="32" t="n">
        <f aca="false">Model_Start_Year+2</f>
        <v>2028</v>
      </c>
      <c r="F6" s="32" t="n">
        <f aca="false">Model_Start_Year+3</f>
        <v>2029</v>
      </c>
      <c r="G6" s="32" t="n">
        <f aca="false">Model_Start_Year+4</f>
        <v>2030</v>
      </c>
    </row>
    <row r="7" customFormat="false" ht="15" hidden="false" customHeight="false" outlineLevel="0" collapsed="false">
      <c r="A7" s="6"/>
      <c r="B7" s="27" t="s">
        <v>229</v>
      </c>
      <c r="C7" s="33" t="n">
        <v>1</v>
      </c>
      <c r="D7" s="33" t="n">
        <v>2</v>
      </c>
      <c r="E7" s="33" t="n">
        <v>3</v>
      </c>
      <c r="F7" s="33" t="n">
        <v>4</v>
      </c>
      <c r="G7" s="33" t="n">
        <v>5</v>
      </c>
    </row>
    <row r="8" customFormat="false" ht="15" hidden="false" customHeight="false" outlineLevel="0" collapsed="false">
      <c r="A8" s="6"/>
      <c r="B8" s="6"/>
      <c r="C8" s="6"/>
      <c r="D8" s="6"/>
      <c r="E8" s="6"/>
      <c r="F8" s="6"/>
      <c r="G8" s="6"/>
    </row>
    <row r="9" customFormat="false" ht="15" hidden="false" customHeight="false" outlineLevel="0" collapsed="false">
      <c r="A9" s="6"/>
      <c r="B9" s="23" t="s">
        <v>230</v>
      </c>
      <c r="C9" s="24"/>
      <c r="D9" s="24"/>
      <c r="E9" s="24"/>
      <c r="F9" s="24"/>
      <c r="G9" s="24"/>
    </row>
    <row r="10" customFormat="false" ht="15" hidden="false" customHeight="false" outlineLevel="0" collapsed="false">
      <c r="A10" s="6"/>
      <c r="B10" s="34" t="s">
        <v>231</v>
      </c>
      <c r="C10" s="35" t="n">
        <f aca="false">C17*Cash_Pct</f>
        <v>1045.16</v>
      </c>
      <c r="D10" s="35" t="n">
        <f aca="false">D17*Cash_Pct</f>
        <v>1096.778</v>
      </c>
      <c r="E10" s="35" t="n">
        <f aca="false">E17*Cash_Pct</f>
        <v>1150.9769</v>
      </c>
      <c r="F10" s="35" t="n">
        <f aca="false">F17*Cash_Pct</f>
        <v>1207.885745</v>
      </c>
      <c r="G10" s="35" t="n">
        <f aca="false">G17*Cash_Pct</f>
        <v>1267.64003225</v>
      </c>
    </row>
    <row r="11" customFormat="false" ht="15" hidden="false" customHeight="false" outlineLevel="0" collapsed="false">
      <c r="A11" s="6"/>
      <c r="B11" s="34" t="s">
        <v>232</v>
      </c>
      <c r="C11" s="35" t="n">
        <f aca="false">C17*Securities_Pct</f>
        <v>2090.32</v>
      </c>
      <c r="D11" s="35" t="n">
        <f aca="false">D17*Securities_Pct</f>
        <v>2193.556</v>
      </c>
      <c r="E11" s="35" t="n">
        <f aca="false">E17*Securities_Pct</f>
        <v>2301.9538</v>
      </c>
      <c r="F11" s="35" t="n">
        <f aca="false">F17*Securities_Pct</f>
        <v>2415.77149</v>
      </c>
      <c r="G11" s="35" t="n">
        <f aca="false">G17*Securities_Pct</f>
        <v>2535.2800645</v>
      </c>
    </row>
    <row r="12" customFormat="false" ht="15" hidden="false" customHeight="false" outlineLevel="0" collapsed="false">
      <c r="A12" s="6"/>
      <c r="B12" s="34" t="s">
        <v>233</v>
      </c>
      <c r="C12" s="35" t="n">
        <f aca="false">Open_Gross_Loans*(1+Loan_Growth)</f>
        <v>6825</v>
      </c>
      <c r="D12" s="35" t="n">
        <f aca="false">C12*(1+Loan_Growth)</f>
        <v>7166.25</v>
      </c>
      <c r="E12" s="35" t="n">
        <f aca="false">D12*(1+Loan_Growth)</f>
        <v>7524.5625</v>
      </c>
      <c r="F12" s="35" t="n">
        <f aca="false">E12*(1+Loan_Growth)</f>
        <v>7900.790625</v>
      </c>
      <c r="G12" s="35" t="n">
        <f aca="false">F12*(1+Loan_Growth)</f>
        <v>8295.83015625</v>
      </c>
    </row>
    <row r="13" customFormat="false" ht="15" hidden="false" customHeight="false" outlineLevel="0" collapsed="false">
      <c r="A13" s="6"/>
      <c r="B13" s="36" t="s">
        <v>234</v>
      </c>
      <c r="C13" s="35" t="n">
        <f aca="false">-Provisions!C$15</f>
        <v>-31.46</v>
      </c>
      <c r="D13" s="35" t="n">
        <f aca="false">-Provisions!D$15</f>
        <v>-37.193</v>
      </c>
      <c r="E13" s="35" t="n">
        <f aca="false">-Provisions!E$15</f>
        <v>-43.21265</v>
      </c>
      <c r="F13" s="35" t="n">
        <f aca="false">-Provisions!F$15</f>
        <v>-49.5332825</v>
      </c>
      <c r="G13" s="35" t="n">
        <f aca="false">-Provisions!G$15</f>
        <v>-56.169946625</v>
      </c>
    </row>
    <row r="14" customFormat="false" ht="15" hidden="false" customHeight="false" outlineLevel="0" collapsed="false">
      <c r="A14" s="6"/>
      <c r="B14" s="37" t="s">
        <v>235</v>
      </c>
      <c r="C14" s="38" t="n">
        <f aca="false">C12+C13</f>
        <v>6793.54</v>
      </c>
      <c r="D14" s="38" t="n">
        <f aca="false">D12+D13</f>
        <v>7129.057</v>
      </c>
      <c r="E14" s="38" t="n">
        <f aca="false">E12+E13</f>
        <v>7481.34985</v>
      </c>
      <c r="F14" s="38" t="n">
        <f aca="false">F12+F13</f>
        <v>7851.2573425</v>
      </c>
      <c r="G14" s="38" t="n">
        <f aca="false">G12+G13</f>
        <v>8239.660209625</v>
      </c>
    </row>
    <row r="15" customFormat="false" ht="15" hidden="false" customHeight="false" outlineLevel="0" collapsed="false">
      <c r="A15" s="6"/>
      <c r="B15" s="34" t="s">
        <v>236</v>
      </c>
      <c r="C15" s="35" t="n">
        <f aca="false">C17*PPE_Pct</f>
        <v>209.032</v>
      </c>
      <c r="D15" s="35" t="n">
        <f aca="false">D17*PPE_Pct</f>
        <v>219.3556</v>
      </c>
      <c r="E15" s="35" t="n">
        <f aca="false">E17*PPE_Pct</f>
        <v>230.19538</v>
      </c>
      <c r="F15" s="35" t="n">
        <f aca="false">F17*PPE_Pct</f>
        <v>241.577149</v>
      </c>
      <c r="G15" s="35" t="n">
        <f aca="false">G17*PPE_Pct</f>
        <v>253.52800645</v>
      </c>
    </row>
    <row r="16" customFormat="false" ht="15" hidden="false" customHeight="false" outlineLevel="0" collapsed="false">
      <c r="A16" s="6"/>
      <c r="B16" s="6"/>
      <c r="C16" s="6"/>
      <c r="D16" s="6"/>
      <c r="E16" s="6"/>
      <c r="F16" s="6"/>
      <c r="G16" s="6"/>
    </row>
    <row r="17" customFormat="false" ht="15" hidden="false" customHeight="false" outlineLevel="0" collapsed="false">
      <c r="A17" s="6"/>
      <c r="B17" s="39" t="s">
        <v>237</v>
      </c>
      <c r="C17" s="40" t="n">
        <f aca="false">C14/Loan_Pct</f>
        <v>10451.6</v>
      </c>
      <c r="D17" s="40" t="n">
        <f aca="false">D14/Loan_Pct</f>
        <v>10967.78</v>
      </c>
      <c r="E17" s="40" t="n">
        <f aca="false">E14/Loan_Pct</f>
        <v>11509.769</v>
      </c>
      <c r="F17" s="40" t="n">
        <f aca="false">F14/Loan_Pct</f>
        <v>12078.85745</v>
      </c>
      <c r="G17" s="40" t="n">
        <f aca="false">G14/Loan_Pct</f>
        <v>12676.4003225</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23" t="s">
        <v>238</v>
      </c>
      <c r="C19" s="24"/>
      <c r="D19" s="24"/>
      <c r="E19" s="24"/>
      <c r="F19" s="24"/>
      <c r="G19" s="24"/>
    </row>
    <row r="20" customFormat="false" ht="15" hidden="false" customHeight="false" outlineLevel="0" collapsed="false">
      <c r="A20" s="6"/>
      <c r="B20" s="34" t="s">
        <v>239</v>
      </c>
      <c r="C20" s="35" t="n">
        <f aca="false">C17*Deposit_Pct*NIB_Deposit_Pct</f>
        <v>2090.32</v>
      </c>
      <c r="D20" s="35" t="n">
        <f aca="false">C20*(1+Deposit_Growth)</f>
        <v>2173.9328</v>
      </c>
      <c r="E20" s="35" t="n">
        <f aca="false">D20*(1+Deposit_Growth)</f>
        <v>2260.890112</v>
      </c>
      <c r="F20" s="35" t="n">
        <f aca="false">E20*(1+Deposit_Growth)</f>
        <v>2351.32571648</v>
      </c>
      <c r="G20" s="35" t="n">
        <f aca="false">F20*(1+Deposit_Growth)</f>
        <v>2445.3787451392</v>
      </c>
    </row>
    <row r="21" customFormat="false" ht="15" hidden="false" customHeight="false" outlineLevel="0" collapsed="false">
      <c r="A21" s="6"/>
      <c r="B21" s="34" t="s">
        <v>240</v>
      </c>
      <c r="C21" s="35" t="n">
        <f aca="false">C17*Deposit_Pct*(1-NIB_Deposit_Pct)</f>
        <v>6270.96</v>
      </c>
      <c r="D21" s="35" t="n">
        <f aca="false">C21*(1+Deposit_Growth)</f>
        <v>6521.7984</v>
      </c>
      <c r="E21" s="35" t="n">
        <f aca="false">D21*(1+Deposit_Growth)</f>
        <v>6782.670336</v>
      </c>
      <c r="F21" s="35" t="n">
        <f aca="false">E21*(1+Deposit_Growth)</f>
        <v>7053.97714944</v>
      </c>
      <c r="G21" s="35" t="n">
        <f aca="false">F21*(1+Deposit_Growth)</f>
        <v>7336.1362354176</v>
      </c>
    </row>
    <row r="22" customFormat="false" ht="15" hidden="false" customHeight="false" outlineLevel="0" collapsed="false">
      <c r="A22" s="6"/>
      <c r="B22" s="37" t="s">
        <v>241</v>
      </c>
      <c r="C22" s="38" t="n">
        <f aca="false">C20+C21</f>
        <v>8361.28</v>
      </c>
      <c r="D22" s="38" t="n">
        <f aca="false">D20+D21</f>
        <v>8695.7312</v>
      </c>
      <c r="E22" s="38" t="n">
        <f aca="false">E20+E21</f>
        <v>9043.560448</v>
      </c>
      <c r="F22" s="38" t="n">
        <f aca="false">F20+F21</f>
        <v>9405.30286592</v>
      </c>
      <c r="G22" s="38" t="n">
        <f aca="false">G20+G21</f>
        <v>9781.5149805568</v>
      </c>
    </row>
    <row r="23" customFormat="false" ht="15" hidden="false" customHeight="false" outlineLevel="0" collapsed="false">
      <c r="A23" s="6"/>
      <c r="B23" s="34" t="s">
        <v>242</v>
      </c>
      <c r="C23" s="35" t="n">
        <f aca="false">MAX(Wholesale_Floor,C17-C22-C33)</f>
        <v>814.0566878496</v>
      </c>
      <c r="D23" s="35" t="n">
        <f aca="false">MAX(Wholesale_Floor,D17-D22-D33)</f>
        <v>862.103896351713</v>
      </c>
      <c r="E23" s="35" t="n">
        <f aca="false">MAX(Wholesale_Floor,E17-E22-E33)</f>
        <v>910.769410002939</v>
      </c>
      <c r="F23" s="35" t="n">
        <f aca="false">MAX(Wholesale_Floor,F17-F22-F33)</f>
        <v>960.010160369881</v>
      </c>
      <c r="G23" s="35" t="n">
        <f aca="false">MAX(Wholesale_Floor,G17-G22-G33)</f>
        <v>1014.56218945764</v>
      </c>
    </row>
    <row r="24" customFormat="false" ht="15" hidden="false" customHeight="false" outlineLevel="0" collapsed="false">
      <c r="A24" s="6"/>
      <c r="B24" s="6"/>
      <c r="C24" s="6"/>
      <c r="D24" s="6"/>
      <c r="E24" s="6"/>
      <c r="F24" s="6"/>
      <c r="G24" s="6"/>
    </row>
    <row r="25" customFormat="false" ht="15" hidden="false" customHeight="false" outlineLevel="0" collapsed="false">
      <c r="A25" s="6"/>
      <c r="B25" s="41" t="s">
        <v>243</v>
      </c>
      <c r="C25" s="38" t="n">
        <f aca="false">C22+C23</f>
        <v>9175.3366878496</v>
      </c>
      <c r="D25" s="38" t="n">
        <f aca="false">D22+D23</f>
        <v>9557.83509635172</v>
      </c>
      <c r="E25" s="38" t="n">
        <f aca="false">E22+E23</f>
        <v>9954.32985800294</v>
      </c>
      <c r="F25" s="38" t="n">
        <f aca="false">F22+F23</f>
        <v>10365.3130262899</v>
      </c>
      <c r="G25" s="38" t="n">
        <f aca="false">G22+G23</f>
        <v>10796.0771700144</v>
      </c>
    </row>
    <row r="26" customFormat="false" ht="15" hidden="false" customHeight="false" outlineLevel="0" collapsed="false">
      <c r="A26" s="6"/>
      <c r="B26" s="6"/>
      <c r="C26" s="6"/>
      <c r="D26" s="6"/>
      <c r="E26" s="6"/>
      <c r="F26" s="6"/>
      <c r="G26" s="6"/>
    </row>
    <row r="27" customFormat="false" ht="15" hidden="false" customHeight="false" outlineLevel="0" collapsed="false">
      <c r="A27" s="6"/>
      <c r="B27" s="23" t="s">
        <v>244</v>
      </c>
      <c r="C27" s="24"/>
      <c r="D27" s="24"/>
      <c r="E27" s="24"/>
      <c r="F27" s="24"/>
      <c r="G27" s="24"/>
    </row>
    <row r="28" customFormat="false" ht="15" hidden="false" customHeight="false" outlineLevel="0" collapsed="false">
      <c r="A28" s="6"/>
      <c r="B28" s="34" t="s">
        <v>245</v>
      </c>
      <c r="C28" s="35" t="n">
        <f aca="false">Open_Share_Cap</f>
        <v>600</v>
      </c>
      <c r="D28" s="35" t="n">
        <f aca="false">Open_Share_Cap</f>
        <v>600</v>
      </c>
      <c r="E28" s="35" t="n">
        <f aca="false">Open_Share_Cap</f>
        <v>600</v>
      </c>
      <c r="F28" s="35" t="n">
        <f aca="false">Open_Share_Cap</f>
        <v>600</v>
      </c>
      <c r="G28" s="35" t="n">
        <f aca="false">Open_Share_Cap</f>
        <v>600</v>
      </c>
    </row>
    <row r="29" customFormat="false" ht="15" hidden="false" customHeight="false" outlineLevel="0" collapsed="false">
      <c r="A29" s="6"/>
      <c r="B29" s="34" t="s">
        <v>246</v>
      </c>
      <c r="C29" s="35" t="n">
        <f aca="false">Open_Ret_Earn+Income_Statement!C$25-Capital_Adequacy!C$54</f>
        <v>426.2633121504</v>
      </c>
      <c r="D29" s="35" t="n">
        <f aca="false">C29+Income_Statement!D$25-Capital_Adequacy!D$54</f>
        <v>559.944903648284</v>
      </c>
      <c r="E29" s="35" t="n">
        <f aca="false">D29+Income_Statement!E$25-Capital_Adequacy!E$54</f>
        <v>705.439141997057</v>
      </c>
      <c r="F29" s="35" t="n">
        <f aca="false">E29+Income_Statement!F$25-Capital_Adequacy!F$54</f>
        <v>863.544423710118</v>
      </c>
      <c r="G29" s="35" t="n">
        <f aca="false">F29+Income_Statement!G$25-Capital_Adequacy!G$54</f>
        <v>1030.32315248556</v>
      </c>
    </row>
    <row r="30" customFormat="false" ht="15" hidden="false" customHeight="false" outlineLevel="0" collapsed="false">
      <c r="A30" s="6"/>
      <c r="B30" s="34" t="s">
        <v>247</v>
      </c>
      <c r="C30" s="35" t="n">
        <f aca="false">Open_AT1</f>
        <v>100</v>
      </c>
      <c r="D30" s="35" t="n">
        <f aca="false">Open_AT1</f>
        <v>100</v>
      </c>
      <c r="E30" s="35" t="n">
        <f aca="false">Open_AT1</f>
        <v>100</v>
      </c>
      <c r="F30" s="35" t="n">
        <f aca="false">Open_AT1</f>
        <v>100</v>
      </c>
      <c r="G30" s="35" t="n">
        <f aca="false">Open_AT1</f>
        <v>100</v>
      </c>
    </row>
    <row r="31" customFormat="false" ht="15" hidden="false" customHeight="false" outlineLevel="0" collapsed="false">
      <c r="A31" s="6"/>
      <c r="B31" s="34" t="s">
        <v>248</v>
      </c>
      <c r="C31" s="35" t="n">
        <f aca="false">Open_T2</f>
        <v>150</v>
      </c>
      <c r="D31" s="35" t="n">
        <f aca="false">Open_T2</f>
        <v>150</v>
      </c>
      <c r="E31" s="35" t="n">
        <f aca="false">Open_T2</f>
        <v>150</v>
      </c>
      <c r="F31" s="35" t="n">
        <f aca="false">Open_T2</f>
        <v>150</v>
      </c>
      <c r="G31" s="35" t="n">
        <f aca="false">Open_T2</f>
        <v>150</v>
      </c>
    </row>
    <row r="32" customFormat="false" ht="15" hidden="false" customHeight="false" outlineLevel="0" collapsed="false">
      <c r="A32" s="6"/>
      <c r="B32" s="6"/>
      <c r="C32" s="6"/>
      <c r="D32" s="6"/>
      <c r="E32" s="6"/>
      <c r="F32" s="6"/>
      <c r="G32" s="6"/>
    </row>
    <row r="33" customFormat="false" ht="15" hidden="false" customHeight="false" outlineLevel="0" collapsed="false">
      <c r="A33" s="6"/>
      <c r="B33" s="41" t="s">
        <v>249</v>
      </c>
      <c r="C33" s="38" t="n">
        <f aca="false">C28+C29+C30+C31</f>
        <v>1276.2633121504</v>
      </c>
      <c r="D33" s="38" t="n">
        <f aca="false">D28+D29+D30+D31</f>
        <v>1409.94490364828</v>
      </c>
      <c r="E33" s="38" t="n">
        <f aca="false">E28+E29+E30+E31</f>
        <v>1555.43914199706</v>
      </c>
      <c r="F33" s="38" t="n">
        <f aca="false">F28+F29+F30+F31</f>
        <v>1713.54442371012</v>
      </c>
      <c r="G33" s="38" t="n">
        <f aca="false">G28+G29+G30+G31</f>
        <v>1880.32315248556</v>
      </c>
    </row>
    <row r="34" customFormat="false" ht="15" hidden="false" customHeight="false" outlineLevel="0" collapsed="false">
      <c r="A34" s="6"/>
      <c r="B34" s="6"/>
      <c r="C34" s="6"/>
      <c r="D34" s="6"/>
      <c r="E34" s="6"/>
      <c r="F34" s="6"/>
      <c r="G34" s="6"/>
    </row>
    <row r="35" customFormat="false" ht="15" hidden="false" customHeight="false" outlineLevel="0" collapsed="false">
      <c r="A35" s="6"/>
      <c r="B35" s="39" t="s">
        <v>250</v>
      </c>
      <c r="C35" s="40" t="n">
        <f aca="false">C25+C33</f>
        <v>10451.6</v>
      </c>
      <c r="D35" s="40" t="n">
        <f aca="false">D25+D33</f>
        <v>10967.78</v>
      </c>
      <c r="E35" s="40" t="n">
        <f aca="false">E25+E33</f>
        <v>11509.769</v>
      </c>
      <c r="F35" s="40" t="n">
        <f aca="false">F25+F33</f>
        <v>12078.85745</v>
      </c>
      <c r="G35" s="40" t="n">
        <f aca="false">G25+G33</f>
        <v>12676.4003225</v>
      </c>
    </row>
    <row r="36" customFormat="false" ht="15" hidden="false" customHeight="false" outlineLevel="0" collapsed="false">
      <c r="A36" s="6"/>
      <c r="B36" s="27" t="s">
        <v>251</v>
      </c>
      <c r="C36" s="42" t="n">
        <f aca="false">C17-C35</f>
        <v>0</v>
      </c>
      <c r="D36" s="42" t="n">
        <f aca="false">D17-D35</f>
        <v>0</v>
      </c>
      <c r="E36" s="42" t="n">
        <f aca="false">E17-E35</f>
        <v>0</v>
      </c>
      <c r="F36" s="42" t="n">
        <f aca="false">F17-F35</f>
        <v>0</v>
      </c>
      <c r="G36" s="42" t="n">
        <f aca="false">G17-G35</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4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252</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253</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21" t="s">
        <v>228</v>
      </c>
      <c r="C6" s="32" t="n">
        <f aca="false">Model_Start_Year+0</f>
        <v>2026</v>
      </c>
      <c r="D6" s="32" t="n">
        <f aca="false">Model_Start_Year+1</f>
        <v>2027</v>
      </c>
      <c r="E6" s="32" t="n">
        <f aca="false">Model_Start_Year+2</f>
        <v>2028</v>
      </c>
      <c r="F6" s="32" t="n">
        <f aca="false">Model_Start_Year+3</f>
        <v>2029</v>
      </c>
      <c r="G6" s="32" t="n">
        <f aca="false">Model_Start_Year+4</f>
        <v>2030</v>
      </c>
    </row>
    <row r="7" customFormat="false" ht="15" hidden="false" customHeight="false" outlineLevel="0" collapsed="false">
      <c r="A7" s="6"/>
      <c r="B7" s="6"/>
      <c r="C7" s="6"/>
      <c r="D7" s="6"/>
      <c r="E7" s="6"/>
      <c r="F7" s="6"/>
      <c r="G7" s="6"/>
    </row>
    <row r="8" customFormat="false" ht="15" hidden="false" customHeight="false" outlineLevel="0" collapsed="false">
      <c r="A8" s="6"/>
      <c r="B8" s="23" t="s">
        <v>254</v>
      </c>
      <c r="C8" s="24"/>
      <c r="D8" s="24"/>
      <c r="E8" s="24"/>
      <c r="F8" s="24"/>
      <c r="G8" s="24"/>
    </row>
    <row r="9" customFormat="false" ht="15" hidden="false" customHeight="false" outlineLevel="0" collapsed="false">
      <c r="A9" s="6"/>
      <c r="B9" s="34" t="s">
        <v>255</v>
      </c>
      <c r="C9" s="35" t="n">
        <f aca="false">(Open_Gross_Loans+Balance_Sheet!C12)/2*Mortgage_Pct</f>
        <v>2665</v>
      </c>
      <c r="D9" s="35" t="n">
        <f aca="false">(Balance_Sheet!C12+Balance_Sheet!D12)/2*Mortgage_Pct</f>
        <v>2798.25</v>
      </c>
      <c r="E9" s="35" t="n">
        <f aca="false">(Balance_Sheet!D12+Balance_Sheet!E12)/2*Mortgage_Pct</f>
        <v>2938.1625</v>
      </c>
      <c r="F9" s="35" t="n">
        <f aca="false">(Balance_Sheet!E12+Balance_Sheet!F12)/2*Mortgage_Pct</f>
        <v>3085.070625</v>
      </c>
      <c r="G9" s="35" t="n">
        <f aca="false">(Balance_Sheet!F12+Balance_Sheet!G12)/2*Mortgage_Pct</f>
        <v>3239.32415625</v>
      </c>
    </row>
    <row r="10" customFormat="false" ht="15" hidden="false" customHeight="false" outlineLevel="0" collapsed="false">
      <c r="A10" s="6"/>
      <c r="B10" s="34" t="s">
        <v>256</v>
      </c>
      <c r="C10" s="35" t="n">
        <f aca="false">(Open_Gross_Loans+Balance_Sheet!C12)/2*Consumer_Pct</f>
        <v>1332.5</v>
      </c>
      <c r="D10" s="35" t="n">
        <f aca="false">(Balance_Sheet!C12+Balance_Sheet!D12)/2*Consumer_Pct</f>
        <v>1399.125</v>
      </c>
      <c r="E10" s="35" t="n">
        <f aca="false">(Balance_Sheet!D12+Balance_Sheet!E12)/2*Consumer_Pct</f>
        <v>1469.08125</v>
      </c>
      <c r="F10" s="35" t="n">
        <f aca="false">(Balance_Sheet!E12+Balance_Sheet!F12)/2*Consumer_Pct</f>
        <v>1542.5353125</v>
      </c>
      <c r="G10" s="35" t="n">
        <f aca="false">(Balance_Sheet!F12+Balance_Sheet!G12)/2*Consumer_Pct</f>
        <v>1619.662078125</v>
      </c>
    </row>
    <row r="11" customFormat="false" ht="15" hidden="false" customHeight="false" outlineLevel="0" collapsed="false">
      <c r="A11" s="6"/>
      <c r="B11" s="34" t="s">
        <v>257</v>
      </c>
      <c r="C11" s="35" t="n">
        <f aca="false">(Open_Gross_Loans+Balance_Sheet!C12)/2*Commercial_Pct</f>
        <v>2665</v>
      </c>
      <c r="D11" s="35" t="n">
        <f aca="false">(Balance_Sheet!C12+Balance_Sheet!D12)/2*Commercial_Pct</f>
        <v>2798.25</v>
      </c>
      <c r="E11" s="35" t="n">
        <f aca="false">(Balance_Sheet!D12+Balance_Sheet!E12)/2*Commercial_Pct</f>
        <v>2938.1625</v>
      </c>
      <c r="F11" s="35" t="n">
        <f aca="false">(Balance_Sheet!E12+Balance_Sheet!F12)/2*Commercial_Pct</f>
        <v>3085.070625</v>
      </c>
      <c r="G11" s="35" t="n">
        <f aca="false">(Balance_Sheet!F12+Balance_Sheet!G12)/2*Commercial_Pct</f>
        <v>3239.32415625</v>
      </c>
    </row>
    <row r="12" customFormat="false" ht="15" hidden="false" customHeight="false" outlineLevel="0" collapsed="false">
      <c r="A12" s="6"/>
      <c r="B12" s="37" t="s">
        <v>258</v>
      </c>
      <c r="C12" s="38" t="n">
        <f aca="false">C9+C10+C11</f>
        <v>6662.5</v>
      </c>
      <c r="D12" s="38" t="n">
        <f aca="false">D9+D10+D11</f>
        <v>6995.625</v>
      </c>
      <c r="E12" s="38" t="n">
        <f aca="false">E9+E10+E11</f>
        <v>7345.40625</v>
      </c>
      <c r="F12" s="38" t="n">
        <f aca="false">F9+F10+F11</f>
        <v>7712.6765625</v>
      </c>
      <c r="G12" s="38" t="n">
        <f aca="false">G9+G10+G11</f>
        <v>8098.310390625</v>
      </c>
    </row>
    <row r="13" customFormat="false" ht="15" hidden="false" customHeight="false" outlineLevel="0" collapsed="false">
      <c r="A13" s="6"/>
      <c r="B13" s="34" t="s">
        <v>259</v>
      </c>
      <c r="C13" s="35" t="n">
        <f aca="false">Balance_Sheet!C$11</f>
        <v>2090.32</v>
      </c>
      <c r="D13" s="35" t="n">
        <f aca="false">(Balance_Sheet!C11+Balance_Sheet!D11)/2</f>
        <v>2141.938</v>
      </c>
      <c r="E13" s="35" t="n">
        <f aca="false">(Balance_Sheet!D11+Balance_Sheet!E11)/2</f>
        <v>2247.7549</v>
      </c>
      <c r="F13" s="35" t="n">
        <f aca="false">(Balance_Sheet!E11+Balance_Sheet!F11)/2</f>
        <v>2358.862645</v>
      </c>
      <c r="G13" s="35" t="n">
        <f aca="false">(Balance_Sheet!F11+Balance_Sheet!G11)/2</f>
        <v>2475.52577725</v>
      </c>
    </row>
    <row r="14" customFormat="false" ht="15" hidden="false" customHeight="false" outlineLevel="0" collapsed="false">
      <c r="A14" s="6"/>
      <c r="B14" s="34" t="s">
        <v>260</v>
      </c>
      <c r="C14" s="35" t="n">
        <f aca="false">Balance_Sheet!C$10</f>
        <v>1045.16</v>
      </c>
      <c r="D14" s="35" t="n">
        <f aca="false">(Balance_Sheet!C10+Balance_Sheet!D10)/2</f>
        <v>1070.969</v>
      </c>
      <c r="E14" s="35" t="n">
        <f aca="false">(Balance_Sheet!D10+Balance_Sheet!E10)/2</f>
        <v>1123.87745</v>
      </c>
      <c r="F14" s="35" t="n">
        <f aca="false">(Balance_Sheet!E10+Balance_Sheet!F10)/2</f>
        <v>1179.4313225</v>
      </c>
      <c r="G14" s="35" t="n">
        <f aca="false">(Balance_Sheet!F10+Balance_Sheet!G10)/2</f>
        <v>1237.762888625</v>
      </c>
    </row>
    <row r="15" customFormat="false" ht="15" hidden="false" customHeight="false" outlineLevel="0" collapsed="false">
      <c r="A15" s="6"/>
      <c r="B15" s="41" t="s">
        <v>261</v>
      </c>
      <c r="C15" s="38" t="n">
        <f aca="false">C12+C13+C14</f>
        <v>9797.98</v>
      </c>
      <c r="D15" s="38" t="n">
        <f aca="false">D12+D13+D14</f>
        <v>10208.532</v>
      </c>
      <c r="E15" s="38" t="n">
        <f aca="false">E12+E13+E14</f>
        <v>10717.0386</v>
      </c>
      <c r="F15" s="38" t="n">
        <f aca="false">F12+F13+F14</f>
        <v>11250.97053</v>
      </c>
      <c r="G15" s="38" t="n">
        <f aca="false">G12+G13+G14</f>
        <v>11811.5990565</v>
      </c>
    </row>
    <row r="16" customFormat="false" ht="15" hidden="false" customHeight="false" outlineLevel="0" collapsed="false">
      <c r="A16" s="6"/>
      <c r="B16" s="6"/>
      <c r="C16" s="6"/>
      <c r="D16" s="6"/>
      <c r="E16" s="6"/>
      <c r="F16" s="6"/>
      <c r="G16" s="6"/>
    </row>
    <row r="17" customFormat="false" ht="15" hidden="false" customHeight="false" outlineLevel="0" collapsed="false">
      <c r="A17" s="6"/>
      <c r="B17" s="23" t="s">
        <v>262</v>
      </c>
      <c r="C17" s="24"/>
      <c r="D17" s="24"/>
      <c r="E17" s="24"/>
      <c r="F17" s="24"/>
      <c r="G17" s="24"/>
    </row>
    <row r="18" customFormat="false" ht="15" hidden="false" customHeight="false" outlineLevel="0" collapsed="false">
      <c r="A18" s="6"/>
      <c r="B18" s="34" t="s">
        <v>263</v>
      </c>
      <c r="C18" s="35" t="n">
        <f aca="false">C9*Yield_Mortgage</f>
        <v>146.575</v>
      </c>
      <c r="D18" s="35" t="n">
        <f aca="false">D9*Yield_Mortgage</f>
        <v>153.90375</v>
      </c>
      <c r="E18" s="35" t="n">
        <f aca="false">E9*Yield_Mortgage</f>
        <v>161.5989375</v>
      </c>
      <c r="F18" s="35" t="n">
        <f aca="false">F9*Yield_Mortgage</f>
        <v>169.678884375</v>
      </c>
      <c r="G18" s="35" t="n">
        <f aca="false">G9*Yield_Mortgage</f>
        <v>178.16282859375</v>
      </c>
    </row>
    <row r="19" customFormat="false" ht="15" hidden="false" customHeight="false" outlineLevel="0" collapsed="false">
      <c r="A19" s="6"/>
      <c r="B19" s="34" t="s">
        <v>264</v>
      </c>
      <c r="C19" s="35" t="n">
        <f aca="false">C10*Yield_Consumer</f>
        <v>106.6</v>
      </c>
      <c r="D19" s="35" t="n">
        <f aca="false">D10*Yield_Consumer</f>
        <v>111.93</v>
      </c>
      <c r="E19" s="35" t="n">
        <f aca="false">E10*Yield_Consumer</f>
        <v>117.5265</v>
      </c>
      <c r="F19" s="35" t="n">
        <f aca="false">F10*Yield_Consumer</f>
        <v>123.402825</v>
      </c>
      <c r="G19" s="35" t="n">
        <f aca="false">G10*Yield_Consumer</f>
        <v>129.57296625</v>
      </c>
    </row>
    <row r="20" customFormat="false" ht="15" hidden="false" customHeight="false" outlineLevel="0" collapsed="false">
      <c r="A20" s="6"/>
      <c r="B20" s="34" t="s">
        <v>265</v>
      </c>
      <c r="C20" s="35" t="n">
        <f aca="false">C11*Yield_Commercial</f>
        <v>173.225</v>
      </c>
      <c r="D20" s="35" t="n">
        <f aca="false">D11*Yield_Commercial</f>
        <v>181.88625</v>
      </c>
      <c r="E20" s="35" t="n">
        <f aca="false">E11*Yield_Commercial</f>
        <v>190.9805625</v>
      </c>
      <c r="F20" s="35" t="n">
        <f aca="false">F11*Yield_Commercial</f>
        <v>200.529590625</v>
      </c>
      <c r="G20" s="35" t="n">
        <f aca="false">G11*Yield_Commercial</f>
        <v>210.55607015625</v>
      </c>
    </row>
    <row r="21" customFormat="false" ht="15" hidden="false" customHeight="false" outlineLevel="0" collapsed="false">
      <c r="A21" s="6"/>
      <c r="B21" s="37" t="s">
        <v>266</v>
      </c>
      <c r="C21" s="38" t="n">
        <f aca="false">C18+C19+C20</f>
        <v>426.4</v>
      </c>
      <c r="D21" s="38" t="n">
        <f aca="false">D18+D19+D20</f>
        <v>447.72</v>
      </c>
      <c r="E21" s="38" t="n">
        <f aca="false">E18+E19+E20</f>
        <v>470.106</v>
      </c>
      <c r="F21" s="38" t="n">
        <f aca="false">F18+F19+F20</f>
        <v>493.6113</v>
      </c>
      <c r="G21" s="38" t="n">
        <f aca="false">G18+G19+G20</f>
        <v>518.291865</v>
      </c>
    </row>
    <row r="22" customFormat="false" ht="15" hidden="false" customHeight="false" outlineLevel="0" collapsed="false">
      <c r="A22" s="6"/>
      <c r="B22" s="34" t="s">
        <v>267</v>
      </c>
      <c r="C22" s="35" t="n">
        <f aca="false">C13*Yield_Securities</f>
        <v>83.6128</v>
      </c>
      <c r="D22" s="35" t="n">
        <f aca="false">D13*Yield_Securities</f>
        <v>85.67752</v>
      </c>
      <c r="E22" s="35" t="n">
        <f aca="false">E13*Yield_Securities</f>
        <v>89.910196</v>
      </c>
      <c r="F22" s="35" t="n">
        <f aca="false">F13*Yield_Securities</f>
        <v>94.3545058</v>
      </c>
      <c r="G22" s="35" t="n">
        <f aca="false">G13*Yield_Securities</f>
        <v>99.02103109</v>
      </c>
    </row>
    <row r="23" customFormat="false" ht="15" hidden="false" customHeight="false" outlineLevel="0" collapsed="false">
      <c r="A23" s="6"/>
      <c r="B23" s="34" t="s">
        <v>268</v>
      </c>
      <c r="C23" s="35" t="n">
        <f aca="false">C14*Yield_Cash</f>
        <v>36.5806</v>
      </c>
      <c r="D23" s="35" t="n">
        <f aca="false">D14*Yield_Cash</f>
        <v>37.483915</v>
      </c>
      <c r="E23" s="35" t="n">
        <f aca="false">E14*Yield_Cash</f>
        <v>39.33571075</v>
      </c>
      <c r="F23" s="35" t="n">
        <f aca="false">F14*Yield_Cash</f>
        <v>41.2800962875</v>
      </c>
      <c r="G23" s="35" t="n">
        <f aca="false">G14*Yield_Cash</f>
        <v>43.321701101875</v>
      </c>
    </row>
    <row r="24" customFormat="false" ht="15" hidden="false" customHeight="false" outlineLevel="0" collapsed="false">
      <c r="A24" s="6"/>
      <c r="B24" s="39" t="s">
        <v>269</v>
      </c>
      <c r="C24" s="40" t="n">
        <f aca="false">C21+C22+C23</f>
        <v>546.5934</v>
      </c>
      <c r="D24" s="40" t="n">
        <f aca="false">D21+D22+D23</f>
        <v>570.881435</v>
      </c>
      <c r="E24" s="40" t="n">
        <f aca="false">E21+E22+E23</f>
        <v>599.35190675</v>
      </c>
      <c r="F24" s="40" t="n">
        <f aca="false">F21+F22+F23</f>
        <v>629.2459020875</v>
      </c>
      <c r="G24" s="40" t="n">
        <f aca="false">G21+G22+G23</f>
        <v>660.634597191875</v>
      </c>
    </row>
    <row r="25" customFormat="false" ht="15" hidden="false" customHeight="false" outlineLevel="0" collapsed="false">
      <c r="A25" s="6"/>
      <c r="B25" s="6"/>
      <c r="C25" s="6"/>
      <c r="D25" s="6"/>
      <c r="E25" s="6"/>
      <c r="F25" s="6"/>
      <c r="G25" s="6"/>
    </row>
    <row r="26" customFormat="false" ht="15" hidden="false" customHeight="false" outlineLevel="0" collapsed="false">
      <c r="A26" s="6"/>
      <c r="B26" s="23" t="s">
        <v>270</v>
      </c>
      <c r="C26" s="24"/>
      <c r="D26" s="24"/>
      <c r="E26" s="24"/>
      <c r="F26" s="24"/>
      <c r="G26" s="24"/>
    </row>
    <row r="27" customFormat="false" ht="15" hidden="false" customHeight="false" outlineLevel="0" collapsed="false">
      <c r="A27" s="6"/>
      <c r="B27" s="34" t="s">
        <v>271</v>
      </c>
      <c r="C27" s="35" t="n">
        <f aca="false">Balance_Sheet!C$21</f>
        <v>6270.96</v>
      </c>
      <c r="D27" s="35" t="n">
        <f aca="false">(Balance_Sheet!C21+Balance_Sheet!D21)/2</f>
        <v>6396.3792</v>
      </c>
      <c r="E27" s="35" t="n">
        <f aca="false">(Balance_Sheet!D21+Balance_Sheet!E21)/2</f>
        <v>6652.234368</v>
      </c>
      <c r="F27" s="35" t="n">
        <f aca="false">(Balance_Sheet!E21+Balance_Sheet!F21)/2</f>
        <v>6918.32374272</v>
      </c>
      <c r="G27" s="35" t="n">
        <f aca="false">(Balance_Sheet!F21+Balance_Sheet!G21)/2</f>
        <v>7195.0566924288</v>
      </c>
    </row>
    <row r="28" customFormat="false" ht="15" hidden="false" customHeight="false" outlineLevel="0" collapsed="false">
      <c r="A28" s="6"/>
      <c r="B28" s="34" t="s">
        <v>272</v>
      </c>
      <c r="C28" s="35" t="n">
        <f aca="false">Open_Wholesale</f>
        <v>800</v>
      </c>
      <c r="D28" s="35" t="n">
        <f aca="false">Balance_Sheet!C23</f>
        <v>814.0566878496</v>
      </c>
      <c r="E28" s="35" t="n">
        <f aca="false">Balance_Sheet!D23</f>
        <v>862.103896351713</v>
      </c>
      <c r="F28" s="35" t="n">
        <f aca="false">Balance_Sheet!E23</f>
        <v>910.769410002939</v>
      </c>
      <c r="G28" s="35" t="n">
        <f aca="false">Balance_Sheet!F23</f>
        <v>960.010160369881</v>
      </c>
    </row>
    <row r="29" customFormat="false" ht="15" hidden="false" customHeight="false" outlineLevel="0" collapsed="false">
      <c r="A29" s="6"/>
      <c r="B29" s="41" t="s">
        <v>273</v>
      </c>
      <c r="C29" s="38" t="n">
        <f aca="false">C27+C28</f>
        <v>7070.96</v>
      </c>
      <c r="D29" s="38" t="n">
        <f aca="false">D27+D28</f>
        <v>7210.4358878496</v>
      </c>
      <c r="E29" s="38" t="n">
        <f aca="false">E27+E28</f>
        <v>7514.33826435171</v>
      </c>
      <c r="F29" s="38" t="n">
        <f aca="false">F27+F28</f>
        <v>7829.09315272294</v>
      </c>
      <c r="G29" s="38" t="n">
        <f aca="false">G27+G28</f>
        <v>8155.06685279868</v>
      </c>
    </row>
    <row r="30" customFormat="false" ht="15" hidden="false" customHeight="false" outlineLevel="0" collapsed="false">
      <c r="A30" s="6"/>
      <c r="B30" s="6"/>
      <c r="C30" s="6"/>
      <c r="D30" s="6"/>
      <c r="E30" s="6"/>
      <c r="F30" s="6"/>
      <c r="G30" s="6"/>
    </row>
    <row r="31" customFormat="false" ht="15" hidden="false" customHeight="false" outlineLevel="0" collapsed="false">
      <c r="A31" s="6"/>
      <c r="B31" s="23" t="s">
        <v>274</v>
      </c>
      <c r="C31" s="24"/>
      <c r="D31" s="24"/>
      <c r="E31" s="24"/>
      <c r="F31" s="24"/>
      <c r="G31" s="24"/>
    </row>
    <row r="32" customFormat="false" ht="15" hidden="false" customHeight="false" outlineLevel="0" collapsed="false">
      <c r="A32" s="6"/>
      <c r="B32" s="43" t="s">
        <v>275</v>
      </c>
      <c r="C32" s="30" t="n">
        <f aca="false">Assumptions!C46</f>
        <v>0.05</v>
      </c>
      <c r="D32" s="30" t="n">
        <f aca="false">Assumptions!D46</f>
        <v>0.05</v>
      </c>
      <c r="E32" s="30" t="n">
        <f aca="false">Assumptions!E46</f>
        <v>0.045</v>
      </c>
      <c r="F32" s="30" t="n">
        <f aca="false">Assumptions!F46</f>
        <v>0.04</v>
      </c>
      <c r="G32" s="30" t="n">
        <f aca="false">Assumptions!G46</f>
        <v>0.04</v>
      </c>
    </row>
    <row r="33" customFormat="false" ht="15" hidden="false" customHeight="false" outlineLevel="0" collapsed="false">
      <c r="A33" s="6"/>
      <c r="B33" s="43" t="s">
        <v>276</v>
      </c>
      <c r="C33" s="30" t="n">
        <f aca="false">Cost_IB_Y0</f>
        <v>0.025</v>
      </c>
      <c r="D33" s="30" t="n">
        <f aca="false">C33+Deposit_Beta*(D32-C32)</f>
        <v>0.025</v>
      </c>
      <c r="E33" s="30" t="n">
        <f aca="false">D33+Deposit_Beta*(E32-D32)</f>
        <v>0.022</v>
      </c>
      <c r="F33" s="30" t="n">
        <f aca="false">E33+Deposit_Beta*(F32-E32)</f>
        <v>0.019</v>
      </c>
      <c r="G33" s="30" t="n">
        <f aca="false">F33+Deposit_Beta*(G32-F32)</f>
        <v>0.019</v>
      </c>
    </row>
    <row r="34" customFormat="false" ht="15" hidden="false" customHeight="false" outlineLevel="0" collapsed="false">
      <c r="A34" s="6"/>
      <c r="B34" s="34" t="s">
        <v>277</v>
      </c>
      <c r="C34" s="35" t="n">
        <f aca="false">C27*C33</f>
        <v>156.774</v>
      </c>
      <c r="D34" s="35" t="n">
        <f aca="false">D27*D33</f>
        <v>159.90948</v>
      </c>
      <c r="E34" s="35" t="n">
        <f aca="false">E27*E33</f>
        <v>146.349156096</v>
      </c>
      <c r="F34" s="35" t="n">
        <f aca="false">F27*F33</f>
        <v>131.44815111168</v>
      </c>
      <c r="G34" s="35" t="n">
        <f aca="false">G27*G33</f>
        <v>136.706077156147</v>
      </c>
    </row>
    <row r="35" customFormat="false" ht="15" hidden="false" customHeight="false" outlineLevel="0" collapsed="false">
      <c r="A35" s="6"/>
      <c r="B35" s="34" t="s">
        <v>278</v>
      </c>
      <c r="C35" s="35" t="n">
        <f aca="false">C28*Cost_Wholesale</f>
        <v>44</v>
      </c>
      <c r="D35" s="35" t="n">
        <f aca="false">D28*Cost_Wholesale</f>
        <v>44.773117831728</v>
      </c>
      <c r="E35" s="35" t="n">
        <f aca="false">E28*Cost_Wholesale</f>
        <v>47.4157142993442</v>
      </c>
      <c r="F35" s="35" t="n">
        <f aca="false">F28*Cost_Wholesale</f>
        <v>50.0923175501617</v>
      </c>
      <c r="G35" s="35" t="n">
        <f aca="false">G28*Cost_Wholesale</f>
        <v>52.8005588203435</v>
      </c>
    </row>
    <row r="36" customFormat="false" ht="15" hidden="false" customHeight="false" outlineLevel="0" collapsed="false">
      <c r="A36" s="6"/>
      <c r="B36" s="41" t="s">
        <v>279</v>
      </c>
      <c r="C36" s="38" t="n">
        <f aca="false">C34+C35</f>
        <v>200.774</v>
      </c>
      <c r="D36" s="38" t="n">
        <f aca="false">D34+D35</f>
        <v>204.682597831728</v>
      </c>
      <c r="E36" s="38" t="n">
        <f aca="false">E34+E35</f>
        <v>193.764870395344</v>
      </c>
      <c r="F36" s="38" t="n">
        <f aca="false">F34+F35</f>
        <v>181.540468661842</v>
      </c>
      <c r="G36" s="38" t="n">
        <f aca="false">G34+G35</f>
        <v>189.506635976491</v>
      </c>
    </row>
    <row r="37" customFormat="false" ht="15" hidden="false" customHeight="false" outlineLevel="0" collapsed="false">
      <c r="A37" s="6"/>
      <c r="B37" s="6"/>
      <c r="C37" s="6"/>
      <c r="D37" s="6"/>
      <c r="E37" s="6"/>
      <c r="F37" s="6"/>
      <c r="G37" s="6"/>
    </row>
    <row r="38" customFormat="false" ht="15" hidden="false" customHeight="false" outlineLevel="0" collapsed="false">
      <c r="A38" s="6"/>
      <c r="B38" s="39" t="s">
        <v>280</v>
      </c>
      <c r="C38" s="40" t="n">
        <f aca="false">C24-C36</f>
        <v>345.8194</v>
      </c>
      <c r="D38" s="40" t="n">
        <f aca="false">D24-D36</f>
        <v>366.198837168272</v>
      </c>
      <c r="E38" s="40" t="n">
        <f aca="false">E24-E36</f>
        <v>405.587036354656</v>
      </c>
      <c r="F38" s="40" t="n">
        <f aca="false">F24-F36</f>
        <v>447.705433425658</v>
      </c>
      <c r="G38" s="40" t="n">
        <f aca="false">G24-G36</f>
        <v>471.127961215385</v>
      </c>
    </row>
    <row r="39" customFormat="false" ht="15" hidden="false" customHeight="false" outlineLevel="0" collapsed="false">
      <c r="A39" s="6"/>
      <c r="B39" s="27" t="s">
        <v>281</v>
      </c>
      <c r="C39" s="30" t="n">
        <f aca="false">IFERROR(C38/C15,0)</f>
        <v>0.0352949689629903</v>
      </c>
      <c r="D39" s="30" t="n">
        <f aca="false">IFERROR(D38/D15,0)</f>
        <v>0.0358718410412263</v>
      </c>
      <c r="E39" s="30" t="n">
        <f aca="false">IFERROR(E38/E15,0)</f>
        <v>0.0378450662998131</v>
      </c>
      <c r="F39" s="30" t="n">
        <f aca="false">IFERROR(F38/F15,0)</f>
        <v>0.0397926056451646</v>
      </c>
      <c r="G39" s="30" t="n">
        <f aca="false">IFERROR(G38/G15,0)</f>
        <v>0.0398868907555848</v>
      </c>
    </row>
    <row r="40" customFormat="false" ht="15" hidden="false" customHeight="false" outlineLevel="0" collapsed="false">
      <c r="A40" s="6"/>
      <c r="B40" s="6"/>
      <c r="C40" s="6"/>
      <c r="D40" s="6"/>
      <c r="E40" s="6"/>
      <c r="F40" s="6"/>
      <c r="G40" s="6"/>
    </row>
    <row r="41" customFormat="false" ht="15" hidden="false" customHeight="false" outlineLevel="0" collapsed="false">
      <c r="A41" s="6"/>
      <c r="B41" s="23" t="s">
        <v>282</v>
      </c>
      <c r="C41" s="24"/>
      <c r="D41" s="24"/>
      <c r="E41" s="24"/>
      <c r="F41" s="24"/>
      <c r="G41" s="24"/>
    </row>
    <row r="42" customFormat="false" ht="15" hidden="false" customHeight="false" outlineLevel="0" collapsed="false">
      <c r="A42" s="6"/>
      <c r="B42" s="34" t="s">
        <v>283</v>
      </c>
      <c r="C42" s="35" t="n">
        <f aca="false">C15*Float_Pct_Assets</f>
        <v>4898.99</v>
      </c>
      <c r="D42" s="35" t="n">
        <f aca="false">D15*Float_Pct_Assets</f>
        <v>5104.266</v>
      </c>
      <c r="E42" s="35" t="n">
        <f aca="false">E15*Float_Pct_Assets</f>
        <v>5358.5193</v>
      </c>
      <c r="F42" s="35" t="n">
        <f aca="false">F15*Float_Pct_Assets</f>
        <v>5625.485265</v>
      </c>
      <c r="G42" s="35" t="n">
        <f aca="false">G15*Float_Pct_Assets</f>
        <v>5905.79952825</v>
      </c>
    </row>
    <row r="43" customFormat="false" ht="15" hidden="false" customHeight="false" outlineLevel="0" collapsed="false">
      <c r="A43" s="6"/>
      <c r="B43" s="34" t="s">
        <v>284</v>
      </c>
      <c r="C43" s="35" t="n">
        <f aca="false">C29*Float_Pct_Liabs</f>
        <v>4596.124</v>
      </c>
      <c r="D43" s="35" t="n">
        <f aca="false">D29*Float_Pct_Liabs</f>
        <v>4686.78332710224</v>
      </c>
      <c r="E43" s="35" t="n">
        <f aca="false">E29*Float_Pct_Liabs</f>
        <v>4884.31987182862</v>
      </c>
      <c r="F43" s="35" t="n">
        <f aca="false">F29*Float_Pct_Liabs</f>
        <v>5088.91054926991</v>
      </c>
      <c r="G43" s="35" t="n">
        <f aca="false">G29*Float_Pct_Liabs</f>
        <v>5300.79345431914</v>
      </c>
    </row>
    <row r="44" customFormat="false" ht="15" hidden="false" customHeight="false" outlineLevel="0" collapsed="false">
      <c r="A44" s="6"/>
      <c r="B44" s="34" t="s">
        <v>285</v>
      </c>
      <c r="C44" s="35" t="n">
        <f aca="false">0.01*(C42*Beta_Assets-C43*Beta_Liabs)</f>
        <v>21.413156</v>
      </c>
      <c r="D44" s="35" t="n">
        <f aca="false">0.01*(D42*Beta_Assets-D43*Beta_Liabs)</f>
        <v>22.9219600373866</v>
      </c>
      <c r="E44" s="35" t="n">
        <f aca="false">0.01*(E42*Beta_Assets-E43*Beta_Liabs)</f>
        <v>24.2792737690283</v>
      </c>
      <c r="F44" s="35" t="n">
        <f aca="false">0.01*(F42*Beta_Assets-F43*Beta_Liabs)</f>
        <v>25.7213893543805</v>
      </c>
      <c r="G44" s="35" t="n">
        <f aca="false">0.01*(G42*Beta_Assets-G43*Beta_Liabs)</f>
        <v>27.2532345565851</v>
      </c>
    </row>
    <row r="45" customFormat="false" ht="15" hidden="false" customHeight="false" outlineLevel="0" collapsed="false">
      <c r="A45" s="6"/>
      <c r="B45" s="34" t="s">
        <v>286</v>
      </c>
      <c r="C45" s="35" t="n">
        <f aca="false">-0.01*(C42*Beta_Assets-C43*Beta_Liabs)</f>
        <v>-21.413156</v>
      </c>
      <c r="D45" s="35" t="n">
        <f aca="false">-0.01*(D42*Beta_Assets-D43*Beta_Liabs)</f>
        <v>-22.9219600373866</v>
      </c>
      <c r="E45" s="35" t="n">
        <f aca="false">-0.01*(E42*Beta_Assets-E43*Beta_Liabs)</f>
        <v>-24.2792737690283</v>
      </c>
      <c r="F45" s="35" t="n">
        <f aca="false">-0.01*(F42*Beta_Assets-F43*Beta_Liabs)</f>
        <v>-25.7213893543805</v>
      </c>
      <c r="G45" s="35" t="n">
        <f aca="false">-0.01*(G42*Beta_Assets-G43*Beta_Liabs)</f>
        <v>-27.2532345565851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287</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288</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21" t="s">
        <v>228</v>
      </c>
      <c r="C6" s="32" t="n">
        <f aca="false">Model_Start_Year+0</f>
        <v>2026</v>
      </c>
      <c r="D6" s="32" t="n">
        <f aca="false">Model_Start_Year+1</f>
        <v>2027</v>
      </c>
      <c r="E6" s="32" t="n">
        <f aca="false">Model_Start_Year+2</f>
        <v>2028</v>
      </c>
      <c r="F6" s="32" t="n">
        <f aca="false">Model_Start_Year+3</f>
        <v>2029</v>
      </c>
      <c r="G6" s="32" t="n">
        <f aca="false">Model_Start_Year+4</f>
        <v>2030</v>
      </c>
    </row>
    <row r="7" customFormat="false" ht="15" hidden="false" customHeight="false" outlineLevel="0" collapsed="false">
      <c r="A7" s="6"/>
      <c r="B7" s="6"/>
      <c r="C7" s="6"/>
      <c r="D7" s="6"/>
      <c r="E7" s="6"/>
      <c r="F7" s="6"/>
      <c r="G7" s="6"/>
    </row>
    <row r="8" customFormat="false" ht="15" hidden="false" customHeight="false" outlineLevel="0" collapsed="false">
      <c r="A8" s="6"/>
      <c r="B8" s="23" t="s">
        <v>289</v>
      </c>
      <c r="C8" s="24"/>
      <c r="D8" s="24"/>
      <c r="E8" s="24"/>
      <c r="F8" s="24"/>
      <c r="G8" s="24"/>
    </row>
    <row r="9" customFormat="false" ht="15" hidden="false" customHeight="false" outlineLevel="0" collapsed="false">
      <c r="A9" s="6"/>
      <c r="B9" s="36" t="s">
        <v>290</v>
      </c>
      <c r="C9" s="35" t="n">
        <f aca="false">AUM_Base</f>
        <v>25000</v>
      </c>
      <c r="D9" s="35" t="n">
        <f aca="false">C9*(1+AUM_Growth)</f>
        <v>26500</v>
      </c>
      <c r="E9" s="35" t="n">
        <f aca="false">D9*(1+AUM_Growth)</f>
        <v>28090</v>
      </c>
      <c r="F9" s="35" t="n">
        <f aca="false">E9*(1+AUM_Growth)</f>
        <v>29775.4</v>
      </c>
      <c r="G9" s="35" t="n">
        <f aca="false">F9*(1+AUM_Growth)</f>
        <v>31561.924</v>
      </c>
    </row>
    <row r="10" customFormat="false" ht="15" hidden="false" customHeight="false" outlineLevel="0" collapsed="false">
      <c r="A10" s="6"/>
      <c r="B10" s="34" t="s">
        <v>291</v>
      </c>
      <c r="C10" s="35" t="n">
        <f aca="false">C9*WM_BPS</f>
        <v>212.5</v>
      </c>
      <c r="D10" s="35" t="n">
        <f aca="false">D9*WM_BPS</f>
        <v>225.25</v>
      </c>
      <c r="E10" s="35" t="n">
        <f aca="false">E9*WM_BPS</f>
        <v>238.765</v>
      </c>
      <c r="F10" s="35" t="n">
        <f aca="false">F9*WM_BPS</f>
        <v>253.0909</v>
      </c>
      <c r="G10" s="35" t="n">
        <f aca="false">G9*WM_BPS</f>
        <v>268.276354</v>
      </c>
    </row>
    <row r="11" customFormat="false" ht="15" hidden="false" customHeight="false" outlineLevel="0" collapsed="false">
      <c r="A11" s="6"/>
      <c r="B11" s="36" t="s">
        <v>292</v>
      </c>
      <c r="C11" s="35" t="n">
        <f aca="false">Card_Vol_Base</f>
        <v>35000</v>
      </c>
      <c r="D11" s="35" t="n">
        <f aca="false">C11*(1+Card_Vol_Growth)</f>
        <v>37450</v>
      </c>
      <c r="E11" s="35" t="n">
        <f aca="false">D11*(1+Card_Vol_Growth)</f>
        <v>40071.5</v>
      </c>
      <c r="F11" s="35" t="n">
        <f aca="false">E11*(1+Card_Vol_Growth)</f>
        <v>42876.505</v>
      </c>
      <c r="G11" s="35" t="n">
        <f aca="false">F11*(1+Card_Vol_Growth)</f>
        <v>45877.86035</v>
      </c>
    </row>
    <row r="12" customFormat="false" ht="15" hidden="false" customHeight="false" outlineLevel="0" collapsed="false">
      <c r="A12" s="6"/>
      <c r="B12" s="34" t="s">
        <v>293</v>
      </c>
      <c r="C12" s="35" t="n">
        <f aca="false">C11*Card_BPS</f>
        <v>52.5</v>
      </c>
      <c r="D12" s="35" t="n">
        <f aca="false">D11*Card_BPS</f>
        <v>56.175</v>
      </c>
      <c r="E12" s="35" t="n">
        <f aca="false">E11*Card_BPS</f>
        <v>60.10725</v>
      </c>
      <c r="F12" s="35" t="n">
        <f aca="false">F11*Card_BPS</f>
        <v>64.3147575</v>
      </c>
      <c r="G12" s="35" t="n">
        <f aca="false">G11*Card_BPS</f>
        <v>68.816790525</v>
      </c>
    </row>
    <row r="13" customFormat="false" ht="15" hidden="false" customHeight="false" outlineLevel="0" collapsed="false">
      <c r="A13" s="6"/>
      <c r="B13" s="36" t="s">
        <v>131</v>
      </c>
      <c r="C13" s="35" t="n">
        <f aca="false">Num_Accounts</f>
        <v>1500</v>
      </c>
      <c r="D13" s="35" t="n">
        <f aca="false">C13*(1+Account_Growth)</f>
        <v>1530</v>
      </c>
      <c r="E13" s="35" t="n">
        <f aca="false">D13*(1+Account_Growth)</f>
        <v>1560.6</v>
      </c>
      <c r="F13" s="35" t="n">
        <f aca="false">E13*(1+Account_Growth)</f>
        <v>1591.812</v>
      </c>
      <c r="G13" s="35" t="n">
        <f aca="false">F13*(1+Account_Growth)</f>
        <v>1623.64824</v>
      </c>
    </row>
    <row r="14" customFormat="false" ht="15" hidden="false" customHeight="false" outlineLevel="0" collapsed="false">
      <c r="A14" s="6"/>
      <c r="B14" s="34" t="s">
        <v>294</v>
      </c>
      <c r="C14" s="35" t="n">
        <f aca="false">C13*Avg_Acct_Fee/1000</f>
        <v>37.5</v>
      </c>
      <c r="D14" s="35" t="n">
        <f aca="false">D13*Avg_Acct_Fee/1000</f>
        <v>38.25</v>
      </c>
      <c r="E14" s="35" t="n">
        <f aca="false">E13*Avg_Acct_Fee/1000</f>
        <v>39.015</v>
      </c>
      <c r="F14" s="35" t="n">
        <f aca="false">F13*Avg_Acct_Fee/1000</f>
        <v>39.7953</v>
      </c>
      <c r="G14" s="35" t="n">
        <f aca="false">G13*Avg_Acct_Fee/1000</f>
        <v>40.591206</v>
      </c>
    </row>
    <row r="15" customFormat="false" ht="15" hidden="false" customHeight="false" outlineLevel="0" collapsed="false">
      <c r="A15" s="6"/>
      <c r="B15" s="34" t="s">
        <v>295</v>
      </c>
      <c r="C15" s="35" t="n">
        <f aca="false">Interest_Income_Expense!C$38*IB_Fee_Pct</f>
        <v>27.665552</v>
      </c>
      <c r="D15" s="35" t="n">
        <f aca="false">Interest_Income_Expense!D$38*IB_Fee_Pct</f>
        <v>29.2959069734618</v>
      </c>
      <c r="E15" s="35" t="n">
        <f aca="false">Interest_Income_Expense!E$38*IB_Fee_Pct</f>
        <v>32.4469629083725</v>
      </c>
      <c r="F15" s="35" t="n">
        <f aca="false">Interest_Income_Expense!F$38*IB_Fee_Pct</f>
        <v>35.8164346740527</v>
      </c>
      <c r="G15" s="35" t="n">
        <f aca="false">Interest_Income_Expense!G$38*IB_Fee_Pct</f>
        <v>37.6902368972308</v>
      </c>
    </row>
    <row r="16" customFormat="false" ht="15" hidden="false" customHeight="false" outlineLevel="0" collapsed="false">
      <c r="A16" s="6"/>
      <c r="B16" s="39" t="s">
        <v>296</v>
      </c>
      <c r="C16" s="40" t="n">
        <f aca="false">C10+C12+C14+C15</f>
        <v>330.165552</v>
      </c>
      <c r="D16" s="40" t="n">
        <f aca="false">D10+D12+D14+D15</f>
        <v>348.970906973462</v>
      </c>
      <c r="E16" s="40" t="n">
        <f aca="false">E10+E12+E14+E15</f>
        <v>370.334212908373</v>
      </c>
      <c r="F16" s="40" t="n">
        <f aca="false">F10+F12+F14+F15</f>
        <v>393.017392174053</v>
      </c>
      <c r="G16" s="40" t="n">
        <f aca="false">G10+G12+G14+G15</f>
        <v>415.374587422231</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23" t="s">
        <v>297</v>
      </c>
      <c r="C18" s="24"/>
      <c r="D18" s="24"/>
      <c r="E18" s="24"/>
      <c r="F18" s="24"/>
      <c r="G18" s="24"/>
    </row>
    <row r="19" customFormat="false" ht="15" hidden="false" customHeight="false" outlineLevel="0" collapsed="false">
      <c r="A19" s="6"/>
      <c r="B19" s="43" t="s">
        <v>298</v>
      </c>
      <c r="C19" s="44" t="n">
        <f aca="false">Interest_Income_Expense!C$38+C16</f>
        <v>675.984952</v>
      </c>
      <c r="D19" s="44" t="n">
        <f aca="false">Interest_Income_Expense!D$38+D16</f>
        <v>715.169744141734</v>
      </c>
      <c r="E19" s="44" t="n">
        <f aca="false">Interest_Income_Expense!E$38+E16</f>
        <v>775.921249263028</v>
      </c>
      <c r="F19" s="44" t="n">
        <f aca="false">Interest_Income_Expense!F$38+F16</f>
        <v>840.722825599711</v>
      </c>
      <c r="G19" s="44" t="n">
        <f aca="false">Interest_Income_Expense!G$38+G16</f>
        <v>886.502548637615</v>
      </c>
    </row>
    <row r="20" customFormat="false" ht="15" hidden="false" customHeight="false" outlineLevel="0" collapsed="false">
      <c r="A20" s="6"/>
      <c r="B20" s="41" t="s">
        <v>299</v>
      </c>
      <c r="C20" s="38" t="n">
        <f aca="false">C19*Efficiency_Ratio</f>
        <v>371.7917236</v>
      </c>
      <c r="D20" s="38" t="n">
        <f aca="false">D19*Efficiency_Ratio</f>
        <v>393.343359277954</v>
      </c>
      <c r="E20" s="38" t="n">
        <f aca="false">E19*Efficiency_Ratio</f>
        <v>426.756687094666</v>
      </c>
      <c r="F20" s="38" t="n">
        <f aca="false">F19*Efficiency_Ratio</f>
        <v>462.397554079841</v>
      </c>
      <c r="G20" s="38" t="n">
        <f aca="false">G19*Efficiency_Ratio</f>
        <v>487.576401750688</v>
      </c>
    </row>
    <row r="21" customFormat="false" ht="15" hidden="false" customHeight="false" outlineLevel="0" collapsed="false">
      <c r="A21" s="6"/>
      <c r="B21" s="34" t="s">
        <v>300</v>
      </c>
      <c r="C21" s="35" t="n">
        <f aca="false">C20*Staff_Pct</f>
        <v>204.48544798</v>
      </c>
      <c r="D21" s="35" t="n">
        <f aca="false">D20*Staff_Pct</f>
        <v>216.338847602875</v>
      </c>
      <c r="E21" s="35" t="n">
        <f aca="false">E20*Staff_Pct</f>
        <v>234.716177902066</v>
      </c>
      <c r="F21" s="35" t="n">
        <f aca="false">F20*Staff_Pct</f>
        <v>254.318654743913</v>
      </c>
      <c r="G21" s="35" t="n">
        <f aca="false">G20*Staff_Pct</f>
        <v>268.167020962879</v>
      </c>
    </row>
    <row r="22" customFormat="false" ht="15" hidden="false" customHeight="false" outlineLevel="0" collapsed="false">
      <c r="A22" s="6"/>
      <c r="B22" s="34" t="s">
        <v>301</v>
      </c>
      <c r="C22" s="35" t="n">
        <f aca="false">C20*IT_Pct</f>
        <v>66.922510248</v>
      </c>
      <c r="D22" s="35" t="n">
        <f aca="false">D20*IT_Pct</f>
        <v>70.8018046700316</v>
      </c>
      <c r="E22" s="35" t="n">
        <f aca="false">E20*IT_Pct</f>
        <v>76.8162036770398</v>
      </c>
      <c r="F22" s="35" t="n">
        <f aca="false">F20*IT_Pct</f>
        <v>83.2315597343714</v>
      </c>
      <c r="G22" s="35" t="n">
        <f aca="false">G20*IT_Pct</f>
        <v>87.7637523151239</v>
      </c>
    </row>
    <row r="23" customFormat="false" ht="15" hidden="false" customHeight="false" outlineLevel="0" collapsed="false">
      <c r="A23" s="6"/>
      <c r="B23" s="34" t="s">
        <v>302</v>
      </c>
      <c r="C23" s="35" t="n">
        <f aca="false">C20*Premises_Pct</f>
        <v>44.615006832</v>
      </c>
      <c r="D23" s="35" t="n">
        <f aca="false">D20*Premises_Pct</f>
        <v>47.2012031133544</v>
      </c>
      <c r="E23" s="35" t="n">
        <f aca="false">E20*Premises_Pct</f>
        <v>51.2108024513599</v>
      </c>
      <c r="F23" s="35" t="n">
        <f aca="false">F20*Premises_Pct</f>
        <v>55.4877064895809</v>
      </c>
      <c r="G23" s="35" t="n">
        <f aca="false">G20*Premises_Pct</f>
        <v>58.5091682100826</v>
      </c>
    </row>
    <row r="24" customFormat="false" ht="15" hidden="false" customHeight="false" outlineLevel="0" collapsed="false">
      <c r="A24" s="6"/>
      <c r="B24" s="34" t="s">
        <v>303</v>
      </c>
      <c r="C24" s="35" t="n">
        <f aca="false">C20*Professional_Pct</f>
        <v>29.743337888</v>
      </c>
      <c r="D24" s="35" t="n">
        <f aca="false">D20*Professional_Pct</f>
        <v>31.4674687422363</v>
      </c>
      <c r="E24" s="35" t="n">
        <f aca="false">E20*Professional_Pct</f>
        <v>34.1405349675732</v>
      </c>
      <c r="F24" s="35" t="n">
        <f aca="false">F20*Professional_Pct</f>
        <v>36.9918043263873</v>
      </c>
      <c r="G24" s="35" t="n">
        <f aca="false">G20*Professional_Pct</f>
        <v>39.0061121400551</v>
      </c>
    </row>
    <row r="25" customFormat="false" ht="15" hidden="false" customHeight="false" outlineLevel="0" collapsed="false">
      <c r="A25" s="6"/>
      <c r="B25" s="34" t="s">
        <v>304</v>
      </c>
      <c r="C25" s="35" t="n">
        <f aca="false">C20*Other_Pct</f>
        <v>26.025420652</v>
      </c>
      <c r="D25" s="35" t="n">
        <f aca="false">D20*Other_Pct</f>
        <v>27.5340351494568</v>
      </c>
      <c r="E25" s="35" t="n">
        <f aca="false">E20*Other_Pct</f>
        <v>29.8729680966266</v>
      </c>
      <c r="F25" s="35" t="n">
        <f aca="false">F20*Other_Pct</f>
        <v>32.3678287855889</v>
      </c>
      <c r="G25" s="35" t="n">
        <f aca="false">G20*Other_Pct</f>
        <v>34.1303481225482</v>
      </c>
    </row>
    <row r="26" customFormat="false" ht="15" hidden="false" customHeight="false" outlineLevel="0" collapsed="false">
      <c r="A26" s="6"/>
      <c r="B26" s="27" t="s">
        <v>305</v>
      </c>
      <c r="C26" s="44" t="n">
        <f aca="false">SUM(C21:C25)</f>
        <v>371.7917236</v>
      </c>
      <c r="D26" s="44" t="n">
        <f aca="false">SUM(D21:D25)</f>
        <v>393.343359277954</v>
      </c>
      <c r="E26" s="44" t="n">
        <f aca="false">SUM(E21:E25)</f>
        <v>426.756687094666</v>
      </c>
      <c r="F26" s="44" t="n">
        <f aca="false">SUM(F21:F25)</f>
        <v>462.397554079841</v>
      </c>
      <c r="G26" s="44" t="n">
        <f aca="false">SUM(G21:G25)</f>
        <v>487.576401750688</v>
      </c>
    </row>
    <row r="27" customFormat="false" ht="15" hidden="false" customHeight="false" outlineLevel="0" collapsed="false">
      <c r="A27" s="6"/>
      <c r="B27" s="6"/>
      <c r="C27" s="6"/>
      <c r="D27" s="6"/>
      <c r="E27" s="6"/>
      <c r="F27" s="6"/>
      <c r="G27" s="6"/>
    </row>
    <row r="28" customFormat="false" ht="15" hidden="false" customHeight="false" outlineLevel="0" collapsed="false">
      <c r="A28" s="6"/>
      <c r="B28" s="27" t="s">
        <v>306</v>
      </c>
      <c r="C28" s="30" t="n">
        <f aca="false">IFERROR(C20/C19,0)</f>
        <v>0.55</v>
      </c>
      <c r="D28" s="30" t="n">
        <f aca="false">IFERROR(D20/D19,0)</f>
        <v>0.55</v>
      </c>
      <c r="E28" s="30" t="n">
        <f aca="false">IFERROR(E20/E19,0)</f>
        <v>0.55</v>
      </c>
      <c r="F28" s="30" t="n">
        <f aca="false">IFERROR(F20/F19,0)</f>
        <v>0.55</v>
      </c>
      <c r="G28" s="30" t="n">
        <f aca="false">IFERROR(G20/G19,0)</f>
        <v>0.55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307</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21" t="s">
        <v>228</v>
      </c>
      <c r="C6" s="32" t="n">
        <f aca="false">Model_Start_Year+0</f>
        <v>2026</v>
      </c>
      <c r="D6" s="32" t="n">
        <f aca="false">Model_Start_Year+1</f>
        <v>2027</v>
      </c>
      <c r="E6" s="32" t="n">
        <f aca="false">Model_Start_Year+2</f>
        <v>2028</v>
      </c>
      <c r="F6" s="32" t="n">
        <f aca="false">Model_Start_Year+3</f>
        <v>2029</v>
      </c>
      <c r="G6" s="32" t="n">
        <f aca="false">Model_Start_Year+4</f>
        <v>2030</v>
      </c>
    </row>
    <row r="7" customFormat="false" ht="15" hidden="false" customHeight="false" outlineLevel="0" collapsed="false">
      <c r="A7" s="6"/>
      <c r="B7" s="6"/>
      <c r="C7" s="6"/>
      <c r="D7" s="6"/>
      <c r="E7" s="6"/>
      <c r="F7" s="6"/>
      <c r="G7" s="6"/>
    </row>
    <row r="8" customFormat="false" ht="15" hidden="false" customHeight="false" outlineLevel="0" collapsed="false">
      <c r="A8" s="6"/>
      <c r="B8" s="23" t="s">
        <v>308</v>
      </c>
      <c r="C8" s="24"/>
      <c r="D8" s="24"/>
      <c r="E8" s="24"/>
      <c r="F8" s="24"/>
      <c r="G8" s="24"/>
    </row>
    <row r="9" customFormat="false" ht="15" hidden="false" customHeight="false" outlineLevel="0" collapsed="false">
      <c r="A9" s="6"/>
      <c r="B9" s="34" t="s">
        <v>233</v>
      </c>
      <c r="C9" s="35" t="n">
        <f aca="false">Balance_Sheet!C$12</f>
        <v>6825</v>
      </c>
      <c r="D9" s="35" t="n">
        <f aca="false">Balance_Sheet!D$12</f>
        <v>7166.25</v>
      </c>
      <c r="E9" s="35" t="n">
        <f aca="false">Balance_Sheet!E$12</f>
        <v>7524.5625</v>
      </c>
      <c r="F9" s="35" t="n">
        <f aca="false">Balance_Sheet!F$12</f>
        <v>7900.790625</v>
      </c>
      <c r="G9" s="35" t="n">
        <f aca="false">Balance_Sheet!G$12</f>
        <v>8295.83015625</v>
      </c>
    </row>
    <row r="10" customFormat="false" ht="15" hidden="false" customHeight="false" outlineLevel="0" collapsed="false">
      <c r="A10" s="6"/>
      <c r="B10" s="34" t="s">
        <v>309</v>
      </c>
      <c r="C10" s="35" t="n">
        <f aca="false">C9*PCL_Rate</f>
        <v>27.3</v>
      </c>
      <c r="D10" s="35" t="n">
        <f aca="false">D9*PCL_Rate</f>
        <v>28.665</v>
      </c>
      <c r="E10" s="35" t="n">
        <f aca="false">E9*PCL_Rate</f>
        <v>30.09825</v>
      </c>
      <c r="F10" s="35" t="n">
        <f aca="false">F9*PCL_Rate</f>
        <v>31.6031625</v>
      </c>
      <c r="G10" s="35" t="n">
        <f aca="false">G9*PCL_Rate</f>
        <v>33.183320625</v>
      </c>
    </row>
    <row r="11" customFormat="false" ht="15" hidden="false" customHeight="false" outlineLevel="0" collapsed="false">
      <c r="A11" s="6"/>
      <c r="B11" s="6"/>
      <c r="C11" s="6"/>
      <c r="D11" s="6"/>
      <c r="E11" s="6"/>
      <c r="F11" s="6"/>
      <c r="G11" s="6"/>
    </row>
    <row r="12" customFormat="false" ht="15" hidden="false" customHeight="false" outlineLevel="0" collapsed="false">
      <c r="A12" s="6"/>
      <c r="B12" s="23" t="s">
        <v>310</v>
      </c>
      <c r="C12" s="24"/>
      <c r="D12" s="24"/>
      <c r="E12" s="24"/>
      <c r="F12" s="24"/>
      <c r="G12" s="24"/>
    </row>
    <row r="13" customFormat="false" ht="15" hidden="false" customHeight="false" outlineLevel="0" collapsed="false">
      <c r="A13" s="6"/>
      <c r="B13" s="34" t="s">
        <v>311</v>
      </c>
      <c r="C13" s="35" t="n">
        <f aca="false">Open_Gross_Loans*PCL_Rate</f>
        <v>26</v>
      </c>
      <c r="D13" s="35" t="n">
        <f aca="false">C15</f>
        <v>31.46</v>
      </c>
      <c r="E13" s="35" t="n">
        <f aca="false">D15</f>
        <v>37.193</v>
      </c>
      <c r="F13" s="35" t="n">
        <f aca="false">E15</f>
        <v>43.21265</v>
      </c>
      <c r="G13" s="35" t="n">
        <f aca="false">F15</f>
        <v>49.5332825</v>
      </c>
    </row>
    <row r="14" customFormat="false" ht="15" hidden="false" customHeight="false" outlineLevel="0" collapsed="false">
      <c r="A14" s="6"/>
      <c r="B14" s="34" t="s">
        <v>312</v>
      </c>
      <c r="C14" s="35" t="n">
        <f aca="false">-C10*Charge_Off_Ratio</f>
        <v>-21.84</v>
      </c>
      <c r="D14" s="35" t="n">
        <f aca="false">-D10*Charge_Off_Ratio</f>
        <v>-22.932</v>
      </c>
      <c r="E14" s="35" t="n">
        <f aca="false">-E10*Charge_Off_Ratio</f>
        <v>-24.0786</v>
      </c>
      <c r="F14" s="35" t="n">
        <f aca="false">-F10*Charge_Off_Ratio</f>
        <v>-25.28253</v>
      </c>
      <c r="G14" s="35" t="n">
        <f aca="false">-G10*Charge_Off_Ratio</f>
        <v>-26.5466565</v>
      </c>
    </row>
    <row r="15" customFormat="false" ht="15" hidden="false" customHeight="false" outlineLevel="0" collapsed="false">
      <c r="A15" s="6"/>
      <c r="B15" s="41" t="s">
        <v>313</v>
      </c>
      <c r="C15" s="38" t="n">
        <f aca="false">C13+C10+C14</f>
        <v>31.46</v>
      </c>
      <c r="D15" s="38" t="n">
        <f aca="false">D13+D10+D14</f>
        <v>37.193</v>
      </c>
      <c r="E15" s="38" t="n">
        <f aca="false">E13+E10+E14</f>
        <v>43.21265</v>
      </c>
      <c r="F15" s="38" t="n">
        <f aca="false">F13+F10+F14</f>
        <v>49.5332825</v>
      </c>
      <c r="G15" s="38" t="n">
        <f aca="false">G13+G10+G14</f>
        <v>56.169946625</v>
      </c>
    </row>
    <row r="16" customFormat="false" ht="15" hidden="false" customHeight="false" outlineLevel="0" collapsed="false">
      <c r="A16" s="6"/>
      <c r="B16" s="6"/>
      <c r="C16" s="6"/>
      <c r="D16" s="6"/>
      <c r="E16" s="6"/>
      <c r="F16" s="6"/>
      <c r="G16" s="6"/>
    </row>
    <row r="17" customFormat="false" ht="15" hidden="false" customHeight="false" outlineLevel="0" collapsed="false">
      <c r="A17" s="6"/>
      <c r="B17" s="23" t="s">
        <v>314</v>
      </c>
      <c r="C17" s="24"/>
      <c r="D17" s="24"/>
      <c r="E17" s="24"/>
      <c r="F17" s="24"/>
      <c r="G17" s="24"/>
    </row>
    <row r="18" customFormat="false" ht="15" hidden="false" customHeight="false" outlineLevel="0" collapsed="false">
      <c r="A18" s="6"/>
      <c r="B18" s="34" t="s">
        <v>315</v>
      </c>
      <c r="C18" s="35" t="n">
        <f aca="false">C9*NPL_Ratio</f>
        <v>136.5</v>
      </c>
      <c r="D18" s="35" t="n">
        <f aca="false">D9*NPL_Ratio</f>
        <v>143.325</v>
      </c>
      <c r="E18" s="35" t="n">
        <f aca="false">E9*NPL_Ratio</f>
        <v>150.49125</v>
      </c>
      <c r="F18" s="35" t="n">
        <f aca="false">F9*NPL_Ratio</f>
        <v>158.0158125</v>
      </c>
      <c r="G18" s="35" t="n">
        <f aca="false">G9*NPL_Ratio</f>
        <v>165.916603125</v>
      </c>
    </row>
    <row r="19" customFormat="false" ht="15" hidden="false" customHeight="false" outlineLevel="0" collapsed="false">
      <c r="A19" s="6"/>
      <c r="B19" s="43" t="s">
        <v>316</v>
      </c>
      <c r="C19" s="30" t="n">
        <f aca="false">IFERROR(C15/C18,0)</f>
        <v>0.23047619047619</v>
      </c>
      <c r="D19" s="30" t="n">
        <f aca="false">IFERROR(D15/D18,0)</f>
        <v>0.259501133786848</v>
      </c>
      <c r="E19" s="30" t="n">
        <f aca="false">IFERROR(E15/E18,0)</f>
        <v>0.287143936939855</v>
      </c>
      <c r="F19" s="30" t="n">
        <f aca="false">IFERROR(F15/F18,0)</f>
        <v>0.313470416133195</v>
      </c>
      <c r="G19" s="30" t="n">
        <f aca="false">IFERROR(G15/G18,0)</f>
        <v>0.338543253460186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317</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318</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21" t="s">
        <v>228</v>
      </c>
      <c r="C6" s="32" t="n">
        <f aca="false">Model_Start_Year+0</f>
        <v>2026</v>
      </c>
      <c r="D6" s="32" t="n">
        <f aca="false">Model_Start_Year+1</f>
        <v>2027</v>
      </c>
      <c r="E6" s="32" t="n">
        <f aca="false">Model_Start_Year+2</f>
        <v>2028</v>
      </c>
      <c r="F6" s="32" t="n">
        <f aca="false">Model_Start_Year+3</f>
        <v>2029</v>
      </c>
      <c r="G6" s="32" t="n">
        <f aca="false">Model_Start_Year+4</f>
        <v>2030</v>
      </c>
    </row>
    <row r="7" customFormat="false" ht="15" hidden="false" customHeight="false" outlineLevel="0" collapsed="false">
      <c r="A7" s="6"/>
      <c r="B7" s="6"/>
      <c r="C7" s="6"/>
      <c r="D7" s="6"/>
      <c r="E7" s="6"/>
      <c r="F7" s="6"/>
      <c r="G7" s="6"/>
    </row>
    <row r="8" customFormat="false" ht="15" hidden="false" customHeight="false" outlineLevel="0" collapsed="false">
      <c r="A8" s="6"/>
      <c r="B8" s="23" t="s">
        <v>319</v>
      </c>
      <c r="C8" s="24"/>
      <c r="D8" s="24"/>
      <c r="E8" s="24"/>
      <c r="F8" s="24"/>
      <c r="G8" s="24"/>
    </row>
    <row r="9" customFormat="false" ht="15" hidden="false" customHeight="false" outlineLevel="0" collapsed="false">
      <c r="A9" s="6"/>
      <c r="B9" s="34" t="s">
        <v>262</v>
      </c>
      <c r="C9" s="35" t="n">
        <f aca="false">Interest_Income_Expense!C$24</f>
        <v>546.5934</v>
      </c>
      <c r="D9" s="35" t="n">
        <f aca="false">Interest_Income_Expense!D$24</f>
        <v>570.881435</v>
      </c>
      <c r="E9" s="35" t="n">
        <f aca="false">Interest_Income_Expense!E$24</f>
        <v>599.35190675</v>
      </c>
      <c r="F9" s="35" t="n">
        <f aca="false">Interest_Income_Expense!F$24</f>
        <v>629.2459020875</v>
      </c>
      <c r="G9" s="35" t="n">
        <f aca="false">Interest_Income_Expense!G$24</f>
        <v>660.634597191875</v>
      </c>
    </row>
    <row r="10" customFormat="false" ht="15" hidden="false" customHeight="false" outlineLevel="0" collapsed="false">
      <c r="A10" s="6"/>
      <c r="B10" s="34" t="s">
        <v>320</v>
      </c>
      <c r="C10" s="35" t="n">
        <f aca="false">-Interest_Income_Expense!C$36</f>
        <v>-200.774</v>
      </c>
      <c r="D10" s="35" t="n">
        <f aca="false">-Interest_Income_Expense!D$36</f>
        <v>-204.682597831728</v>
      </c>
      <c r="E10" s="35" t="n">
        <f aca="false">-Interest_Income_Expense!E$36</f>
        <v>-193.764870395344</v>
      </c>
      <c r="F10" s="35" t="n">
        <f aca="false">-Interest_Income_Expense!F$36</f>
        <v>-181.540468661842</v>
      </c>
      <c r="G10" s="35" t="n">
        <f aca="false">-Interest_Income_Expense!G$36</f>
        <v>-189.506635976491</v>
      </c>
    </row>
    <row r="11" customFormat="false" ht="15" hidden="false" customHeight="false" outlineLevel="0" collapsed="false">
      <c r="A11" s="6"/>
      <c r="B11" s="41" t="s">
        <v>319</v>
      </c>
      <c r="C11" s="38" t="n">
        <f aca="false">C9+C10</f>
        <v>345.8194</v>
      </c>
      <c r="D11" s="38" t="n">
        <f aca="false">D9+D10</f>
        <v>366.198837168272</v>
      </c>
      <c r="E11" s="38" t="n">
        <f aca="false">E9+E10</f>
        <v>405.587036354656</v>
      </c>
      <c r="F11" s="38" t="n">
        <f aca="false">F9+F10</f>
        <v>447.705433425658</v>
      </c>
      <c r="G11" s="38" t="n">
        <f aca="false">G9+G10</f>
        <v>471.127961215385</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23" t="s">
        <v>321</v>
      </c>
      <c r="C13" s="24"/>
      <c r="D13" s="24"/>
      <c r="E13" s="24"/>
      <c r="F13" s="24"/>
      <c r="G13" s="24"/>
    </row>
    <row r="14" customFormat="false" ht="15" hidden="false" customHeight="false" outlineLevel="0" collapsed="false">
      <c r="A14" s="6"/>
      <c r="B14" s="34" t="s">
        <v>289</v>
      </c>
      <c r="C14" s="35" t="n">
        <f aca="false">Non_Interest_Income_Opex!C$16</f>
        <v>330.165552</v>
      </c>
      <c r="D14" s="35" t="n">
        <f aca="false">Non_Interest_Income_Opex!D$16</f>
        <v>348.970906973462</v>
      </c>
      <c r="E14" s="35" t="n">
        <f aca="false">Non_Interest_Income_Opex!E$16</f>
        <v>370.334212908373</v>
      </c>
      <c r="F14" s="35" t="n">
        <f aca="false">Non_Interest_Income_Opex!F$16</f>
        <v>393.017392174053</v>
      </c>
      <c r="G14" s="35" t="n">
        <f aca="false">Non_Interest_Income_Opex!G$16</f>
        <v>415.374587422231</v>
      </c>
    </row>
    <row r="15" customFormat="false" ht="15" hidden="false" customHeight="false" outlineLevel="0" collapsed="false">
      <c r="A15" s="6"/>
      <c r="B15" s="39" t="s">
        <v>322</v>
      </c>
      <c r="C15" s="40" t="n">
        <f aca="false">C11+C14</f>
        <v>675.984952</v>
      </c>
      <c r="D15" s="40" t="n">
        <f aca="false">D11+D14</f>
        <v>715.169744141734</v>
      </c>
      <c r="E15" s="40" t="n">
        <f aca="false">E11+E14</f>
        <v>775.921249263028</v>
      </c>
      <c r="F15" s="40" t="n">
        <f aca="false">F11+F14</f>
        <v>840.722825599711</v>
      </c>
      <c r="G15" s="40" t="n">
        <f aca="false">G11+G14</f>
        <v>886.502548637615</v>
      </c>
    </row>
    <row r="16" customFormat="false" ht="15" hidden="false" customHeight="false" outlineLevel="0" collapsed="false">
      <c r="A16" s="6"/>
      <c r="B16" s="6"/>
      <c r="C16" s="6"/>
      <c r="D16" s="6"/>
      <c r="E16" s="6"/>
      <c r="F16" s="6"/>
      <c r="G16" s="6"/>
    </row>
    <row r="17" customFormat="false" ht="15" hidden="false" customHeight="false" outlineLevel="0" collapsed="false">
      <c r="A17" s="6"/>
      <c r="B17" s="23" t="s">
        <v>297</v>
      </c>
      <c r="C17" s="24"/>
      <c r="D17" s="24"/>
      <c r="E17" s="24"/>
      <c r="F17" s="24"/>
      <c r="G17" s="24"/>
    </row>
    <row r="18" customFormat="false" ht="15" hidden="false" customHeight="false" outlineLevel="0" collapsed="false">
      <c r="A18" s="6"/>
      <c r="B18" s="34" t="s">
        <v>323</v>
      </c>
      <c r="C18" s="35" t="n">
        <f aca="false">-Non_Interest_Income_Opex!C$20</f>
        <v>-371.7917236</v>
      </c>
      <c r="D18" s="35" t="n">
        <f aca="false">-Non_Interest_Income_Opex!D$20</f>
        <v>-393.343359277954</v>
      </c>
      <c r="E18" s="35" t="n">
        <f aca="false">-Non_Interest_Income_Opex!E$20</f>
        <v>-426.756687094666</v>
      </c>
      <c r="F18" s="35" t="n">
        <f aca="false">-Non_Interest_Income_Opex!F$20</f>
        <v>-462.397554079841</v>
      </c>
      <c r="G18" s="35" t="n">
        <f aca="false">-Non_Interest_Income_Opex!G$20</f>
        <v>-487.576401750688</v>
      </c>
    </row>
    <row r="19" customFormat="false" ht="15" hidden="false" customHeight="false" outlineLevel="0" collapsed="false">
      <c r="A19" s="6"/>
      <c r="B19" s="39" t="s">
        <v>324</v>
      </c>
      <c r="C19" s="40" t="n">
        <f aca="false">C15+C18</f>
        <v>304.1932284</v>
      </c>
      <c r="D19" s="40" t="n">
        <f aca="false">D15+D18</f>
        <v>321.82638486378</v>
      </c>
      <c r="E19" s="40" t="n">
        <f aca="false">E15+E18</f>
        <v>349.164562168363</v>
      </c>
      <c r="F19" s="40" t="n">
        <f aca="false">F15+F18</f>
        <v>378.32527151987</v>
      </c>
      <c r="G19" s="40" t="n">
        <f aca="false">G15+G18</f>
        <v>398.926146886927</v>
      </c>
    </row>
    <row r="20" customFormat="false" ht="15" hidden="false" customHeight="false" outlineLevel="0" collapsed="false">
      <c r="A20" s="6"/>
      <c r="B20" s="6"/>
      <c r="C20" s="6"/>
      <c r="D20" s="6"/>
      <c r="E20" s="6"/>
      <c r="F20" s="6"/>
      <c r="G20" s="6"/>
    </row>
    <row r="21" customFormat="false" ht="15" hidden="false" customHeight="false" outlineLevel="0" collapsed="false">
      <c r="A21" s="6"/>
      <c r="B21" s="23" t="s">
        <v>325</v>
      </c>
      <c r="C21" s="24"/>
      <c r="D21" s="24"/>
      <c r="E21" s="24"/>
      <c r="F21" s="24"/>
      <c r="G21" s="24"/>
    </row>
    <row r="22" customFormat="false" ht="15" hidden="false" customHeight="false" outlineLevel="0" collapsed="false">
      <c r="A22" s="6"/>
      <c r="B22" s="34" t="s">
        <v>308</v>
      </c>
      <c r="C22" s="35" t="n">
        <f aca="false">-Provisions!C$10</f>
        <v>-27.3</v>
      </c>
      <c r="D22" s="35" t="n">
        <f aca="false">-Provisions!D$10</f>
        <v>-28.665</v>
      </c>
      <c r="E22" s="35" t="n">
        <f aca="false">-Provisions!E$10</f>
        <v>-30.09825</v>
      </c>
      <c r="F22" s="35" t="n">
        <f aca="false">-Provisions!F$10</f>
        <v>-31.6031625</v>
      </c>
      <c r="G22" s="35" t="n">
        <f aca="false">-Provisions!G$10</f>
        <v>-33.183320625</v>
      </c>
    </row>
    <row r="23" customFormat="false" ht="15" hidden="false" customHeight="false" outlineLevel="0" collapsed="false">
      <c r="A23" s="6"/>
      <c r="B23" s="39" t="s">
        <v>326</v>
      </c>
      <c r="C23" s="40" t="n">
        <f aca="false">C19+C22</f>
        <v>276.8932284</v>
      </c>
      <c r="D23" s="40" t="n">
        <f aca="false">D19+D22</f>
        <v>293.16138486378</v>
      </c>
      <c r="E23" s="40" t="n">
        <f aca="false">E19+E22</f>
        <v>319.066312168363</v>
      </c>
      <c r="F23" s="40" t="n">
        <f aca="false">F19+F22</f>
        <v>346.72210901987</v>
      </c>
      <c r="G23" s="40" t="n">
        <f aca="false">G19+G22</f>
        <v>365.742826261927</v>
      </c>
    </row>
    <row r="24" customFormat="false" ht="15" hidden="false" customHeight="false" outlineLevel="0" collapsed="false">
      <c r="A24" s="6"/>
      <c r="B24" s="34" t="s">
        <v>327</v>
      </c>
      <c r="C24" s="35" t="n">
        <f aca="false">-MAX(0,C23)*Tax_Rate</f>
        <v>-66.454374816</v>
      </c>
      <c r="D24" s="35" t="n">
        <f aca="false">-MAX(0,D23)*Tax_Rate</f>
        <v>-70.3587323673072</v>
      </c>
      <c r="E24" s="35" t="n">
        <f aca="false">-MAX(0,E23)*Tax_Rate</f>
        <v>-76.575914920407</v>
      </c>
      <c r="F24" s="35" t="n">
        <f aca="false">-MAX(0,F23)*Tax_Rate</f>
        <v>-83.2133061647688</v>
      </c>
      <c r="G24" s="35" t="n">
        <f aca="false">-MAX(0,G23)*Tax_Rate</f>
        <v>-87.7782783028624</v>
      </c>
    </row>
    <row r="25" customFormat="false" ht="15" hidden="false" customHeight="false" outlineLevel="0" collapsed="false">
      <c r="A25" s="6"/>
      <c r="B25" s="39" t="s">
        <v>328</v>
      </c>
      <c r="C25" s="40" t="n">
        <f aca="false">C23+C24</f>
        <v>210.438853584</v>
      </c>
      <c r="D25" s="40" t="n">
        <f aca="false">D23+D24</f>
        <v>222.802652496473</v>
      </c>
      <c r="E25" s="40" t="n">
        <f aca="false">E23+E24</f>
        <v>242.490397247956</v>
      </c>
      <c r="F25" s="40" t="n">
        <f aca="false">F23+F24</f>
        <v>263.508802855101</v>
      </c>
      <c r="G25" s="40" t="n">
        <f aca="false">G23+G24</f>
        <v>277.964547959064</v>
      </c>
    </row>
    <row r="26" customFormat="false" ht="15" hidden="false" customHeight="false" outlineLevel="0" collapsed="false">
      <c r="A26" s="6"/>
      <c r="B26" s="6"/>
      <c r="C26" s="6"/>
      <c r="D26" s="6"/>
      <c r="E26" s="6"/>
      <c r="F26" s="6"/>
      <c r="G26" s="6"/>
    </row>
    <row r="27" customFormat="false" ht="15" hidden="false" customHeight="false" outlineLevel="0" collapsed="false">
      <c r="A27" s="6"/>
      <c r="B27" s="23" t="s">
        <v>329</v>
      </c>
      <c r="C27" s="24"/>
      <c r="D27" s="24"/>
      <c r="E27" s="24"/>
      <c r="F27" s="24"/>
      <c r="G27" s="24"/>
    </row>
    <row r="28" customFormat="false" ht="15" hidden="false" customHeight="false" outlineLevel="0" collapsed="false">
      <c r="A28" s="6"/>
      <c r="B28" s="27" t="s">
        <v>281</v>
      </c>
      <c r="C28" s="30" t="n">
        <f aca="false">Interest_Income_Expense!C$39</f>
        <v>0.0352949689629903</v>
      </c>
      <c r="D28" s="30" t="n">
        <f aca="false">Interest_Income_Expense!D$39</f>
        <v>0.0358718410412263</v>
      </c>
      <c r="E28" s="30" t="n">
        <f aca="false">Interest_Income_Expense!E$39</f>
        <v>0.0378450662998131</v>
      </c>
      <c r="F28" s="30" t="n">
        <f aca="false">Interest_Income_Expense!F$39</f>
        <v>0.0397926056451646</v>
      </c>
      <c r="G28" s="30" t="n">
        <f aca="false">Interest_Income_Expense!G$39</f>
        <v>0.0398868907555848</v>
      </c>
    </row>
    <row r="29" customFormat="false" ht="15" hidden="false" customHeight="false" outlineLevel="0" collapsed="false">
      <c r="A29" s="6"/>
      <c r="B29" s="27" t="s">
        <v>330</v>
      </c>
      <c r="C29" s="30" t="n">
        <f aca="false">IFERROR(-C18/C15,0)</f>
        <v>0.55</v>
      </c>
      <c r="D29" s="30" t="n">
        <f aca="false">IFERROR(-D18/D15,0)</f>
        <v>0.55</v>
      </c>
      <c r="E29" s="30" t="n">
        <f aca="false">IFERROR(-E18/E15,0)</f>
        <v>0.55</v>
      </c>
      <c r="F29" s="30" t="n">
        <f aca="false">IFERROR(-F18/F15,0)</f>
        <v>0.55</v>
      </c>
      <c r="G29" s="30" t="n">
        <f aca="false">IFERROR(-G18/G15,0)</f>
        <v>0.55</v>
      </c>
    </row>
    <row r="30" customFormat="false" ht="15" hidden="false" customHeight="false" outlineLevel="0" collapsed="false">
      <c r="A30" s="6"/>
      <c r="B30" s="27" t="s">
        <v>331</v>
      </c>
      <c r="C30" s="30" t="n">
        <f aca="false">IFERROR(C25/Balance_Sheet!C$17,0)</f>
        <v>0.020134606527613</v>
      </c>
      <c r="D30" s="30" t="n">
        <f aca="false">IFERROR(D25/Balance_Sheet!D$17,0)</f>
        <v>0.0203142889897931</v>
      </c>
      <c r="E30" s="30" t="n">
        <f aca="false">IFERROR(E25/Balance_Sheet!E$17,0)</f>
        <v>0.0210682245011134</v>
      </c>
      <c r="F30" s="30" t="n">
        <f aca="false">IFERROR(F25/Balance_Sheet!F$17,0)</f>
        <v>0.0218157059925483</v>
      </c>
      <c r="G30" s="30" t="n">
        <f aca="false">IFERROR(G25/Balance_Sheet!G$17,0)</f>
        <v>0.0219277192962809</v>
      </c>
    </row>
    <row r="31" customFormat="false" ht="15" hidden="false" customHeight="false" outlineLevel="0" collapsed="false">
      <c r="A31" s="6"/>
      <c r="B31" s="27" t="s">
        <v>332</v>
      </c>
      <c r="C31" s="30" t="n">
        <f aca="false">IFERROR(IF((Balance_Sheet!C$28+Balance_Sheet!C$29)&lt;=0,0,C25/(Balance_Sheet!C$28+Balance_Sheet!C$29)),0)</f>
        <v>0.205053470286347</v>
      </c>
      <c r="D31" s="30" t="n">
        <f aca="false">IFERROR(IF((Balance_Sheet!D$28+Balance_Sheet!D$29)&lt;=0,0,D25/(Balance_Sheet!D$28+Balance_Sheet!D$29)),0)</f>
        <v>0.192080375365855</v>
      </c>
      <c r="E31" s="30" t="n">
        <f aca="false">IFERROR(IF((Balance_Sheet!E$28+Balance_Sheet!E$29)&lt;=0,0,E25/(Balance_Sheet!E$28+Balance_Sheet!E$29)),0)</f>
        <v>0.185753888823185</v>
      </c>
      <c r="F31" s="30" t="n">
        <f aca="false">IFERROR(IF((Balance_Sheet!F$28+Balance_Sheet!F$29)&lt;=0,0,F25/(Balance_Sheet!F$28+Balance_Sheet!F$29)),0)</f>
        <v>0.18004838021049</v>
      </c>
      <c r="G31" s="30" t="n">
        <f aca="false">IFERROR(IF((Balance_Sheet!G$28+Balance_Sheet!G$29)&lt;=0,0,G25/(Balance_Sheet!G$28+Balance_Sheet!G$29)),0)</f>
        <v>0.170496596049247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AD5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333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334</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21" t="s">
        <v>228</v>
      </c>
      <c r="C6" s="32" t="n">
        <f aca="false">Model_Start_Year+0</f>
        <v>2026</v>
      </c>
      <c r="D6" s="32" t="n">
        <f aca="false">Model_Start_Year+1</f>
        <v>2027</v>
      </c>
      <c r="E6" s="32" t="n">
        <f aca="false">Model_Start_Year+2</f>
        <v>2028</v>
      </c>
      <c r="F6" s="32" t="n">
        <f aca="false">Model_Start_Year+3</f>
        <v>2029</v>
      </c>
      <c r="G6" s="32" t="n">
        <f aca="false">Model_Start_Year+4</f>
        <v>2030</v>
      </c>
    </row>
    <row r="7" customFormat="false" ht="15" hidden="false" customHeight="false" outlineLevel="0" collapsed="false">
      <c r="A7" s="6"/>
      <c r="B7" s="6"/>
      <c r="C7" s="6"/>
      <c r="D7" s="6"/>
      <c r="E7" s="6"/>
      <c r="F7" s="6"/>
      <c r="G7" s="6"/>
    </row>
    <row r="8" customFormat="false" ht="15" hidden="false" customHeight="false" outlineLevel="0" collapsed="false">
      <c r="A8" s="6"/>
      <c r="B8" s="23" t="s">
        <v>335</v>
      </c>
      <c r="C8" s="24"/>
      <c r="D8" s="24"/>
      <c r="E8" s="24"/>
      <c r="F8" s="24"/>
      <c r="G8" s="24"/>
    </row>
    <row r="9" customFormat="false" ht="15" hidden="false" customHeight="false" outlineLevel="0" collapsed="false">
      <c r="A9" s="6"/>
      <c r="B9" s="34" t="s">
        <v>336</v>
      </c>
      <c r="C9" s="35" t="n">
        <f aca="false">Balance_Sheet!C$10*RW_Cash</f>
        <v>0</v>
      </c>
      <c r="D9" s="35" t="n">
        <f aca="false">Balance_Sheet!D$10*RW_Cash</f>
        <v>0</v>
      </c>
      <c r="E9" s="35" t="n">
        <f aca="false">Balance_Sheet!E$10*RW_Cash</f>
        <v>0</v>
      </c>
      <c r="F9" s="35" t="n">
        <f aca="false">Balance_Sheet!F$10*RW_Cash</f>
        <v>0</v>
      </c>
      <c r="G9" s="35" t="n">
        <f aca="false">Balance_Sheet!G$10*RW_Cash</f>
        <v>0</v>
      </c>
    </row>
    <row r="10" customFormat="false" ht="15" hidden="false" customHeight="false" outlineLevel="0" collapsed="false">
      <c r="A10" s="6"/>
      <c r="B10" s="34" t="s">
        <v>337</v>
      </c>
      <c r="C10" s="35" t="n">
        <f aca="false">Balance_Sheet!C$11*RW_Securities</f>
        <v>418.064</v>
      </c>
      <c r="D10" s="35" t="n">
        <f aca="false">Balance_Sheet!D$11*RW_Securities</f>
        <v>438.7112</v>
      </c>
      <c r="E10" s="35" t="n">
        <f aca="false">Balance_Sheet!E$11*RW_Securities</f>
        <v>460.39076</v>
      </c>
      <c r="F10" s="35" t="n">
        <f aca="false">Balance_Sheet!F$11*RW_Securities</f>
        <v>483.154298</v>
      </c>
      <c r="G10" s="35" t="n">
        <f aca="false">Balance_Sheet!G$11*RW_Securities</f>
        <v>507.0560129</v>
      </c>
    </row>
    <row r="11" customFormat="false" ht="15" hidden="false" customHeight="false" outlineLevel="0" collapsed="false">
      <c r="A11" s="6"/>
      <c r="B11" s="34" t="s">
        <v>338</v>
      </c>
      <c r="C11" s="35" t="n">
        <f aca="false">Balance_Sheet!C$12*Mortgage_Pct*RW_Mortgage</f>
        <v>1365</v>
      </c>
      <c r="D11" s="35" t="n">
        <f aca="false">Balance_Sheet!D$12*Mortgage_Pct*RW_Mortgage</f>
        <v>1433.25</v>
      </c>
      <c r="E11" s="35" t="n">
        <f aca="false">Balance_Sheet!E$12*Mortgage_Pct*RW_Mortgage</f>
        <v>1504.9125</v>
      </c>
      <c r="F11" s="35" t="n">
        <f aca="false">Balance_Sheet!F$12*Mortgage_Pct*RW_Mortgage</f>
        <v>1580.158125</v>
      </c>
      <c r="G11" s="35" t="n">
        <f aca="false">Balance_Sheet!G$12*Mortgage_Pct*RW_Mortgage</f>
        <v>1659.16603125</v>
      </c>
    </row>
    <row r="12" customFormat="false" ht="15" hidden="false" customHeight="false" outlineLevel="0" collapsed="false">
      <c r="A12" s="6"/>
      <c r="B12" s="34" t="s">
        <v>339</v>
      </c>
      <c r="C12" s="35" t="n">
        <f aca="false">Balance_Sheet!C$12*Consumer_Pct*RW_Consumer</f>
        <v>1365</v>
      </c>
      <c r="D12" s="35" t="n">
        <f aca="false">Balance_Sheet!D$12*Consumer_Pct*RW_Consumer</f>
        <v>1433.25</v>
      </c>
      <c r="E12" s="35" t="n">
        <f aca="false">Balance_Sheet!E$12*Consumer_Pct*RW_Consumer</f>
        <v>1504.9125</v>
      </c>
      <c r="F12" s="35" t="n">
        <f aca="false">Balance_Sheet!F$12*Consumer_Pct*RW_Consumer</f>
        <v>1580.158125</v>
      </c>
      <c r="G12" s="35" t="n">
        <f aca="false">Balance_Sheet!G$12*Consumer_Pct*RW_Consumer</f>
        <v>1659.16603125</v>
      </c>
    </row>
    <row r="13" customFormat="false" ht="15" hidden="false" customHeight="false" outlineLevel="0" collapsed="false">
      <c r="A13" s="6"/>
      <c r="B13" s="34" t="s">
        <v>340</v>
      </c>
      <c r="C13" s="35" t="n">
        <f aca="false">Balance_Sheet!C$12*Commercial_Pct*RW_Commercial</f>
        <v>2047.5</v>
      </c>
      <c r="D13" s="35" t="n">
        <f aca="false">Balance_Sheet!D$12*Commercial_Pct*RW_Commercial</f>
        <v>2149.875</v>
      </c>
      <c r="E13" s="35" t="n">
        <f aca="false">Balance_Sheet!E$12*Commercial_Pct*RW_Commercial</f>
        <v>2257.36875</v>
      </c>
      <c r="F13" s="35" t="n">
        <f aca="false">Balance_Sheet!F$12*Commercial_Pct*RW_Commercial</f>
        <v>2370.2371875</v>
      </c>
      <c r="G13" s="35" t="n">
        <f aca="false">Balance_Sheet!G$12*Commercial_Pct*RW_Commercial</f>
        <v>2488.749046875</v>
      </c>
    </row>
    <row r="14" customFormat="false" ht="15" hidden="false" customHeight="false" outlineLevel="0" collapsed="false">
      <c r="A14" s="6"/>
      <c r="B14" s="34" t="s">
        <v>341</v>
      </c>
      <c r="C14" s="35" t="n">
        <f aca="false">Balance_Sheet!C$15*RW_PPE</f>
        <v>209.032</v>
      </c>
      <c r="D14" s="35" t="n">
        <f aca="false">Balance_Sheet!D$15*RW_PPE</f>
        <v>219.3556</v>
      </c>
      <c r="E14" s="35" t="n">
        <f aca="false">Balance_Sheet!E$15*RW_PPE</f>
        <v>230.19538</v>
      </c>
      <c r="F14" s="35" t="n">
        <f aca="false">Balance_Sheet!F$15*RW_PPE</f>
        <v>241.577149</v>
      </c>
      <c r="G14" s="35" t="n">
        <f aca="false">Balance_Sheet!G$15*RW_PPE</f>
        <v>253.52800645</v>
      </c>
    </row>
    <row r="15" customFormat="false" ht="15" hidden="false" customHeight="false" outlineLevel="0" collapsed="false">
      <c r="A15" s="6"/>
      <c r="B15" s="37" t="s">
        <v>342</v>
      </c>
      <c r="C15" s="38" t="n">
        <f aca="false">SUM(C9:C14)</f>
        <v>5404.596</v>
      </c>
      <c r="D15" s="38" t="n">
        <f aca="false">SUM(D9:D14)</f>
        <v>5674.4418</v>
      </c>
      <c r="E15" s="38" t="n">
        <f aca="false">SUM(E9:E14)</f>
        <v>5957.77989</v>
      </c>
      <c r="F15" s="38" t="n">
        <f aca="false">SUM(F9:F14)</f>
        <v>6255.2848845</v>
      </c>
      <c r="G15" s="38" t="n">
        <f aca="false">SUM(G9:G14)</f>
        <v>6567.665128725</v>
      </c>
    </row>
    <row r="16" customFormat="false" ht="15" hidden="false" customHeight="false" outlineLevel="0" collapsed="false">
      <c r="A16" s="6"/>
      <c r="B16" s="34" t="s">
        <v>343</v>
      </c>
      <c r="C16" s="35" t="n">
        <f aca="false">Income_Statement!C$15*Op_Risk_Mult</f>
        <v>1267.471785</v>
      </c>
      <c r="D16" s="35" t="n">
        <f aca="false">Income_Statement!D$15*Op_Risk_Mult</f>
        <v>1340.94327026575</v>
      </c>
      <c r="E16" s="35" t="n">
        <f aca="false">Income_Statement!E$15*Op_Risk_Mult</f>
        <v>1454.85234236818</v>
      </c>
      <c r="F16" s="35" t="n">
        <f aca="false">Income_Statement!F$15*Op_Risk_Mult</f>
        <v>1576.35529799946</v>
      </c>
      <c r="G16" s="35" t="n">
        <f aca="false">Income_Statement!G$15*Op_Risk_Mult</f>
        <v>1662.19227869553</v>
      </c>
    </row>
    <row r="17" customFormat="false" ht="15" hidden="false" customHeight="false" outlineLevel="0" collapsed="false">
      <c r="A17" s="6"/>
      <c r="B17" s="39" t="s">
        <v>344</v>
      </c>
      <c r="C17" s="40" t="n">
        <f aca="false">C15+C16</f>
        <v>6672.067785</v>
      </c>
      <c r="D17" s="40" t="n">
        <f aca="false">D15+D16</f>
        <v>7015.38507026575</v>
      </c>
      <c r="E17" s="40" t="n">
        <f aca="false">E15+E16</f>
        <v>7412.63223236818</v>
      </c>
      <c r="F17" s="40" t="n">
        <f aca="false">F15+F16</f>
        <v>7831.64018249946</v>
      </c>
      <c r="G17" s="40" t="n">
        <f aca="false">G15+G16</f>
        <v>8229.85740742053</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23" t="s">
        <v>345</v>
      </c>
      <c r="C19" s="24"/>
      <c r="D19" s="24"/>
      <c r="E19" s="24"/>
      <c r="F19" s="24"/>
      <c r="G19" s="24"/>
    </row>
    <row r="20" customFormat="false" ht="15" hidden="false" customHeight="false" outlineLevel="0" collapsed="false">
      <c r="A20" s="6"/>
      <c r="B20" s="34" t="s">
        <v>346</v>
      </c>
      <c r="C20" s="35" t="n">
        <f aca="false">Balance_Sheet!C$28</f>
        <v>600</v>
      </c>
      <c r="D20" s="35" t="n">
        <f aca="false">Balance_Sheet!D$28</f>
        <v>600</v>
      </c>
      <c r="E20" s="35" t="n">
        <f aca="false">Balance_Sheet!E$28</f>
        <v>600</v>
      </c>
      <c r="F20" s="35" t="n">
        <f aca="false">Balance_Sheet!F$28</f>
        <v>600</v>
      </c>
      <c r="G20" s="35" t="n">
        <f aca="false">Balance_Sheet!G$28</f>
        <v>600</v>
      </c>
    </row>
    <row r="21" customFormat="false" ht="15" hidden="false" customHeight="false" outlineLevel="0" collapsed="false">
      <c r="A21" s="6"/>
      <c r="B21" s="34" t="s">
        <v>347</v>
      </c>
      <c r="C21" s="35" t="n">
        <f aca="false">Balance_Sheet!C$29</f>
        <v>426.2633121504</v>
      </c>
      <c r="D21" s="35" t="n">
        <f aca="false">Balance_Sheet!D$29</f>
        <v>559.944903648284</v>
      </c>
      <c r="E21" s="35" t="n">
        <f aca="false">Balance_Sheet!E$29</f>
        <v>705.439141997057</v>
      </c>
      <c r="F21" s="35" t="n">
        <f aca="false">Balance_Sheet!F$29</f>
        <v>863.544423710118</v>
      </c>
      <c r="G21" s="35" t="n">
        <f aca="false">Balance_Sheet!G$29</f>
        <v>1030.32315248556</v>
      </c>
    </row>
    <row r="22" customFormat="false" ht="15" hidden="false" customHeight="false" outlineLevel="0" collapsed="false">
      <c r="A22" s="6"/>
      <c r="B22" s="41" t="s">
        <v>348</v>
      </c>
      <c r="C22" s="38" t="n">
        <f aca="false">C20+C21</f>
        <v>1026.2633121504</v>
      </c>
      <c r="D22" s="38" t="n">
        <f aca="false">D20+D21</f>
        <v>1159.94490364828</v>
      </c>
      <c r="E22" s="38" t="n">
        <f aca="false">E20+E21</f>
        <v>1305.43914199706</v>
      </c>
      <c r="F22" s="38" t="n">
        <f aca="false">F20+F21</f>
        <v>1463.54442371012</v>
      </c>
      <c r="G22" s="38" t="n">
        <f aca="false">G20+G21</f>
        <v>1630.32315248556</v>
      </c>
    </row>
    <row r="23" customFormat="false" ht="15" hidden="false" customHeight="false" outlineLevel="0" collapsed="false">
      <c r="A23" s="6"/>
      <c r="B23" s="34" t="s">
        <v>247</v>
      </c>
      <c r="C23" s="35" t="n">
        <f aca="false">Balance_Sheet!C$30</f>
        <v>100</v>
      </c>
      <c r="D23" s="35" t="n">
        <f aca="false">Balance_Sheet!D$30</f>
        <v>100</v>
      </c>
      <c r="E23" s="35" t="n">
        <f aca="false">Balance_Sheet!E$30</f>
        <v>100</v>
      </c>
      <c r="F23" s="35" t="n">
        <f aca="false">Balance_Sheet!F$30</f>
        <v>100</v>
      </c>
      <c r="G23" s="35" t="n">
        <f aca="false">Balance_Sheet!G$30</f>
        <v>100</v>
      </c>
    </row>
    <row r="24" customFormat="false" ht="15" hidden="false" customHeight="false" outlineLevel="0" collapsed="false">
      <c r="A24" s="6"/>
      <c r="B24" s="41" t="s">
        <v>349</v>
      </c>
      <c r="C24" s="38" t="n">
        <f aca="false">C22+C23</f>
        <v>1126.2633121504</v>
      </c>
      <c r="D24" s="38" t="n">
        <f aca="false">D22+D23</f>
        <v>1259.94490364828</v>
      </c>
      <c r="E24" s="38" t="n">
        <f aca="false">E22+E23</f>
        <v>1405.43914199706</v>
      </c>
      <c r="F24" s="38" t="n">
        <f aca="false">F22+F23</f>
        <v>1563.54442371012</v>
      </c>
      <c r="G24" s="38" t="n">
        <f aca="false">G22+G23</f>
        <v>1730.32315248556</v>
      </c>
    </row>
    <row r="25" customFormat="false" ht="15" hidden="false" customHeight="false" outlineLevel="0" collapsed="false">
      <c r="A25" s="6"/>
      <c r="B25" s="34" t="s">
        <v>248</v>
      </c>
      <c r="C25" s="35" t="n">
        <f aca="false">Balance_Sheet!C$31</f>
        <v>150</v>
      </c>
      <c r="D25" s="35" t="n">
        <f aca="false">Balance_Sheet!D$31</f>
        <v>150</v>
      </c>
      <c r="E25" s="35" t="n">
        <f aca="false">Balance_Sheet!E$31</f>
        <v>150</v>
      </c>
      <c r="F25" s="35" t="n">
        <f aca="false">Balance_Sheet!F$31</f>
        <v>150</v>
      </c>
      <c r="G25" s="35" t="n">
        <f aca="false">Balance_Sheet!G$31</f>
        <v>150</v>
      </c>
    </row>
    <row r="26" customFormat="false" ht="15" hidden="false" customHeight="false" outlineLevel="0" collapsed="false">
      <c r="A26" s="6"/>
      <c r="B26" s="39" t="s">
        <v>350</v>
      </c>
      <c r="C26" s="40" t="n">
        <f aca="false">C24+C25</f>
        <v>1276.2633121504</v>
      </c>
      <c r="D26" s="40" t="n">
        <f aca="false">D24+D25</f>
        <v>1409.94490364828</v>
      </c>
      <c r="E26" s="40" t="n">
        <f aca="false">E24+E25</f>
        <v>1555.43914199706</v>
      </c>
      <c r="F26" s="40" t="n">
        <f aca="false">F24+F25</f>
        <v>1713.54442371012</v>
      </c>
      <c r="G26" s="40" t="n">
        <f aca="false">G24+G25</f>
        <v>1880.32315248556</v>
      </c>
    </row>
    <row r="27" customFormat="false" ht="15" hidden="false" customHeight="false" outlineLevel="0" collapsed="false">
      <c r="A27" s="6"/>
      <c r="B27" s="6"/>
      <c r="C27" s="6"/>
      <c r="D27" s="6"/>
      <c r="E27" s="6"/>
      <c r="F27" s="6"/>
      <c r="G27" s="6"/>
    </row>
    <row r="28" customFormat="false" ht="15" hidden="false" customHeight="false" outlineLevel="0" collapsed="false">
      <c r="A28" s="6"/>
      <c r="B28" s="23" t="s">
        <v>351</v>
      </c>
      <c r="C28" s="24"/>
      <c r="D28" s="24"/>
      <c r="E28" s="24"/>
      <c r="F28" s="24"/>
      <c r="G28" s="24"/>
    </row>
    <row r="29" customFormat="false" ht="15" hidden="false" customHeight="false" outlineLevel="0" collapsed="false">
      <c r="A29" s="6"/>
      <c r="B29" s="45" t="s">
        <v>352</v>
      </c>
      <c r="C29" s="46" t="n">
        <f aca="false">IFERROR(C22/C17,0)</f>
        <v>0.153814880966531</v>
      </c>
      <c r="D29" s="46" t="n">
        <f aca="false">IFERROR(D22/D17,0)</f>
        <v>0.165343012825431</v>
      </c>
      <c r="E29" s="46" t="n">
        <f aca="false">IFERROR(E22/E17,0)</f>
        <v>0.176110064694252</v>
      </c>
      <c r="F29" s="46" t="n">
        <f aca="false">IFERROR(F22/F17,0)</f>
        <v>0.186875850984644</v>
      </c>
      <c r="G29" s="46" t="n">
        <f aca="false">IFERROR(G22/G17,0)</f>
        <v>0.198098590507238</v>
      </c>
    </row>
    <row r="30" customFormat="false" ht="15" hidden="false" customHeight="false" outlineLevel="0" collapsed="false">
      <c r="A30" s="6"/>
      <c r="B30" s="45" t="s">
        <v>353</v>
      </c>
      <c r="C30" s="46" t="n">
        <f aca="false">IFERROR(C24/C17,0)</f>
        <v>0.168802738287887</v>
      </c>
      <c r="D30" s="46" t="n">
        <f aca="false">IFERROR(D24/D17,0)</f>
        <v>0.179597397866081</v>
      </c>
      <c r="E30" s="46" t="n">
        <f aca="false">IFERROR(E24/E17,0)</f>
        <v>0.189600549162554</v>
      </c>
      <c r="F30" s="46" t="n">
        <f aca="false">IFERROR(F24/F17,0)</f>
        <v>0.199644568350319</v>
      </c>
      <c r="G30" s="46" t="n">
        <f aca="false">IFERROR(G24/G17,0)</f>
        <v>0.210249469319528</v>
      </c>
    </row>
    <row r="31" customFormat="false" ht="15" hidden="false" customHeight="false" outlineLevel="0" collapsed="false">
      <c r="A31" s="6"/>
      <c r="B31" s="45" t="s">
        <v>354</v>
      </c>
      <c r="C31" s="46" t="n">
        <f aca="false">IFERROR(C26/C17,0)</f>
        <v>0.191284524269922</v>
      </c>
      <c r="D31" s="46" t="n">
        <f aca="false">IFERROR(D26/D17,0)</f>
        <v>0.200978975427057</v>
      </c>
      <c r="E31" s="46" t="n">
        <f aca="false">IFERROR(E26/E17,0)</f>
        <v>0.209836275865008</v>
      </c>
      <c r="F31" s="46" t="n">
        <f aca="false">IFERROR(F26/F17,0)</f>
        <v>0.218797644398832</v>
      </c>
      <c r="G31" s="46" t="n">
        <f aca="false">IFERROR(G26/G17,0)</f>
        <v>0.228475787537965</v>
      </c>
    </row>
    <row r="32" customFormat="false" ht="15" hidden="false" customHeight="false" outlineLevel="0" collapsed="false">
      <c r="A32" s="6"/>
      <c r="B32" s="45" t="s">
        <v>355</v>
      </c>
      <c r="C32" s="46" t="n">
        <f aca="false">IFERROR(C24/Balance_Sheet!C$17,0)</f>
        <v>0.10775989438463</v>
      </c>
      <c r="D32" s="46" t="n">
        <f aca="false">IFERROR(D24/Balance_Sheet!D$17,0)</f>
        <v>0.11487693075976</v>
      </c>
      <c r="E32" s="46" t="n">
        <f aca="false">IFERROR(E24/Balance_Sheet!E$17,0)</f>
        <v>0.122108370897544</v>
      </c>
      <c r="F32" s="46" t="n">
        <f aca="false">IFERROR(F24/Balance_Sheet!F$17,0)</f>
        <v>0.129444728541781</v>
      </c>
      <c r="G32" s="46" t="n">
        <f aca="false">IFERROR(G24/Balance_Sheet!G$17,0)</f>
        <v>0.136499566790607</v>
      </c>
    </row>
    <row r="33" customFormat="false" ht="15" hidden="false" customHeight="false" outlineLevel="0" collapsed="false">
      <c r="A33" s="6"/>
      <c r="B33" s="27" t="s">
        <v>180</v>
      </c>
      <c r="C33" s="30" t="n">
        <f aca="false">Target_CET1</f>
        <v>0.115</v>
      </c>
      <c r="D33" s="30" t="n">
        <f aca="false">Target_CET1</f>
        <v>0.115</v>
      </c>
      <c r="E33" s="30" t="n">
        <f aca="false">Target_CET1</f>
        <v>0.115</v>
      </c>
      <c r="F33" s="30" t="n">
        <f aca="false">Target_CET1</f>
        <v>0.115</v>
      </c>
      <c r="G33" s="30" t="n">
        <f aca="false">Target_CET1</f>
        <v>0.115</v>
      </c>
    </row>
    <row r="34" customFormat="false" ht="15" hidden="false" customHeight="false" outlineLevel="0" collapsed="false">
      <c r="A34" s="6"/>
      <c r="B34" s="27" t="s">
        <v>182</v>
      </c>
      <c r="C34" s="30" t="n">
        <f aca="false">Target_T1</f>
        <v>0.13</v>
      </c>
      <c r="D34" s="30" t="n">
        <f aca="false">Target_T1</f>
        <v>0.13</v>
      </c>
      <c r="E34" s="30" t="n">
        <f aca="false">Target_T1</f>
        <v>0.13</v>
      </c>
      <c r="F34" s="30" t="n">
        <f aca="false">Target_T1</f>
        <v>0.13</v>
      </c>
      <c r="G34" s="30" t="n">
        <f aca="false">Target_T1</f>
        <v>0.13</v>
      </c>
    </row>
    <row r="35" customFormat="false" ht="15" hidden="false" customHeight="false" outlineLevel="0" collapsed="false">
      <c r="A35" s="6"/>
      <c r="B35" s="27" t="s">
        <v>184</v>
      </c>
      <c r="C35" s="30" t="n">
        <f aca="false">Target_TC</f>
        <v>0.155</v>
      </c>
      <c r="D35" s="30" t="n">
        <f aca="false">Target_TC</f>
        <v>0.155</v>
      </c>
      <c r="E35" s="30" t="n">
        <f aca="false">Target_TC</f>
        <v>0.155</v>
      </c>
      <c r="F35" s="30" t="n">
        <f aca="false">Target_TC</f>
        <v>0.155</v>
      </c>
      <c r="G35" s="30" t="n">
        <f aca="false">Target_TC</f>
        <v>0.155</v>
      </c>
    </row>
    <row r="36" customFormat="false" ht="15" hidden="false" customHeight="false" outlineLevel="0" collapsed="false">
      <c r="A36" s="6"/>
      <c r="B36" s="27" t="s">
        <v>186</v>
      </c>
      <c r="C36" s="30" t="n">
        <f aca="false">Target_Leverage</f>
        <v>0.05</v>
      </c>
      <c r="D36" s="30" t="n">
        <f aca="false">Target_Leverage</f>
        <v>0.05</v>
      </c>
      <c r="E36" s="30" t="n">
        <f aca="false">Target_Leverage</f>
        <v>0.05</v>
      </c>
      <c r="F36" s="30" t="n">
        <f aca="false">Target_Leverage</f>
        <v>0.05</v>
      </c>
      <c r="G36" s="30" t="n">
        <f aca="false">Target_Leverage</f>
        <v>0.05</v>
      </c>
    </row>
    <row r="37" customFormat="false" ht="15" hidden="false" customHeight="false" outlineLevel="0" collapsed="false">
      <c r="A37" s="6"/>
      <c r="B37" s="6"/>
      <c r="C37" s="6"/>
      <c r="D37" s="6"/>
      <c r="E37" s="6"/>
      <c r="F37" s="6"/>
      <c r="G37" s="6"/>
    </row>
    <row r="38" customFormat="false" ht="15" hidden="false" customHeight="false" outlineLevel="0" collapsed="false">
      <c r="A38" s="6"/>
      <c r="B38" s="23" t="s">
        <v>190</v>
      </c>
      <c r="C38" s="24"/>
      <c r="D38" s="24"/>
      <c r="E38" s="24"/>
      <c r="F38" s="24"/>
      <c r="G38" s="24"/>
    </row>
    <row r="39" customFormat="false" ht="15" hidden="false" customHeight="false" outlineLevel="0" collapsed="false">
      <c r="A39" s="6"/>
      <c r="B39" s="34" t="s">
        <v>356</v>
      </c>
      <c r="C39" s="35" t="n">
        <f aca="false">Balance_Sheet!C$10+Balance_Sheet!C$11</f>
        <v>3135.48</v>
      </c>
      <c r="D39" s="35" t="n">
        <f aca="false">Balance_Sheet!D$10+Balance_Sheet!D$11</f>
        <v>3290.334</v>
      </c>
      <c r="E39" s="35" t="n">
        <f aca="false">Balance_Sheet!E$10+Balance_Sheet!E$11</f>
        <v>3452.9307</v>
      </c>
      <c r="F39" s="35" t="n">
        <f aca="false">Balance_Sheet!F$10+Balance_Sheet!F$11</f>
        <v>3623.657235</v>
      </c>
      <c r="G39" s="35" t="n">
        <f aca="false">Balance_Sheet!G$10+Balance_Sheet!G$11</f>
        <v>3802.92009675</v>
      </c>
    </row>
    <row r="40" customFormat="false" ht="15" hidden="false" customHeight="false" outlineLevel="0" collapsed="false">
      <c r="A40" s="6"/>
      <c r="B40" s="34" t="s">
        <v>357</v>
      </c>
      <c r="C40" s="35" t="n">
        <f aca="false">(Balance_Sheet!C$21+Balance_Sheet!C$23)*Net_Outflow_Rate</f>
        <v>1771.2541719624</v>
      </c>
      <c r="D40" s="35" t="n">
        <f aca="false">(Balance_Sheet!D$21+Balance_Sheet!D$23)*Net_Outflow_Rate</f>
        <v>1845.97557408793</v>
      </c>
      <c r="E40" s="35" t="n">
        <f aca="false">(Balance_Sheet!E$21+Balance_Sheet!E$23)*Net_Outflow_Rate</f>
        <v>1923.35993650074</v>
      </c>
      <c r="F40" s="35" t="n">
        <f aca="false">(Balance_Sheet!F$21+Balance_Sheet!F$23)*Net_Outflow_Rate</f>
        <v>2003.49682745247</v>
      </c>
      <c r="G40" s="35" t="n">
        <f aca="false">(Balance_Sheet!G$21+Balance_Sheet!G$23)*Net_Outflow_Rate</f>
        <v>2087.67460621881</v>
      </c>
    </row>
    <row r="41" customFormat="false" ht="15" hidden="false" customHeight="false" outlineLevel="0" collapsed="false">
      <c r="A41" s="6"/>
      <c r="B41" s="45" t="s">
        <v>358</v>
      </c>
      <c r="C41" s="46" t="n">
        <f aca="false">IFERROR(C39/C40,0)</f>
        <v>1.77020331109575</v>
      </c>
      <c r="D41" s="46" t="n">
        <f aca="false">IFERROR(D39/D40,0)</f>
        <v>1.7824363692492</v>
      </c>
      <c r="E41" s="46" t="n">
        <f aca="false">IFERROR(E39/E40,0)</f>
        <v>1.79525976104197</v>
      </c>
      <c r="F41" s="46" t="n">
        <f aca="false">IFERROR(F39/F40,0)</f>
        <v>1.8086663204791</v>
      </c>
      <c r="G41" s="46" t="n">
        <f aca="false">IFERROR(G39/G40,0)</f>
        <v>1.82160576433788</v>
      </c>
    </row>
    <row r="42" customFormat="false" ht="15" hidden="false" customHeight="false" outlineLevel="0" collapsed="false">
      <c r="A42" s="6"/>
      <c r="B42" s="27" t="s">
        <v>193</v>
      </c>
      <c r="C42" s="30" t="n">
        <f aca="false">Target_LCR</f>
        <v>1</v>
      </c>
      <c r="D42" s="30" t="n">
        <f aca="false">Target_LCR</f>
        <v>1</v>
      </c>
      <c r="E42" s="30" t="n">
        <f aca="false">Target_LCR</f>
        <v>1</v>
      </c>
      <c r="F42" s="30" t="n">
        <f aca="false">Target_LCR</f>
        <v>1</v>
      </c>
      <c r="G42" s="30" t="n">
        <f aca="false">Target_LCR</f>
        <v>1</v>
      </c>
    </row>
    <row r="43" customFormat="false" ht="15" hidden="false" customHeight="false" outlineLevel="0" collapsed="false">
      <c r="A43" s="6"/>
      <c r="B43" s="34" t="s">
        <v>359</v>
      </c>
      <c r="C43" s="35" t="n">
        <f aca="false">Balance_Sheet!C$33*ASF_Equity+Balance_Sheet!C$20*ASF_NIB+Balance_Sheet!C$21*ASF_IB+Balance_Sheet!C$23*ASF_Wholesale</f>
        <v>9312.9596560752</v>
      </c>
      <c r="D43" s="35" t="n">
        <f aca="false">Balance_Sheet!D$33*ASF_Equity+Balance_Sheet!D$20*ASF_NIB+Balance_Sheet!D$21*ASF_IB+Balance_Sheet!D$23*ASF_Wholesale</f>
        <v>9775.85157182414</v>
      </c>
      <c r="E43" s="35" t="n">
        <f aca="false">Balance_Sheet!E$33*ASF_Equity+Balance_Sheet!E$20*ASF_NIB+Balance_Sheet!E$21*ASF_IB+Balance_Sheet!E$23*ASF_Wholesale</f>
        <v>10263.0727557985</v>
      </c>
      <c r="F43" s="35" t="n">
        <f aca="false">Balance_Sheet!F$33*ASF_Equity+Balance_Sheet!F$20*ASF_NIB+Balance_Sheet!F$21*ASF_IB+Balance_Sheet!F$23*ASF_Wholesale</f>
        <v>10775.8883690471</v>
      </c>
      <c r="G43" s="35" t="n">
        <f aca="false">Balance_Sheet!G$33*ASF_Equity+Balance_Sheet!G$20*ASF_NIB+Balance_Sheet!G$21*ASF_IB+Balance_Sheet!G$23*ASF_Wholesale</f>
        <v>11313.2366669725</v>
      </c>
    </row>
    <row r="44" customFormat="false" ht="15" hidden="false" customHeight="false" outlineLevel="0" collapsed="false">
      <c r="A44" s="6"/>
      <c r="B44" s="34" t="s">
        <v>360</v>
      </c>
      <c r="C44" s="35" t="n">
        <f aca="false">Balance_Sheet!C$14*RSF_Loans+Balance_Sheet!C$10*RSF_Cash+Balance_Sheet!C$11*RSF_Sec+Balance_Sheet!C$15*RSF_PPE</f>
        <v>6349.347</v>
      </c>
      <c r="D44" s="35" t="n">
        <f aca="false">Balance_Sheet!D$14*RSF_Loans+Balance_Sheet!D$10*RSF_Cash+Balance_Sheet!D$11*RSF_Sec+Balance_Sheet!D$15*RSF_PPE</f>
        <v>6662.92635</v>
      </c>
      <c r="E44" s="35" t="n">
        <f aca="false">Balance_Sheet!E$14*RSF_Loans+Balance_Sheet!E$10*RSF_Cash+Balance_Sheet!E$11*RSF_Sec+Balance_Sheet!E$15*RSF_PPE</f>
        <v>6992.1846675</v>
      </c>
      <c r="F44" s="35" t="n">
        <f aca="false">Balance_Sheet!F$14*RSF_Loans+Balance_Sheet!F$10*RSF_Cash+Balance_Sheet!F$11*RSF_Sec+Balance_Sheet!F$15*RSF_PPE</f>
        <v>7337.905900875</v>
      </c>
      <c r="G44" s="35" t="n">
        <f aca="false">Balance_Sheet!G$14*RSF_Loans+Balance_Sheet!G$10*RSF_Cash+Balance_Sheet!G$11*RSF_Sec+Balance_Sheet!G$15*RSF_PPE</f>
        <v>7700.91319591875</v>
      </c>
    </row>
    <row r="45" customFormat="false" ht="15" hidden="false" customHeight="false" outlineLevel="0" collapsed="false">
      <c r="A45" s="6"/>
      <c r="B45" s="45" t="s">
        <v>361</v>
      </c>
      <c r="C45" s="46" t="n">
        <f aca="false">IFERROR(C43/C44,0)</f>
        <v>1.46675865346077</v>
      </c>
      <c r="D45" s="46" t="n">
        <f aca="false">IFERROR(D43/D44,0)</f>
        <v>1.46720090517347</v>
      </c>
      <c r="E45" s="46" t="n">
        <f aca="false">IFERROR(E43/E44,0)</f>
        <v>1.46779200548031</v>
      </c>
      <c r="F45" s="46" t="n">
        <f aca="false">IFERROR(F43/F44,0)</f>
        <v>1.46852365165409</v>
      </c>
      <c r="G45" s="46" t="n">
        <f aca="false">IFERROR(G43/G44,0)</f>
        <v>1.46907728721941</v>
      </c>
    </row>
    <row r="46" customFormat="false" ht="15" hidden="false" customHeight="false" outlineLevel="0" collapsed="false">
      <c r="A46" s="6"/>
      <c r="B46" s="27" t="s">
        <v>211</v>
      </c>
      <c r="C46" s="30" t="n">
        <f aca="false">Target_NSFR</f>
        <v>1</v>
      </c>
      <c r="D46" s="30" t="n">
        <f aca="false">Target_NSFR</f>
        <v>1</v>
      </c>
      <c r="E46" s="30" t="n">
        <f aca="false">Target_NSFR</f>
        <v>1</v>
      </c>
      <c r="F46" s="30" t="n">
        <f aca="false">Target_NSFR</f>
        <v>1</v>
      </c>
      <c r="G46" s="30" t="n">
        <f aca="false">Target_NSFR</f>
        <v>1</v>
      </c>
    </row>
    <row r="47" customFormat="false" ht="15" hidden="false" customHeight="false" outlineLevel="0" collapsed="false">
      <c r="A47" s="6"/>
      <c r="B47" s="6"/>
      <c r="C47" s="6"/>
      <c r="D47" s="6"/>
      <c r="E47" s="6"/>
      <c r="F47" s="6"/>
      <c r="G47" s="6"/>
    </row>
    <row r="48" customFormat="false" ht="15" hidden="false" customHeight="false" outlineLevel="0" collapsed="false">
      <c r="A48" s="6"/>
      <c r="B48" s="23" t="s">
        <v>362</v>
      </c>
      <c r="C48" s="24"/>
      <c r="D48" s="24"/>
      <c r="E48" s="24"/>
      <c r="F48" s="24"/>
      <c r="G48" s="24"/>
    </row>
    <row r="49" customFormat="false" ht="15" hidden="false" customHeight="false" outlineLevel="0" collapsed="false">
      <c r="A49" s="6"/>
      <c r="B49" s="34" t="s">
        <v>363</v>
      </c>
      <c r="C49" s="35" t="n">
        <f aca="false">C17*Target_CET1</f>
        <v>767.287795275</v>
      </c>
      <c r="D49" s="35" t="n">
        <f aca="false">D17*Target_CET1</f>
        <v>806.769283080561</v>
      </c>
      <c r="E49" s="35" t="n">
        <f aca="false">E17*Target_CET1</f>
        <v>852.452706722341</v>
      </c>
      <c r="F49" s="35" t="n">
        <f aca="false">F17*Target_CET1</f>
        <v>900.638620987438</v>
      </c>
      <c r="G49" s="35" t="n">
        <f aca="false">G17*Target_CET1</f>
        <v>946.433601853361</v>
      </c>
    </row>
    <row r="50" customFormat="false" ht="15" hidden="false" customHeight="false" outlineLevel="0" collapsed="false">
      <c r="A50" s="6"/>
      <c r="B50" s="34" t="s">
        <v>364</v>
      </c>
      <c r="C50" s="35" t="n">
        <f aca="false">MAX(0,C49-(Open_Share_Cap+Open_Ret_Earn))</f>
        <v>0</v>
      </c>
      <c r="D50" s="35" t="n">
        <f aca="false">MAX(0,D49-C22)</f>
        <v>0</v>
      </c>
      <c r="E50" s="35" t="n">
        <f aca="false">MAX(0,E49-D22)</f>
        <v>0</v>
      </c>
      <c r="F50" s="35" t="n">
        <f aca="false">MAX(0,F49-E22)</f>
        <v>0</v>
      </c>
      <c r="G50" s="35" t="n">
        <f aca="false">MAX(0,G49-F22)</f>
        <v>0</v>
      </c>
    </row>
    <row r="51" customFormat="false" ht="15" hidden="false" customHeight="false" outlineLevel="0" collapsed="false">
      <c r="A51" s="6"/>
      <c r="B51" s="34" t="s">
        <v>365</v>
      </c>
      <c r="C51" s="35" t="n">
        <f aca="false">Income_Statement!C$25</f>
        <v>210.438853584</v>
      </c>
      <c r="D51" s="35" t="n">
        <f aca="false">Income_Statement!D$25</f>
        <v>222.802652496473</v>
      </c>
      <c r="E51" s="35" t="n">
        <f aca="false">Income_Statement!E$25</f>
        <v>242.490397247956</v>
      </c>
      <c r="F51" s="35" t="n">
        <f aca="false">Income_Statement!F$25</f>
        <v>263.508802855101</v>
      </c>
      <c r="G51" s="35" t="n">
        <f aca="false">Income_Statement!G$25</f>
        <v>277.964547959064</v>
      </c>
    </row>
    <row r="52" customFormat="false" ht="15" hidden="false" customHeight="false" outlineLevel="0" collapsed="false">
      <c r="A52" s="6"/>
      <c r="B52" s="34" t="s">
        <v>366</v>
      </c>
      <c r="C52" s="35" t="n">
        <f aca="false">C51-C50</f>
        <v>210.438853584</v>
      </c>
      <c r="D52" s="35" t="n">
        <f aca="false">D51-D50</f>
        <v>222.802652496473</v>
      </c>
      <c r="E52" s="35" t="n">
        <f aca="false">E51-E50</f>
        <v>242.490397247956</v>
      </c>
      <c r="F52" s="35" t="n">
        <f aca="false">F51-F50</f>
        <v>263.508802855101</v>
      </c>
      <c r="G52" s="35" t="n">
        <f aca="false">G51-G50</f>
        <v>277.964547959064</v>
      </c>
    </row>
    <row r="53" customFormat="false" ht="15" hidden="false" customHeight="false" outlineLevel="0" collapsed="false">
      <c r="A53" s="6"/>
      <c r="B53" s="34" t="s">
        <v>367</v>
      </c>
      <c r="C53" s="35" t="n">
        <f aca="false">MAX(0,C51)*Dividend_Payout</f>
        <v>84.1755414336</v>
      </c>
      <c r="D53" s="35" t="n">
        <f aca="false">MAX(0,D51)*Dividend_Payout</f>
        <v>89.1210609985892</v>
      </c>
      <c r="E53" s="35" t="n">
        <f aca="false">MAX(0,E51)*Dividend_Payout</f>
        <v>96.9961588991823</v>
      </c>
      <c r="F53" s="35" t="n">
        <f aca="false">MAX(0,F51)*Dividend_Payout</f>
        <v>105.40352114204</v>
      </c>
      <c r="G53" s="35" t="n">
        <f aca="false">MAX(0,G51)*Dividend_Payout</f>
        <v>111.185819183626</v>
      </c>
    </row>
    <row r="54" customFormat="false" ht="15" hidden="false" customHeight="false" outlineLevel="0" collapsed="false">
      <c r="A54" s="6"/>
      <c r="B54" s="39" t="s">
        <v>368</v>
      </c>
      <c r="C54" s="40" t="n">
        <f aca="false">MAX(0,MIN(C52,C53))</f>
        <v>84.1755414336</v>
      </c>
      <c r="D54" s="40" t="n">
        <f aca="false">MAX(0,MIN(D52,D53))</f>
        <v>89.1210609985892</v>
      </c>
      <c r="E54" s="40" t="n">
        <f aca="false">MAX(0,MIN(E52,E53))</f>
        <v>96.9961588991823</v>
      </c>
      <c r="F54" s="40" t="n">
        <f aca="false">MAX(0,MIN(F52,F53))</f>
        <v>105.40352114204</v>
      </c>
      <c r="G54" s="40" t="n">
        <f aca="false">MAX(0,MIN(G52,G53))</f>
        <v>111.185819183626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369</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370</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47" t="s">
        <v>371</v>
      </c>
      <c r="C6" s="6"/>
      <c r="D6" s="6"/>
      <c r="E6" s="6"/>
      <c r="F6" s="6"/>
      <c r="G6" s="6"/>
    </row>
    <row r="7" customFormat="false" ht="15" hidden="false" customHeight="false" outlineLevel="0" collapsed="false">
      <c r="A7" s="6"/>
      <c r="B7" s="7" t="s">
        <v>372</v>
      </c>
      <c r="C7" s="40" t="n">
        <f aca="false">G17+G22</f>
        <v>1244.31129375239</v>
      </c>
      <c r="D7" s="9" t="s">
        <v>62</v>
      </c>
      <c r="E7" s="6"/>
      <c r="F7" s="6"/>
      <c r="G7" s="6"/>
    </row>
    <row r="8" customFormat="false" ht="15" hidden="false" customHeight="false" outlineLevel="0" collapsed="false">
      <c r="A8" s="6"/>
      <c r="B8" s="7" t="s">
        <v>373</v>
      </c>
      <c r="C8" s="48" t="n">
        <f aca="false">Open_Share_Cap+Open_Ret_Earn</f>
        <v>900</v>
      </c>
      <c r="D8" s="9" t="s">
        <v>62</v>
      </c>
      <c r="E8" s="6"/>
      <c r="F8" s="6"/>
      <c r="G8" s="6"/>
    </row>
    <row r="9" customFormat="false" ht="15" hidden="false" customHeight="false" outlineLevel="0" collapsed="false">
      <c r="A9" s="6"/>
      <c r="B9" s="7" t="s">
        <v>374</v>
      </c>
      <c r="C9" s="49" t="n">
        <f aca="false">IFERROR(C7/C8,0)</f>
        <v>1.38256810416932</v>
      </c>
      <c r="D9" s="9" t="s">
        <v>178</v>
      </c>
      <c r="E9" s="6"/>
      <c r="F9" s="6"/>
      <c r="G9" s="6"/>
    </row>
    <row r="10" customFormat="false" ht="15" hidden="false" customHeight="false" outlineLevel="0" collapsed="false">
      <c r="A10" s="6"/>
      <c r="B10" s="6"/>
      <c r="C10" s="6"/>
      <c r="D10" s="6"/>
      <c r="E10" s="6"/>
      <c r="F10" s="6"/>
      <c r="G10" s="6"/>
    </row>
    <row r="11" customFormat="false" ht="15" hidden="false" customHeight="false" outlineLevel="0" collapsed="false">
      <c r="A11" s="6"/>
      <c r="B11" s="21" t="s">
        <v>228</v>
      </c>
      <c r="C11" s="32" t="n">
        <f aca="false">Model_Start_Year+0</f>
        <v>2026</v>
      </c>
      <c r="D11" s="32" t="n">
        <f aca="false">Model_Start_Year+1</f>
        <v>2027</v>
      </c>
      <c r="E11" s="32" t="n">
        <f aca="false">Model_Start_Year+2</f>
        <v>2028</v>
      </c>
      <c r="F11" s="32" t="n">
        <f aca="false">Model_Start_Year+3</f>
        <v>2029</v>
      </c>
      <c r="G11" s="32" t="n">
        <f aca="false">Model_Start_Year+4</f>
        <v>2030</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23" t="s">
        <v>375</v>
      </c>
      <c r="C13" s="24"/>
      <c r="D13" s="24"/>
      <c r="E13" s="24"/>
      <c r="F13" s="24"/>
      <c r="G13" s="24"/>
    </row>
    <row r="14" customFormat="false" ht="15" hidden="false" customHeight="false" outlineLevel="0" collapsed="false">
      <c r="A14" s="6"/>
      <c r="B14" s="34" t="s">
        <v>376</v>
      </c>
      <c r="C14" s="35" t="n">
        <f aca="false">Capital_Adequacy!C$54</f>
        <v>84.1755414336</v>
      </c>
      <c r="D14" s="35" t="n">
        <f aca="false">Capital_Adequacy!D$54</f>
        <v>89.1210609985892</v>
      </c>
      <c r="E14" s="35" t="n">
        <f aca="false">Capital_Adequacy!E$54</f>
        <v>96.9961588991823</v>
      </c>
      <c r="F14" s="35" t="n">
        <f aca="false">Capital_Adequacy!F$54</f>
        <v>105.40352114204</v>
      </c>
      <c r="G14" s="35" t="n">
        <f aca="false">Capital_Adequacy!G$54</f>
        <v>111.185819183626</v>
      </c>
    </row>
    <row r="15" customFormat="false" ht="15" hidden="false" customHeight="false" outlineLevel="0" collapsed="false">
      <c r="A15" s="6"/>
      <c r="B15" s="34" t="s">
        <v>377</v>
      </c>
      <c r="C15" s="50" t="n">
        <f aca="false">1/(1+Cost_Of_Equity)^1</f>
        <v>0.909090909090909</v>
      </c>
      <c r="D15" s="50" t="n">
        <f aca="false">1/(1+Cost_Of_Equity)^2</f>
        <v>0.826446280991735</v>
      </c>
      <c r="E15" s="50" t="n">
        <f aca="false">1/(1+Cost_Of_Equity)^3</f>
        <v>0.751314800901578</v>
      </c>
      <c r="F15" s="50" t="n">
        <f aca="false">1/(1+Cost_Of_Equity)^4</f>
        <v>0.683013455365071</v>
      </c>
      <c r="G15" s="50" t="n">
        <f aca="false">1/(1+Cost_Of_Equity)^5</f>
        <v>0.620921323059155</v>
      </c>
    </row>
    <row r="16" customFormat="false" ht="15" hidden="false" customHeight="false" outlineLevel="0" collapsed="false">
      <c r="A16" s="6"/>
      <c r="B16" s="34" t="s">
        <v>378</v>
      </c>
      <c r="C16" s="35" t="n">
        <f aca="false">C14*C15</f>
        <v>76.5232194850909</v>
      </c>
      <c r="D16" s="35" t="n">
        <f aca="false">D14*D15</f>
        <v>73.6537694203216</v>
      </c>
      <c r="E16" s="35" t="n">
        <f aca="false">E14*E15</f>
        <v>72.8746498115569</v>
      </c>
      <c r="F16" s="35" t="n">
        <f aca="false">F14*F15</f>
        <v>71.9920231828703</v>
      </c>
      <c r="G16" s="35" t="n">
        <f aca="false">G14*G15</f>
        <v>69.0376459529129</v>
      </c>
    </row>
    <row r="17" customFormat="false" ht="15" hidden="false" customHeight="false" outlineLevel="0" collapsed="false">
      <c r="A17" s="6"/>
      <c r="B17" s="41" t="s">
        <v>379</v>
      </c>
      <c r="C17" s="38" t="n">
        <f aca="false">C16</f>
        <v>76.5232194850909</v>
      </c>
      <c r="D17" s="38" t="n">
        <f aca="false">C17+D16</f>
        <v>150.176988905413</v>
      </c>
      <c r="E17" s="38" t="n">
        <f aca="false">D17+E16</f>
        <v>223.051638716969</v>
      </c>
      <c r="F17" s="38" t="n">
        <f aca="false">E17+F16</f>
        <v>295.04366189984</v>
      </c>
      <c r="G17" s="38" t="n">
        <f aca="false">F17+G16</f>
        <v>364.081307852753</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23" t="s">
        <v>380</v>
      </c>
      <c r="C19" s="24"/>
      <c r="D19" s="24"/>
      <c r="E19" s="24"/>
      <c r="F19" s="24"/>
      <c r="G19" s="24"/>
    </row>
    <row r="20" customFormat="false" ht="15" hidden="false" customHeight="false" outlineLevel="0" collapsed="false">
      <c r="A20" s="6"/>
      <c r="B20" s="25" t="s">
        <v>381</v>
      </c>
      <c r="C20" s="35"/>
      <c r="D20" s="35"/>
      <c r="E20" s="35"/>
      <c r="F20" s="35"/>
      <c r="G20" s="35" t="n">
        <f aca="false">G14*(1+Terminal_Growth)</f>
        <v>113.409535567298</v>
      </c>
    </row>
    <row r="21" customFormat="false" ht="15" hidden="false" customHeight="false" outlineLevel="0" collapsed="false">
      <c r="A21" s="6"/>
      <c r="B21" s="25" t="s">
        <v>382</v>
      </c>
      <c r="C21" s="35"/>
      <c r="D21" s="35"/>
      <c r="E21" s="35"/>
      <c r="F21" s="35"/>
      <c r="G21" s="35" t="n">
        <f aca="false">G20/(Cost_Of_Equity-Terminal_Growth)</f>
        <v>1417.61919459123</v>
      </c>
    </row>
    <row r="22" customFormat="false" ht="15" hidden="false" customHeight="false" outlineLevel="0" collapsed="false">
      <c r="A22" s="6"/>
      <c r="B22" s="25" t="s">
        <v>383</v>
      </c>
      <c r="C22" s="35"/>
      <c r="D22" s="35"/>
      <c r="E22" s="35"/>
      <c r="F22" s="35"/>
      <c r="G22" s="35" t="n">
        <f aca="false">G21*G15</f>
        <v>880.229985899639</v>
      </c>
    </row>
    <row r="23" customFormat="false" ht="15" hidden="false" customHeight="false" outlineLevel="0" collapsed="false">
      <c r="A23" s="6"/>
      <c r="B23" s="6"/>
      <c r="C23" s="6"/>
      <c r="D23" s="6"/>
      <c r="E23" s="6"/>
      <c r="F23" s="6"/>
      <c r="G23" s="6"/>
    </row>
    <row r="24" customFormat="false" ht="15" hidden="false" customHeight="false" outlineLevel="0" collapsed="false">
      <c r="A24" s="6"/>
      <c r="B24" s="23" t="s">
        <v>384</v>
      </c>
      <c r="C24" s="24"/>
      <c r="D24" s="24"/>
      <c r="E24" s="24"/>
      <c r="F24" s="24"/>
      <c r="G24" s="24"/>
    </row>
    <row r="25" customFormat="false" ht="15" hidden="false" customHeight="false" outlineLevel="0" collapsed="false">
      <c r="A25" s="6"/>
      <c r="B25" s="45" t="s">
        <v>385</v>
      </c>
      <c r="C25" s="51"/>
      <c r="D25" s="51"/>
      <c r="E25" s="51"/>
      <c r="F25" s="51"/>
      <c r="G25" s="40" t="n">
        <f aca="false">G17+G22</f>
        <v>1244.31129375239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2026-05-15T18:52:47Z</dcterms:created>
  <dc:creator>openpyxl</dc:creator>
  <dc:description/>
  <dc:language>en-GB</dc:language>
  <cp:lastModifiedBy/>
  <dcterms:modified xsi:type="dcterms:W3CDTF">2026-05-15T18:52:47Z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