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4.xml" ContentType="application/vnd.openxmlformats-officedocument.spreadsheetml.worksheet+xml"/>
  <Override PartName="/xl/worksheets/sheet2.xml" ContentType="application/vnd.openxmlformats-officedocument.spreadsheetml.worksheet+xml"/>
  <Override PartName="/xl/worksheets/sheet15.xml" ContentType="application/vnd.openxmlformats-officedocument.spreadsheetml.worksheet+xml"/>
  <Override PartName="/xl/worksheets/sheet3.xml" ContentType="application/vnd.openxmlformats-officedocument.spreadsheetml.worksheet+xml"/>
  <Override PartName="/xl/worksheets/sheet7.xml" ContentType="application/vnd.openxmlformats-officedocument.spreadsheetml.worksheet+xml"/>
  <Override PartName="/xl/worksheets/sheet16.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Deal_Portfolio" sheetId="3" state="visible" r:id="rId5"/>
    <sheet name="OpEx_Schedule" sheetId="4" state="visible" r:id="rId6"/>
    <sheet name="Capex_Depreciation" sheetId="5" state="visible" r:id="rId7"/>
    <sheet name="Working_Capital" sheetId="6" state="visible" r:id="rId8"/>
    <sheet name="Debt_Schedule" sheetId="7" state="visible" r:id="rId9"/>
    <sheet name="Income_Statement" sheetId="8" state="visible" r:id="rId10"/>
    <sheet name="Cash_Flow" sheetId="9" state="visible" r:id="rId11"/>
    <sheet name="Balance_Sheet" sheetId="10" state="visible" r:id="rId12"/>
    <sheet name="Valuation_rNPV" sheetId="11" state="visible" r:id="rId13"/>
    <sheet name="Valuation_DCF_Sanity" sheetId="12" state="visible" r:id="rId14"/>
    <sheet name="Sensitivity" sheetId="13" state="visible" r:id="rId15"/>
    <sheet name="Checks" sheetId="14" state="visible" r:id="rId16"/>
    <sheet name="Appendix_Notes" sheetId="15" state="visible" r:id="rId17"/>
    <sheet name="Disclaimer" sheetId="16" state="visible" r:id="rId18"/>
  </sheets>
  <definedNames>
    <definedName function="false" hidden="false" name="AP_Days" vbProcedure="false">Assumptions!$C$92</definedName>
    <definedName function="false" hidden="false" name="AR_Days" vbProcedure="false">Assumptions!$C$91</definedName>
    <definedName function="false" hidden="false" name="Audit_Clawback_Pct" vbProcedure="false">Assumptions!$C$77</definedName>
    <definedName function="false" hidden="false" name="BD_Base" vbProcedure="false">Assumptions!$C$70</definedName>
    <definedName function="false" hidden="false" name="BD_Growth" vbProcedure="false">Assumptions!$C$71</definedName>
    <definedName function="false" hidden="false" name="Clinical_Base" vbProcedure="false">Assumptions!$C$64</definedName>
    <definedName function="false" hidden="false" name="Clinical_Growth" vbProcedure="false">Assumptions!$C$65</definedName>
    <definedName function="false" hidden="false" name="COGS_3rd_Party_Royalty_Pct" vbProcedure="false">Assumptions!$C$74</definedName>
    <definedName function="false" hidden="false" name="DA_LOE_Erosion" vbProcedure="false">Assumptions!$C$12</definedName>
    <definedName function="false" hidden="false" name="DA_LOE_Year" vbProcedure="false">Assumptions!$C$11</definedName>
    <definedName function="false" hidden="false" name="DA_PostLOE_Decay" vbProcedure="false">Assumptions!$C$13</definedName>
    <definedName function="false" hidden="false" name="DA_Royalty_PostLOE" vbProcedure="false">Assumptions!$C$17</definedName>
    <definedName function="false" hidden="false" name="DA_Royalty_T1" vbProcedure="false">Assumptions!$C$14</definedName>
    <definedName function="false" hidden="false" name="DA_Royalty_T2" vbProcedure="false">Assumptions!$C$15</definedName>
    <definedName function="false" hidden="false" name="DA_Royalty_Threshold" vbProcedure="false">Assumptions!$C$16</definedName>
    <definedName function="false" hidden="false" name="DA_Sales_Growth" vbProcedure="false">Assumptions!$C$10</definedName>
    <definedName function="false" hidden="false" name="DA_Sales_Y1" vbProcedure="false">Assumptions!$C$9</definedName>
    <definedName function="false" hidden="false" name="DB_Launch_Milestone" vbProcedure="false">Assumptions!$C$25</definedName>
    <definedName function="false" hidden="false" name="DB_Launch_MS_Yr" vbProcedure="false">Assumptions!$C$24</definedName>
    <definedName function="false" hidden="false" name="DB_Launch_Sales" vbProcedure="false">Assumptions!$C$29</definedName>
    <definedName function="false" hidden="false" name="DB_Launch_Year" vbProcedure="false">Assumptions!$C$28</definedName>
    <definedName function="false" hidden="false" name="DB_Maturity_Year" vbProcedure="false">Assumptions!$C$32</definedName>
    <definedName function="false" hidden="false" name="DB_Ph3_Milestone" vbProcedure="false">Assumptions!$C$21</definedName>
    <definedName function="false" hidden="false" name="DB_Ph3_MS_Yr" vbProcedure="false">Assumptions!$C$20</definedName>
    <definedName function="false" hidden="false" name="DB_Ph3_PoS" vbProcedure="false">Assumptions!$C$26</definedName>
    <definedName function="false" hidden="false" name="DB_Reg_Milestone" vbProcedure="false">Assumptions!$C$23</definedName>
    <definedName function="false" hidden="false" name="DB_Reg_MS_Yr" vbProcedure="false">Assumptions!$C$22</definedName>
    <definedName function="false" hidden="false" name="DB_Reg_PoS" vbProcedure="false">Assumptions!$C$27</definedName>
    <definedName function="false" hidden="false" name="DB_Royalty_Rate" vbProcedure="false">Assumptions!$C$33</definedName>
    <definedName function="false" hidden="false" name="DB_Sales_Growth_Early" vbProcedure="false">Assumptions!$C$30</definedName>
    <definedName function="false" hidden="false" name="DB_Sales_Growth_Mature" vbProcedure="false">Assumptions!$C$31</definedName>
    <definedName function="false" hidden="false" name="DC_Launch_Milestone" vbProcedure="false">Assumptions!$C$44</definedName>
    <definedName function="false" hidden="false" name="DC_Launch_MS_Yr" vbProcedure="false">Assumptions!$C$43</definedName>
    <definedName function="false" hidden="false" name="DC_Launch_Sales" vbProcedure="false">Assumptions!$C$50</definedName>
    <definedName function="false" hidden="false" name="DC_Launch_Year" vbProcedure="false">Assumptions!$C$49</definedName>
    <definedName function="false" hidden="false" name="DC_Maturity_Year" vbProcedure="false">Assumptions!$C$53</definedName>
    <definedName function="false" hidden="false" name="DC_Ph1_PoS" vbProcedure="false">Assumptions!$C$45</definedName>
    <definedName function="false" hidden="false" name="DC_Ph2_Milestone" vbProcedure="false">Assumptions!$C$38</definedName>
    <definedName function="false" hidden="false" name="DC_Ph2_MS_Yr" vbProcedure="false">Assumptions!$C$37</definedName>
    <definedName function="false" hidden="false" name="DC_Ph2_PoS" vbProcedure="false">Assumptions!$C$46</definedName>
    <definedName function="false" hidden="false" name="DC_Ph3_Milestone" vbProcedure="false">Assumptions!$C$40</definedName>
    <definedName function="false" hidden="false" name="DC_Ph3_MS_Yr" vbProcedure="false">Assumptions!$C$39</definedName>
    <definedName function="false" hidden="false" name="DC_Ph3_PoS" vbProcedure="false">Assumptions!$C$47</definedName>
    <definedName function="false" hidden="false" name="DC_Reg_Milestone" vbProcedure="false">Assumptions!$C$42</definedName>
    <definedName function="false" hidden="false" name="DC_Reg_MS_Yr" vbProcedure="false">Assumptions!$C$41</definedName>
    <definedName function="false" hidden="false" name="DC_Reg_PoS" vbProcedure="false">Assumptions!$C$48</definedName>
    <definedName function="false" hidden="false" name="DC_Royalty_Rate" vbProcedure="false">Assumptions!$C$54</definedName>
    <definedName function="false" hidden="false" name="DC_Sales_Growth_Early" vbProcedure="false">Assumptions!$C$51</definedName>
    <definedName function="false" hidden="false" name="DC_Sales_Growth_Mature" vbProcedure="false">Assumptions!$C$52</definedName>
    <definedName function="false" hidden="false" name="Deal_A_rNPV" vbProcedure="false">Valuation_rNPV!$N$13</definedName>
    <definedName function="false" hidden="false" name="Deal_B_rNPV" vbProcedure="false">Valuation_rNPV!$N$24</definedName>
    <definedName function="false" hidden="false" name="Deal_B_TV_Growth" vbProcedure="false">Assumptions!$C$34</definedName>
    <definedName function="false" hidden="false" name="Deal_C_rNPV" vbProcedure="false">Valuation_rNPV!$N$35</definedName>
    <definedName function="false" hidden="false" name="Deal_C_TV_Growth" vbProcedure="false">Assumptions!$C$55</definedName>
    <definedName function="false" hidden="false" name="Discount_Rate" vbProcedure="false">Assumptions!$C$103</definedName>
    <definedName function="false" hidden="false" name="GA_Base" vbProcedure="false">Assumptions!$C$68</definedName>
    <definedName function="false" hidden="false" name="GA_Growth" vbProcedure="false">Assumptions!$C$69</definedName>
    <definedName function="false" hidden="false" name="Inflation_Rate" vbProcedure="false">Assumptions!$C$76</definedName>
    <definedName function="false" hidden="false" name="Intang_Amort_Annual" vbProcedure="false">Assumptions!$C$95</definedName>
    <definedName function="false" hidden="false" name="Maint_Capex" vbProcedure="false">Assumptions!$C$93</definedName>
    <definedName function="false" hidden="false" name="Milestone_Lag_Days" vbProcedure="false">Assumptions!$C$78</definedName>
    <definedName function="false" hidden="false" name="Open_AP" vbProcedure="false">Assumptions!$C$83</definedName>
    <definedName function="false" hidden="false" name="Open_AR" vbProcedure="false">Assumptions!$C$82</definedName>
    <definedName function="false" hidden="false" name="Open_Cash" vbProcedure="false">Assumptions!$C$81</definedName>
    <definedName function="false" hidden="false" name="Open_Debt" vbProcedure="false">Assumptions!$C$88</definedName>
    <definedName function="false" hidden="false" name="Open_Intang_AccAmort" vbProcedure="false">Assumptions!$C$87</definedName>
    <definedName function="false" hidden="false" name="Open_Intang_Gross" vbProcedure="false">Assumptions!$C$86</definedName>
    <definedName function="false" hidden="false" name="Open_PPE_AccDep" vbProcedure="false">Assumptions!$C$85</definedName>
    <definedName function="false" hidden="false" name="Open_PPE_Gross" vbProcedure="false">Assumptions!$C$84</definedName>
    <definedName function="false" hidden="false" name="Open_RE" vbProcedure="false">Assumptions!$C$90</definedName>
    <definedName function="false" hidden="false" name="Open_Share_Capital" vbProcedure="false">Assumptions!$C$89</definedName>
    <definedName function="false" hidden="false" name="Patent_Base" vbProcedure="false">Assumptions!$C$66</definedName>
    <definedName function="false" hidden="false" name="Patent_Growth" vbProcedure="false">Assumptions!$C$67</definedName>
    <definedName function="false" hidden="false" name="Patent_Maintenance_Base" vbProcedure="false">Assumptions!$C$75</definedName>
    <definedName function="false" hidden="false" name="Platform_RD_Base" vbProcedure="false">Assumptions!$C$62</definedName>
    <definedName function="false" hidden="false" name="Platform_RD_Growth" vbProcedure="false">Assumptions!$C$63</definedName>
    <definedName function="false" hidden="false" name="Platform_Rev_Base" vbProcedure="false">Assumptions!$C$58</definedName>
    <definedName function="false" hidden="false" name="Platform_Rev_Growth" vbProcedure="false">Assumptions!$C$59</definedName>
    <definedName function="false" hidden="false" name="Platform_rNPV" vbProcedure="false">Valuation_rNPV!$N$42</definedName>
    <definedName function="false" hidden="false" name="Portfolio_rNPV" vbProcedure="false">Valuation_rNPV!$N$44</definedName>
    <definedName function="false" hidden="false" name="PPE_Useful_Life" vbProcedure="false">Assumptions!$C$94</definedName>
    <definedName function="false" hidden="false" name="Scenario" vbProcedure="false">Assumptions!$C$6</definedName>
    <definedName function="false" hidden="false" name="Tax_Rate" vbProcedure="false">Assumptions!$C$96</definedName>
    <definedName function="false" hidden="false" name="Total_Royalty_Y1_L" vbProcedure="false">Deal_Portfolio!$C$51</definedName>
    <definedName function="false" hidden="false" name="WACC_Commercial" vbProcedure="false">Assumptions!$C$99</definedName>
    <definedName function="false" hidden="false" name="WACC_EarlyStage" vbProcedure="false">Assumptions!$C$101</definedName>
    <definedName function="false" hidden="false" name="WACC_LateStage" vbProcedure="false">Assumptions!$C$100</definedName>
    <definedName function="false" hidden="false" name="WACC_Platform" vbProcedure="false">Assumptions!$C$102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<sst xmlns="http://schemas.openxmlformats.org/spreadsheetml/2006/main" count="483" uniqueCount="436">
  <si>
    <t xml:space="preserve">Biotech IP Licensing — 10-Year Financial Model</t>
  </si>
  <si>
    <t xml:space="preserve">FINAMODEL.com</t>
  </si>
  <si>
    <t xml:space="preserve">Per-asset rNPV valuation with three-statement projection</t>
  </si>
  <si>
    <t xml:space="preserve">Model date:</t>
  </si>
  <si>
    <t xml:space="preserve">rNPV Summary (USD m)</t>
  </si>
  <si>
    <t xml:space="preserve">Deal A rNPV</t>
  </si>
  <si>
    <t xml:space="preserve">Deal B rNPV</t>
  </si>
  <si>
    <t xml:space="preserve">Deal C rNPV</t>
  </si>
  <si>
    <t xml:space="preserve">Platform rNPV</t>
  </si>
  <si>
    <t xml:space="preserve">Portfolio rNPV</t>
  </si>
  <si>
    <t xml:space="preserve">Sheet Index</t>
  </si>
  <si>
    <t xml:space="preserve">Cover</t>
  </si>
  <si>
    <t xml:space="preserve">This page (rNPV summary + index)</t>
  </si>
  <si>
    <t xml:space="preserve">Assumptions</t>
  </si>
  <si>
    <t xml:space="preserve">All model inputs (named ranges) + scenario selector</t>
  </si>
  <si>
    <t xml:space="preserve">Deal_Portfolio</t>
  </si>
  <si>
    <t xml:space="preserve">Revenue build by deal (A, B, C, Platform) — stage-PoS milestones</t>
  </si>
  <si>
    <t xml:space="preserve">OpEx_Schedule</t>
  </si>
  <si>
    <t xml:space="preserve">Operating expense build</t>
  </si>
  <si>
    <t xml:space="preserve">Capex_Depreciation</t>
  </si>
  <si>
    <t xml:space="preserve">PP&amp;E (layer-based dep) and intangible roll-forward</t>
  </si>
  <si>
    <t xml:space="preserve">Working_Capital</t>
  </si>
  <si>
    <t xml:space="preserve">AR (with milestone lag), AP, audit clawback reserve</t>
  </si>
  <si>
    <t xml:space="preserve">Debt_Schedule</t>
  </si>
  <si>
    <t xml:space="preserve">Scaffold (zero debt)</t>
  </si>
  <si>
    <t xml:space="preserve">Income_Statement</t>
  </si>
  <si>
    <t xml:space="preserve">P&amp;L with NOL carry-forward</t>
  </si>
  <si>
    <t xml:space="preserve">Cash_Flow</t>
  </si>
  <si>
    <t xml:space="preserve">Cash flow statement</t>
  </si>
  <si>
    <t xml:space="preserve">Balance_Sheet</t>
  </si>
  <si>
    <t xml:space="preserve">Balance sheet with balance check</t>
  </si>
  <si>
    <t xml:space="preserve">Valuation_rNPV</t>
  </si>
  <si>
    <t xml:space="preserve">Per-asset rNPV (headline output) — per-asset WACC, TV growth</t>
  </si>
  <si>
    <t xml:space="preserve">Valuation_DCF_Sanity</t>
  </si>
  <si>
    <t xml:space="preserve">Consolidated DCF cross-check</t>
  </si>
  <si>
    <t xml:space="preserve">Sensitivity</t>
  </si>
  <si>
    <t xml:space="preserve">Portfolio rNPV: Deal B WACC × DB Ph3 PoS</t>
  </si>
  <si>
    <t xml:space="preserve">Checks</t>
  </si>
  <si>
    <t xml:space="preserve">8 model integrity checks</t>
  </si>
  <si>
    <t xml:space="preserve">Appendix_Notes</t>
  </si>
  <si>
    <t xml:space="preserve">Design notes</t>
  </si>
  <si>
    <t xml:space="preserve">About this model</t>
  </si>
  <si>
    <t xml:space="preserve">A biotech IP licensing model values a portfolio of royalties and development-stage assets by projecting risk-adjusted cash flows from a commercial out-licensed drug, multiple Phase III and Phase I assets, and platform R&amp;D revenue. The model answers what the licensor should expect in annual earnings and cumulative NPV, accounting for patent cliff exposure (a 75% revenue drop when the commercial drug loses exclusivity), probability-of-success (PoS) adjustments on pre-commercial assets, and milestone payment timing tied to clinical and regulatory events.
The revenue structure combines three deal blocks: Deal A (commercial royalty, tiered 10â15% on partner net sales, losing exclusivity in year 6); Deal B (Phase III asset with milestone payments for Phase III readout, regulatory approval, and launch, plus PoS-weighted royalties); Deal C (Phase I asset with multiple development milestones and low cumulative PoS). Costs include third-party royalties payable on royalty revenue (1.5%), patent maintenance and legal ($4M base), R&amp;D spending ($25M base, growing 6% annually), and G&amp;A. The three-statement model projects EBITDA margins of 35â55% in pre-cliff years, declining to 10â20% in the cliff trough (years 6â8), recovering to 25â35% by year 10 as Deal B and Deal C contribute. A separate rNPV sheet shows unrisked and risked cash flows side-by-side for each deal, allowing investors to see the present value of each asset and understand concentration risk if a single deal fails.
Biotech investors, pharma acquirers, and royalty companies use licensing models to value IP assets, stress patent cliff downside by shortening LoE assumptions, and determine what acquisition price is justified for a portfolio of royalties and development optionality.</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</si>
  <si>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</si>
  <si>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</si>
  <si>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</si>
  <si>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</si>
  <si>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Single-cell named ranges. Inputs in column C. Yellow = hardcoded input.</t>
  </si>
  <si>
    <t xml:space="preserve">SCENARIO SELECTOR</t>
  </si>
  <si>
    <t xml:space="preserve">Scenario</t>
  </si>
  <si>
    <t xml:space="preserve">Base</t>
  </si>
  <si>
    <t xml:space="preserve">Scenario  (Base|Upside|Downside)</t>
  </si>
  <si>
    <t xml:space="preserve">DEAL A — COMMERCIAL ROYALTY</t>
  </si>
  <si>
    <t xml:space="preserve">DA Sales Y1</t>
  </si>
  <si>
    <t xml:space="preserve">DA_Sales_Y1</t>
  </si>
  <si>
    <t xml:space="preserve">DA Sales Growth</t>
  </si>
  <si>
    <t xml:space="preserve">DA_Sales_Growth</t>
  </si>
  <si>
    <t xml:space="preserve">DA LOE Year</t>
  </si>
  <si>
    <t xml:space="preserve">DA_LOE_Year  [Base=6, Up=8, Dn=5]</t>
  </si>
  <si>
    <t xml:space="preserve">DA LOE Erosion</t>
  </si>
  <si>
    <t xml:space="preserve">DA_LOE_Erosion  [Base=0.75, Up=0.6, Dn=0.85]</t>
  </si>
  <si>
    <t xml:space="preserve">DA PostLOE Decay</t>
  </si>
  <si>
    <t xml:space="preserve">DA_PostLOE_Decay</t>
  </si>
  <si>
    <t xml:space="preserve">DA Royalty T1</t>
  </si>
  <si>
    <t xml:space="preserve">DA_Royalty_T1</t>
  </si>
  <si>
    <t xml:space="preserve">DA Royalty T2</t>
  </si>
  <si>
    <t xml:space="preserve">DA_Royalty_T2</t>
  </si>
  <si>
    <t xml:space="preserve">DA Royalty Threshold</t>
  </si>
  <si>
    <t xml:space="preserve">DA_Royalty_Threshold</t>
  </si>
  <si>
    <t xml:space="preserve">DA Royalty PostLOE</t>
  </si>
  <si>
    <t xml:space="preserve">DA_Royalty_PostLOE</t>
  </si>
  <si>
    <t xml:space="preserve">DEAL B — PHASE III</t>
  </si>
  <si>
    <t xml:space="preserve">DB Ph3 MS Yr</t>
  </si>
  <si>
    <t xml:space="preserve">DB_Ph3_MS_Yr</t>
  </si>
  <si>
    <t xml:space="preserve">DB Ph3 Milestone</t>
  </si>
  <si>
    <t xml:space="preserve">DB_Ph3_Milestone</t>
  </si>
  <si>
    <t xml:space="preserve">DB Reg MS Yr</t>
  </si>
  <si>
    <t xml:space="preserve">DB_Reg_MS_Yr</t>
  </si>
  <si>
    <t xml:space="preserve">DB Reg Milestone</t>
  </si>
  <si>
    <t xml:space="preserve">DB_Reg_Milestone</t>
  </si>
  <si>
    <t xml:space="preserve">DB Launch MS Yr</t>
  </si>
  <si>
    <t xml:space="preserve">DB_Launch_MS_Yr</t>
  </si>
  <si>
    <t xml:space="preserve">DB Launch Milestone</t>
  </si>
  <si>
    <t xml:space="preserve">DB_Launch_Milestone</t>
  </si>
  <si>
    <t xml:space="preserve">DB Ph3 PoS</t>
  </si>
  <si>
    <t xml:space="preserve">DB_Ph3_PoS  [Base=0.6, Up=0.8, Dn=0.4]</t>
  </si>
  <si>
    <t xml:space="preserve">DB Reg PoS</t>
  </si>
  <si>
    <t xml:space="preserve">DB_Reg_PoS</t>
  </si>
  <si>
    <t xml:space="preserve">DB Launch Year</t>
  </si>
  <si>
    <t xml:space="preserve">DB_Launch_Year</t>
  </si>
  <si>
    <t xml:space="preserve">DB Launch Sales</t>
  </si>
  <si>
    <t xml:space="preserve">DB_Launch_Sales</t>
  </si>
  <si>
    <t xml:space="preserve">DB Sales Growth Early</t>
  </si>
  <si>
    <t xml:space="preserve">DB_Sales_Growth_Early</t>
  </si>
  <si>
    <t xml:space="preserve">DB Sales Growth Mature</t>
  </si>
  <si>
    <t xml:space="preserve">DB_Sales_Growth_Mature</t>
  </si>
  <si>
    <t xml:space="preserve">DB Maturity Year</t>
  </si>
  <si>
    <t xml:space="preserve">DB_Maturity_Year</t>
  </si>
  <si>
    <t xml:space="preserve">DB Royalty Rate</t>
  </si>
  <si>
    <t xml:space="preserve">DB_Royalty_Rate</t>
  </si>
  <si>
    <t xml:space="preserve">Deal B TV Growth</t>
  </si>
  <si>
    <t xml:space="preserve">Deal_B_TV_Growth</t>
  </si>
  <si>
    <t xml:space="preserve">DEAL C — PHASE I</t>
  </si>
  <si>
    <t xml:space="preserve">DC Ph2 MS Yr</t>
  </si>
  <si>
    <t xml:space="preserve">DC_Ph2_MS_Yr</t>
  </si>
  <si>
    <t xml:space="preserve">DC Ph2 Milestone</t>
  </si>
  <si>
    <t xml:space="preserve">DC_Ph2_Milestone</t>
  </si>
  <si>
    <t xml:space="preserve">DC Ph3 MS Yr</t>
  </si>
  <si>
    <t xml:space="preserve">DC_Ph3_MS_Yr</t>
  </si>
  <si>
    <t xml:space="preserve">DC Ph3 Milestone</t>
  </si>
  <si>
    <t xml:space="preserve">DC_Ph3_Milestone</t>
  </si>
  <si>
    <t xml:space="preserve">DC Reg MS Yr</t>
  </si>
  <si>
    <t xml:space="preserve">DC_Reg_MS_Yr</t>
  </si>
  <si>
    <t xml:space="preserve">DC Reg Milestone</t>
  </si>
  <si>
    <t xml:space="preserve">DC_Reg_Milestone</t>
  </si>
  <si>
    <t xml:space="preserve">DC Launch MS Yr</t>
  </si>
  <si>
    <t xml:space="preserve">DC_Launch_MS_Yr</t>
  </si>
  <si>
    <t xml:space="preserve">DC Launch Milestone</t>
  </si>
  <si>
    <t xml:space="preserve">DC_Launch_Milestone</t>
  </si>
  <si>
    <t xml:space="preserve">DC Ph1 PoS</t>
  </si>
  <si>
    <t xml:space="preserve">DC_Ph1_PoS</t>
  </si>
  <si>
    <t xml:space="preserve">DC Ph2 PoS</t>
  </si>
  <si>
    <t xml:space="preserve">DC_Ph2_PoS</t>
  </si>
  <si>
    <t xml:space="preserve">DC Ph3 PoS</t>
  </si>
  <si>
    <t xml:space="preserve">DC_Ph3_PoS</t>
  </si>
  <si>
    <t xml:space="preserve">DC Reg PoS</t>
  </si>
  <si>
    <t xml:space="preserve">DC_Reg_PoS</t>
  </si>
  <si>
    <t xml:space="preserve">DC Launch Year</t>
  </si>
  <si>
    <t xml:space="preserve">DC_Launch_Year</t>
  </si>
  <si>
    <t xml:space="preserve">DC Launch Sales</t>
  </si>
  <si>
    <t xml:space="preserve">DC_Launch_Sales</t>
  </si>
  <si>
    <t xml:space="preserve">DC Sales Growth Early</t>
  </si>
  <si>
    <t xml:space="preserve">DC_Sales_Growth_Early</t>
  </si>
  <si>
    <t xml:space="preserve">DC Sales Growth Mature</t>
  </si>
  <si>
    <t xml:space="preserve">DC_Sales_Growth_Mature</t>
  </si>
  <si>
    <t xml:space="preserve">DC Maturity Year</t>
  </si>
  <si>
    <t xml:space="preserve">DC_Maturity_Year</t>
  </si>
  <si>
    <t xml:space="preserve">DC Royalty Rate</t>
  </si>
  <si>
    <t xml:space="preserve">DC_Royalty_Rate</t>
  </si>
  <si>
    <t xml:space="preserve">Deal C TV Growth</t>
  </si>
  <si>
    <t xml:space="preserve">Deal_C_TV_Growth</t>
  </si>
  <si>
    <t xml:space="preserve">PLATFORM REVENUE</t>
  </si>
  <si>
    <t xml:space="preserve">Platform Rev Base</t>
  </si>
  <si>
    <t xml:space="preserve">Platform_Rev_Base</t>
  </si>
  <si>
    <t xml:space="preserve">Platform Rev Growth</t>
  </si>
  <si>
    <t xml:space="preserve">Platform_Rev_Growth</t>
  </si>
  <si>
    <t xml:space="preserve">OPEX</t>
  </si>
  <si>
    <t xml:space="preserve">Platform RD Base</t>
  </si>
  <si>
    <t xml:space="preserve">Platform_RD_Base</t>
  </si>
  <si>
    <t xml:space="preserve">Platform RD Growth</t>
  </si>
  <si>
    <t xml:space="preserve">Platform_RD_Growth</t>
  </si>
  <si>
    <t xml:space="preserve">Clinical Base</t>
  </si>
  <si>
    <t xml:space="preserve">Clinical_Base</t>
  </si>
  <si>
    <t xml:space="preserve">Clinical Growth</t>
  </si>
  <si>
    <t xml:space="preserve">Clinical_Growth</t>
  </si>
  <si>
    <t xml:space="preserve">Patent Base</t>
  </si>
  <si>
    <t xml:space="preserve">Patent_Base</t>
  </si>
  <si>
    <t xml:space="preserve">Patent Growth</t>
  </si>
  <si>
    <t xml:space="preserve">Patent_Growth</t>
  </si>
  <si>
    <t xml:space="preserve">GA Base</t>
  </si>
  <si>
    <t xml:space="preserve">GA_Base</t>
  </si>
  <si>
    <t xml:space="preserve">GA Growth</t>
  </si>
  <si>
    <t xml:space="preserve">GA_Growth</t>
  </si>
  <si>
    <t xml:space="preserve">BD Base</t>
  </si>
  <si>
    <t xml:space="preserve">BD_Base</t>
  </si>
  <si>
    <t xml:space="preserve">BD Growth</t>
  </si>
  <si>
    <t xml:space="preserve">BD_Growth</t>
  </si>
  <si>
    <t xml:space="preserve">COGS</t>
  </si>
  <si>
    <t xml:space="preserve">COGS 3rd Party Royalty Pct</t>
  </si>
  <si>
    <t xml:space="preserve">COGS_3rd_Party_Royalty_Pct</t>
  </si>
  <si>
    <t xml:space="preserve">Patent Maintenance Base</t>
  </si>
  <si>
    <t xml:space="preserve">Patent_Maintenance_Base</t>
  </si>
  <si>
    <t xml:space="preserve">Inflation Rate</t>
  </si>
  <si>
    <t xml:space="preserve">Inflation_Rate</t>
  </si>
  <si>
    <t xml:space="preserve">Audit Clawback Pct</t>
  </si>
  <si>
    <t xml:space="preserve">Audit_Clawback_Pct</t>
  </si>
  <si>
    <t xml:space="preserve">Milestone Lag Days</t>
  </si>
  <si>
    <t xml:space="preserve">Milestone_Lag_Days</t>
  </si>
  <si>
    <t xml:space="preserve">BALANCE SHEET OPENING &amp; WORKING CAPITAL</t>
  </si>
  <si>
    <t xml:space="preserve">Open Cash</t>
  </si>
  <si>
    <t xml:space="preserve">Open_Cash</t>
  </si>
  <si>
    <t xml:space="preserve">Open AR</t>
  </si>
  <si>
    <t xml:space="preserve">Open_AR</t>
  </si>
  <si>
    <t xml:space="preserve">Open AP</t>
  </si>
  <si>
    <t xml:space="preserve">Open_AP</t>
  </si>
  <si>
    <t xml:space="preserve">Open PPE Gross</t>
  </si>
  <si>
    <t xml:space="preserve">Open_PPE_Gross</t>
  </si>
  <si>
    <t xml:space="preserve">Open PPE AccDep</t>
  </si>
  <si>
    <t xml:space="preserve">Open_PPE_AccDep</t>
  </si>
  <si>
    <t xml:space="preserve">Open Intang Gross</t>
  </si>
  <si>
    <t xml:space="preserve">Open_Intang_Gross</t>
  </si>
  <si>
    <t xml:space="preserve">Open Intang AccAmort</t>
  </si>
  <si>
    <t xml:space="preserve">Open_Intang_AccAmort</t>
  </si>
  <si>
    <t xml:space="preserve">Open Debt</t>
  </si>
  <si>
    <t xml:space="preserve">Open_Debt</t>
  </si>
  <si>
    <t xml:space="preserve">Open Share Capital</t>
  </si>
  <si>
    <t xml:space="preserve">Open_Share_Capital</t>
  </si>
  <si>
    <t xml:space="preserve">Open RE</t>
  </si>
  <si>
    <t xml:space="preserve">Open_RE</t>
  </si>
  <si>
    <t xml:space="preserve">AR Days</t>
  </si>
  <si>
    <t xml:space="preserve">AR_Days</t>
  </si>
  <si>
    <t xml:space="preserve">AP Days</t>
  </si>
  <si>
    <t xml:space="preserve">AP_Days</t>
  </si>
  <si>
    <t xml:space="preserve">Maint Capex</t>
  </si>
  <si>
    <t xml:space="preserve">Maint_Capex</t>
  </si>
  <si>
    <t xml:space="preserve">PPE Useful Life</t>
  </si>
  <si>
    <t xml:space="preserve">PPE_Useful_Life</t>
  </si>
  <si>
    <t xml:space="preserve">Intang Amort Annual</t>
  </si>
  <si>
    <t xml:space="preserve">Intang_Amort_Annual</t>
  </si>
  <si>
    <t xml:space="preserve">Tax Rate</t>
  </si>
  <si>
    <t xml:space="preserve">Tax_Rate</t>
  </si>
  <si>
    <t xml:space="preserve">DISCOUNT RATES (PER-ASSET WACC)</t>
  </si>
  <si>
    <t xml:space="preserve">WACC Commercial</t>
  </si>
  <si>
    <t xml:space="preserve">WACC_Commercial</t>
  </si>
  <si>
    <t xml:space="preserve">WACC LateStage</t>
  </si>
  <si>
    <t xml:space="preserve">WACC_LateStage</t>
  </si>
  <si>
    <t xml:space="preserve">WACC EarlyStage</t>
  </si>
  <si>
    <t xml:space="preserve">WACC_EarlyStage</t>
  </si>
  <si>
    <t xml:space="preserve">WACC Platform</t>
  </si>
  <si>
    <t xml:space="preserve">WACC_Platform</t>
  </si>
  <si>
    <t xml:space="preserve">Discount Rate</t>
  </si>
  <si>
    <t xml:space="preserve">Discount_Rate</t>
  </si>
  <si>
    <t xml:space="preserve">Deal Portfolio — Revenue Build</t>
  </si>
  <si>
    <t xml:space="preserve">Per-deal revenue. Milestones risked by stage-appropriate PoS chain.</t>
  </si>
  <si>
    <t xml:space="preserve">Year Index</t>
  </si>
  <si>
    <t xml:space="preserve">  Partner Net Sales</t>
  </si>
  <si>
    <t xml:space="preserve">  Tier 1 Royalty (pre-LOE)</t>
  </si>
  <si>
    <t xml:space="preserve">  Tier 2 Royalty (pre-LOE)</t>
  </si>
  <si>
    <t xml:space="preserve">  Tiered royalty (gross)</t>
  </si>
  <si>
    <t xml:space="preserve">  Deal A Royalty Total</t>
  </si>
  <si>
    <t xml:space="preserve">  Partner Sales (unrisked)</t>
  </si>
  <si>
    <t xml:space="preserve">  Royalty (unrisked)</t>
  </si>
  <si>
    <t xml:space="preserve">  Ph3 readout MS (unrisked)</t>
  </si>
  <si>
    <t xml:space="preserve">  Reg MS (unrisked)</t>
  </si>
  <si>
    <t xml:space="preserve">  Launch MS (unrisked)</t>
  </si>
  <si>
    <t xml:space="preserve">  PoS — Ph3 readout (≈100%)</t>
  </si>
  <si>
    <t xml:space="preserve">  PoS — Reg (= Ph3 PoS)</t>
  </si>
  <si>
    <t xml:space="preserve">  PoS — Launch &amp; royalty (Ph3×Reg)</t>
  </si>
  <si>
    <t xml:space="preserve">  Ph3 readout MS (risked)</t>
  </si>
  <si>
    <t xml:space="preserve">  Reg MS (risked)</t>
  </si>
  <si>
    <t xml:space="preserve">  Launch MS (risked)</t>
  </si>
  <si>
    <t xml:space="preserve">  Milestones risked (total)</t>
  </si>
  <si>
    <t xml:space="preserve">  Royalty risked</t>
  </si>
  <si>
    <t xml:space="preserve">  Ph2 MS (unrisked)</t>
  </si>
  <si>
    <t xml:space="preserve">  Ph3 MS (unrisked)</t>
  </si>
  <si>
    <t xml:space="preserve">  PoS — Ph2 MS (= Ph1)</t>
  </si>
  <si>
    <t xml:space="preserve">  PoS — Ph3 MS (= Ph1×Ph2)</t>
  </si>
  <si>
    <t xml:space="preserve">  PoS — Reg MS (= Ph1×Ph2×Ph3)</t>
  </si>
  <si>
    <t xml:space="preserve">  PoS — Launch &amp; royalty (full chain)</t>
  </si>
  <si>
    <t xml:space="preserve">  Ph2 MS (risked)</t>
  </si>
  <si>
    <t xml:space="preserve">  Ph3 MS (risked)</t>
  </si>
  <si>
    <t xml:space="preserve">PLATFORM</t>
  </si>
  <si>
    <t xml:space="preserve">  Platform Revenue</t>
  </si>
  <si>
    <t xml:space="preserve">TOTAL REVENUE</t>
  </si>
  <si>
    <t xml:space="preserve">Total Revenue</t>
  </si>
  <si>
    <t xml:space="preserve">Total Royalty Revenue</t>
  </si>
  <si>
    <t xml:space="preserve">Total Milestone Revenue</t>
  </si>
  <si>
    <t xml:space="preserve">OpEx Schedule</t>
  </si>
  <si>
    <t xml:space="preserve">Pattern A: base × (1+growth) for each opex line</t>
  </si>
  <si>
    <t xml:space="preserve">  Platform R&amp;D</t>
  </si>
  <si>
    <t xml:space="preserve">  Clinical R&amp;D</t>
  </si>
  <si>
    <t xml:space="preserve">  Patent</t>
  </si>
  <si>
    <t xml:space="preserve">  G&amp;A</t>
  </si>
  <si>
    <t xml:space="preserve">  BD</t>
  </si>
  <si>
    <t xml:space="preserve">Total OpEx</t>
  </si>
  <si>
    <t xml:space="preserve">Capex &amp; Depreciation</t>
  </si>
  <si>
    <t xml:space="preserve">Layer-based dep: opening gross layer + new annual capex layers each straight-lined.</t>
  </si>
  <si>
    <t xml:space="preserve">PP&amp;E Gross Open</t>
  </si>
  <si>
    <t xml:space="preserve">  + Capex</t>
  </si>
  <si>
    <t xml:space="preserve">PP&amp;E Gross Close</t>
  </si>
  <si>
    <t xml:space="preserve">  − Dep (legacy layer)</t>
  </si>
  <si>
    <t xml:space="preserve">  − Dep (new-capex layers)</t>
  </si>
  <si>
    <t xml:space="preserve">  − Depreciation Total</t>
  </si>
  <si>
    <t xml:space="preserve">AccDep Open</t>
  </si>
  <si>
    <t xml:space="preserve">AccDep Close</t>
  </si>
  <si>
    <t xml:space="preserve">PP&amp;E Net Close</t>
  </si>
  <si>
    <t xml:space="preserve">Intangibles Open (net)</t>
  </si>
  <si>
    <t xml:space="preserve">  − Amortisation</t>
  </si>
  <si>
    <t xml:space="preserve">Intangibles Close</t>
  </si>
  <si>
    <t xml:space="preserve">Total D&amp;A</t>
  </si>
  <si>
    <t xml:space="preserve">Working Capital</t>
  </si>
  <si>
    <t xml:space="preserve">AR (with milestone lag) + AP + audit clawback reserve</t>
  </si>
  <si>
    <t xml:space="preserve">Total Revenue (link)</t>
  </si>
  <si>
    <t xml:space="preserve">Milestone Revenue (link)</t>
  </si>
  <si>
    <t xml:space="preserve">Total OpEx + COGS (link)</t>
  </si>
  <si>
    <t xml:space="preserve">AR Open</t>
  </si>
  <si>
    <t xml:space="preserve">AR Close (royalty DSO + MS lag)</t>
  </si>
  <si>
    <t xml:space="preserve">  ΔAR</t>
  </si>
  <si>
    <t xml:space="preserve">AP Open</t>
  </si>
  <si>
    <t xml:space="preserve">AP Close</t>
  </si>
  <si>
    <t xml:space="preserve">  ΔAP</t>
  </si>
  <si>
    <t xml:space="preserve">Clawback reserve Open</t>
  </si>
  <si>
    <t xml:space="preserve">Clawback reserve Close</t>
  </si>
  <si>
    <t xml:space="preserve">  ΔClawback</t>
  </si>
  <si>
    <t xml:space="preserve">Net change in WC</t>
  </si>
  <si>
    <t xml:space="preserve">Debt Schedule</t>
  </si>
  <si>
    <t xml:space="preserve">Scaffold (zero debt — no PMT formulas)</t>
  </si>
  <si>
    <t xml:space="preserve">  Draws</t>
  </si>
  <si>
    <t xml:space="preserve">  Repayments</t>
  </si>
  <si>
    <t xml:space="preserve">Close Debt</t>
  </si>
  <si>
    <t xml:space="preserve">Interest Expense</t>
  </si>
  <si>
    <t xml:space="preserve">Income Statement</t>
  </si>
  <si>
    <t xml:space="preserve">P&amp;L with NOL carry-forward. Costs shown as negatives, additive arithmetic.</t>
  </si>
  <si>
    <t xml:space="preserve">  (−) 3rd Party Royalty</t>
  </si>
  <si>
    <t xml:space="preserve">  (−) Patent Maintenance</t>
  </si>
  <si>
    <t xml:space="preserve">  (−) Audit Clawback Accrual</t>
  </si>
  <si>
    <t xml:space="preserve">Total COGS</t>
  </si>
  <si>
    <t xml:space="preserve">Gross Profit</t>
  </si>
  <si>
    <t xml:space="preserve">  (−) Platform R&amp;D</t>
  </si>
  <si>
    <t xml:space="preserve">  (−) Clinical R&amp;D</t>
  </si>
  <si>
    <t xml:space="preserve">  (−) Patent</t>
  </si>
  <si>
    <t xml:space="preserve">  (−) G&amp;A</t>
  </si>
  <si>
    <t xml:space="preserve">  (−) BD</t>
  </si>
  <si>
    <t xml:space="preserve">EBITDA</t>
  </si>
  <si>
    <t xml:space="preserve">  (−) D&amp;A</t>
  </si>
  <si>
    <t xml:space="preserve">EBIT</t>
  </si>
  <si>
    <t xml:space="preserve">  (−) Interest</t>
  </si>
  <si>
    <t xml:space="preserve">Pre-Tax Income</t>
  </si>
  <si>
    <t xml:space="preserve">  NOL Open</t>
  </si>
  <si>
    <t xml:space="preserve">  + Loss Accrual</t>
  </si>
  <si>
    <t xml:space="preserve">  − Loss Usage</t>
  </si>
  <si>
    <t xml:space="preserve">  NOL Close</t>
  </si>
  <si>
    <t xml:space="preserve">  Taxable Income</t>
  </si>
  <si>
    <t xml:space="preserve">  (−) Tax</t>
  </si>
  <si>
    <t xml:space="preserve">Net Income</t>
  </si>
  <si>
    <t xml:space="preserve">Cash Flow Statement</t>
  </si>
  <si>
    <t xml:space="preserve">OCF / ICF / CFF — D&amp;A is the only non-cash add-back</t>
  </si>
  <si>
    <t xml:space="preserve">  + D&amp;A</t>
  </si>
  <si>
    <t xml:space="preserve">  − ΔWC</t>
  </si>
  <si>
    <t xml:space="preserve">OCF</t>
  </si>
  <si>
    <t xml:space="preserve">  (−) Capex</t>
  </si>
  <si>
    <t xml:space="preserve">ICF</t>
  </si>
  <si>
    <t xml:space="preserve">  Net Debt</t>
  </si>
  <si>
    <t xml:space="preserve">Net Cash from Financing</t>
  </si>
  <si>
    <t xml:space="preserve">Net Change in Cash</t>
  </si>
  <si>
    <t xml:space="preserve">Close Cash</t>
  </si>
  <si>
    <t xml:space="preserve">Balance Sheet</t>
  </si>
  <si>
    <t xml:space="preserve">Must balance every period — see row 26 check</t>
  </si>
  <si>
    <t xml:space="preserve">Cash</t>
  </si>
  <si>
    <t xml:space="preserve">AR</t>
  </si>
  <si>
    <t xml:space="preserve">PP&amp;E (net)</t>
  </si>
  <si>
    <t xml:space="preserve">Intangibles (net)</t>
  </si>
  <si>
    <t xml:space="preserve">Total Assets</t>
  </si>
  <si>
    <t xml:space="preserve">AP</t>
  </si>
  <si>
    <t xml:space="preserve">Audit Clawback Reserve</t>
  </si>
  <si>
    <t xml:space="preserve">Debt</t>
  </si>
  <si>
    <t xml:space="preserve">Total Liabilities</t>
  </si>
  <si>
    <t xml:space="preserve">Share Capital</t>
  </si>
  <si>
    <t xml:space="preserve">Retained Earnings</t>
  </si>
  <si>
    <t xml:space="preserve">Total Equity</t>
  </si>
  <si>
    <t xml:space="preserve">Total L+E</t>
  </si>
  <si>
    <t xml:space="preserve">Balance Check</t>
  </si>
  <si>
    <t xml:space="preserve">Valuation — Per-Asset rNPV</t>
  </si>
  <si>
    <t xml:space="preserve">Headline valuation. Cash flows post-tax. Per-asset WACC. TV growth ≈ inflation.</t>
  </si>
  <si>
    <t xml:space="preserve">  WACC</t>
  </si>
  <si>
    <t xml:space="preserve">  Discount factor</t>
  </si>
  <si>
    <t xml:space="preserve">  Unrisked CF (royalty, pre-tax)</t>
  </si>
  <si>
    <t xml:space="preserve">  PoS factor</t>
  </si>
  <si>
    <t xml:space="preserve">  Risked CF (post-tax)</t>
  </si>
  <si>
    <t xml:space="preserve">  PV of CF</t>
  </si>
  <si>
    <t xml:space="preserve">Deal A rNPV (no TV)</t>
  </si>
  <si>
    <t xml:space="preserve">  Unrisked CF (royalty + MS, pre-tax)</t>
  </si>
  <si>
    <t xml:space="preserve">  Blended PoS (implied)</t>
  </si>
  <si>
    <t xml:space="preserve">  TV (capitalised Y10 risked CF)</t>
  </si>
  <si>
    <t xml:space="preserve">  PV of TV</t>
  </si>
  <si>
    <t xml:space="preserve">Deal B rNPV (incl TV)</t>
  </si>
  <si>
    <t xml:space="preserve">Deal C rNPV (incl TV)</t>
  </si>
  <si>
    <t xml:space="preserve">  Cash flow (post-tax)</t>
  </si>
  <si>
    <t xml:space="preserve">  PV</t>
  </si>
  <si>
    <t xml:space="preserve">Platform rNPV (no TV)</t>
  </si>
  <si>
    <t xml:space="preserve">PORTFOLIO rNPV</t>
  </si>
  <si>
    <t xml:space="preserve">Valuation — DCF Sanity Check</t>
  </si>
  <si>
    <t xml:space="preserve">Cross-check only. TV uses normalised Y7-Y10 UFCF (avoids cliff trough).</t>
  </si>
  <si>
    <t xml:space="preserve">NOPAT</t>
  </si>
  <si>
    <t xml:space="preserve">  − Capex</t>
  </si>
  <si>
    <t xml:space="preserve">Unlevered FCF</t>
  </si>
  <si>
    <t xml:space="preserve">Discount factor</t>
  </si>
  <si>
    <t xml:space="preserve">PV UFCF</t>
  </si>
  <si>
    <t xml:space="preserve">Normalised UFCF base (Y7-Y10 avg)</t>
  </si>
  <si>
    <t xml:space="preserve">Terminal Value</t>
  </si>
  <si>
    <t xml:space="preserve">PV of TV</t>
  </si>
  <si>
    <t xml:space="preserve">Enterprise Value (DCF cross-check)</t>
  </si>
  <si>
    <t xml:space="preserve">Sensitivity — Portfolio rNPV</t>
  </si>
  <si>
    <t xml:space="preserve">Rows: WACC for Deal B (8%–16%). Cols: DB_Ph3_PoS (40%–80%). All other inputs at Base.</t>
  </si>
  <si>
    <t xml:space="preserve">Note: hardcoded formula grid (openpyxl cannot write native data tables). Cells re-derive Deal B rNPV with local WACC and PoS substituted; Deal A + Deal C + Platform rNPV held at Base.</t>
  </si>
  <si>
    <t xml:space="preserve">WACC \ DB_Ph3_PoS</t>
  </si>
  <si>
    <t xml:space="preserve">Model Integrity Checks</t>
  </si>
  <si>
    <t xml:space="preserve">All must be PASS</t>
  </si>
  <si>
    <t xml:space="preserve">1. Opening BS balances (Y0)</t>
  </si>
  <si>
    <t xml:space="preserve">2. BS balances every year</t>
  </si>
  <si>
    <t xml:space="preserve">3. Cash never negative</t>
  </si>
  <si>
    <t xml:space="preserve">4. RE roll-forward ties</t>
  </si>
  <si>
    <t xml:space="preserve">5. CFS closing cash = BS cash</t>
  </si>
  <si>
    <t xml:space="preserve">6. Cum PoS in [0,1]</t>
  </si>
  <si>
    <t xml:space="preserve">7. Per-asset rNPV non-degenerate</t>
  </si>
  <si>
    <t xml:space="preserve">8. Tax rate sane</t>
  </si>
  <si>
    <t xml:space="preserve">Total fails</t>
  </si>
  <si>
    <t xml:space="preserve">Design Notes — biotech-licensing v2</t>
  </si>
  <si>
    <t xml:space="preserve">Architectural notes. Updated after v1 audit fixes.</t>
  </si>
  <si>
    <t xml:space="preserve">1. SBC excluded by design</t>
  </si>
  <si>
    <t xml:space="preserve">Stock-based compensation has been intentionally omitted from the P&amp;L, the CFS, and the BS. Compensation is modelled as cash to keep the equity side clean.</t>
  </si>
  <si>
    <t xml:space="preserve">2. Open_RE is the opening BS plug</t>
  </si>
  <si>
    <t xml:space="preserve">Open_RE = (Open_Cash + Open_AR + Open_PPE_net + Open_Intang_net) - (Open_AP + Open_Debt + Open_Share_Capital). With the default inputs this evaluates to 240 - 138 = 102. If any opening balance assumption changes, recompute Open_RE manually and update the cell, then verify Check #1 still PASSes.</t>
  </si>
  <si>
    <t xml:space="preserve">3. rNPV vs DCF</t>
  </si>
  <si>
    <t xml:space="preserve">Headline = per-asset rNPV (Valuation_rNPV). DCF (Valuation_DCF_Sanity) is a consolidated cross-check using normalised post-cliff UFCF for TV — bound on rNPV, not headline.</t>
  </si>
  <si>
    <t xml:space="preserve">4. No debt</t>
  </si>
  <si>
    <t xml:space="preserve">Debt schedule is a scaffold of zeros. Interest = 0, no PMT formulas.</t>
  </si>
  <si>
    <t xml:space="preserve">5. Terminal value horizon</t>
  </si>
  <si>
    <t xml:space="preserve">TV applied to Deal B (steady-state by Y10 post-Maturity_Year=9) and Deal C (launched Y10 — TV captures the entire commercial royalty stream beyond the explicit window). TV growth rate = Deal_B_TV_Growth and Deal_C_TV_Growth (defaults 2.5% — inflation-anchored, not the pre-cliff growth rate). Deal A has no TV (post-LOE decay). Platform has no TV (small, noisy). Note: Deal C TV is the dominant component of Deal C rNPV — sensitivity to Deal_C_TV_Growth is high; consider a longer explicit forecast horizon if Deal C launches inside the visible window.</t>
  </si>
  <si>
    <t xml:space="preserve">6. Stage-PoS chain on milestones</t>
  </si>
  <si>
    <t xml:space="preserve">Milestones risked by stage-appropriate PoS, not full cumulative PoS. Deal B: Ph3 readout MS (Y3) at 100%, Reg MS (Y4) at DB_Ph3_PoS, Launch MS (Y5) + royalty at DB_Ph3_PoS × DB_Reg_PoS. Deal C: Ph2 MS at DC_Ph1, Ph3 MS at Ph1×Ph2, Reg MS at Ph1×Ph2×Ph3, Launch + royalty at full chain.</t>
  </si>
  <si>
    <t xml:space="preserve">7. NOL carry-forward</t>
  </si>
  <si>
    <t xml:space="preserve">NOL block on Income_Statement rows 27–30. Open + Loss accrual − Loss usage. Tax expense = MAX(0, Pretax − NOL_Usage) × Tax_Rate. Carry-forward indefinite, no 80% limit applied.</t>
  </si>
  <si>
    <t xml:space="preserve">8. Layer-based depreciation</t>
  </si>
  <si>
    <t xml:space="preserve">PP&amp;E dep split into (a) legacy layer (opening gross depreciating straight-line until accumulated dep reaches gross, capped) and (b) new-capex layers (each year of capex depreciates Capex/Life starting that year). Capex_Depreciation sheet rows 10–12.</t>
  </si>
  <si>
    <t xml:space="preserve">9. Per-asset WACC</t>
  </si>
  <si>
    <t xml:space="preserve">Deal A discounted at WACC_Commercial (9%), Deal B at WACC_LateStage (12%), Deal C at WACC_EarlyStage (16%), Platform at WACC_Platform (10%). Reflects standard biotech risk-stratified discounting. Audit clawback reserve modelled as 1% of total royalty revenue (current liability on BS).</t>
  </si>
  <si>
    <t xml:space="preserve">10. Scenario selector</t>
  </si>
  <si>
    <t xml:space="preserve">Cell C6 of Assumptions toggles {Base, Upside, Downside}. CHOOSE drives DB_Ph3_PoS, DA_LOE_Year, DA_LOE_Erosion (rows 26/11/12). All other inputs remain static.</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</si>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</sst>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6">
    <numFmt numFmtId="164" formatCode="General"/>
    <numFmt numFmtId="165" formatCode="yyyy\-mm\-dd"/>
    <numFmt numFmtId="166" formatCode="#,##0.00;\(#,##0.00\);\-"/>
    <numFmt numFmtId="167" formatCode="0.00%;\(0.00%\);\-"/>
    <numFmt numFmtId="168" formatCode="0"/>
    <numFmt numFmtId="169" formatCode="0.0000"/>
  </numFmts>
  <fonts count="27">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2"/>
      <color theme="0"/>
      <name val="Arial"/>
      <family val="0"/>
      <charset val="1"/>
    </font>
    <font>
      <sz val="11"/>
      <color theme="1"/>
      <name val="Arial"/>
      <family val="0"/>
      <charset val="1"/>
    </font>
    <font>
      <b val="true"/>
      <sz val="10"/>
      <color rgb="FF000000"/>
      <name val="Arial"/>
      <family val="0"/>
      <charset val="1"/>
    </font>
    <font>
      <sz val="10"/>
      <color rgb="FF000000"/>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sz val="10"/>
      <color rgb="FF0000FF"/>
      <name val="Arial"/>
      <family val="0"/>
      <charset val="1"/>
    </font>
    <font>
      <i val="true"/>
      <sz val="9"/>
      <color rgb="FF595959"/>
      <name val="Arial"/>
      <family val="0"/>
      <charset val="1"/>
    </font>
    <font>
      <b val="true"/>
      <sz val="10"/>
      <color theme="0"/>
      <name val="Arial"/>
      <family val="0"/>
      <charset val="1"/>
    </font>
    <font>
      <b val="true"/>
      <sz val="11"/>
      <color rgb="FF00000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8">
    <fill>
      <patternFill patternType="none"/>
    </fill>
    <fill>
      <patternFill patternType="gray125"/>
    </fill>
    <fill>
      <patternFill patternType="solid">
        <fgColor theme="3"/>
        <bgColor rgb="FF1F4E79"/>
      </patternFill>
    </fill>
    <fill>
      <patternFill patternType="solid">
        <fgColor rgb="FFF2F2F2"/>
        <bgColor rgb="FFFFFFFF"/>
      </patternFill>
    </fill>
    <fill>
      <patternFill patternType="solid">
        <fgColor rgb="FFD9E1F2"/>
        <bgColor rgb="FFD6E4F0"/>
      </patternFill>
    </fill>
    <fill>
      <patternFill patternType="solid">
        <fgColor rgb="FFD6E4F0"/>
        <bgColor rgb="FFD9E1F2"/>
      </patternFill>
    </fill>
    <fill>
      <patternFill patternType="solid">
        <fgColor rgb="FFFFF2CC"/>
        <bgColor rgb="FFF2F2F2"/>
      </patternFill>
    </fill>
    <fill>
      <patternFill patternType="solid">
        <fgColor rgb="FF1F4E79"/>
        <bgColor rgb="FF1F497D"/>
      </patternFill>
    </fill>
  </fills>
  <borders count="4">
    <border diagonalUp="false" diagonalDown="false">
      <left/>
      <right/>
      <top/>
      <bottom/>
      <diagonal/>
    </border>
    <border diagonalUp="false" diagonalDown="false">
      <left/>
      <right/>
      <top style="double"/>
      <bottom/>
      <diagonal/>
    </border>
    <border diagonalUp="false" diagonalDown="false">
      <left/>
      <right/>
      <top style="thin"/>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true" applyProtection="false">
      <alignment horizontal="left" vertical="center"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5" fontId="11" fillId="0" borderId="0" xfId="0" applyFont="true" applyBorder="false" applyAlignment="true" applyProtection="false">
      <alignment horizontal="right" vertical="center" textRotation="0" wrapText="false" indent="0" shrinkToFit="false"/>
      <protection locked="true" hidden="false"/>
    </xf>
    <xf numFmtId="164" fontId="10" fillId="3" borderId="0" xfId="0" applyFont="true" applyBorder="false" applyAlignment="true" applyProtection="false">
      <alignment horizontal="left" vertical="center" textRotation="0" wrapText="false" indent="0" shrinkToFit="false"/>
      <protection locked="true" hidden="false"/>
    </xf>
    <xf numFmtId="164" fontId="9" fillId="3"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6" fontId="11" fillId="0" borderId="0" xfId="0" applyFont="true" applyBorder="false" applyAlignment="true" applyProtection="false">
      <alignment horizontal="right" vertical="center" textRotation="0" wrapText="false" indent="0" shrinkToFit="false"/>
      <protection locked="true" hidden="false"/>
    </xf>
    <xf numFmtId="164" fontId="10" fillId="4" borderId="1" xfId="0" applyFont="true" applyBorder="true" applyAlignment="true" applyProtection="false">
      <alignment horizontal="left" vertical="center" textRotation="0" wrapText="false" indent="0" shrinkToFit="false"/>
      <protection locked="true" hidden="false"/>
    </xf>
    <xf numFmtId="166" fontId="10" fillId="4" borderId="1" xfId="0" applyFont="true" applyBorder="true" applyAlignment="true" applyProtection="false">
      <alignment horizontal="right" vertical="center" textRotation="0" wrapText="false" indent="0" shrinkToFit="false"/>
      <protection locked="true" hidden="false"/>
    </xf>
    <xf numFmtId="164" fontId="12" fillId="5" borderId="0" xfId="0" applyFont="true" applyBorder="false" applyAlignment="true" applyProtection="false">
      <alignment horizontal="left" vertical="center" textRotation="0" wrapText="false" indent="0" shrinkToFit="false"/>
      <protection locked="true" hidden="false"/>
    </xf>
    <xf numFmtId="164" fontId="13" fillId="5"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0" fillId="3" borderId="0" xfId="0" applyFont="true" applyBorder="false" applyAlignment="false" applyProtection="false">
      <alignment horizontal="general" vertical="bottom" textRotation="0" wrapText="false" indent="0" shrinkToFit="false"/>
      <protection locked="true" hidden="false"/>
    </xf>
    <xf numFmtId="164" fontId="17" fillId="6" borderId="0" xfId="0" applyFont="true" applyBorder="false" applyAlignment="true" applyProtection="false">
      <alignment horizontal="right"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6" fontId="17" fillId="6" borderId="0" xfId="0" applyFont="true" applyBorder="false" applyAlignment="true" applyProtection="false">
      <alignment horizontal="right" vertical="center" textRotation="0" wrapText="false" indent="0" shrinkToFit="false"/>
      <protection locked="true" hidden="false"/>
    </xf>
    <xf numFmtId="167" fontId="17" fillId="6" borderId="0" xfId="0" applyFont="true" applyBorder="false" applyAlignment="true" applyProtection="false">
      <alignment horizontal="right" vertical="center" textRotation="0" wrapText="false" indent="0" shrinkToFit="false"/>
      <protection locked="true" hidden="false"/>
    </xf>
    <xf numFmtId="168" fontId="11" fillId="0" borderId="0" xfId="0" applyFont="true" applyBorder="false" applyAlignment="true" applyProtection="false">
      <alignment horizontal="right" vertical="center" textRotation="0" wrapText="false" indent="0" shrinkToFit="false"/>
      <protection locked="true" hidden="false"/>
    </xf>
    <xf numFmtId="167" fontId="11" fillId="0" borderId="0" xfId="0" applyFont="true" applyBorder="false" applyAlignment="true" applyProtection="false">
      <alignment horizontal="right" vertical="center" textRotation="0" wrapText="false" indent="0" shrinkToFit="false"/>
      <protection locked="true" hidden="false"/>
    </xf>
    <xf numFmtId="168" fontId="17" fillId="6" borderId="0" xfId="0" applyFont="true" applyBorder="false" applyAlignment="true" applyProtection="false">
      <alignment horizontal="right" vertical="center" textRotation="0" wrapText="false" indent="0" shrinkToFit="false"/>
      <protection locked="true" hidden="false"/>
    </xf>
    <xf numFmtId="164" fontId="19" fillId="2" borderId="0" xfId="0" applyFont="true" applyBorder="false" applyAlignment="true" applyProtection="false">
      <alignment horizontal="left" vertical="center" textRotation="0" wrapText="false" indent="0" shrinkToFit="false"/>
      <protection locked="true" hidden="false"/>
    </xf>
    <xf numFmtId="168" fontId="19" fillId="2" borderId="0" xfId="0" applyFont="true" applyBorder="false" applyAlignment="true" applyProtection="false">
      <alignment horizontal="center" vertical="center" textRotation="0" wrapText="false" indent="0" shrinkToFit="false"/>
      <protection locked="true" hidden="false"/>
    </xf>
    <xf numFmtId="164" fontId="19" fillId="2" borderId="0" xfId="0" applyFont="true" applyBorder="false" applyAlignment="false" applyProtection="false">
      <alignment horizontal="general" vertical="bottom" textRotation="0" wrapText="false" indent="0" shrinkToFit="false"/>
      <protection locked="true" hidden="false"/>
    </xf>
    <xf numFmtId="164" fontId="10" fillId="0" borderId="2" xfId="0" applyFont="true" applyBorder="true" applyAlignment="true" applyProtection="false">
      <alignment horizontal="left" vertical="center" textRotation="0" wrapText="false" indent="0" shrinkToFit="false"/>
      <protection locked="true" hidden="false"/>
    </xf>
    <xf numFmtId="166" fontId="10" fillId="0" borderId="2" xfId="0" applyFont="true" applyBorder="true" applyAlignment="true" applyProtection="false">
      <alignment horizontal="right" vertical="center" textRotation="0" wrapText="false" indent="0" shrinkToFit="false"/>
      <protection locked="true" hidden="false"/>
    </xf>
    <xf numFmtId="164" fontId="10" fillId="0" borderId="1" xfId="0" applyFont="true" applyBorder="true" applyAlignment="true" applyProtection="false">
      <alignment horizontal="left" vertical="center" textRotation="0" wrapText="false" indent="0" shrinkToFit="false"/>
      <protection locked="true" hidden="false"/>
    </xf>
    <xf numFmtId="166" fontId="10" fillId="0" borderId="0" xfId="0" applyFont="true" applyBorder="false" applyAlignment="true" applyProtection="false">
      <alignment horizontal="right" vertical="center" textRotation="0" wrapText="false" indent="0" shrinkToFit="false"/>
      <protection locked="true" hidden="false"/>
    </xf>
    <xf numFmtId="169" fontId="11" fillId="0" borderId="0" xfId="0" applyFont="true" applyBorder="false" applyAlignment="true" applyProtection="false">
      <alignment horizontal="right" vertical="center" textRotation="0" wrapText="false" indent="0" shrinkToFit="false"/>
      <protection locked="true" hidden="false"/>
    </xf>
    <xf numFmtId="164" fontId="20" fillId="4" borderId="1" xfId="0" applyFont="true" applyBorder="true" applyAlignment="true" applyProtection="false">
      <alignment horizontal="left" vertical="center" textRotation="0" wrapText="false" indent="0" shrinkToFit="false"/>
      <protection locked="true" hidden="false"/>
    </xf>
    <xf numFmtId="166" fontId="20" fillId="4" borderId="1" xfId="0" applyFont="true" applyBorder="true" applyAlignment="true" applyProtection="false">
      <alignment horizontal="right" vertical="center" textRotation="0" wrapText="false" indent="0" shrinkToFit="false"/>
      <protection locked="true" hidden="false"/>
    </xf>
    <xf numFmtId="164" fontId="18" fillId="0" borderId="0" xfId="0" applyFont="true" applyBorder="true" applyAlignment="true" applyProtection="false">
      <alignment horizontal="left" vertical="top" textRotation="0" wrapText="true" indent="0" shrinkToFit="false"/>
      <protection locked="true" hidden="false"/>
    </xf>
    <xf numFmtId="164" fontId="19" fillId="2" borderId="0" xfId="0" applyFont="true" applyBorder="false" applyAlignment="true" applyProtection="false">
      <alignment horizontal="center" vertical="center" textRotation="0" wrapText="false" indent="0" shrinkToFit="false"/>
      <protection locked="true" hidden="false"/>
    </xf>
    <xf numFmtId="167" fontId="19" fillId="2" borderId="0" xfId="0" applyFont="true" applyBorder="false" applyAlignment="true" applyProtection="false">
      <alignment horizontal="center" vertical="center" textRotation="0" wrapText="false" indent="0" shrinkToFit="false"/>
      <protection locked="true" hidden="false"/>
    </xf>
    <xf numFmtId="164" fontId="11" fillId="0" borderId="0" xfId="0" applyFont="true" applyBorder="false" applyAlignment="true" applyProtection="false">
      <alignment horizontal="center" vertical="center" textRotation="0" wrapText="false" indent="0" shrinkToFit="false"/>
      <protection locked="true" hidden="false"/>
    </xf>
    <xf numFmtId="166" fontId="10" fillId="4" borderId="1"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left" vertical="top" textRotation="0" wrapText="true" indent="0" shrinkToFit="false"/>
      <protection locked="true" hidden="false"/>
    </xf>
    <xf numFmtId="164" fontId="11" fillId="0" borderId="0" xfId="0" applyFont="true" applyBorder="false" applyAlignment="true" applyProtection="false">
      <alignment horizontal="left" vertical="top" textRotation="0" wrapText="tru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13" fillId="0" borderId="3" xfId="0" applyFont="true" applyBorder="true" applyAlignment="false" applyProtection="false">
      <alignment horizontal="general" vertical="bottom" textRotation="0" wrapText="false" indent="0" shrinkToFit="false"/>
      <protection locked="true" hidden="false"/>
    </xf>
    <xf numFmtId="164" fontId="22" fillId="7" borderId="0" xfId="0" applyFont="true" applyBorder="false" applyAlignment="true" applyProtection="false">
      <alignment horizontal="left" vertical="center" textRotation="0" wrapText="false" indent="1" shrinkToFit="false"/>
      <protection locked="true" hidden="false"/>
    </xf>
    <xf numFmtId="164" fontId="23" fillId="0" borderId="0" xfId="0" applyFont="true" applyBorder="false" applyAlignment="true" applyProtection="false">
      <alignment horizontal="left" vertical="top" textRotation="0" wrapText="true" indent="1" shrinkToFit="false"/>
      <protection locked="true" hidden="false"/>
    </xf>
    <xf numFmtId="164" fontId="24" fillId="0" borderId="0" xfId="0" applyFont="true" applyBorder="false" applyAlignment="true" applyProtection="false">
      <alignment horizontal="left" vertical="center" textRotation="0" wrapText="false" indent="1"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xf numFmtId="164" fontId="25" fillId="3" borderId="0" xfId="0" applyFont="true" applyBorder="false" applyAlignment="true" applyProtection="false">
      <alignment horizontal="left" vertical="top" textRotation="0" wrapText="true" indent="1" shrinkToFit="false"/>
      <protection locked="true" hidden="false"/>
    </xf>
    <xf numFmtId="164" fontId="26"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bgColor rgb="FFC6EFCE"/>
        </patternFill>
      </fill>
    </dxf>
    <dxf>
      <fill>
        <patternFill>
          <bgColor rgb="FFFFC7CE"/>
        </patternFill>
      </fill>
    </dxf>
  </dxfs>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FF2CC"/>
      <rgbColor rgb="FFD6E4F0"/>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F2F2F2"/>
      <rgbColor rgb="FFC6EFCE"/>
      <rgbColor rgb="FFFFFF99"/>
      <rgbColor rgb="FF99CCFF"/>
      <rgbColor rgb="FFFF99CC"/>
      <rgbColor rgb="FFCC99FF"/>
      <rgbColor rgb="FFFFC7CE"/>
      <rgbColor rgb="FF3366FF"/>
      <rgbColor rgb="FF33CCCC"/>
      <rgbColor rgb="FF99CC00"/>
      <rgbColor rgb="FFFFC000"/>
      <rgbColor rgb="FFFF9900"/>
      <rgbColor rgb="FFFF6600"/>
      <rgbColor rgb="FF595959"/>
      <rgbColor rgb="FF70AD47"/>
      <rgbColor rgb="FF1F4E79"/>
      <rgbColor rgb="FF339966"/>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40"/>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4"/>
    <col collapsed="false" customWidth="true" hidden="false" outlineLevel="0" max="3" min="3" style="0" width="60"/>
    <col collapsed="false" customWidth="true" hidden="false" outlineLevel="0" max="12" min="4" style="0" width="42"/>
    <col collapsed="false" customWidth="true" hidden="false" outlineLevel="0" max="13" min="13" style="0" width="4"/>
    <col collapsed="false" customWidth="true" hidden="false" outlineLevel="0" max="14" min="14" style="0" width="16"/>
  </cols>
  <sheetData>
    <row r="1" customFormat="false" ht="15" hidden="false" customHeight="false" outlineLevel="0" collapsed="false">
      <c r="A1" s="1"/>
      <c r="B1" s="1"/>
      <c r="C1" s="1"/>
      <c r="D1" s="2"/>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2"/>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row>
    <row r="5" customFormat="false" ht="15" hidden="false" customHeight="false" outlineLevel="0" collapsed="false">
      <c r="A5" s="6"/>
      <c r="B5" s="6"/>
      <c r="C5" s="6"/>
    </row>
    <row r="6" customFormat="false" ht="15" hidden="false" customHeight="false" outlineLevel="0" collapsed="false">
      <c r="A6" s="6"/>
      <c r="B6" s="7" t="s">
        <v>3</v>
      </c>
      <c r="C6" s="8" t="n">
        <v>46157</v>
      </c>
    </row>
    <row r="7" customFormat="false" ht="15" hidden="false" customHeight="false" outlineLevel="0" collapsed="false">
      <c r="A7" s="6"/>
      <c r="B7" s="6"/>
      <c r="C7" s="6"/>
    </row>
    <row r="8" customFormat="false" ht="15" hidden="false" customHeight="false" outlineLevel="0" collapsed="false">
      <c r="A8" s="6"/>
      <c r="B8" s="9" t="s">
        <v>4</v>
      </c>
      <c r="C8" s="10"/>
    </row>
    <row r="9" customFormat="false" ht="15" hidden="false" customHeight="false" outlineLevel="0" collapsed="false">
      <c r="A9" s="6"/>
      <c r="B9" s="11" t="s">
        <v>5</v>
      </c>
      <c r="C9" s="12" t="n">
        <f aca="false">Deal_A_rNPV</f>
        <v>309.487336877626</v>
      </c>
    </row>
    <row r="10" customFormat="false" ht="15" hidden="false" customHeight="false" outlineLevel="0" collapsed="false">
      <c r="A10" s="6"/>
      <c r="B10" s="11" t="s">
        <v>6</v>
      </c>
      <c r="C10" s="12" t="n">
        <f aca="false">Deal_B_rNPV</f>
        <v>191.218495594557</v>
      </c>
    </row>
    <row r="11" customFormat="false" ht="15" hidden="false" customHeight="false" outlineLevel="0" collapsed="false">
      <c r="A11" s="6"/>
      <c r="B11" s="11" t="s">
        <v>7</v>
      </c>
      <c r="C11" s="12" t="n">
        <f aca="false">Deal_C_rNPV</f>
        <v>17.0675830119708</v>
      </c>
    </row>
    <row r="12" customFormat="false" ht="15" hidden="false" customHeight="false" outlineLevel="0" collapsed="false">
      <c r="A12" s="6"/>
      <c r="B12" s="11" t="s">
        <v>8</v>
      </c>
      <c r="C12" s="12" t="n">
        <f aca="false">Platform_rNPV</f>
        <v>-35.2916203457159</v>
      </c>
    </row>
    <row r="13" customFormat="false" ht="15" hidden="false" customHeight="false" outlineLevel="0" collapsed="false">
      <c r="A13" s="6"/>
      <c r="B13" s="13" t="s">
        <v>9</v>
      </c>
      <c r="C13" s="14" t="n">
        <f aca="false">Portfolio_rNPV</f>
        <v>482.481795138438</v>
      </c>
    </row>
    <row r="14" customFormat="false" ht="15" hidden="false" customHeight="false" outlineLevel="0" collapsed="false">
      <c r="A14" s="6"/>
      <c r="B14" s="6"/>
      <c r="C14" s="6"/>
    </row>
    <row r="15" customFormat="false" ht="15" hidden="false" customHeight="false" outlineLevel="0" collapsed="false">
      <c r="A15" s="6"/>
      <c r="B15" s="6"/>
      <c r="C15" s="6"/>
    </row>
    <row r="16" customFormat="false" ht="15" hidden="false" customHeight="false" outlineLevel="0" collapsed="false">
      <c r="A16" s="6"/>
      <c r="B16" s="9" t="s">
        <v>10</v>
      </c>
      <c r="C16" s="10"/>
    </row>
    <row r="17" customFormat="false" ht="15" hidden="false" customHeight="false" outlineLevel="0" collapsed="false">
      <c r="A17" s="6"/>
      <c r="B17" s="11" t="s">
        <v>11</v>
      </c>
      <c r="C17" s="11" t="s">
        <v>12</v>
      </c>
    </row>
    <row r="18" customFormat="false" ht="15" hidden="false" customHeight="false" outlineLevel="0" collapsed="false">
      <c r="A18" s="6"/>
      <c r="B18" s="11" t="s">
        <v>13</v>
      </c>
      <c r="C18" s="11" t="s">
        <v>14</v>
      </c>
    </row>
    <row r="19" customFormat="false" ht="15" hidden="false" customHeight="false" outlineLevel="0" collapsed="false">
      <c r="A19" s="6"/>
      <c r="B19" s="11" t="s">
        <v>15</v>
      </c>
      <c r="C19" s="11" t="s">
        <v>16</v>
      </c>
    </row>
    <row r="20" customFormat="false" ht="15" hidden="false" customHeight="false" outlineLevel="0" collapsed="false">
      <c r="A20" s="6"/>
      <c r="B20" s="11" t="s">
        <v>17</v>
      </c>
      <c r="C20" s="11" t="s">
        <v>18</v>
      </c>
    </row>
    <row r="21" customFormat="false" ht="15" hidden="false" customHeight="false" outlineLevel="0" collapsed="false">
      <c r="A21" s="6"/>
      <c r="B21" s="11" t="s">
        <v>19</v>
      </c>
      <c r="C21" s="11" t="s">
        <v>20</v>
      </c>
    </row>
    <row r="22" customFormat="false" ht="15" hidden="false" customHeight="false" outlineLevel="0" collapsed="false">
      <c r="A22" s="6"/>
      <c r="B22" s="11" t="s">
        <v>21</v>
      </c>
      <c r="C22" s="11" t="s">
        <v>22</v>
      </c>
    </row>
    <row r="23" customFormat="false" ht="15" hidden="false" customHeight="false" outlineLevel="0" collapsed="false">
      <c r="A23" s="6"/>
      <c r="B23" s="11" t="s">
        <v>23</v>
      </c>
      <c r="C23" s="11" t="s">
        <v>24</v>
      </c>
    </row>
    <row r="24" customFormat="false" ht="15" hidden="false" customHeight="false" outlineLevel="0" collapsed="false">
      <c r="A24" s="6"/>
      <c r="B24" s="11" t="s">
        <v>25</v>
      </c>
      <c r="C24" s="11" t="s">
        <v>26</v>
      </c>
    </row>
    <row r="25" customFormat="false" ht="15" hidden="false" customHeight="false" outlineLevel="0" collapsed="false">
      <c r="A25" s="6"/>
      <c r="B25" s="11" t="s">
        <v>27</v>
      </c>
      <c r="C25" s="11" t="s">
        <v>28</v>
      </c>
    </row>
    <row r="26" customFormat="false" ht="15" hidden="false" customHeight="false" outlineLevel="0" collapsed="false">
      <c r="A26" s="6"/>
      <c r="B26" s="11" t="s">
        <v>29</v>
      </c>
      <c r="C26" s="11" t="s">
        <v>30</v>
      </c>
    </row>
    <row r="27" customFormat="false" ht="15" hidden="false" customHeight="false" outlineLevel="0" collapsed="false">
      <c r="A27" s="6"/>
      <c r="B27" s="11" t="s">
        <v>31</v>
      </c>
      <c r="C27" s="11" t="s">
        <v>32</v>
      </c>
    </row>
    <row r="28" customFormat="false" ht="15" hidden="false" customHeight="false" outlineLevel="0" collapsed="false">
      <c r="A28" s="6"/>
      <c r="B28" s="11" t="s">
        <v>33</v>
      </c>
      <c r="C28" s="11" t="s">
        <v>34</v>
      </c>
    </row>
    <row r="29" customFormat="false" ht="15" hidden="false" customHeight="false" outlineLevel="0" collapsed="false">
      <c r="A29" s="6"/>
      <c r="B29" s="11" t="s">
        <v>35</v>
      </c>
      <c r="C29" s="11" t="s">
        <v>36</v>
      </c>
    </row>
    <row r="30" customFormat="false" ht="15" hidden="false" customHeight="false" outlineLevel="0" collapsed="false">
      <c r="A30" s="6"/>
      <c r="B30" s="11" t="s">
        <v>37</v>
      </c>
      <c r="C30" s="11" t="s">
        <v>38</v>
      </c>
    </row>
    <row r="31" customFormat="false" ht="15" hidden="false" customHeight="false" outlineLevel="0" collapsed="false">
      <c r="A31" s="6"/>
      <c r="B31" s="11" t="s">
        <v>39</v>
      </c>
      <c r="C31" s="11" t="s">
        <v>40</v>
      </c>
    </row>
    <row r="34" customFormat="false" ht="19.5" hidden="false" customHeight="true" outlineLevel="0" collapsed="false">
      <c r="B34" s="15" t="s">
        <v>41</v>
      </c>
      <c r="C34" s="16"/>
      <c r="D34" s="16"/>
      <c r="E34" s="16"/>
      <c r="F34" s="16"/>
      <c r="G34" s="16"/>
    </row>
    <row r="35" customFormat="false" ht="258.75" hidden="false" customHeight="true" outlineLevel="0" collapsed="false">
      <c r="B35" s="17" t="s">
        <v>42</v>
      </c>
      <c r="C35" s="17"/>
      <c r="D35" s="17"/>
      <c r="E35" s="17"/>
      <c r="F35" s="17"/>
      <c r="G35" s="17"/>
    </row>
    <row r="37" customFormat="false" ht="19.5" hidden="false" customHeight="true" outlineLevel="0" collapsed="false">
      <c r="B37" s="15" t="s">
        <v>43</v>
      </c>
      <c r="C37" s="16"/>
      <c r="D37" s="16"/>
      <c r="E37" s="16"/>
      <c r="F37" s="16"/>
      <c r="G37" s="16"/>
    </row>
    <row r="38" customFormat="false" ht="57" hidden="false" customHeight="true" outlineLevel="0" collapsed="false">
      <c r="B38" s="17" t="s">
        <v>44</v>
      </c>
      <c r="C38" s="17"/>
      <c r="D38" s="17"/>
      <c r="E38" s="17"/>
      <c r="F38" s="17"/>
      <c r="G38" s="17"/>
    </row>
    <row r="39" customFormat="false" ht="15" hidden="false" customHeight="false" outlineLevel="0" collapsed="false">
      <c r="B39" s="18" t="s">
        <v>45</v>
      </c>
      <c r="C39" s="18"/>
      <c r="D39" s="18"/>
      <c r="E39" s="18"/>
      <c r="F39" s="18"/>
      <c r="G39" s="18"/>
    </row>
    <row r="40" customFormat="false" ht="15" hidden="false" customHeight="false" outlineLevel="0" collapsed="false">
      <c r="B40" s="19" t="s">
        <v>46</v>
      </c>
    </row>
  </sheetData>
  <mergeCells count="3">
    <mergeCell ref="B35:G35"/>
    <mergeCell ref="B38:G38"/>
    <mergeCell ref="B39:G39"/>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12" min="3" style="0" width="13"/>
    <col collapsed="false" customWidth="true" hidden="false" outlineLevel="0" max="13" min="13" style="0" width="4"/>
    <col collapsed="false" customWidth="true" hidden="false" outlineLevel="0" max="14" min="14" style="0" width="16"/>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336</v>
      </c>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337</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28" t="s">
        <v>224</v>
      </c>
      <c r="C4" s="29" t="n">
        <v>1</v>
      </c>
      <c r="D4" s="29" t="n">
        <v>2</v>
      </c>
      <c r="E4" s="29" t="n">
        <v>3</v>
      </c>
      <c r="F4" s="29" t="n">
        <v>4</v>
      </c>
      <c r="G4" s="29" t="n">
        <v>5</v>
      </c>
      <c r="H4" s="29" t="n">
        <v>6</v>
      </c>
      <c r="I4" s="29" t="n">
        <v>7</v>
      </c>
      <c r="J4" s="29" t="n">
        <v>8</v>
      </c>
      <c r="K4" s="29" t="n">
        <v>9</v>
      </c>
      <c r="L4" s="29" t="n">
        <v>10</v>
      </c>
    </row>
    <row r="5" customFormat="false" ht="15" hidden="false" customHeight="false" outlineLevel="0" collapsed="false">
      <c r="A5" s="6"/>
      <c r="B5" s="6"/>
      <c r="C5" s="6"/>
      <c r="D5" s="6"/>
      <c r="E5" s="6"/>
      <c r="F5" s="6"/>
      <c r="G5" s="6"/>
      <c r="H5" s="6"/>
      <c r="I5" s="6"/>
      <c r="J5" s="6"/>
      <c r="K5" s="6"/>
      <c r="L5" s="6"/>
    </row>
    <row r="6" customFormat="false" ht="15" hidden="false" customHeight="false" outlineLevel="0" collapsed="false">
      <c r="A6" s="6"/>
      <c r="B6" s="11" t="s">
        <v>338</v>
      </c>
      <c r="C6" s="12" t="n">
        <f aca="false">Cash_Flow!C19</f>
        <v>171.565410958904</v>
      </c>
      <c r="D6" s="12" t="n">
        <f aca="false">Cash_Flow!D19</f>
        <v>200.260582876712</v>
      </c>
      <c r="E6" s="12" t="n">
        <f aca="false">Cash_Flow!E19</f>
        <v>257.480235849315</v>
      </c>
      <c r="F6" s="12" t="n">
        <f aca="false">Cash_Flow!F19</f>
        <v>334.941174943356</v>
      </c>
      <c r="G6" s="12" t="n">
        <f aca="false">Cash_Flow!G19</f>
        <v>410.662290371577</v>
      </c>
      <c r="H6" s="12" t="n">
        <f aca="false">Cash_Flow!H19</f>
        <v>422.394957143379</v>
      </c>
      <c r="I6" s="12" t="n">
        <f aca="false">Cash_Flow!I19</f>
        <v>395.633164015071</v>
      </c>
      <c r="J6" s="12" t="n">
        <f aca="false">Cash_Flow!J19</f>
        <v>362.830501227008</v>
      </c>
      <c r="K6" s="12" t="n">
        <f aca="false">Cash_Flow!K19</f>
        <v>335.613834801296</v>
      </c>
      <c r="L6" s="12" t="n">
        <f aca="false">Cash_Flow!L19</f>
        <v>308.890682887209</v>
      </c>
    </row>
    <row r="7" customFormat="false" ht="15" hidden="false" customHeight="false" outlineLevel="0" collapsed="false">
      <c r="A7" s="6"/>
      <c r="B7" s="11" t="s">
        <v>339</v>
      </c>
      <c r="C7" s="12" t="n">
        <f aca="false">Working_Capital!C11</f>
        <v>20.5479452054795</v>
      </c>
      <c r="D7" s="12" t="n">
        <f aca="false">Working_Capital!D11</f>
        <v>22.0684931506849</v>
      </c>
      <c r="E7" s="12" t="n">
        <f aca="false">Working_Capital!E11</f>
        <v>45.5264383561644</v>
      </c>
      <c r="F7" s="12" t="n">
        <f aca="false">Working_Capital!F11</f>
        <v>42.1886178082192</v>
      </c>
      <c r="G7" s="12" t="n">
        <f aca="false">Working_Capital!G11</f>
        <v>38.3278356575343</v>
      </c>
      <c r="H7" s="12" t="n">
        <f aca="false">Working_Capital!H11</f>
        <v>16.3100158458904</v>
      </c>
      <c r="I7" s="12" t="n">
        <f aca="false">Working_Capital!I11</f>
        <v>11.3939045614726</v>
      </c>
      <c r="J7" s="12" t="n">
        <f aca="false">Working_Capital!J11</f>
        <v>12.0646550048887</v>
      </c>
      <c r="K7" s="12" t="n">
        <f aca="false">Working_Capital!K11</f>
        <v>15.9670681866948</v>
      </c>
      <c r="L7" s="12" t="n">
        <f aca="false">Working_Capital!L11</f>
        <v>15.746699139561</v>
      </c>
    </row>
    <row r="8" customFormat="false" ht="15" hidden="false" customHeight="false" outlineLevel="0" collapsed="false">
      <c r="A8" s="6"/>
      <c r="B8" s="11" t="s">
        <v>340</v>
      </c>
      <c r="C8" s="12" t="n">
        <f aca="false">Capex_Depreciation!C15</f>
        <v>14.5</v>
      </c>
      <c r="D8" s="12" t="n">
        <f aca="false">Capex_Depreciation!D15</f>
        <v>13.625</v>
      </c>
      <c r="E8" s="12" t="n">
        <f aca="false">Capex_Depreciation!E15</f>
        <v>12.375</v>
      </c>
      <c r="F8" s="12" t="n">
        <f aca="false">Capex_Depreciation!F15</f>
        <v>10.75</v>
      </c>
      <c r="G8" s="12" t="n">
        <f aca="false">Capex_Depreciation!G15</f>
        <v>9.375</v>
      </c>
      <c r="H8" s="12" t="n">
        <f aca="false">Capex_Depreciation!H15</f>
        <v>10.125</v>
      </c>
      <c r="I8" s="12" t="n">
        <f aca="false">Capex_Depreciation!I15</f>
        <v>10.5</v>
      </c>
      <c r="J8" s="12" t="n">
        <f aca="false">Capex_Depreciation!J15</f>
        <v>10.5</v>
      </c>
      <c r="K8" s="12" t="n">
        <f aca="false">Capex_Depreciation!K15</f>
        <v>10.5</v>
      </c>
      <c r="L8" s="12" t="n">
        <f aca="false">Capex_Depreciation!L15</f>
        <v>10.5</v>
      </c>
    </row>
    <row r="9" customFormat="false" ht="15" hidden="false" customHeight="false" outlineLevel="0" collapsed="false">
      <c r="A9" s="6"/>
      <c r="B9" s="11" t="s">
        <v>341</v>
      </c>
      <c r="C9" s="12" t="n">
        <f aca="false">Capex_Depreciation!C19</f>
        <v>52</v>
      </c>
      <c r="D9" s="12" t="n">
        <f aca="false">Capex_Depreciation!D19</f>
        <v>44</v>
      </c>
      <c r="E9" s="12" t="n">
        <f aca="false">Capex_Depreciation!E19</f>
        <v>36</v>
      </c>
      <c r="F9" s="12" t="n">
        <f aca="false">Capex_Depreciation!F19</f>
        <v>28</v>
      </c>
      <c r="G9" s="12" t="n">
        <f aca="false">Capex_Depreciation!G19</f>
        <v>20</v>
      </c>
      <c r="H9" s="12" t="n">
        <f aca="false">Capex_Depreciation!H19</f>
        <v>12</v>
      </c>
      <c r="I9" s="12" t="n">
        <f aca="false">Capex_Depreciation!I19</f>
        <v>4</v>
      </c>
      <c r="J9" s="12" t="n">
        <f aca="false">Capex_Depreciation!J19</f>
        <v>0</v>
      </c>
      <c r="K9" s="12" t="n">
        <f aca="false">Capex_Depreciation!K19</f>
        <v>0</v>
      </c>
      <c r="L9" s="12" t="n">
        <f aca="false">Capex_Depreciation!L19</f>
        <v>0</v>
      </c>
    </row>
    <row r="10" customFormat="false" ht="15" hidden="false" customHeight="false" outlineLevel="0" collapsed="false">
      <c r="A10" s="6"/>
      <c r="B10" s="6"/>
      <c r="C10" s="6"/>
      <c r="D10" s="6"/>
      <c r="E10" s="6"/>
      <c r="F10" s="6"/>
      <c r="G10" s="6"/>
      <c r="H10" s="6"/>
      <c r="I10" s="6"/>
      <c r="J10" s="6"/>
      <c r="K10" s="6"/>
      <c r="L10" s="6"/>
    </row>
    <row r="11" customFormat="false" ht="15" hidden="false" customHeight="false" outlineLevel="0" collapsed="false">
      <c r="A11" s="6"/>
      <c r="B11" s="33" t="s">
        <v>342</v>
      </c>
      <c r="C11" s="14" t="n">
        <f aca="false">C6+C7+C8+C9</f>
        <v>258.613356164384</v>
      </c>
      <c r="D11" s="14" t="n">
        <f aca="false">D6+D7+D8+D9</f>
        <v>279.954076027397</v>
      </c>
      <c r="E11" s="14" t="n">
        <f aca="false">E6+E7+E8+E9</f>
        <v>351.38167420548</v>
      </c>
      <c r="F11" s="14" t="n">
        <f aca="false">F6+F7+F8+F9</f>
        <v>415.879792751575</v>
      </c>
      <c r="G11" s="14" t="n">
        <f aca="false">G6+G7+G8+G9</f>
        <v>478.365126029111</v>
      </c>
      <c r="H11" s="14" t="n">
        <f aca="false">H6+H7+H8+H9</f>
        <v>460.829972989269</v>
      </c>
      <c r="I11" s="14" t="n">
        <f aca="false">I6+I7+I8+I9</f>
        <v>421.527068576543</v>
      </c>
      <c r="J11" s="14" t="n">
        <f aca="false">J6+J7+J8+J9</f>
        <v>385.395156231897</v>
      </c>
      <c r="K11" s="14" t="n">
        <f aca="false">K6+K7+K8+K9</f>
        <v>362.080902987991</v>
      </c>
      <c r="L11" s="14" t="n">
        <f aca="false">L6+L7+L8+L9</f>
        <v>335.13738202677</v>
      </c>
    </row>
    <row r="12" customFormat="false" ht="15" hidden="false" customHeight="false" outlineLevel="0" collapsed="false">
      <c r="A12" s="6"/>
      <c r="B12" s="6"/>
      <c r="C12" s="6"/>
      <c r="D12" s="6"/>
      <c r="E12" s="6"/>
      <c r="F12" s="6"/>
      <c r="G12" s="6"/>
      <c r="H12" s="6"/>
      <c r="I12" s="6"/>
      <c r="J12" s="6"/>
      <c r="K12" s="6"/>
      <c r="L12" s="6"/>
    </row>
    <row r="13" customFormat="false" ht="15" hidden="false" customHeight="false" outlineLevel="0" collapsed="false">
      <c r="A13" s="6"/>
      <c r="B13" s="11" t="s">
        <v>343</v>
      </c>
      <c r="C13" s="12" t="n">
        <f aca="false">Working_Capital!C15</f>
        <v>8.03835616438356</v>
      </c>
      <c r="D13" s="12" t="n">
        <f aca="false">Working_Capital!D15</f>
        <v>8.40772602739726</v>
      </c>
      <c r="E13" s="12" t="n">
        <f aca="false">Working_Capital!E15</f>
        <v>8.79568520547945</v>
      </c>
      <c r="F13" s="12" t="n">
        <f aca="false">Working_Capital!F15</f>
        <v>9.20395554657534</v>
      </c>
      <c r="G13" s="12" t="n">
        <f aca="false">Working_Capital!G15</f>
        <v>9.6622509834863</v>
      </c>
      <c r="H13" s="12" t="n">
        <f aca="false">Working_Capital!H15</f>
        <v>9.94265518420634</v>
      </c>
      <c r="I13" s="12" t="n">
        <f aca="false">Working_Capital!I15</f>
        <v>10.3725684800183</v>
      </c>
      <c r="J13" s="12" t="n">
        <f aca="false">Working_Capital!J15</f>
        <v>10.854494155484</v>
      </c>
      <c r="K13" s="12" t="n">
        <f aca="false">Working_Capital!K15</f>
        <v>11.3642481287761</v>
      </c>
      <c r="L13" s="12" t="n">
        <f aca="false">Working_Capital!L15</f>
        <v>11.8945850271535</v>
      </c>
    </row>
    <row r="14" customFormat="false" ht="15" hidden="false" customHeight="false" outlineLevel="0" collapsed="false">
      <c r="A14" s="6"/>
      <c r="B14" s="11" t="s">
        <v>344</v>
      </c>
      <c r="C14" s="12" t="n">
        <f aca="false">Working_Capital!C19</f>
        <v>0.8</v>
      </c>
      <c r="D14" s="12" t="n">
        <f aca="false">Working_Capital!D19</f>
        <v>0.864</v>
      </c>
      <c r="E14" s="12" t="n">
        <f aca="false">Working_Capital!E19</f>
        <v>0.93312</v>
      </c>
      <c r="F14" s="12" t="n">
        <f aca="false">Working_Capital!F19</f>
        <v>1.0116544</v>
      </c>
      <c r="G14" s="12" t="n">
        <f aca="false">Working_Capital!G19</f>
        <v>1.254986752</v>
      </c>
      <c r="H14" s="12" t="n">
        <f aca="false">Working_Capital!H19</f>
        <v>0.425097792</v>
      </c>
      <c r="I14" s="12" t="n">
        <f aca="false">Working_Capital!I19</f>
        <v>0.2864842272</v>
      </c>
      <c r="J14" s="12" t="n">
        <f aca="false">Working_Capital!J19</f>
        <v>0.30572645904</v>
      </c>
      <c r="K14" s="12" t="n">
        <f aca="false">Working_Capital!K19</f>
        <v>0.345492896328</v>
      </c>
      <c r="L14" s="12" t="n">
        <f aca="false">Working_Capital!L19</f>
        <v>0.3596837149296</v>
      </c>
    </row>
    <row r="15" customFormat="false" ht="15" hidden="false" customHeight="false" outlineLevel="0" collapsed="false">
      <c r="A15" s="6"/>
      <c r="B15" s="11" t="s">
        <v>345</v>
      </c>
      <c r="C15" s="12" t="n">
        <f aca="false">Debt_Schedule!C9</f>
        <v>0</v>
      </c>
      <c r="D15" s="12" t="n">
        <f aca="false">Debt_Schedule!D9</f>
        <v>0</v>
      </c>
      <c r="E15" s="12" t="n">
        <f aca="false">Debt_Schedule!E9</f>
        <v>0</v>
      </c>
      <c r="F15" s="12" t="n">
        <f aca="false">Debt_Schedule!F9</f>
        <v>0</v>
      </c>
      <c r="G15" s="12" t="n">
        <f aca="false">Debt_Schedule!G9</f>
        <v>0</v>
      </c>
      <c r="H15" s="12" t="n">
        <f aca="false">Debt_Schedule!H9</f>
        <v>0</v>
      </c>
      <c r="I15" s="12" t="n">
        <f aca="false">Debt_Schedule!I9</f>
        <v>0</v>
      </c>
      <c r="J15" s="12" t="n">
        <f aca="false">Debt_Schedule!J9</f>
        <v>0</v>
      </c>
      <c r="K15" s="12" t="n">
        <f aca="false">Debt_Schedule!K9</f>
        <v>0</v>
      </c>
      <c r="L15" s="12" t="n">
        <f aca="false">Debt_Schedule!L9</f>
        <v>0</v>
      </c>
    </row>
    <row r="16" customFormat="false" ht="15" hidden="false" customHeight="false" outlineLevel="0" collapsed="false">
      <c r="A16" s="6"/>
      <c r="B16" s="6"/>
      <c r="C16" s="6"/>
      <c r="D16" s="6"/>
      <c r="E16" s="6"/>
      <c r="F16" s="6"/>
      <c r="G16" s="6"/>
      <c r="H16" s="6"/>
      <c r="I16" s="6"/>
      <c r="J16" s="6"/>
      <c r="K16" s="6"/>
      <c r="L16" s="6"/>
    </row>
    <row r="17" customFormat="false" ht="15" hidden="false" customHeight="false" outlineLevel="0" collapsed="false">
      <c r="A17" s="6"/>
      <c r="B17" s="31" t="s">
        <v>346</v>
      </c>
      <c r="C17" s="32" t="n">
        <f aca="false">C13+C14+C15</f>
        <v>8.83835616438356</v>
      </c>
      <c r="D17" s="32" t="n">
        <f aca="false">D13+D14+D15</f>
        <v>9.27172602739726</v>
      </c>
      <c r="E17" s="32" t="n">
        <f aca="false">E13+E14+E15</f>
        <v>9.72880520547945</v>
      </c>
      <c r="F17" s="32" t="n">
        <f aca="false">F13+F14+F15</f>
        <v>10.2156099465753</v>
      </c>
      <c r="G17" s="32" t="n">
        <f aca="false">G13+G14+G15</f>
        <v>10.9172377354863</v>
      </c>
      <c r="H17" s="32" t="n">
        <f aca="false">H13+H14+H15</f>
        <v>10.3677529762063</v>
      </c>
      <c r="I17" s="32" t="n">
        <f aca="false">I13+I14+I15</f>
        <v>10.6590527072183</v>
      </c>
      <c r="J17" s="32" t="n">
        <f aca="false">J13+J14+J15</f>
        <v>11.160220614524</v>
      </c>
      <c r="K17" s="32" t="n">
        <f aca="false">K13+K14+K15</f>
        <v>11.7097410251041</v>
      </c>
      <c r="L17" s="32" t="n">
        <f aca="false">L13+L14+L15</f>
        <v>12.2542687420831</v>
      </c>
    </row>
    <row r="18" customFormat="false" ht="15" hidden="false" customHeight="false" outlineLevel="0" collapsed="false">
      <c r="A18" s="6"/>
      <c r="B18" s="6"/>
      <c r="C18" s="6"/>
      <c r="D18" s="6"/>
      <c r="E18" s="6"/>
      <c r="F18" s="6"/>
      <c r="G18" s="6"/>
      <c r="H18" s="6"/>
      <c r="I18" s="6"/>
      <c r="J18" s="6"/>
      <c r="K18" s="6"/>
      <c r="L18" s="6"/>
    </row>
    <row r="19" customFormat="false" ht="15" hidden="false" customHeight="false" outlineLevel="0" collapsed="false">
      <c r="A19" s="6"/>
      <c r="B19" s="11" t="s">
        <v>347</v>
      </c>
      <c r="C19" s="12" t="n">
        <f aca="false">Open_Share_Capital</f>
        <v>130</v>
      </c>
      <c r="D19" s="12" t="n">
        <f aca="false">C19</f>
        <v>130</v>
      </c>
      <c r="E19" s="12" t="n">
        <f aca="false">D19</f>
        <v>130</v>
      </c>
      <c r="F19" s="12" t="n">
        <f aca="false">E19</f>
        <v>130</v>
      </c>
      <c r="G19" s="12" t="n">
        <f aca="false">F19</f>
        <v>130</v>
      </c>
      <c r="H19" s="12" t="n">
        <f aca="false">G19</f>
        <v>130</v>
      </c>
      <c r="I19" s="12" t="n">
        <f aca="false">H19</f>
        <v>130</v>
      </c>
      <c r="J19" s="12" t="n">
        <f aca="false">I19</f>
        <v>130</v>
      </c>
      <c r="K19" s="12" t="n">
        <f aca="false">J19</f>
        <v>130</v>
      </c>
      <c r="L19" s="12" t="n">
        <f aca="false">K19</f>
        <v>130</v>
      </c>
    </row>
    <row r="20" customFormat="false" ht="15" hidden="false" customHeight="false" outlineLevel="0" collapsed="false">
      <c r="A20" s="6"/>
      <c r="B20" s="11" t="s">
        <v>348</v>
      </c>
      <c r="C20" s="12" t="n">
        <f aca="false">Open_RE+Income_Statement!C33</f>
        <v>119.775</v>
      </c>
      <c r="D20" s="12" t="n">
        <f aca="false">C20+Income_Statement!D33</f>
        <v>140.68235</v>
      </c>
      <c r="E20" s="12" t="n">
        <f aca="false">D20+Income_Statement!E33</f>
        <v>211.652869</v>
      </c>
      <c r="F20" s="12" t="n">
        <f aca="false">E20+Income_Statement!F33</f>
        <v>275.664182805</v>
      </c>
      <c r="G20" s="12" t="n">
        <f aca="false">F20+Income_Statement!G33</f>
        <v>337.447888293625</v>
      </c>
      <c r="H20" s="12" t="n">
        <f aca="false">G20+Income_Statement!H33</f>
        <v>320.462220013063</v>
      </c>
      <c r="I20" s="12" t="n">
        <f aca="false">H20+Income_Statement!I33</f>
        <v>280.868015869325</v>
      </c>
      <c r="J20" s="12" t="n">
        <f aca="false">I20+Income_Statement!J33</f>
        <v>244.234935617373</v>
      </c>
      <c r="K20" s="12" t="n">
        <f aca="false">J20+Income_Statement!K33</f>
        <v>220.371161962886</v>
      </c>
      <c r="L20" s="12" t="n">
        <f aca="false">K20+Income_Statement!L33</f>
        <v>192.883113284687</v>
      </c>
    </row>
    <row r="21" customFormat="false" ht="15" hidden="false" customHeight="false" outlineLevel="0" collapsed="false">
      <c r="A21" s="6"/>
      <c r="B21" s="6"/>
      <c r="C21" s="6"/>
      <c r="D21" s="6"/>
      <c r="E21" s="6"/>
      <c r="F21" s="6"/>
      <c r="G21" s="6"/>
      <c r="H21" s="6"/>
      <c r="I21" s="6"/>
      <c r="J21" s="6"/>
      <c r="K21" s="6"/>
      <c r="L21" s="6"/>
    </row>
    <row r="22" customFormat="false" ht="15" hidden="false" customHeight="false" outlineLevel="0" collapsed="false">
      <c r="A22" s="6"/>
      <c r="B22" s="31" t="s">
        <v>349</v>
      </c>
      <c r="C22" s="32" t="n">
        <f aca="false">C19+C20</f>
        <v>249.775</v>
      </c>
      <c r="D22" s="32" t="n">
        <f aca="false">D19+D20</f>
        <v>270.68235</v>
      </c>
      <c r="E22" s="32" t="n">
        <f aca="false">E19+E20</f>
        <v>341.652869</v>
      </c>
      <c r="F22" s="32" t="n">
        <f aca="false">F19+F20</f>
        <v>405.664182805</v>
      </c>
      <c r="G22" s="32" t="n">
        <f aca="false">G19+G20</f>
        <v>467.447888293625</v>
      </c>
      <c r="H22" s="32" t="n">
        <f aca="false">H19+H20</f>
        <v>450.462220013063</v>
      </c>
      <c r="I22" s="32" t="n">
        <f aca="false">I19+I20</f>
        <v>410.868015869325</v>
      </c>
      <c r="J22" s="32" t="n">
        <f aca="false">J19+J20</f>
        <v>374.234935617373</v>
      </c>
      <c r="K22" s="32" t="n">
        <f aca="false">K19+K20</f>
        <v>350.371161962886</v>
      </c>
      <c r="L22" s="32" t="n">
        <f aca="false">L19+L20</f>
        <v>322.883113284687</v>
      </c>
    </row>
    <row r="23" customFormat="false" ht="15" hidden="false" customHeight="false" outlineLevel="0" collapsed="false">
      <c r="A23" s="6"/>
      <c r="B23" s="6"/>
      <c r="C23" s="6"/>
      <c r="D23" s="6"/>
      <c r="E23" s="6"/>
      <c r="F23" s="6"/>
      <c r="G23" s="6"/>
      <c r="H23" s="6"/>
      <c r="I23" s="6"/>
      <c r="J23" s="6"/>
      <c r="K23" s="6"/>
      <c r="L23" s="6"/>
    </row>
    <row r="24" customFormat="false" ht="15" hidden="false" customHeight="false" outlineLevel="0" collapsed="false">
      <c r="A24" s="6"/>
      <c r="B24" s="33" t="s">
        <v>350</v>
      </c>
      <c r="C24" s="14" t="n">
        <f aca="false">C17+C22</f>
        <v>258.613356164384</v>
      </c>
      <c r="D24" s="14" t="n">
        <f aca="false">D17+D22</f>
        <v>279.954076027397</v>
      </c>
      <c r="E24" s="14" t="n">
        <f aca="false">E17+E22</f>
        <v>351.381674205479</v>
      </c>
      <c r="F24" s="14" t="n">
        <f aca="false">F17+F22</f>
        <v>415.879792751575</v>
      </c>
      <c r="G24" s="14" t="n">
        <f aca="false">G17+G22</f>
        <v>478.365126029111</v>
      </c>
      <c r="H24" s="14" t="n">
        <f aca="false">H17+H22</f>
        <v>460.829972989269</v>
      </c>
      <c r="I24" s="14" t="n">
        <f aca="false">I17+I22</f>
        <v>421.527068576543</v>
      </c>
      <c r="J24" s="14" t="n">
        <f aca="false">J17+J22</f>
        <v>385.395156231897</v>
      </c>
      <c r="K24" s="14" t="n">
        <f aca="false">K17+K22</f>
        <v>362.080902987991</v>
      </c>
      <c r="L24" s="14" t="n">
        <f aca="false">L17+L22</f>
        <v>335.13738202677</v>
      </c>
    </row>
    <row r="25" customFormat="false" ht="15" hidden="false" customHeight="false" outlineLevel="0" collapsed="false">
      <c r="A25" s="6"/>
      <c r="B25" s="6"/>
      <c r="C25" s="6"/>
      <c r="D25" s="6"/>
      <c r="E25" s="6"/>
      <c r="F25" s="6"/>
      <c r="G25" s="6"/>
      <c r="H25" s="6"/>
      <c r="I25" s="6"/>
      <c r="J25" s="6"/>
      <c r="K25" s="6"/>
      <c r="L25" s="6"/>
    </row>
    <row r="26" customFormat="false" ht="15" hidden="false" customHeight="false" outlineLevel="0" collapsed="false">
      <c r="A26" s="6"/>
      <c r="B26" s="7" t="s">
        <v>351</v>
      </c>
      <c r="C26" s="34" t="n">
        <f aca="false">C11-C24</f>
        <v>0</v>
      </c>
      <c r="D26" s="34" t="n">
        <f aca="false">D11-D24</f>
        <v>0</v>
      </c>
      <c r="E26" s="34" t="n">
        <f aca="false">E11-E24</f>
        <v>0</v>
      </c>
      <c r="F26" s="34" t="n">
        <f aca="false">F11-F24</f>
        <v>0</v>
      </c>
      <c r="G26" s="34" t="n">
        <f aca="false">G11-G24</f>
        <v>0</v>
      </c>
      <c r="H26" s="34" t="n">
        <f aca="false">H11-H24</f>
        <v>0</v>
      </c>
      <c r="I26" s="34" t="n">
        <f aca="false">I11-I24</f>
        <v>0</v>
      </c>
      <c r="J26" s="34" t="n">
        <f aca="false">J11-J24</f>
        <v>0</v>
      </c>
      <c r="K26" s="34" t="n">
        <f aca="false">K11-K24</f>
        <v>0</v>
      </c>
      <c r="L26" s="34" t="n">
        <f aca="false">L11-L24</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4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12" min="3" style="0" width="13"/>
    <col collapsed="false" customWidth="true" hidden="false" outlineLevel="0" max="13" min="13" style="0" width="4"/>
    <col collapsed="false" customWidth="true" hidden="false" outlineLevel="0" max="14" min="14" style="0" width="16"/>
  </cols>
  <sheetData>
    <row r="1" customFormat="false" ht="15" hidden="false" customHeight="false" outlineLevel="0" collapsed="false">
      <c r="A1" s="1"/>
      <c r="B1" s="1"/>
      <c r="C1" s="1"/>
      <c r="D1" s="1"/>
      <c r="E1" s="1"/>
      <c r="F1" s="1"/>
      <c r="G1" s="1"/>
      <c r="H1" s="1"/>
      <c r="I1" s="1"/>
      <c r="J1" s="1"/>
      <c r="K1" s="1"/>
      <c r="L1" s="1"/>
      <c r="M1" s="1"/>
      <c r="N1" s="1"/>
      <c r="O1" s="2"/>
      <c r="P1" s="2"/>
      <c r="Q1" s="2"/>
      <c r="R1" s="2"/>
      <c r="S1" s="2"/>
      <c r="T1" s="2"/>
      <c r="U1" s="2"/>
      <c r="V1" s="2"/>
      <c r="W1" s="2"/>
      <c r="X1" s="2"/>
      <c r="Y1" s="2"/>
      <c r="Z1" s="2"/>
      <c r="AA1" s="2"/>
      <c r="AB1" s="2"/>
      <c r="AC1" s="2"/>
      <c r="AD1" s="2"/>
    </row>
    <row r="2" customFormat="false" ht="21.75" hidden="false" customHeight="true" outlineLevel="0" collapsed="false">
      <c r="A2" s="1"/>
      <c r="B2" s="3" t="s">
        <v>352</v>
      </c>
      <c r="C2" s="1"/>
      <c r="D2" s="1"/>
      <c r="E2" s="1"/>
      <c r="F2" s="1"/>
      <c r="G2" s="1"/>
      <c r="H2" s="1"/>
      <c r="I2" s="1"/>
      <c r="J2" s="1"/>
      <c r="K2" s="1"/>
      <c r="L2" s="1"/>
      <c r="M2" s="1"/>
      <c r="N2" s="1"/>
      <c r="O2" s="2"/>
      <c r="P2" s="2"/>
      <c r="Q2" s="2"/>
      <c r="R2" s="2"/>
      <c r="S2" s="2"/>
      <c r="T2" s="2"/>
      <c r="U2" s="2"/>
      <c r="V2" s="2"/>
      <c r="W2" s="2"/>
      <c r="X2" s="2"/>
      <c r="Y2" s="2"/>
      <c r="Z2" s="2"/>
      <c r="AA2" s="2"/>
      <c r="AB2" s="2"/>
      <c r="AC2" s="2"/>
      <c r="AD2" s="2"/>
    </row>
    <row r="3" customFormat="false" ht="15" hidden="false" customHeight="false" outlineLevel="0" collapsed="false">
      <c r="A3" s="1"/>
      <c r="B3" s="5" t="s">
        <v>353</v>
      </c>
      <c r="C3" s="1"/>
      <c r="D3" s="1"/>
      <c r="E3" s="1"/>
      <c r="F3" s="1"/>
      <c r="G3" s="1"/>
      <c r="H3" s="1"/>
      <c r="I3" s="1"/>
      <c r="J3" s="1"/>
      <c r="K3" s="1"/>
      <c r="L3" s="1"/>
      <c r="M3" s="1"/>
      <c r="N3" s="1"/>
      <c r="O3" s="2"/>
      <c r="P3" s="2"/>
      <c r="Q3" s="2"/>
      <c r="R3" s="2"/>
      <c r="S3" s="2"/>
      <c r="T3" s="2"/>
      <c r="U3" s="2"/>
      <c r="V3" s="2"/>
      <c r="W3" s="2"/>
      <c r="X3" s="2"/>
      <c r="Y3" s="2"/>
      <c r="Z3" s="2"/>
      <c r="AA3" s="2"/>
      <c r="AB3" s="2"/>
      <c r="AC3" s="2"/>
      <c r="AD3" s="2"/>
    </row>
    <row r="4" customFormat="false" ht="15" hidden="false" customHeight="false" outlineLevel="0" collapsed="false">
      <c r="A4" s="6"/>
      <c r="B4" s="28" t="s">
        <v>224</v>
      </c>
      <c r="C4" s="29" t="n">
        <v>1</v>
      </c>
      <c r="D4" s="29" t="n">
        <v>2</v>
      </c>
      <c r="E4" s="29" t="n">
        <v>3</v>
      </c>
      <c r="F4" s="29" t="n">
        <v>4</v>
      </c>
      <c r="G4" s="29" t="n">
        <v>5</v>
      </c>
      <c r="H4" s="29" t="n">
        <v>6</v>
      </c>
      <c r="I4" s="29" t="n">
        <v>7</v>
      </c>
      <c r="J4" s="29" t="n">
        <v>8</v>
      </c>
      <c r="K4" s="29" t="n">
        <v>9</v>
      </c>
      <c r="L4" s="29" t="n">
        <v>10</v>
      </c>
      <c r="M4" s="6"/>
      <c r="N4" s="6"/>
    </row>
    <row r="5" customFormat="false" ht="15" hidden="false" customHeight="false" outlineLevel="0" collapsed="false">
      <c r="A5" s="6"/>
      <c r="B5" s="6"/>
      <c r="C5" s="6"/>
      <c r="D5" s="6"/>
      <c r="E5" s="6"/>
      <c r="F5" s="6"/>
      <c r="G5" s="6"/>
      <c r="H5" s="6"/>
      <c r="I5" s="6"/>
      <c r="J5" s="6"/>
      <c r="K5" s="6"/>
      <c r="L5" s="6"/>
      <c r="M5" s="6"/>
      <c r="N5" s="6"/>
    </row>
    <row r="6" customFormat="false" ht="15" hidden="false" customHeight="false" outlineLevel="0" collapsed="false">
      <c r="A6" s="6"/>
      <c r="B6" s="28" t="s">
        <v>52</v>
      </c>
      <c r="C6" s="30"/>
      <c r="D6" s="30"/>
      <c r="E6" s="30"/>
      <c r="F6" s="30"/>
      <c r="G6" s="30"/>
      <c r="H6" s="30"/>
      <c r="I6" s="30"/>
      <c r="J6" s="30"/>
      <c r="K6" s="30"/>
      <c r="L6" s="30"/>
      <c r="M6" s="6"/>
      <c r="N6" s="6"/>
    </row>
    <row r="7" customFormat="false" ht="15" hidden="false" customHeight="false" outlineLevel="0" collapsed="false">
      <c r="A7" s="6"/>
      <c r="B7" s="11" t="s">
        <v>354</v>
      </c>
      <c r="C7" s="26" t="n">
        <f aca="false">WACC_Commercial</f>
        <v>0.09</v>
      </c>
      <c r="D7" s="6"/>
      <c r="E7" s="6"/>
      <c r="F7" s="6"/>
      <c r="G7" s="6"/>
      <c r="H7" s="6"/>
      <c r="I7" s="6"/>
      <c r="J7" s="6"/>
      <c r="K7" s="6"/>
      <c r="L7" s="6"/>
      <c r="M7" s="6"/>
      <c r="N7" s="6"/>
    </row>
    <row r="8" customFormat="false" ht="15" hidden="false" customHeight="false" outlineLevel="0" collapsed="false">
      <c r="A8" s="6"/>
      <c r="B8" s="11" t="s">
        <v>355</v>
      </c>
      <c r="C8" s="35" t="n">
        <f aca="false">1/(1+WACC_Commercial)^C4</f>
        <v>0.91743119266055</v>
      </c>
      <c r="D8" s="35" t="n">
        <f aca="false">1/(1+WACC_Commercial)^D4</f>
        <v>0.84167999326656</v>
      </c>
      <c r="E8" s="35" t="n">
        <f aca="false">1/(1+WACC_Commercial)^E4</f>
        <v>0.772183480061064</v>
      </c>
      <c r="F8" s="35" t="n">
        <f aca="false">1/(1+WACC_Commercial)^F4</f>
        <v>0.708425211065196</v>
      </c>
      <c r="G8" s="35" t="n">
        <f aca="false">1/(1+WACC_Commercial)^G4</f>
        <v>0.649931386298345</v>
      </c>
      <c r="H8" s="35" t="n">
        <f aca="false">1/(1+WACC_Commercial)^H4</f>
        <v>0.596267326879216</v>
      </c>
      <c r="I8" s="35" t="n">
        <f aca="false">1/(1+WACC_Commercial)^I4</f>
        <v>0.547034244843317</v>
      </c>
      <c r="J8" s="35" t="n">
        <f aca="false">1/(1+WACC_Commercial)^J4</f>
        <v>0.501866279672768</v>
      </c>
      <c r="K8" s="35" t="n">
        <f aca="false">1/(1+WACC_Commercial)^K4</f>
        <v>0.460427779516301</v>
      </c>
      <c r="L8" s="35" t="n">
        <f aca="false">1/(1+WACC_Commercial)^L4</f>
        <v>0.422410806895689</v>
      </c>
      <c r="M8" s="6"/>
      <c r="N8" s="6"/>
    </row>
    <row r="9" customFormat="false" ht="15" hidden="false" customHeight="false" outlineLevel="0" collapsed="false">
      <c r="A9" s="6"/>
      <c r="B9" s="11" t="s">
        <v>356</v>
      </c>
      <c r="C9" s="12" t="n">
        <f aca="false">Deal_Portfolio!C11</f>
        <v>80</v>
      </c>
      <c r="D9" s="12" t="n">
        <f aca="false">Deal_Portfolio!D11</f>
        <v>86.4</v>
      </c>
      <c r="E9" s="12" t="n">
        <f aca="false">Deal_Portfolio!E11</f>
        <v>93.312</v>
      </c>
      <c r="F9" s="12" t="n">
        <f aca="false">Deal_Portfolio!F11</f>
        <v>101.16544</v>
      </c>
      <c r="G9" s="12" t="n">
        <f aca="false">Deal_Portfolio!G11</f>
        <v>113.2586752</v>
      </c>
      <c r="H9" s="12" t="n">
        <f aca="false">Deal_Portfolio!H11</f>
        <v>27.2097792</v>
      </c>
      <c r="I9" s="12" t="n">
        <f aca="false">Deal_Portfolio!I11</f>
        <v>9.52342272</v>
      </c>
      <c r="J9" s="12" t="n">
        <f aca="false">Deal_Portfolio!J11</f>
        <v>6.666395904</v>
      </c>
      <c r="K9" s="12" t="n">
        <f aca="false">Deal_Portfolio!K11</f>
        <v>4.6664771328</v>
      </c>
      <c r="L9" s="12" t="n">
        <f aca="false">Deal_Portfolio!L11</f>
        <v>3.26653399296</v>
      </c>
      <c r="M9" s="6"/>
      <c r="N9" s="6"/>
    </row>
    <row r="10" customFormat="false" ht="15" hidden="false" customHeight="false" outlineLevel="0" collapsed="false">
      <c r="A10" s="6"/>
      <c r="B10" s="11" t="s">
        <v>357</v>
      </c>
      <c r="C10" s="26" t="n">
        <f aca="false">1</f>
        <v>1</v>
      </c>
      <c r="D10" s="26" t="n">
        <f aca="false">1</f>
        <v>1</v>
      </c>
      <c r="E10" s="26" t="n">
        <f aca="false">1</f>
        <v>1</v>
      </c>
      <c r="F10" s="26" t="n">
        <f aca="false">1</f>
        <v>1</v>
      </c>
      <c r="G10" s="26" t="n">
        <f aca="false">1</f>
        <v>1</v>
      </c>
      <c r="H10" s="26" t="n">
        <f aca="false">1</f>
        <v>1</v>
      </c>
      <c r="I10" s="26" t="n">
        <f aca="false">1</f>
        <v>1</v>
      </c>
      <c r="J10" s="26" t="n">
        <f aca="false">1</f>
        <v>1</v>
      </c>
      <c r="K10" s="26" t="n">
        <f aca="false">1</f>
        <v>1</v>
      </c>
      <c r="L10" s="26" t="n">
        <f aca="false">1</f>
        <v>1</v>
      </c>
      <c r="M10" s="6"/>
      <c r="N10" s="6"/>
    </row>
    <row r="11" customFormat="false" ht="15" hidden="false" customHeight="false" outlineLevel="0" collapsed="false">
      <c r="A11" s="6"/>
      <c r="B11" s="11" t="s">
        <v>358</v>
      </c>
      <c r="C11" s="12" t="n">
        <f aca="false">C9*C10*(1-Tax_Rate)</f>
        <v>63.2</v>
      </c>
      <c r="D11" s="12" t="n">
        <f aca="false">D9*D10*(1-Tax_Rate)</f>
        <v>68.256</v>
      </c>
      <c r="E11" s="12" t="n">
        <f aca="false">E9*E10*(1-Tax_Rate)</f>
        <v>73.71648</v>
      </c>
      <c r="F11" s="12" t="n">
        <f aca="false">F9*F10*(1-Tax_Rate)</f>
        <v>79.9206976</v>
      </c>
      <c r="G11" s="12" t="n">
        <f aca="false">G9*G10*(1-Tax_Rate)</f>
        <v>89.474353408</v>
      </c>
      <c r="H11" s="12" t="n">
        <f aca="false">H9*H10*(1-Tax_Rate)</f>
        <v>21.495725568</v>
      </c>
      <c r="I11" s="12" t="n">
        <f aca="false">I9*I10*(1-Tax_Rate)</f>
        <v>7.5235039488</v>
      </c>
      <c r="J11" s="12" t="n">
        <f aca="false">J9*J10*(1-Tax_Rate)</f>
        <v>5.26645276416</v>
      </c>
      <c r="K11" s="12" t="n">
        <f aca="false">K9*K10*(1-Tax_Rate)</f>
        <v>3.686516934912</v>
      </c>
      <c r="L11" s="12" t="n">
        <f aca="false">L9*L10*(1-Tax_Rate)</f>
        <v>2.5805618544384</v>
      </c>
      <c r="M11" s="6"/>
      <c r="N11" s="6"/>
    </row>
    <row r="12" customFormat="false" ht="15" hidden="false" customHeight="false" outlineLevel="0" collapsed="false">
      <c r="A12" s="6"/>
      <c r="B12" s="11" t="s">
        <v>359</v>
      </c>
      <c r="C12" s="12" t="n">
        <f aca="false">C11*C8</f>
        <v>57.9816513761468</v>
      </c>
      <c r="D12" s="12" t="n">
        <f aca="false">D11*D8</f>
        <v>57.4497096204023</v>
      </c>
      <c r="E12" s="12" t="n">
        <f aca="false">E11*E8</f>
        <v>56.9226480642519</v>
      </c>
      <c r="F12" s="12" t="n">
        <f aca="false">F11*F8</f>
        <v>56.6178370657578</v>
      </c>
      <c r="G12" s="12" t="n">
        <f aca="false">G11*G8</f>
        <v>58.1521905486095</v>
      </c>
      <c r="H12" s="12" t="n">
        <f aca="false">H11*H8</f>
        <v>12.8171988237606</v>
      </c>
      <c r="I12" s="12" t="n">
        <f aca="false">I11*I8</f>
        <v>4.11561430120753</v>
      </c>
      <c r="J12" s="12" t="n">
        <f aca="false">J11*J8</f>
        <v>2.64305505582135</v>
      </c>
      <c r="K12" s="12" t="n">
        <f aca="false">K11*K8</f>
        <v>1.69737480649077</v>
      </c>
      <c r="L12" s="12" t="n">
        <f aca="false">L11*L8</f>
        <v>1.09005721517756</v>
      </c>
      <c r="M12" s="6"/>
      <c r="N12" s="6"/>
    </row>
    <row r="13" customFormat="false" ht="15" hidden="false" customHeight="false" outlineLevel="0" collapsed="false">
      <c r="A13" s="6"/>
      <c r="B13" s="7" t="s">
        <v>360</v>
      </c>
      <c r="C13" s="6"/>
      <c r="D13" s="6"/>
      <c r="E13" s="6"/>
      <c r="F13" s="6"/>
      <c r="G13" s="6"/>
      <c r="H13" s="6"/>
      <c r="I13" s="6"/>
      <c r="J13" s="6"/>
      <c r="K13" s="6"/>
      <c r="L13" s="6"/>
      <c r="M13" s="6"/>
      <c r="N13" s="14" t="n">
        <f aca="false">SUM(C12:L12)</f>
        <v>309.487336877626</v>
      </c>
    </row>
    <row r="14" customFormat="false" ht="15" hidden="false" customHeight="false" outlineLevel="0" collapsed="false">
      <c r="A14" s="6"/>
      <c r="B14" s="6"/>
      <c r="C14" s="6"/>
      <c r="D14" s="6"/>
      <c r="E14" s="6"/>
      <c r="F14" s="6"/>
      <c r="G14" s="6"/>
      <c r="H14" s="6"/>
      <c r="I14" s="6"/>
      <c r="J14" s="6"/>
      <c r="K14" s="6"/>
      <c r="L14" s="6"/>
      <c r="M14" s="6"/>
      <c r="N14" s="6"/>
    </row>
    <row r="15" customFormat="false" ht="15" hidden="false" customHeight="false" outlineLevel="0" collapsed="false">
      <c r="A15" s="6"/>
      <c r="B15" s="28" t="s">
        <v>71</v>
      </c>
      <c r="C15" s="30"/>
      <c r="D15" s="30"/>
      <c r="E15" s="30"/>
      <c r="F15" s="30"/>
      <c r="G15" s="30"/>
      <c r="H15" s="30"/>
      <c r="I15" s="30"/>
      <c r="J15" s="30"/>
      <c r="K15" s="30"/>
      <c r="L15" s="30"/>
      <c r="M15" s="6"/>
      <c r="N15" s="6"/>
    </row>
    <row r="16" customFormat="false" ht="15" hidden="false" customHeight="false" outlineLevel="0" collapsed="false">
      <c r="A16" s="6"/>
      <c r="B16" s="11" t="s">
        <v>354</v>
      </c>
      <c r="C16" s="26" t="n">
        <f aca="false">WACC_LateStage</f>
        <v>0.12</v>
      </c>
      <c r="D16" s="6"/>
      <c r="E16" s="6"/>
      <c r="F16" s="6"/>
      <c r="G16" s="6"/>
      <c r="H16" s="6"/>
      <c r="I16" s="6"/>
      <c r="J16" s="6"/>
      <c r="K16" s="6"/>
      <c r="L16" s="6"/>
      <c r="M16" s="6"/>
      <c r="N16" s="6"/>
    </row>
    <row r="17" customFormat="false" ht="15" hidden="false" customHeight="false" outlineLevel="0" collapsed="false">
      <c r="A17" s="6"/>
      <c r="B17" s="11" t="s">
        <v>355</v>
      </c>
      <c r="C17" s="35" t="n">
        <f aca="false">1/(1+WACC_LateStage)^C4</f>
        <v>0.892857142857143</v>
      </c>
      <c r="D17" s="35" t="n">
        <f aca="false">1/(1+WACC_LateStage)^D4</f>
        <v>0.79719387755102</v>
      </c>
      <c r="E17" s="35" t="n">
        <f aca="false">1/(1+WACC_LateStage)^E4</f>
        <v>0.711780247813411</v>
      </c>
      <c r="F17" s="35" t="n">
        <f aca="false">1/(1+WACC_LateStage)^F4</f>
        <v>0.635518078404831</v>
      </c>
      <c r="G17" s="35" t="n">
        <f aca="false">1/(1+WACC_LateStage)^G4</f>
        <v>0.567426855718599</v>
      </c>
      <c r="H17" s="35" t="n">
        <f aca="false">1/(1+WACC_LateStage)^H4</f>
        <v>0.506631121177321</v>
      </c>
      <c r="I17" s="35" t="n">
        <f aca="false">1/(1+WACC_LateStage)^I4</f>
        <v>0.452349215336893</v>
      </c>
      <c r="J17" s="35" t="n">
        <f aca="false">1/(1+WACC_LateStage)^J4</f>
        <v>0.403883227979369</v>
      </c>
      <c r="K17" s="35" t="n">
        <f aca="false">1/(1+WACC_LateStage)^K4</f>
        <v>0.360610024981579</v>
      </c>
      <c r="L17" s="35" t="n">
        <f aca="false">1/(1+WACC_LateStage)^L4</f>
        <v>0.321973236590696</v>
      </c>
      <c r="M17" s="6"/>
      <c r="N17" s="6"/>
    </row>
    <row r="18" customFormat="false" ht="15" hidden="false" customHeight="false" outlineLevel="0" collapsed="false">
      <c r="A18" s="6"/>
      <c r="B18" s="11" t="s">
        <v>361</v>
      </c>
      <c r="C18" s="12" t="n">
        <f aca="false">Deal_Portfolio!C15+Deal_Portfolio!C16+Deal_Portfolio!C17+Deal_Portfolio!C18</f>
        <v>0</v>
      </c>
      <c r="D18" s="12" t="n">
        <f aca="false">Deal_Portfolio!D15+Deal_Portfolio!D16+Deal_Portfolio!D17+Deal_Portfolio!D18</f>
        <v>0</v>
      </c>
      <c r="E18" s="12" t="n">
        <f aca="false">Deal_Portfolio!E15+Deal_Portfolio!E16+Deal_Portfolio!E17+Deal_Portfolio!E18</f>
        <v>50</v>
      </c>
      <c r="F18" s="12" t="n">
        <f aca="false">Deal_Portfolio!F15+Deal_Portfolio!F16+Deal_Portfolio!F17+Deal_Portfolio!F18</f>
        <v>75</v>
      </c>
      <c r="G18" s="12" t="n">
        <f aca="false">Deal_Portfolio!G15+Deal_Portfolio!G16+Deal_Portfolio!G17+Deal_Portfolio!G18</f>
        <v>64</v>
      </c>
      <c r="H18" s="12" t="n">
        <f aca="false">Deal_Portfolio!H15+Deal_Portfolio!H16+Deal_Portfolio!H17+Deal_Portfolio!H18</f>
        <v>30</v>
      </c>
      <c r="I18" s="12" t="n">
        <f aca="false">Deal_Portfolio!I15+Deal_Portfolio!I16+Deal_Portfolio!I17+Deal_Portfolio!I18</f>
        <v>37.5</v>
      </c>
      <c r="J18" s="12" t="n">
        <f aca="false">Deal_Portfolio!J15+Deal_Portfolio!J16+Deal_Portfolio!J17+Deal_Portfolio!J18</f>
        <v>46.875</v>
      </c>
      <c r="K18" s="12" t="n">
        <f aca="false">Deal_Portfolio!K15+Deal_Portfolio!K16+Deal_Portfolio!K17+Deal_Portfolio!K18</f>
        <v>58.59375</v>
      </c>
      <c r="L18" s="12" t="n">
        <f aca="false">Deal_Portfolio!L15+Deal_Portfolio!L16+Deal_Portfolio!L17+Deal_Portfolio!L18</f>
        <v>63.28125</v>
      </c>
      <c r="M18" s="6"/>
      <c r="N18" s="6"/>
    </row>
    <row r="19" customFormat="false" ht="15" hidden="false" customHeight="false" outlineLevel="0" collapsed="false">
      <c r="A19" s="6"/>
      <c r="B19" s="11" t="s">
        <v>362</v>
      </c>
      <c r="C19" s="26" t="n">
        <f aca="false">IF(C18=0,0,C20/(1-Tax_Rate)/C18)</f>
        <v>0</v>
      </c>
      <c r="D19" s="26" t="n">
        <f aca="false">IF(D18=0,0,D20/(1-Tax_Rate)/D18)</f>
        <v>0</v>
      </c>
      <c r="E19" s="26" t="n">
        <f aca="false">IF(E18=0,0,E20/(1-Tax_Rate)/E18)</f>
        <v>1</v>
      </c>
      <c r="F19" s="26" t="n">
        <f aca="false">IF(F18=0,0,F20/(1-Tax_Rate)/F18)</f>
        <v>0.6</v>
      </c>
      <c r="G19" s="26" t="n">
        <f aca="false">IF(G18=0,0,G20/(1-Tax_Rate)/G18)</f>
        <v>0.51</v>
      </c>
      <c r="H19" s="26" t="n">
        <f aca="false">IF(H18=0,0,H20/(1-Tax_Rate)/H18)</f>
        <v>0.51</v>
      </c>
      <c r="I19" s="26" t="n">
        <f aca="false">IF(I18=0,0,I20/(1-Tax_Rate)/I18)</f>
        <v>0.51</v>
      </c>
      <c r="J19" s="26" t="n">
        <f aca="false">IF(J18=0,0,J20/(1-Tax_Rate)/J18)</f>
        <v>0.51</v>
      </c>
      <c r="K19" s="26" t="n">
        <f aca="false">IF(K18=0,0,K20/(1-Tax_Rate)/K18)</f>
        <v>0.51</v>
      </c>
      <c r="L19" s="26" t="n">
        <f aca="false">IF(L18=0,0,L20/(1-Tax_Rate)/L18)</f>
        <v>0.51</v>
      </c>
      <c r="M19" s="6"/>
      <c r="N19" s="6"/>
    </row>
    <row r="20" customFormat="false" ht="15" hidden="false" customHeight="false" outlineLevel="0" collapsed="false">
      <c r="A20" s="6"/>
      <c r="B20" s="11" t="s">
        <v>358</v>
      </c>
      <c r="C20" s="12" t="n">
        <f aca="false">(Deal_Portfolio!C26+Deal_Portfolio!C25)*(1-Tax_Rate)</f>
        <v>0</v>
      </c>
      <c r="D20" s="12" t="n">
        <f aca="false">(Deal_Portfolio!D26+Deal_Portfolio!D25)*(1-Tax_Rate)</f>
        <v>0</v>
      </c>
      <c r="E20" s="12" t="n">
        <f aca="false">(Deal_Portfolio!E26+Deal_Portfolio!E25)*(1-Tax_Rate)</f>
        <v>39.5</v>
      </c>
      <c r="F20" s="12" t="n">
        <f aca="false">(Deal_Portfolio!F26+Deal_Portfolio!F25)*(1-Tax_Rate)</f>
        <v>35.55</v>
      </c>
      <c r="G20" s="12" t="n">
        <f aca="false">(Deal_Portfolio!G26+Deal_Portfolio!G25)*(1-Tax_Rate)</f>
        <v>25.7856</v>
      </c>
      <c r="H20" s="12" t="n">
        <f aca="false">(Deal_Portfolio!H26+Deal_Portfolio!H25)*(1-Tax_Rate)</f>
        <v>12.087</v>
      </c>
      <c r="I20" s="12" t="n">
        <f aca="false">(Deal_Portfolio!I26+Deal_Portfolio!I25)*(1-Tax_Rate)</f>
        <v>15.10875</v>
      </c>
      <c r="J20" s="12" t="n">
        <f aca="false">(Deal_Portfolio!J26+Deal_Portfolio!J25)*(1-Tax_Rate)</f>
        <v>18.8859375</v>
      </c>
      <c r="K20" s="12" t="n">
        <f aca="false">(Deal_Portfolio!K26+Deal_Portfolio!K25)*(1-Tax_Rate)</f>
        <v>23.607421875</v>
      </c>
      <c r="L20" s="12" t="n">
        <f aca="false">(Deal_Portfolio!L26+Deal_Portfolio!L25)*(1-Tax_Rate)</f>
        <v>25.496015625</v>
      </c>
      <c r="M20" s="6"/>
      <c r="N20" s="6"/>
    </row>
    <row r="21" customFormat="false" ht="15" hidden="false" customHeight="false" outlineLevel="0" collapsed="false">
      <c r="A21" s="6"/>
      <c r="B21" s="11" t="s">
        <v>359</v>
      </c>
      <c r="C21" s="12" t="n">
        <f aca="false">C20*C17</f>
        <v>0</v>
      </c>
      <c r="D21" s="12" t="n">
        <f aca="false">D20*D17</f>
        <v>0</v>
      </c>
      <c r="E21" s="12" t="n">
        <f aca="false">E20*E17</f>
        <v>28.1153197886297</v>
      </c>
      <c r="F21" s="12" t="n">
        <f aca="false">F20*F17</f>
        <v>22.5926676872917</v>
      </c>
      <c r="G21" s="12" t="n">
        <f aca="false">G20*G17</f>
        <v>14.6314419308175</v>
      </c>
      <c r="H21" s="12" t="n">
        <f aca="false">H20*H17</f>
        <v>6.12365036167028</v>
      </c>
      <c r="I21" s="12" t="n">
        <f aca="false">I20*I17</f>
        <v>6.83443120722129</v>
      </c>
      <c r="J21" s="12" t="n">
        <f aca="false">J20*J17</f>
        <v>7.62771340091662</v>
      </c>
      <c r="K21" s="12" t="n">
        <f aca="false">K20*K17</f>
        <v>8.51307299209444</v>
      </c>
      <c r="L21" s="12" t="n">
        <f aca="false">L20*L17</f>
        <v>8.20903467094821</v>
      </c>
      <c r="M21" s="6"/>
      <c r="N21" s="6"/>
    </row>
    <row r="22" customFormat="false" ht="15" hidden="false" customHeight="false" outlineLevel="0" collapsed="false">
      <c r="A22" s="6"/>
      <c r="B22" s="11" t="s">
        <v>363</v>
      </c>
      <c r="C22" s="6"/>
      <c r="D22" s="6"/>
      <c r="E22" s="6"/>
      <c r="F22" s="6"/>
      <c r="G22" s="6"/>
      <c r="H22" s="6"/>
      <c r="I22" s="6"/>
      <c r="J22" s="6"/>
      <c r="K22" s="6"/>
      <c r="L22" s="12" t="n">
        <f aca="false">L20*(1+Deal_B_TV_Growth)/(WACC_LateStage-Deal_B_TV_Growth)</f>
        <v>275.088589638158</v>
      </c>
      <c r="M22" s="6"/>
      <c r="N22" s="6"/>
    </row>
    <row r="23" customFormat="false" ht="15" hidden="false" customHeight="false" outlineLevel="0" collapsed="false">
      <c r="A23" s="6"/>
      <c r="B23" s="11" t="s">
        <v>364</v>
      </c>
      <c r="C23" s="6"/>
      <c r="D23" s="6"/>
      <c r="E23" s="6"/>
      <c r="F23" s="6"/>
      <c r="G23" s="6"/>
      <c r="H23" s="6"/>
      <c r="I23" s="6"/>
      <c r="J23" s="6"/>
      <c r="K23" s="6"/>
      <c r="L23" s="12" t="n">
        <f aca="false">L22*L17</f>
        <v>88.5711635549675</v>
      </c>
      <c r="M23" s="6"/>
      <c r="N23" s="6"/>
    </row>
    <row r="24" customFormat="false" ht="15" hidden="false" customHeight="false" outlineLevel="0" collapsed="false">
      <c r="A24" s="6"/>
      <c r="B24" s="7" t="s">
        <v>365</v>
      </c>
      <c r="C24" s="6"/>
      <c r="D24" s="6"/>
      <c r="E24" s="6"/>
      <c r="F24" s="6"/>
      <c r="G24" s="6"/>
      <c r="H24" s="6"/>
      <c r="I24" s="6"/>
      <c r="J24" s="6"/>
      <c r="K24" s="6"/>
      <c r="L24" s="6"/>
      <c r="M24" s="6"/>
      <c r="N24" s="14" t="n">
        <f aca="false">SUM(C21:L21)+L23</f>
        <v>191.218495594557</v>
      </c>
    </row>
    <row r="25" customFormat="false" ht="15" hidden="false" customHeight="false" outlineLevel="0" collapsed="false">
      <c r="A25" s="6"/>
      <c r="B25" s="6"/>
      <c r="C25" s="6"/>
      <c r="D25" s="6"/>
      <c r="E25" s="6"/>
      <c r="F25" s="6"/>
      <c r="G25" s="6"/>
      <c r="H25" s="6"/>
      <c r="I25" s="6"/>
      <c r="J25" s="6"/>
      <c r="K25" s="6"/>
      <c r="L25" s="6"/>
      <c r="M25" s="6"/>
      <c r="N25" s="6"/>
    </row>
    <row r="26" customFormat="false" ht="15" hidden="false" customHeight="false" outlineLevel="0" collapsed="false">
      <c r="A26" s="6"/>
      <c r="B26" s="28" t="s">
        <v>102</v>
      </c>
      <c r="C26" s="30"/>
      <c r="D26" s="30"/>
      <c r="E26" s="30"/>
      <c r="F26" s="30"/>
      <c r="G26" s="30"/>
      <c r="H26" s="30"/>
      <c r="I26" s="30"/>
      <c r="J26" s="30"/>
      <c r="K26" s="30"/>
      <c r="L26" s="30"/>
      <c r="M26" s="6"/>
      <c r="N26" s="6"/>
    </row>
    <row r="27" customFormat="false" ht="15" hidden="false" customHeight="false" outlineLevel="0" collapsed="false">
      <c r="A27" s="6"/>
      <c r="B27" s="11" t="s">
        <v>354</v>
      </c>
      <c r="C27" s="26" t="n">
        <f aca="false">WACC_EarlyStage</f>
        <v>0.16</v>
      </c>
      <c r="D27" s="6"/>
      <c r="E27" s="6"/>
      <c r="F27" s="6"/>
      <c r="G27" s="6"/>
      <c r="H27" s="6"/>
      <c r="I27" s="6"/>
      <c r="J27" s="6"/>
      <c r="K27" s="6"/>
      <c r="L27" s="6"/>
      <c r="M27" s="6"/>
      <c r="N27" s="6"/>
    </row>
    <row r="28" customFormat="false" ht="15" hidden="false" customHeight="false" outlineLevel="0" collapsed="false">
      <c r="A28" s="6"/>
      <c r="B28" s="11" t="s">
        <v>355</v>
      </c>
      <c r="C28" s="35" t="n">
        <f aca="false">1/(1+WACC_EarlyStage)^C4</f>
        <v>0.862068965517241</v>
      </c>
      <c r="D28" s="35" t="n">
        <f aca="false">1/(1+WACC_EarlyStage)^D4</f>
        <v>0.743162901307967</v>
      </c>
      <c r="E28" s="35" t="n">
        <f aca="false">1/(1+WACC_EarlyStage)^E4</f>
        <v>0.640657673541351</v>
      </c>
      <c r="F28" s="35" t="n">
        <f aca="false">1/(1+WACC_EarlyStage)^F4</f>
        <v>0.552291097880475</v>
      </c>
      <c r="G28" s="35" t="n">
        <f aca="false">1/(1+WACC_EarlyStage)^G4</f>
        <v>0.476113015414203</v>
      </c>
      <c r="H28" s="35" t="n">
        <f aca="false">1/(1+WACC_EarlyStage)^H4</f>
        <v>0.410442254667416</v>
      </c>
      <c r="I28" s="35" t="n">
        <f aca="false">1/(1+WACC_EarlyStage)^I4</f>
        <v>0.353829529885703</v>
      </c>
      <c r="J28" s="35" t="n">
        <f aca="false">1/(1+WACC_EarlyStage)^J4</f>
        <v>0.30502545679802</v>
      </c>
      <c r="K28" s="35" t="n">
        <f aca="false">1/(1+WACC_EarlyStage)^K4</f>
        <v>0.262952979998293</v>
      </c>
      <c r="L28" s="35" t="n">
        <f aca="false">1/(1+WACC_EarlyStage)^L4</f>
        <v>0.226683603446805</v>
      </c>
      <c r="M28" s="6"/>
      <c r="N28" s="6"/>
    </row>
    <row r="29" customFormat="false" ht="15" hidden="false" customHeight="false" outlineLevel="0" collapsed="false">
      <c r="A29" s="6"/>
      <c r="B29" s="11" t="s">
        <v>361</v>
      </c>
      <c r="C29" s="12" t="n">
        <f aca="false">Deal_Portfolio!C30+Deal_Portfolio!C31+Deal_Portfolio!C32+Deal_Portfolio!C33+Deal_Portfolio!C34</f>
        <v>0</v>
      </c>
      <c r="D29" s="12" t="n">
        <f aca="false">Deal_Portfolio!D30+Deal_Portfolio!D31+Deal_Portfolio!D32+Deal_Portfolio!D33+Deal_Portfolio!D34</f>
        <v>0</v>
      </c>
      <c r="E29" s="12" t="n">
        <f aca="false">Deal_Portfolio!E30+Deal_Portfolio!E31+Deal_Portfolio!E32+Deal_Portfolio!E33+Deal_Portfolio!E34</f>
        <v>15</v>
      </c>
      <c r="F29" s="12" t="n">
        <f aca="false">Deal_Portfolio!F30+Deal_Portfolio!F31+Deal_Portfolio!F32+Deal_Portfolio!F33+Deal_Portfolio!F34</f>
        <v>0</v>
      </c>
      <c r="G29" s="12" t="n">
        <f aca="false">Deal_Portfolio!G30+Deal_Portfolio!G31+Deal_Portfolio!G32+Deal_Portfolio!G33+Deal_Portfolio!G34</f>
        <v>0</v>
      </c>
      <c r="H29" s="12" t="n">
        <f aca="false">Deal_Portfolio!H30+Deal_Portfolio!H31+Deal_Portfolio!H32+Deal_Portfolio!H33+Deal_Portfolio!H34</f>
        <v>30</v>
      </c>
      <c r="I29" s="12" t="n">
        <f aca="false">Deal_Portfolio!I30+Deal_Portfolio!I31+Deal_Portfolio!I32+Deal_Portfolio!I33+Deal_Portfolio!I34</f>
        <v>0</v>
      </c>
      <c r="J29" s="12" t="n">
        <f aca="false">Deal_Portfolio!J30+Deal_Portfolio!J31+Deal_Portfolio!J32+Deal_Portfolio!J33+Deal_Portfolio!J34</f>
        <v>0</v>
      </c>
      <c r="K29" s="12" t="n">
        <f aca="false">Deal_Portfolio!K30+Deal_Portfolio!K31+Deal_Portfolio!K32+Deal_Portfolio!K33+Deal_Portfolio!K34</f>
        <v>60</v>
      </c>
      <c r="L29" s="12" t="n">
        <f aca="false">Deal_Portfolio!L30+Deal_Portfolio!L31+Deal_Portfolio!L32+Deal_Portfolio!L33+Deal_Portfolio!L34</f>
        <v>54</v>
      </c>
      <c r="M29" s="6"/>
      <c r="N29" s="6"/>
    </row>
    <row r="30" customFormat="false" ht="15" hidden="false" customHeight="false" outlineLevel="0" collapsed="false">
      <c r="A30" s="6"/>
      <c r="B30" s="11" t="s">
        <v>362</v>
      </c>
      <c r="C30" s="26" t="n">
        <f aca="false">IF(C29=0,0,C31/(1-Tax_Rate)/C29)</f>
        <v>0</v>
      </c>
      <c r="D30" s="26" t="n">
        <f aca="false">IF(D29=0,0,D31/(1-Tax_Rate)/D29)</f>
        <v>0</v>
      </c>
      <c r="E30" s="26" t="n">
        <f aca="false">IF(E29=0,0,E31/(1-Tax_Rate)/E29)</f>
        <v>0.6</v>
      </c>
      <c r="F30" s="26" t="n">
        <f aca="false">IF(F29=0,0,F31/(1-Tax_Rate)/F29)</f>
        <v>0</v>
      </c>
      <c r="G30" s="26" t="n">
        <f aca="false">IF(G29=0,0,G31/(1-Tax_Rate)/G29)</f>
        <v>0</v>
      </c>
      <c r="H30" s="26" t="n">
        <f aca="false">IF(H29=0,0,H31/(1-Tax_Rate)/H29)</f>
        <v>0.21</v>
      </c>
      <c r="I30" s="26" t="n">
        <f aca="false">IF(I29=0,0,I31/(1-Tax_Rate)/I29)</f>
        <v>0</v>
      </c>
      <c r="J30" s="26" t="n">
        <f aca="false">IF(J29=0,0,J31/(1-Tax_Rate)/J29)</f>
        <v>0</v>
      </c>
      <c r="K30" s="26" t="n">
        <f aca="false">IF(K29=0,0,K31/(1-Tax_Rate)/K29)</f>
        <v>0.126</v>
      </c>
      <c r="L30" s="26" t="n">
        <f aca="false">IF(L29=0,0,L31/(1-Tax_Rate)/L29)</f>
        <v>0.1071</v>
      </c>
      <c r="M30" s="6"/>
      <c r="N30" s="6"/>
    </row>
    <row r="31" customFormat="false" ht="15" hidden="false" customHeight="false" outlineLevel="0" collapsed="false">
      <c r="A31" s="6"/>
      <c r="B31" s="11" t="s">
        <v>358</v>
      </c>
      <c r="C31" s="12" t="n">
        <f aca="false">(Deal_Portfolio!C44+Deal_Portfolio!C43)*(1-Tax_Rate)</f>
        <v>0</v>
      </c>
      <c r="D31" s="12" t="n">
        <f aca="false">(Deal_Portfolio!D44+Deal_Portfolio!D43)*(1-Tax_Rate)</f>
        <v>0</v>
      </c>
      <c r="E31" s="12" t="n">
        <f aca="false">(Deal_Portfolio!E44+Deal_Portfolio!E43)*(1-Tax_Rate)</f>
        <v>7.11</v>
      </c>
      <c r="F31" s="12" t="n">
        <f aca="false">(Deal_Portfolio!F44+Deal_Portfolio!F43)*(1-Tax_Rate)</f>
        <v>0</v>
      </c>
      <c r="G31" s="12" t="n">
        <f aca="false">(Deal_Portfolio!G44+Deal_Portfolio!G43)*(1-Tax_Rate)</f>
        <v>0</v>
      </c>
      <c r="H31" s="12" t="n">
        <f aca="false">(Deal_Portfolio!H44+Deal_Portfolio!H43)*(1-Tax_Rate)</f>
        <v>4.977</v>
      </c>
      <c r="I31" s="12" t="n">
        <f aca="false">(Deal_Portfolio!I44+Deal_Portfolio!I43)*(1-Tax_Rate)</f>
        <v>0</v>
      </c>
      <c r="J31" s="12" t="n">
        <f aca="false">(Deal_Portfolio!J44+Deal_Portfolio!J43)*(1-Tax_Rate)</f>
        <v>0</v>
      </c>
      <c r="K31" s="12" t="n">
        <f aca="false">(Deal_Portfolio!K44+Deal_Portfolio!K43)*(1-Tax_Rate)</f>
        <v>5.9724</v>
      </c>
      <c r="L31" s="12" t="n">
        <f aca="false">(Deal_Portfolio!L44+Deal_Portfolio!L43)*(1-Tax_Rate)</f>
        <v>4.568886</v>
      </c>
      <c r="M31" s="6"/>
      <c r="N31" s="6"/>
    </row>
    <row r="32" customFormat="false" ht="15" hidden="false" customHeight="false" outlineLevel="0" collapsed="false">
      <c r="A32" s="6"/>
      <c r="B32" s="11" t="s">
        <v>359</v>
      </c>
      <c r="C32" s="12" t="n">
        <f aca="false">C31*C28</f>
        <v>0</v>
      </c>
      <c r="D32" s="12" t="n">
        <f aca="false">D31*D28</f>
        <v>0</v>
      </c>
      <c r="E32" s="12" t="n">
        <f aca="false">E31*E28</f>
        <v>4.555076058879</v>
      </c>
      <c r="F32" s="12" t="n">
        <f aca="false">F31*F28</f>
        <v>0</v>
      </c>
      <c r="G32" s="12" t="n">
        <f aca="false">G31*G28</f>
        <v>0</v>
      </c>
      <c r="H32" s="12" t="n">
        <f aca="false">H31*H28</f>
        <v>2.04277110147973</v>
      </c>
      <c r="I32" s="12" t="n">
        <f aca="false">I31*I28</f>
        <v>0</v>
      </c>
      <c r="J32" s="12" t="n">
        <f aca="false">J31*J28</f>
        <v>0</v>
      </c>
      <c r="K32" s="12" t="n">
        <f aca="false">K31*K28</f>
        <v>1.57046037774181</v>
      </c>
      <c r="L32" s="12" t="n">
        <f aca="false">L31*L28</f>
        <v>1.03569154221766</v>
      </c>
      <c r="M32" s="6"/>
      <c r="N32" s="6"/>
    </row>
    <row r="33" customFormat="false" ht="15" hidden="false" customHeight="false" outlineLevel="0" collapsed="false">
      <c r="A33" s="6"/>
      <c r="B33" s="11" t="s">
        <v>363</v>
      </c>
      <c r="C33" s="6"/>
      <c r="D33" s="6"/>
      <c r="E33" s="6"/>
      <c r="F33" s="6"/>
      <c r="G33" s="6"/>
      <c r="H33" s="6"/>
      <c r="I33" s="6"/>
      <c r="J33" s="6"/>
      <c r="K33" s="6"/>
      <c r="L33" s="12" t="n">
        <f aca="false">L31*(1+Deal_C_TV_Growth)/(WACC_EarlyStage-Deal_C_TV_Growth)</f>
        <v>34.68969</v>
      </c>
      <c r="M33" s="6"/>
      <c r="N33" s="6"/>
    </row>
    <row r="34" customFormat="false" ht="15" hidden="false" customHeight="false" outlineLevel="0" collapsed="false">
      <c r="A34" s="6"/>
      <c r="B34" s="11" t="s">
        <v>364</v>
      </c>
      <c r="C34" s="6"/>
      <c r="D34" s="6"/>
      <c r="E34" s="6"/>
      <c r="F34" s="6"/>
      <c r="G34" s="6"/>
      <c r="H34" s="6"/>
      <c r="I34" s="6"/>
      <c r="J34" s="6"/>
      <c r="K34" s="6"/>
      <c r="L34" s="12" t="n">
        <f aca="false">L33*L28</f>
        <v>7.86358393165259</v>
      </c>
      <c r="M34" s="6"/>
      <c r="N34" s="6"/>
    </row>
    <row r="35" customFormat="false" ht="15" hidden="false" customHeight="false" outlineLevel="0" collapsed="false">
      <c r="A35" s="6"/>
      <c r="B35" s="7" t="s">
        <v>366</v>
      </c>
      <c r="C35" s="6"/>
      <c r="D35" s="6"/>
      <c r="E35" s="6"/>
      <c r="F35" s="6"/>
      <c r="G35" s="6"/>
      <c r="H35" s="6"/>
      <c r="I35" s="6"/>
      <c r="J35" s="6"/>
      <c r="K35" s="6"/>
      <c r="L35" s="6"/>
      <c r="M35" s="6"/>
      <c r="N35" s="14" t="n">
        <f aca="false">SUM(C32:L32)+L34</f>
        <v>17.0675830119708</v>
      </c>
    </row>
    <row r="36" customFormat="false" ht="15" hidden="false" customHeight="false" outlineLevel="0" collapsed="false">
      <c r="A36" s="6"/>
      <c r="B36" s="6"/>
      <c r="C36" s="6"/>
      <c r="D36" s="6"/>
      <c r="E36" s="6"/>
      <c r="F36" s="6"/>
      <c r="G36" s="6"/>
      <c r="H36" s="6"/>
      <c r="I36" s="6"/>
      <c r="J36" s="6"/>
      <c r="K36" s="6"/>
      <c r="L36" s="6"/>
      <c r="M36" s="6"/>
      <c r="N36" s="6"/>
    </row>
    <row r="37" customFormat="false" ht="15" hidden="false" customHeight="false" outlineLevel="0" collapsed="false">
      <c r="A37" s="6"/>
      <c r="B37" s="28" t="s">
        <v>251</v>
      </c>
      <c r="C37" s="30"/>
      <c r="D37" s="30"/>
      <c r="E37" s="30"/>
      <c r="F37" s="30"/>
      <c r="G37" s="30"/>
      <c r="H37" s="30"/>
      <c r="I37" s="30"/>
      <c r="J37" s="30"/>
      <c r="K37" s="30"/>
      <c r="L37" s="30"/>
      <c r="M37" s="6"/>
      <c r="N37" s="6"/>
    </row>
    <row r="38" customFormat="false" ht="15" hidden="false" customHeight="false" outlineLevel="0" collapsed="false">
      <c r="A38" s="6"/>
      <c r="B38" s="11" t="s">
        <v>354</v>
      </c>
      <c r="C38" s="26" t="n">
        <f aca="false">WACC_Platform</f>
        <v>0.1</v>
      </c>
      <c r="D38" s="6"/>
      <c r="E38" s="6"/>
      <c r="F38" s="6"/>
      <c r="G38" s="6"/>
      <c r="H38" s="6"/>
      <c r="I38" s="6"/>
      <c r="J38" s="6"/>
      <c r="K38" s="6"/>
      <c r="L38" s="6"/>
      <c r="M38" s="6"/>
      <c r="N38" s="6"/>
    </row>
    <row r="39" customFormat="false" ht="15" hidden="false" customHeight="false" outlineLevel="0" collapsed="false">
      <c r="A39" s="6"/>
      <c r="B39" s="11" t="s">
        <v>355</v>
      </c>
      <c r="C39" s="35" t="n">
        <f aca="false">1/(1+WACC_Platform)^C4</f>
        <v>0.909090909090909</v>
      </c>
      <c r="D39" s="35" t="n">
        <f aca="false">1/(1+WACC_Platform)^D4</f>
        <v>0.826446280991735</v>
      </c>
      <c r="E39" s="35" t="n">
        <f aca="false">1/(1+WACC_Platform)^E4</f>
        <v>0.751314800901578</v>
      </c>
      <c r="F39" s="35" t="n">
        <f aca="false">1/(1+WACC_Platform)^F4</f>
        <v>0.683013455365071</v>
      </c>
      <c r="G39" s="35" t="n">
        <f aca="false">1/(1+WACC_Platform)^G4</f>
        <v>0.620921323059155</v>
      </c>
      <c r="H39" s="35" t="n">
        <f aca="false">1/(1+WACC_Platform)^H4</f>
        <v>0.564473930053777</v>
      </c>
      <c r="I39" s="35" t="n">
        <f aca="false">1/(1+WACC_Platform)^I4</f>
        <v>0.513158118230707</v>
      </c>
      <c r="J39" s="35" t="n">
        <f aca="false">1/(1+WACC_Platform)^J4</f>
        <v>0.466507380209733</v>
      </c>
      <c r="K39" s="35" t="n">
        <f aca="false">1/(1+WACC_Platform)^K4</f>
        <v>0.424097618372485</v>
      </c>
      <c r="L39" s="35" t="n">
        <f aca="false">1/(1+WACC_Platform)^L4</f>
        <v>0.385543289429531</v>
      </c>
      <c r="M39" s="6"/>
      <c r="N39" s="6"/>
    </row>
    <row r="40" customFormat="false" ht="15" hidden="false" customHeight="false" outlineLevel="0" collapsed="false">
      <c r="A40" s="6"/>
      <c r="B40" s="11" t="s">
        <v>367</v>
      </c>
      <c r="C40" s="12" t="n">
        <f aca="false">(Deal_Portfolio!C47-OpEx_Schedule!C6)*(1-Tax_Rate)</f>
        <v>-3.95</v>
      </c>
      <c r="D40" s="12" t="n">
        <f aca="false">(Deal_Portfolio!D47-OpEx_Schedule!D6)*(1-Tax_Rate)</f>
        <v>-4.345</v>
      </c>
      <c r="E40" s="12" t="n">
        <f aca="false">(Deal_Portfolio!E47-OpEx_Schedule!E6)*(1-Tax_Rate)</f>
        <v>-4.7716</v>
      </c>
      <c r="F40" s="12" t="n">
        <f aca="false">(Deal_Portfolio!F47-OpEx_Schedule!F6)*(1-Tax_Rate)</f>
        <v>-5.232091</v>
      </c>
      <c r="G40" s="12" t="n">
        <f aca="false">(Deal_Portfolio!G47-OpEx_Schedule!G6)*(1-Tax_Rate)</f>
        <v>-5.72892121</v>
      </c>
      <c r="H40" s="12" t="n">
        <f aca="false">(Deal_Portfolio!H47-OpEx_Schedule!H6)*(1-Tax_Rate)</f>
        <v>-6.2647064701</v>
      </c>
      <c r="I40" s="12" t="n">
        <f aca="false">(Deal_Portfolio!I47-OpEx_Schedule!I6)*(1-Tax_Rate)</f>
        <v>-6.842241345181</v>
      </c>
      <c r="J40" s="12" t="n">
        <f aca="false">(Deal_Portfolio!J47-OpEx_Schedule!J6)*(1-Tax_Rate)</f>
        <v>-7.46451093711061</v>
      </c>
      <c r="K40" s="12" t="n">
        <f aca="false">(Deal_Portfolio!K47-OpEx_Schedule!K6)*(1-Tax_Rate)</f>
        <v>-8.13470346011693</v>
      </c>
      <c r="L40" s="12" t="n">
        <f aca="false">(Deal_Portfolio!L47-OpEx_Schedule!L6)*(1-Tax_Rate)</f>
        <v>-8.85622362784262</v>
      </c>
      <c r="M40" s="6"/>
      <c r="N40" s="6"/>
    </row>
    <row r="41" customFormat="false" ht="15" hidden="false" customHeight="false" outlineLevel="0" collapsed="false">
      <c r="A41" s="6"/>
      <c r="B41" s="11" t="s">
        <v>368</v>
      </c>
      <c r="C41" s="12" t="n">
        <f aca="false">C40*C39</f>
        <v>-3.59090909090909</v>
      </c>
      <c r="D41" s="12" t="n">
        <f aca="false">D40*D39</f>
        <v>-3.59090909090909</v>
      </c>
      <c r="E41" s="12" t="n">
        <f aca="false">E40*E39</f>
        <v>-3.58497370398197</v>
      </c>
      <c r="F41" s="12" t="n">
        <f aca="false">F40*F39</f>
        <v>-3.57358855269449</v>
      </c>
      <c r="G41" s="12" t="n">
        <f aca="false">G40*G39</f>
        <v>-3.55720933741485</v>
      </c>
      <c r="H41" s="12" t="n">
        <f aca="false">H40*H39</f>
        <v>-3.53626348181067</v>
      </c>
      <c r="I41" s="12" t="n">
        <f aca="false">I40*I39</f>
        <v>-3.51115169317342</v>
      </c>
      <c r="J41" s="12" t="n">
        <f aca="false">J40*J39</f>
        <v>-3.48224944181837</v>
      </c>
      <c r="K41" s="12" t="n">
        <f aca="false">K40*K39</f>
        <v>-3.449908363602</v>
      </c>
      <c r="L41" s="12" t="n">
        <f aca="false">L40*L39</f>
        <v>-3.41445758940198</v>
      </c>
      <c r="M41" s="6"/>
      <c r="N41" s="6"/>
    </row>
    <row r="42" customFormat="false" ht="15" hidden="false" customHeight="false" outlineLevel="0" collapsed="false">
      <c r="A42" s="6"/>
      <c r="B42" s="7" t="s">
        <v>369</v>
      </c>
      <c r="C42" s="6"/>
      <c r="D42" s="6"/>
      <c r="E42" s="6"/>
      <c r="F42" s="6"/>
      <c r="G42" s="6"/>
      <c r="H42" s="6"/>
      <c r="I42" s="6"/>
      <c r="J42" s="6"/>
      <c r="K42" s="6"/>
      <c r="L42" s="6"/>
      <c r="M42" s="6"/>
      <c r="N42" s="14" t="n">
        <f aca="false">SUM(C41:L41)</f>
        <v>-35.2916203457159</v>
      </c>
    </row>
    <row r="43" customFormat="false" ht="15" hidden="false" customHeight="false" outlineLevel="0" collapsed="false">
      <c r="A43" s="6"/>
      <c r="B43" s="6"/>
      <c r="C43" s="6"/>
      <c r="D43" s="6"/>
      <c r="E43" s="6"/>
      <c r="F43" s="6"/>
      <c r="G43" s="6"/>
      <c r="H43" s="6"/>
      <c r="I43" s="6"/>
      <c r="J43" s="6"/>
      <c r="K43" s="6"/>
      <c r="L43" s="6"/>
      <c r="M43" s="6"/>
      <c r="N43" s="6"/>
    </row>
    <row r="44" customFormat="false" ht="15" hidden="false" customHeight="false" outlineLevel="0" collapsed="false">
      <c r="A44" s="6"/>
      <c r="B44" s="36" t="s">
        <v>370</v>
      </c>
      <c r="C44" s="6"/>
      <c r="D44" s="6"/>
      <c r="E44" s="6"/>
      <c r="F44" s="6"/>
      <c r="G44" s="6"/>
      <c r="H44" s="6"/>
      <c r="I44" s="6"/>
      <c r="J44" s="6"/>
      <c r="K44" s="6"/>
      <c r="L44" s="6"/>
      <c r="M44" s="6"/>
      <c r="N44" s="37" t="n">
        <f aca="false">N13+N24+N35+N42</f>
        <v>482.481795138438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12" min="3" style="0" width="13"/>
    <col collapsed="false" customWidth="true" hidden="false" outlineLevel="0" max="13" min="13" style="0" width="4"/>
    <col collapsed="false" customWidth="true" hidden="false" outlineLevel="0" max="14" min="14" style="0" width="16"/>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371</v>
      </c>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372</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28" t="s">
        <v>224</v>
      </c>
      <c r="C4" s="29" t="n">
        <v>1</v>
      </c>
      <c r="D4" s="29" t="n">
        <v>2</v>
      </c>
      <c r="E4" s="29" t="n">
        <v>3</v>
      </c>
      <c r="F4" s="29" t="n">
        <v>4</v>
      </c>
      <c r="G4" s="29" t="n">
        <v>5</v>
      </c>
      <c r="H4" s="29" t="n">
        <v>6</v>
      </c>
      <c r="I4" s="29" t="n">
        <v>7</v>
      </c>
      <c r="J4" s="29" t="n">
        <v>8</v>
      </c>
      <c r="K4" s="29" t="n">
        <v>9</v>
      </c>
      <c r="L4" s="29" t="n">
        <v>10</v>
      </c>
    </row>
    <row r="5" customFormat="false" ht="15" hidden="false" customHeight="false" outlineLevel="0" collapsed="false">
      <c r="A5" s="6"/>
      <c r="B5" s="6"/>
      <c r="C5" s="6"/>
      <c r="D5" s="6"/>
      <c r="E5" s="6"/>
      <c r="F5" s="6"/>
      <c r="G5" s="6"/>
      <c r="H5" s="6"/>
      <c r="I5" s="6"/>
      <c r="J5" s="6"/>
      <c r="K5" s="6"/>
      <c r="L5" s="6"/>
    </row>
    <row r="6" customFormat="false" ht="15" hidden="false" customHeight="false" outlineLevel="0" collapsed="false">
      <c r="A6" s="6"/>
      <c r="B6" s="11" t="s">
        <v>315</v>
      </c>
      <c r="C6" s="12" t="n">
        <f aca="false">Income_Statement!C23</f>
        <v>22.5</v>
      </c>
      <c r="D6" s="12" t="n">
        <f aca="false">Income_Statement!D23</f>
        <v>26.465</v>
      </c>
      <c r="E6" s="12" t="n">
        <f aca="false">Income_Statement!E23</f>
        <v>89.8361</v>
      </c>
      <c r="F6" s="12" t="n">
        <f aca="false">Income_Statement!F23</f>
        <v>81.0269795</v>
      </c>
      <c r="G6" s="12" t="n">
        <f aca="false">Income_Statement!G23</f>
        <v>78.2072221375</v>
      </c>
      <c r="H6" s="12" t="n">
        <f aca="false">Income_Statement!H23</f>
        <v>-16.9856682805625</v>
      </c>
      <c r="I6" s="12" t="n">
        <f aca="false">Income_Statement!I23</f>
        <v>-39.5942041437376</v>
      </c>
      <c r="J6" s="12" t="n">
        <f aca="false">Income_Statement!J23</f>
        <v>-36.6330802519521</v>
      </c>
      <c r="K6" s="12" t="n">
        <f aca="false">Income_Statement!K23</f>
        <v>-23.8637736544865</v>
      </c>
      <c r="L6" s="12" t="n">
        <f aca="false">Income_Statement!L23</f>
        <v>-27.4880486781995</v>
      </c>
    </row>
    <row r="7" customFormat="false" ht="15" hidden="false" customHeight="false" outlineLevel="0" collapsed="false">
      <c r="A7" s="6"/>
      <c r="B7" s="11" t="s">
        <v>373</v>
      </c>
      <c r="C7" s="12" t="n">
        <f aca="false">C6*(1-Tax_Rate)</f>
        <v>17.775</v>
      </c>
      <c r="D7" s="12" t="n">
        <f aca="false">D6*(1-Tax_Rate)</f>
        <v>20.90735</v>
      </c>
      <c r="E7" s="12" t="n">
        <f aca="false">E6*(1-Tax_Rate)</f>
        <v>70.970519</v>
      </c>
      <c r="F7" s="12" t="n">
        <f aca="false">F6*(1-Tax_Rate)</f>
        <v>64.011313805</v>
      </c>
      <c r="G7" s="12" t="n">
        <f aca="false">G6*(1-Tax_Rate)</f>
        <v>61.783705488625</v>
      </c>
      <c r="H7" s="12" t="n">
        <f aca="false">H6*(1-Tax_Rate)</f>
        <v>-13.4186779416444</v>
      </c>
      <c r="I7" s="12" t="n">
        <f aca="false">I6*(1-Tax_Rate)</f>
        <v>-31.2794212735527</v>
      </c>
      <c r="J7" s="12" t="n">
        <f aca="false">J6*(1-Tax_Rate)</f>
        <v>-28.9401333990421</v>
      </c>
      <c r="K7" s="12" t="n">
        <f aca="false">K6*(1-Tax_Rate)</f>
        <v>-18.8523811870444</v>
      </c>
      <c r="L7" s="12" t="n">
        <f aca="false">L6*(1-Tax_Rate)</f>
        <v>-21.7155584557776</v>
      </c>
    </row>
    <row r="8" customFormat="false" ht="15" hidden="false" customHeight="false" outlineLevel="0" collapsed="false">
      <c r="A8" s="6"/>
      <c r="B8" s="11" t="s">
        <v>327</v>
      </c>
      <c r="C8" s="12" t="n">
        <f aca="false">Capex_Depreciation!C21</f>
        <v>11.5</v>
      </c>
      <c r="D8" s="12" t="n">
        <f aca="false">Capex_Depreciation!D21</f>
        <v>11.875</v>
      </c>
      <c r="E8" s="12" t="n">
        <f aca="false">Capex_Depreciation!E21</f>
        <v>12.25</v>
      </c>
      <c r="F8" s="12" t="n">
        <f aca="false">Capex_Depreciation!F21</f>
        <v>12.625</v>
      </c>
      <c r="G8" s="12" t="n">
        <f aca="false">Capex_Depreciation!G21</f>
        <v>12.375</v>
      </c>
      <c r="H8" s="12" t="n">
        <f aca="false">Capex_Depreciation!H21</f>
        <v>10.25</v>
      </c>
      <c r="I8" s="12" t="n">
        <f aca="false">Capex_Depreciation!I21</f>
        <v>10.625</v>
      </c>
      <c r="J8" s="12" t="n">
        <f aca="false">Capex_Depreciation!J21</f>
        <v>7</v>
      </c>
      <c r="K8" s="12" t="n">
        <f aca="false">Capex_Depreciation!K21</f>
        <v>3</v>
      </c>
      <c r="L8" s="12" t="n">
        <f aca="false">Capex_Depreciation!L21</f>
        <v>3</v>
      </c>
    </row>
    <row r="9" customFormat="false" ht="15" hidden="false" customHeight="false" outlineLevel="0" collapsed="false">
      <c r="A9" s="6"/>
      <c r="B9" s="11" t="s">
        <v>374</v>
      </c>
      <c r="C9" s="12" t="n">
        <f aca="false">-Capex_Depreciation!C7</f>
        <v>-3</v>
      </c>
      <c r="D9" s="12" t="n">
        <f aca="false">-Capex_Depreciation!D7</f>
        <v>-3</v>
      </c>
      <c r="E9" s="12" t="n">
        <f aca="false">-Capex_Depreciation!E7</f>
        <v>-3</v>
      </c>
      <c r="F9" s="12" t="n">
        <f aca="false">-Capex_Depreciation!F7</f>
        <v>-3</v>
      </c>
      <c r="G9" s="12" t="n">
        <f aca="false">-Capex_Depreciation!G7</f>
        <v>-3</v>
      </c>
      <c r="H9" s="12" t="n">
        <f aca="false">-Capex_Depreciation!H7</f>
        <v>-3</v>
      </c>
      <c r="I9" s="12" t="n">
        <f aca="false">-Capex_Depreciation!I7</f>
        <v>-3</v>
      </c>
      <c r="J9" s="12" t="n">
        <f aca="false">-Capex_Depreciation!J7</f>
        <v>-3</v>
      </c>
      <c r="K9" s="12" t="n">
        <f aca="false">-Capex_Depreciation!K7</f>
        <v>-3</v>
      </c>
      <c r="L9" s="12" t="n">
        <f aca="false">-Capex_Depreciation!L7</f>
        <v>-3</v>
      </c>
    </row>
    <row r="10" customFormat="false" ht="15" hidden="false" customHeight="false" outlineLevel="0" collapsed="false">
      <c r="A10" s="6"/>
      <c r="B10" s="11" t="s">
        <v>328</v>
      </c>
      <c r="C10" s="12" t="n">
        <f aca="false">-Working_Capital!C22</f>
        <v>25.2904109589041</v>
      </c>
      <c r="D10" s="12" t="n">
        <f aca="false">-Working_Capital!D22</f>
        <v>-1.08717808219178</v>
      </c>
      <c r="E10" s="12" t="n">
        <f aca="false">-Working_Capital!E22</f>
        <v>-23.0008660273973</v>
      </c>
      <c r="F10" s="12" t="n">
        <f aca="false">-Working_Capital!F22</f>
        <v>3.82462528904109</v>
      </c>
      <c r="G10" s="12" t="n">
        <f aca="false">-Working_Capital!G22</f>
        <v>4.56240993959589</v>
      </c>
      <c r="H10" s="12" t="n">
        <f aca="false">-Working_Capital!H22</f>
        <v>21.4683350523639</v>
      </c>
      <c r="I10" s="12" t="n">
        <f aca="false">-Working_Capital!I22</f>
        <v>5.20741101542981</v>
      </c>
      <c r="J10" s="12" t="n">
        <f aca="false">-Working_Capital!J22</f>
        <v>-0.169582536110402</v>
      </c>
      <c r="K10" s="12" t="n">
        <f aca="false">-Working_Capital!K22</f>
        <v>-3.35289277122596</v>
      </c>
      <c r="L10" s="12" t="n">
        <f aca="false">-Working_Capital!L22</f>
        <v>0.76489676411267</v>
      </c>
    </row>
    <row r="11" customFormat="false" ht="15" hidden="false" customHeight="false" outlineLevel="0" collapsed="false">
      <c r="A11" s="6"/>
      <c r="B11" s="33" t="s">
        <v>375</v>
      </c>
      <c r="C11" s="14" t="n">
        <f aca="false">C7+C8+C9+C10</f>
        <v>51.5654109589041</v>
      </c>
      <c r="D11" s="14" t="n">
        <f aca="false">D7+D8+D9+D10</f>
        <v>28.6951719178082</v>
      </c>
      <c r="E11" s="14" t="n">
        <f aca="false">E7+E8+E9+E10</f>
        <v>57.2196529726027</v>
      </c>
      <c r="F11" s="14" t="n">
        <f aca="false">F7+F8+F9+F10</f>
        <v>77.4609390940411</v>
      </c>
      <c r="G11" s="14" t="n">
        <f aca="false">G7+G8+G9+G10</f>
        <v>75.7211154282209</v>
      </c>
      <c r="H11" s="14" t="n">
        <f aca="false">H7+H8+H9+H10</f>
        <v>15.2996571107195</v>
      </c>
      <c r="I11" s="14" t="n">
        <f aca="false">I7+I8+I9+I10</f>
        <v>-18.4470102581229</v>
      </c>
      <c r="J11" s="14" t="n">
        <f aca="false">J7+J8+J9+J10</f>
        <v>-25.1097159351525</v>
      </c>
      <c r="K11" s="14" t="n">
        <f aca="false">K7+K8+K9+K10</f>
        <v>-22.2052739582703</v>
      </c>
      <c r="L11" s="14" t="n">
        <f aca="false">L7+L8+L9+L10</f>
        <v>-20.950661691665</v>
      </c>
    </row>
    <row r="12" customFormat="false" ht="15" hidden="false" customHeight="false" outlineLevel="0" collapsed="false">
      <c r="A12" s="6"/>
      <c r="B12" s="11" t="s">
        <v>376</v>
      </c>
      <c r="C12" s="35" t="n">
        <f aca="false">1/(1+Discount_Rate)^C4</f>
        <v>0.892857142857143</v>
      </c>
      <c r="D12" s="35" t="n">
        <f aca="false">1/(1+Discount_Rate)^D4</f>
        <v>0.79719387755102</v>
      </c>
      <c r="E12" s="35" t="n">
        <f aca="false">1/(1+Discount_Rate)^E4</f>
        <v>0.711780247813411</v>
      </c>
      <c r="F12" s="35" t="n">
        <f aca="false">1/(1+Discount_Rate)^F4</f>
        <v>0.635518078404831</v>
      </c>
      <c r="G12" s="35" t="n">
        <f aca="false">1/(1+Discount_Rate)^G4</f>
        <v>0.567426855718599</v>
      </c>
      <c r="H12" s="35" t="n">
        <f aca="false">1/(1+Discount_Rate)^H4</f>
        <v>0.506631121177321</v>
      </c>
      <c r="I12" s="35" t="n">
        <f aca="false">1/(1+Discount_Rate)^I4</f>
        <v>0.452349215336893</v>
      </c>
      <c r="J12" s="35" t="n">
        <f aca="false">1/(1+Discount_Rate)^J4</f>
        <v>0.403883227979369</v>
      </c>
      <c r="K12" s="35" t="n">
        <f aca="false">1/(1+Discount_Rate)^K4</f>
        <v>0.360610024981579</v>
      </c>
      <c r="L12" s="35" t="n">
        <f aca="false">1/(1+Discount_Rate)^L4</f>
        <v>0.321973236590696</v>
      </c>
    </row>
    <row r="13" customFormat="false" ht="15" hidden="false" customHeight="false" outlineLevel="0" collapsed="false">
      <c r="A13" s="6"/>
      <c r="B13" s="11" t="s">
        <v>377</v>
      </c>
      <c r="C13" s="12" t="n">
        <f aca="false">C11*C12</f>
        <v>46.0405454990215</v>
      </c>
      <c r="D13" s="12" t="n">
        <f aca="false">D11*D12</f>
        <v>22.8756153681507</v>
      </c>
      <c r="E13" s="12" t="n">
        <f aca="false">E11*E12</f>
        <v>40.7278187726366</v>
      </c>
      <c r="F13" s="12" t="n">
        <f aca="false">F11*F12</f>
        <v>49.2278271644787</v>
      </c>
      <c r="G13" s="12" t="n">
        <f aca="false">G11*G12</f>
        <v>42.9661944389405</v>
      </c>
      <c r="H13" s="12" t="n">
        <f aca="false">H11*H12</f>
        <v>7.75128243563239</v>
      </c>
      <c r="I13" s="12" t="n">
        <f aca="false">I11*I12</f>
        <v>-8.3444906155735</v>
      </c>
      <c r="J13" s="12" t="n">
        <f aca="false">J11*J12</f>
        <v>-10.1413931255344</v>
      </c>
      <c r="K13" s="12" t="n">
        <f aca="false">K11*K12</f>
        <v>-8.00744439681468</v>
      </c>
      <c r="L13" s="12" t="n">
        <f aca="false">L11*L12</f>
        <v>-6.74555235358208</v>
      </c>
    </row>
    <row r="14" customFormat="false" ht="15" hidden="false" customHeight="false" outlineLevel="0" collapsed="false">
      <c r="A14" s="6"/>
      <c r="B14" s="6"/>
      <c r="C14" s="6"/>
      <c r="D14" s="6"/>
      <c r="E14" s="6"/>
      <c r="F14" s="6"/>
      <c r="G14" s="6"/>
      <c r="H14" s="6"/>
      <c r="I14" s="6"/>
      <c r="J14" s="6"/>
      <c r="K14" s="6"/>
      <c r="L14" s="6"/>
    </row>
    <row r="15" customFormat="false" ht="15" hidden="false" customHeight="false" outlineLevel="0" collapsed="false">
      <c r="A15" s="6"/>
      <c r="B15" s="7" t="s">
        <v>378</v>
      </c>
      <c r="C15" s="12" t="n">
        <f aca="false">AVERAGE(I11:L11)</f>
        <v>-21.6781654608027</v>
      </c>
      <c r="D15" s="6"/>
      <c r="E15" s="6"/>
      <c r="F15" s="6"/>
      <c r="G15" s="6"/>
      <c r="H15" s="6"/>
      <c r="I15" s="6"/>
      <c r="J15" s="6"/>
      <c r="K15" s="6"/>
      <c r="L15" s="6"/>
    </row>
    <row r="16" customFormat="false" ht="15" hidden="false" customHeight="false" outlineLevel="0" collapsed="false">
      <c r="A16" s="6"/>
      <c r="B16" s="7" t="s">
        <v>379</v>
      </c>
      <c r="C16" s="12" t="n">
        <f aca="false">C15*(1+Inflation_Rate)/(Discount_Rate-Inflation_Rate)</f>
        <v>-233.895995761292</v>
      </c>
      <c r="D16" s="6"/>
      <c r="E16" s="6"/>
      <c r="F16" s="6"/>
      <c r="G16" s="6"/>
      <c r="H16" s="6"/>
      <c r="I16" s="6"/>
      <c r="J16" s="6"/>
      <c r="K16" s="6"/>
      <c r="L16" s="6"/>
    </row>
    <row r="17" customFormat="false" ht="15" hidden="false" customHeight="false" outlineLevel="0" collapsed="false">
      <c r="A17" s="6"/>
      <c r="B17" s="7" t="s">
        <v>380</v>
      </c>
      <c r="C17" s="12" t="n">
        <f aca="false">C16*L12</f>
        <v>-75.3082507808669</v>
      </c>
      <c r="D17" s="6"/>
      <c r="E17" s="6"/>
      <c r="F17" s="6"/>
      <c r="G17" s="6"/>
      <c r="H17" s="6"/>
      <c r="I17" s="6"/>
      <c r="J17" s="6"/>
      <c r="K17" s="6"/>
      <c r="L17" s="6"/>
    </row>
    <row r="18" customFormat="false" ht="15" hidden="false" customHeight="false" outlineLevel="0" collapsed="false">
      <c r="A18" s="6"/>
      <c r="B18" s="6"/>
      <c r="C18" s="6"/>
      <c r="D18" s="6"/>
      <c r="E18" s="6"/>
      <c r="F18" s="6"/>
      <c r="G18" s="6"/>
      <c r="H18" s="6"/>
      <c r="I18" s="6"/>
      <c r="J18" s="6"/>
      <c r="K18" s="6"/>
      <c r="L18" s="6"/>
    </row>
    <row r="19" customFormat="false" ht="15" hidden="false" customHeight="false" outlineLevel="0" collapsed="false">
      <c r="A19" s="6"/>
      <c r="B19" s="7" t="s">
        <v>381</v>
      </c>
      <c r="C19" s="37" t="n">
        <f aca="false">SUM(C13:L13)+C17</f>
        <v>101.042152406489</v>
      </c>
      <c r="D19" s="6"/>
      <c r="E19" s="6"/>
      <c r="F19" s="6"/>
      <c r="G19" s="6"/>
      <c r="H19" s="6"/>
      <c r="I19" s="6"/>
      <c r="J19" s="6"/>
      <c r="K19" s="6"/>
      <c r="L19"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4"/>
    <col collapsed="false" customWidth="true" hidden="false" outlineLevel="0" max="12" min="3" style="0" width="15"/>
    <col collapsed="false" customWidth="true" hidden="false" outlineLevel="0" max="13" min="13" style="0" width="4"/>
    <col collapsed="false" customWidth="true" hidden="false" outlineLevel="0" max="14" min="14" style="0" width="16"/>
  </cols>
  <sheetData>
    <row r="1" customFormat="false" ht="15" hidden="false" customHeight="false" outlineLevel="0" collapsed="false">
      <c r="A1" s="1"/>
      <c r="B1" s="1"/>
      <c r="C1" s="1"/>
      <c r="D1" s="1"/>
      <c r="E1" s="1"/>
      <c r="F1" s="1"/>
      <c r="G1" s="1"/>
      <c r="H1" s="1"/>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382</v>
      </c>
      <c r="C2" s="1"/>
      <c r="D2" s="1"/>
      <c r="E2" s="1"/>
      <c r="F2" s="1"/>
      <c r="G2" s="1"/>
      <c r="H2" s="1"/>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383</v>
      </c>
      <c r="C3" s="1"/>
      <c r="D3" s="1"/>
      <c r="E3" s="1"/>
      <c r="F3" s="1"/>
      <c r="G3" s="1"/>
      <c r="H3" s="1"/>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row>
    <row r="5" customFormat="false" ht="15" hidden="false" customHeight="false" outlineLevel="0" collapsed="false">
      <c r="A5" s="6"/>
      <c r="B5" s="6"/>
      <c r="C5" s="6"/>
      <c r="D5" s="6"/>
      <c r="E5" s="6"/>
      <c r="F5" s="6"/>
      <c r="G5" s="6"/>
      <c r="H5" s="6"/>
    </row>
    <row r="6" customFormat="false" ht="22.35" hidden="false" customHeight="true" outlineLevel="0" collapsed="false">
      <c r="A6" s="6"/>
      <c r="B6" s="38" t="s">
        <v>384</v>
      </c>
      <c r="C6" s="38"/>
      <c r="D6" s="38"/>
      <c r="E6" s="38"/>
      <c r="F6" s="38"/>
      <c r="G6" s="38"/>
      <c r="H6" s="38"/>
    </row>
    <row r="7" customFormat="false" ht="15" hidden="false" customHeight="false" outlineLevel="0" collapsed="false">
      <c r="A7" s="6"/>
      <c r="B7" s="6"/>
      <c r="C7" s="6"/>
      <c r="D7" s="6"/>
      <c r="E7" s="6"/>
      <c r="F7" s="6"/>
      <c r="G7" s="6"/>
      <c r="H7" s="6"/>
    </row>
    <row r="8" customFormat="false" ht="15" hidden="false" customHeight="false" outlineLevel="0" collapsed="false">
      <c r="A8" s="6"/>
      <c r="B8" s="39" t="s">
        <v>385</v>
      </c>
      <c r="C8" s="40" t="n">
        <v>0.4</v>
      </c>
      <c r="D8" s="40" t="n">
        <v>0.5</v>
      </c>
      <c r="E8" s="40" t="n">
        <v>0.6</v>
      </c>
      <c r="F8" s="40" t="n">
        <v>0.7</v>
      </c>
      <c r="G8" s="40" t="n">
        <v>0.8</v>
      </c>
      <c r="H8" s="6"/>
    </row>
    <row r="9" customFormat="false" ht="15" hidden="false" customHeight="false" outlineLevel="0" collapsed="false">
      <c r="A9" s="6"/>
      <c r="B9" s="40" t="n">
        <v>0.08</v>
      </c>
      <c r="C9" s="12" t="n">
        <f aca="false">Deal_A_rNPV+Deal_C_rNPV+Platform_rNPV+(SUMPRODUCT((Deal_Portfolio!$C$15:$L$15*0.4*DB_Reg_PoS+Deal_Portfolio!$C$16:$L$16+Deal_Portfolio!$C$17:$L$17*0.4+Deal_Portfolio!$C$18:$L$18*0.4*DB_Reg_PoS)*(1-Tax_Rate)/(1+0.08)^Deal_Portfolio!$C$4:$L$4)+(Deal_Portfolio!$L$15*0.4*DB_Reg_PoS+Deal_Portfolio!$L$16+Deal_Portfolio!$L$17*0.4+Deal_Portfolio!$L$18*0.4*DB_Reg_PoS)*(1-Tax_Rate)*(1+Deal_B_TV_Growth)/(0.08-Deal_B_TV_Growth)/(1+0.08)^10)</f>
        <v>531.968121960312</v>
      </c>
      <c r="D9" s="12" t="n">
        <f aca="false">Deal_A_rNPV+Deal_C_rNPV+Platform_rNPV+(SUMPRODUCT((Deal_Portfolio!$C$15:$L$15*0.5*DB_Reg_PoS+Deal_Portfolio!$C$16:$L$16+Deal_Portfolio!$C$17:$L$17*0.5+Deal_Portfolio!$C$18:$L$18*0.5*DB_Reg_PoS)*(1-Tax_Rate)/(1+0.08)^Deal_Portfolio!$C$4:$L$4)+(Deal_Portfolio!$L$15*0.5*DB_Reg_PoS+Deal_Portfolio!$L$16+Deal_Portfolio!$L$17*0.5+Deal_Portfolio!$L$18*0.5*DB_Reg_PoS)*(1-Tax_Rate)*(1+Deal_B_TV_Growth)/(0.08-Deal_B_TV_Growth)/(1+0.08)^10)</f>
        <v>584.305234184345</v>
      </c>
      <c r="E9" s="12" t="n">
        <f aca="false">Deal_A_rNPV+Deal_C_rNPV+Platform_rNPV+(SUMPRODUCT((Deal_Portfolio!$C$15:$L$15*0.6*DB_Reg_PoS+Deal_Portfolio!$C$16:$L$16+Deal_Portfolio!$C$17:$L$17*0.6+Deal_Portfolio!$C$18:$L$18*0.6*DB_Reg_PoS)*(1-Tax_Rate)/(1+0.08)^Deal_Portfolio!$C$4:$L$4)+(Deal_Portfolio!$L$15*0.6*DB_Reg_PoS+Deal_Portfolio!$L$16+Deal_Portfolio!$L$17*0.6+Deal_Portfolio!$L$18*0.6*DB_Reg_PoS)*(1-Tax_Rate)*(1+Deal_B_TV_Growth)/(0.08-Deal_B_TV_Growth)/(1+0.08)^10)</f>
        <v>636.642346408378</v>
      </c>
      <c r="F9" s="12" t="n">
        <f aca="false">Deal_A_rNPV+Deal_C_rNPV+Platform_rNPV+(SUMPRODUCT((Deal_Portfolio!$C$15:$L$15*0.7*DB_Reg_PoS+Deal_Portfolio!$C$16:$L$16+Deal_Portfolio!$C$17:$L$17*0.7+Deal_Portfolio!$C$18:$L$18*0.7*DB_Reg_PoS)*(1-Tax_Rate)/(1+0.08)^Deal_Portfolio!$C$4:$L$4)+(Deal_Portfolio!$L$15*0.7*DB_Reg_PoS+Deal_Portfolio!$L$16+Deal_Portfolio!$L$17*0.7+Deal_Portfolio!$L$18*0.7*DB_Reg_PoS)*(1-Tax_Rate)*(1+Deal_B_TV_Growth)/(0.08-Deal_B_TV_Growth)/(1+0.08)^10)</f>
        <v>688.979458632412</v>
      </c>
      <c r="G9" s="12" t="n">
        <f aca="false">Deal_A_rNPV+Deal_C_rNPV+Platform_rNPV+(SUMPRODUCT((Deal_Portfolio!$C$15:$L$15*0.8*DB_Reg_PoS+Deal_Portfolio!$C$16:$L$16+Deal_Portfolio!$C$17:$L$17*0.8+Deal_Portfolio!$C$18:$L$18*0.8*DB_Reg_PoS)*(1-Tax_Rate)/(1+0.08)^Deal_Portfolio!$C$4:$L$4)+(Deal_Portfolio!$L$15*0.8*DB_Reg_PoS+Deal_Portfolio!$L$16+Deal_Portfolio!$L$17*0.8+Deal_Portfolio!$L$18*0.8*DB_Reg_PoS)*(1-Tax_Rate)*(1+Deal_B_TV_Growth)/(0.08-Deal_B_TV_Growth)/(1+0.08)^10)</f>
        <v>741.316570856445</v>
      </c>
      <c r="H9" s="6"/>
    </row>
    <row r="10" customFormat="false" ht="15" hidden="false" customHeight="false" outlineLevel="0" collapsed="false">
      <c r="A10" s="6"/>
      <c r="B10" s="40" t="n">
        <v>0.1</v>
      </c>
      <c r="C10" s="12" t="n">
        <f aca="false">Deal_A_rNPV+Deal_C_rNPV+Platform_rNPV+(SUMPRODUCT((Deal_Portfolio!$C$15:$L$15*0.4*DB_Reg_PoS+Deal_Portfolio!$C$16:$L$16+Deal_Portfolio!$C$17:$L$17*0.4+Deal_Portfolio!$C$18:$L$18*0.4*DB_Reg_PoS)*(1-Tax_Rate)/(1+0.1)^Deal_Portfolio!$C$4:$L$4)+(Deal_Portfolio!$L$15*0.4*DB_Reg_PoS+Deal_Portfolio!$L$16+Deal_Portfolio!$L$17*0.4+Deal_Portfolio!$L$18*0.4*DB_Reg_PoS)*(1-Tax_Rate)*(1+Deal_B_TV_Growth)/(0.1-Deal_B_TV_Growth)/(1+0.1)^10)</f>
        <v>466.180815510947</v>
      </c>
      <c r="D10" s="12" t="n">
        <f aca="false">Deal_A_rNPV+Deal_C_rNPV+Platform_rNPV+(SUMPRODUCT((Deal_Portfolio!$C$15:$L$15*0.5*DB_Reg_PoS+Deal_Portfolio!$C$16:$L$16+Deal_Portfolio!$C$17:$L$17*0.5+Deal_Portfolio!$C$18:$L$18*0.5*DB_Reg_PoS)*(1-Tax_Rate)/(1+0.1)^Deal_Portfolio!$C$4:$L$4)+(Deal_Portfolio!$L$15*0.5*DB_Reg_PoS+Deal_Portfolio!$L$16+Deal_Portfolio!$L$17*0.5+Deal_Portfolio!$L$18*0.5*DB_Reg_PoS)*(1-Tax_Rate)*(1+Deal_B_TV_Growth)/(0.1-Deal_B_TV_Growth)/(1+0.1)^10)</f>
        <v>502.490960843811</v>
      </c>
      <c r="E10" s="12" t="n">
        <f aca="false">Deal_A_rNPV+Deal_C_rNPV+Platform_rNPV+(SUMPRODUCT((Deal_Portfolio!$C$15:$L$15*0.6*DB_Reg_PoS+Deal_Portfolio!$C$16:$L$16+Deal_Portfolio!$C$17:$L$17*0.6+Deal_Portfolio!$C$18:$L$18*0.6*DB_Reg_PoS)*(1-Tax_Rate)/(1+0.1)^Deal_Portfolio!$C$4:$L$4)+(Deal_Portfolio!$L$15*0.6*DB_Reg_PoS+Deal_Portfolio!$L$16+Deal_Portfolio!$L$17*0.6+Deal_Portfolio!$L$18*0.6*DB_Reg_PoS)*(1-Tax_Rate)*(1+Deal_B_TV_Growth)/(0.1-Deal_B_TV_Growth)/(1+0.1)^10)</f>
        <v>538.801106176674</v>
      </c>
      <c r="F10" s="12" t="n">
        <f aca="false">Deal_A_rNPV+Deal_C_rNPV+Platform_rNPV+(SUMPRODUCT((Deal_Portfolio!$C$15:$L$15*0.7*DB_Reg_PoS+Deal_Portfolio!$C$16:$L$16+Deal_Portfolio!$C$17:$L$17*0.7+Deal_Portfolio!$C$18:$L$18*0.7*DB_Reg_PoS)*(1-Tax_Rate)/(1+0.1)^Deal_Portfolio!$C$4:$L$4)+(Deal_Portfolio!$L$15*0.7*DB_Reg_PoS+Deal_Portfolio!$L$16+Deal_Portfolio!$L$17*0.7+Deal_Portfolio!$L$18*0.7*DB_Reg_PoS)*(1-Tax_Rate)*(1+Deal_B_TV_Growth)/(0.1-Deal_B_TV_Growth)/(1+0.1)^10)</f>
        <v>575.111251509538</v>
      </c>
      <c r="G10" s="12" t="n">
        <f aca="false">Deal_A_rNPV+Deal_C_rNPV+Platform_rNPV+(SUMPRODUCT((Deal_Portfolio!$C$15:$L$15*0.8*DB_Reg_PoS+Deal_Portfolio!$C$16:$L$16+Deal_Portfolio!$C$17:$L$17*0.8+Deal_Portfolio!$C$18:$L$18*0.8*DB_Reg_PoS)*(1-Tax_Rate)/(1+0.1)^Deal_Portfolio!$C$4:$L$4)+(Deal_Portfolio!$L$15*0.8*DB_Reg_PoS+Deal_Portfolio!$L$16+Deal_Portfolio!$L$17*0.8+Deal_Portfolio!$L$18*0.8*DB_Reg_PoS)*(1-Tax_Rate)*(1+Deal_B_TV_Growth)/(0.1-Deal_B_TV_Growth)/(1+0.1)^10)</f>
        <v>611.421396842401</v>
      </c>
      <c r="H10" s="6"/>
    </row>
    <row r="11" customFormat="false" ht="15" hidden="false" customHeight="false" outlineLevel="0" collapsed="false">
      <c r="A11" s="6"/>
      <c r="B11" s="40" t="n">
        <v>0.12</v>
      </c>
      <c r="C11" s="12" t="n">
        <f aca="false">Deal_A_rNPV+Deal_C_rNPV+Platform_rNPV+(SUMPRODUCT((Deal_Portfolio!$C$15:$L$15*0.4*DB_Reg_PoS+Deal_Portfolio!$C$16:$L$16+Deal_Portfolio!$C$17:$L$17*0.4+Deal_Portfolio!$C$18:$L$18*0.4*DB_Reg_PoS)*(1-Tax_Rate)/(1+0.12)^Deal_Portfolio!$C$4:$L$4)+(Deal_Portfolio!$L$15*0.4*DB_Reg_PoS+Deal_Portfolio!$L$16+Deal_Portfolio!$L$17*0.4+Deal_Portfolio!$L$18*0.4*DB_Reg_PoS)*(1-Tax_Rate)*(1+Deal_B_TV_Growth)/(0.12-Deal_B_TV_Growth)/(1+0.12)^10)</f>
        <v>428.114069869796</v>
      </c>
      <c r="D11" s="12" t="n">
        <f aca="false">Deal_A_rNPV+Deal_C_rNPV+Platform_rNPV+(SUMPRODUCT((Deal_Portfolio!$C$15:$L$15*0.5*DB_Reg_PoS+Deal_Portfolio!$C$16:$L$16+Deal_Portfolio!$C$17:$L$17*0.5+Deal_Portfolio!$C$18:$L$18*0.5*DB_Reg_PoS)*(1-Tax_Rate)/(1+0.12)^Deal_Portfolio!$C$4:$L$4)+(Deal_Portfolio!$L$15*0.5*DB_Reg_PoS+Deal_Portfolio!$L$16+Deal_Portfolio!$L$17*0.5+Deal_Portfolio!$L$18*0.5*DB_Reg_PoS)*(1-Tax_Rate)*(1+Deal_B_TV_Growth)/(0.12-Deal_B_TV_Growth)/(1+0.12)^10)</f>
        <v>455.297932504117</v>
      </c>
      <c r="E11" s="12" t="n">
        <f aca="false">Deal_A_rNPV+Deal_C_rNPV+Platform_rNPV+(SUMPRODUCT((Deal_Portfolio!$C$15:$L$15*0.6*DB_Reg_PoS+Deal_Portfolio!$C$16:$L$16+Deal_Portfolio!$C$17:$L$17*0.6+Deal_Portfolio!$C$18:$L$18*0.6*DB_Reg_PoS)*(1-Tax_Rate)/(1+0.12)^Deal_Portfolio!$C$4:$L$4)+(Deal_Portfolio!$L$15*0.6*DB_Reg_PoS+Deal_Portfolio!$L$16+Deal_Portfolio!$L$17*0.6+Deal_Portfolio!$L$18*0.6*DB_Reg_PoS)*(1-Tax_Rate)*(1+Deal_B_TV_Growth)/(0.12-Deal_B_TV_Growth)/(1+0.12)^10)</f>
        <v>482.481795138438</v>
      </c>
      <c r="F11" s="12" t="n">
        <f aca="false">Deal_A_rNPV+Deal_C_rNPV+Platform_rNPV+(SUMPRODUCT((Deal_Portfolio!$C$15:$L$15*0.7*DB_Reg_PoS+Deal_Portfolio!$C$16:$L$16+Deal_Portfolio!$C$17:$L$17*0.7+Deal_Portfolio!$C$18:$L$18*0.7*DB_Reg_PoS)*(1-Tax_Rate)/(1+0.12)^Deal_Portfolio!$C$4:$L$4)+(Deal_Portfolio!$L$15*0.7*DB_Reg_PoS+Deal_Portfolio!$L$16+Deal_Portfolio!$L$17*0.7+Deal_Portfolio!$L$18*0.7*DB_Reg_PoS)*(1-Tax_Rate)*(1+Deal_B_TV_Growth)/(0.12-Deal_B_TV_Growth)/(1+0.12)^10)</f>
        <v>509.665657772759</v>
      </c>
      <c r="G11" s="12" t="n">
        <f aca="false">Deal_A_rNPV+Deal_C_rNPV+Platform_rNPV+(SUMPRODUCT((Deal_Portfolio!$C$15:$L$15*0.8*DB_Reg_PoS+Deal_Portfolio!$C$16:$L$16+Deal_Portfolio!$C$17:$L$17*0.8+Deal_Portfolio!$C$18:$L$18*0.8*DB_Reg_PoS)*(1-Tax_Rate)/(1+0.12)^Deal_Portfolio!$C$4:$L$4)+(Deal_Portfolio!$L$15*0.8*DB_Reg_PoS+Deal_Portfolio!$L$16+Deal_Portfolio!$L$17*0.8+Deal_Portfolio!$L$18*0.8*DB_Reg_PoS)*(1-Tax_Rate)*(1+Deal_B_TV_Growth)/(0.12-Deal_B_TV_Growth)/(1+0.12)^10)</f>
        <v>536.849520407081</v>
      </c>
      <c r="H11" s="6"/>
    </row>
    <row r="12" customFormat="false" ht="15" hidden="false" customHeight="false" outlineLevel="0" collapsed="false">
      <c r="A12" s="6"/>
      <c r="B12" s="40" t="n">
        <v>0.14</v>
      </c>
      <c r="C12" s="12" t="n">
        <f aca="false">Deal_A_rNPV+Deal_C_rNPV+Platform_rNPV+(SUMPRODUCT((Deal_Portfolio!$C$15:$L$15*0.4*DB_Reg_PoS+Deal_Portfolio!$C$16:$L$16+Deal_Portfolio!$C$17:$L$17*0.4+Deal_Portfolio!$C$18:$L$18*0.4*DB_Reg_PoS)*(1-Tax_Rate)/(1+0.14)^Deal_Portfolio!$C$4:$L$4)+(Deal_Portfolio!$L$15*0.4*DB_Reg_PoS+Deal_Portfolio!$L$16+Deal_Portfolio!$L$17*0.4+Deal_Portfolio!$L$18*0.4*DB_Reg_PoS)*(1-Tax_Rate)*(1+Deal_B_TV_Growth)/(0.14-Deal_B_TV_Growth)/(1+0.14)^10)</f>
        <v>403.285592653761</v>
      </c>
      <c r="D12" s="12" t="n">
        <f aca="false">Deal_A_rNPV+Deal_C_rNPV+Platform_rNPV+(SUMPRODUCT((Deal_Portfolio!$C$15:$L$15*0.5*DB_Reg_PoS+Deal_Portfolio!$C$16:$L$16+Deal_Portfolio!$C$17:$L$17*0.5+Deal_Portfolio!$C$18:$L$18*0.5*DB_Reg_PoS)*(1-Tax_Rate)/(1+0.14)^Deal_Portfolio!$C$4:$L$4)+(Deal_Portfolio!$L$15*0.5*DB_Reg_PoS+Deal_Portfolio!$L$16+Deal_Portfolio!$L$17*0.5+Deal_Portfolio!$L$18*0.5*DB_Reg_PoS)*(1-Tax_Rate)*(1+Deal_B_TV_Growth)/(0.14-Deal_B_TV_Growth)/(1+0.14)^10)</f>
        <v>424.625822208736</v>
      </c>
      <c r="E12" s="12" t="n">
        <f aca="false">Deal_A_rNPV+Deal_C_rNPV+Platform_rNPV+(SUMPRODUCT((Deal_Portfolio!$C$15:$L$15*0.6*DB_Reg_PoS+Deal_Portfolio!$C$16:$L$16+Deal_Portfolio!$C$17:$L$17*0.6+Deal_Portfolio!$C$18:$L$18*0.6*DB_Reg_PoS)*(1-Tax_Rate)/(1+0.14)^Deal_Portfolio!$C$4:$L$4)+(Deal_Portfolio!$L$15*0.6*DB_Reg_PoS+Deal_Portfolio!$L$16+Deal_Portfolio!$L$17*0.6+Deal_Portfolio!$L$18*0.6*DB_Reg_PoS)*(1-Tax_Rate)*(1+Deal_B_TV_Growth)/(0.14-Deal_B_TV_Growth)/(1+0.14)^10)</f>
        <v>445.966051763711</v>
      </c>
      <c r="F12" s="12" t="n">
        <f aca="false">Deal_A_rNPV+Deal_C_rNPV+Platform_rNPV+(SUMPRODUCT((Deal_Portfolio!$C$15:$L$15*0.7*DB_Reg_PoS+Deal_Portfolio!$C$16:$L$16+Deal_Portfolio!$C$17:$L$17*0.7+Deal_Portfolio!$C$18:$L$18*0.7*DB_Reg_PoS)*(1-Tax_Rate)/(1+0.14)^Deal_Portfolio!$C$4:$L$4)+(Deal_Portfolio!$L$15*0.7*DB_Reg_PoS+Deal_Portfolio!$L$16+Deal_Portfolio!$L$17*0.7+Deal_Portfolio!$L$18*0.7*DB_Reg_PoS)*(1-Tax_Rate)*(1+Deal_B_TV_Growth)/(0.14-Deal_B_TV_Growth)/(1+0.14)^10)</f>
        <v>467.306281318687</v>
      </c>
      <c r="G12" s="12" t="n">
        <f aca="false">Deal_A_rNPV+Deal_C_rNPV+Platform_rNPV+(SUMPRODUCT((Deal_Portfolio!$C$15:$L$15*0.8*DB_Reg_PoS+Deal_Portfolio!$C$16:$L$16+Deal_Portfolio!$C$17:$L$17*0.8+Deal_Portfolio!$C$18:$L$18*0.8*DB_Reg_PoS)*(1-Tax_Rate)/(1+0.14)^Deal_Portfolio!$C$4:$L$4)+(Deal_Portfolio!$L$15*0.8*DB_Reg_PoS+Deal_Portfolio!$L$16+Deal_Portfolio!$L$17*0.8+Deal_Portfolio!$L$18*0.8*DB_Reg_PoS)*(1-Tax_Rate)*(1+Deal_B_TV_Growth)/(0.14-Deal_B_TV_Growth)/(1+0.14)^10)</f>
        <v>488.646510873662</v>
      </c>
      <c r="H12" s="6"/>
    </row>
    <row r="13" customFormat="false" ht="15" hidden="false" customHeight="false" outlineLevel="0" collapsed="false">
      <c r="A13" s="6"/>
      <c r="B13" s="40" t="n">
        <v>0.16</v>
      </c>
      <c r="C13" s="12" t="n">
        <f aca="false">Deal_A_rNPV+Deal_C_rNPV+Platform_rNPV+(SUMPRODUCT((Deal_Portfolio!$C$15:$L$15*0.4*DB_Reg_PoS+Deal_Portfolio!$C$16:$L$16+Deal_Portfolio!$C$17:$L$17*0.4+Deal_Portfolio!$C$18:$L$18*0.4*DB_Reg_PoS)*(1-Tax_Rate)/(1+0.16)^Deal_Portfolio!$C$4:$L$4)+(Deal_Portfolio!$L$15*0.4*DB_Reg_PoS+Deal_Portfolio!$L$16+Deal_Portfolio!$L$17*0.4+Deal_Portfolio!$L$18*0.4*DB_Reg_PoS)*(1-Tax_Rate)*(1+Deal_B_TV_Growth)/(0.16-Deal_B_TV_Growth)/(1+0.16)^10)</f>
        <v>385.800754211238</v>
      </c>
      <c r="D13" s="12" t="n">
        <f aca="false">Deal_A_rNPV+Deal_C_rNPV+Platform_rNPV+(SUMPRODUCT((Deal_Portfolio!$C$15:$L$15*0.5*DB_Reg_PoS+Deal_Portfolio!$C$16:$L$16+Deal_Portfolio!$C$17:$L$17*0.5+Deal_Portfolio!$C$18:$L$18*0.5*DB_Reg_PoS)*(1-Tax_Rate)/(1+0.16)^Deal_Portfolio!$C$4:$L$4)+(Deal_Portfolio!$L$15*0.5*DB_Reg_PoS+Deal_Portfolio!$L$16+Deal_Portfolio!$L$17*0.5+Deal_Portfolio!$L$18*0.5*DB_Reg_PoS)*(1-Tax_Rate)*(1+Deal_B_TV_Growth)/(0.16-Deal_B_TV_Growth)/(1+0.16)^10)</f>
        <v>403.108623351856</v>
      </c>
      <c r="E13" s="12" t="n">
        <f aca="false">Deal_A_rNPV+Deal_C_rNPV+Platform_rNPV+(SUMPRODUCT((Deal_Portfolio!$C$15:$L$15*0.6*DB_Reg_PoS+Deal_Portfolio!$C$16:$L$16+Deal_Portfolio!$C$17:$L$17*0.6+Deal_Portfolio!$C$18:$L$18*0.6*DB_Reg_PoS)*(1-Tax_Rate)/(1+0.16)^Deal_Portfolio!$C$4:$L$4)+(Deal_Portfolio!$L$15*0.6*DB_Reg_PoS+Deal_Portfolio!$L$16+Deal_Portfolio!$L$17*0.6+Deal_Portfolio!$L$18*0.6*DB_Reg_PoS)*(1-Tax_Rate)*(1+Deal_B_TV_Growth)/(0.16-Deal_B_TV_Growth)/(1+0.16)^10)</f>
        <v>420.416492492475</v>
      </c>
      <c r="F13" s="12" t="n">
        <f aca="false">Deal_A_rNPV+Deal_C_rNPV+Platform_rNPV+(SUMPRODUCT((Deal_Portfolio!$C$15:$L$15*0.7*DB_Reg_PoS+Deal_Portfolio!$C$16:$L$16+Deal_Portfolio!$C$17:$L$17*0.7+Deal_Portfolio!$C$18:$L$18*0.7*DB_Reg_PoS)*(1-Tax_Rate)/(1+0.16)^Deal_Portfolio!$C$4:$L$4)+(Deal_Portfolio!$L$15*0.7*DB_Reg_PoS+Deal_Portfolio!$L$16+Deal_Portfolio!$L$17*0.7+Deal_Portfolio!$L$18*0.7*DB_Reg_PoS)*(1-Tax_Rate)*(1+Deal_B_TV_Growth)/(0.16-Deal_B_TV_Growth)/(1+0.16)^10)</f>
        <v>437.724361633093</v>
      </c>
      <c r="G13" s="12" t="n">
        <f aca="false">Deal_A_rNPV+Deal_C_rNPV+Platform_rNPV+(SUMPRODUCT((Deal_Portfolio!$C$15:$L$15*0.8*DB_Reg_PoS+Deal_Portfolio!$C$16:$L$16+Deal_Portfolio!$C$17:$L$17*0.8+Deal_Portfolio!$C$18:$L$18*0.8*DB_Reg_PoS)*(1-Tax_Rate)/(1+0.16)^Deal_Portfolio!$C$4:$L$4)+(Deal_Portfolio!$L$15*0.8*DB_Reg_PoS+Deal_Portfolio!$L$16+Deal_Portfolio!$L$17*0.8+Deal_Portfolio!$L$18*0.8*DB_Reg_PoS)*(1-Tax_Rate)*(1+Deal_B_TV_Growth)/(0.16-Deal_B_TV_Growth)/(1+0.16)^10)</f>
        <v>455.032230773712</v>
      </c>
      <c r="H13" s="6"/>
    </row>
  </sheetData>
  <mergeCells count="1">
    <mergeCell ref="B6:H6"/>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0000"/>
    <pageSetUpPr fitToPage="false"/>
  </sheetPr>
  <dimension ref="A1:AD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44"/>
    <col collapsed="false" customWidth="true" hidden="false" outlineLevel="0" max="12" min="3" style="0" width="18"/>
    <col collapsed="false" customWidth="true" hidden="false" outlineLevel="0" max="13" min="13" style="0" width="4"/>
    <col collapsed="false" customWidth="true" hidden="false" outlineLevel="0" max="14" min="14" style="0" width="16"/>
  </cols>
  <sheetData>
    <row r="1" customFormat="false" ht="15" hidden="false" customHeight="false" outlineLevel="0" collapsed="false">
      <c r="A1" s="1"/>
      <c r="B1" s="1"/>
      <c r="C1" s="1"/>
      <c r="D1" s="2"/>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386</v>
      </c>
      <c r="C2" s="1"/>
      <c r="D2" s="2"/>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387</v>
      </c>
      <c r="C3" s="1"/>
      <c r="D3" s="2"/>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row>
    <row r="5" customFormat="false" ht="15" hidden="false" customHeight="false" outlineLevel="0" collapsed="false">
      <c r="A5" s="6"/>
      <c r="B5" s="6"/>
      <c r="C5" s="6"/>
    </row>
    <row r="6" customFormat="false" ht="15" hidden="false" customHeight="false" outlineLevel="0" collapsed="false">
      <c r="A6" s="6"/>
      <c r="B6" s="11" t="s">
        <v>388</v>
      </c>
      <c r="C6" s="41" t="str">
        <f aca="false">IF(ROUND(Open_Cash+Open_AR+(Open_PPE_Gross-Open_PPE_AccDep)+(Open_Intang_Gross-Open_Intang_AccAmort)-Open_AP-Open_Debt-Open_Share_Capital-Open_RE,2)=0,"PASS","FAIL")</f>
        <v>PASS</v>
      </c>
    </row>
    <row r="7" customFormat="false" ht="15" hidden="false" customHeight="false" outlineLevel="0" collapsed="false">
      <c r="A7" s="6"/>
      <c r="B7" s="11" t="s">
        <v>389</v>
      </c>
      <c r="C7" s="41" t="str">
        <f aca="false">IF(MAX(ABS(Balance_Sheet!C26:L26))&lt;1,"PASS","FAIL")</f>
        <v>PASS</v>
      </c>
    </row>
    <row r="8" customFormat="false" ht="15" hidden="false" customHeight="false" outlineLevel="0" collapsed="false">
      <c r="A8" s="6"/>
      <c r="B8" s="11" t="s">
        <v>390</v>
      </c>
      <c r="C8" s="41" t="str">
        <f aca="false">IF(MIN(Balance_Sheet!C6:L6)&gt;=0,"PASS","FAIL")</f>
        <v>PASS</v>
      </c>
    </row>
    <row r="9" customFormat="false" ht="15" hidden="false" customHeight="false" outlineLevel="0" collapsed="false">
      <c r="A9" s="6"/>
      <c r="B9" s="11" t="s">
        <v>391</v>
      </c>
      <c r="C9" s="41" t="str">
        <f aca="false">IF(ROUND(Balance_Sheet!L20-(Open_RE+SUM(Income_Statement!C33:L33)),2)=0,"PASS","FAIL")</f>
        <v>PASS</v>
      </c>
    </row>
    <row r="10" customFormat="false" ht="15" hidden="false" customHeight="false" outlineLevel="0" collapsed="false">
      <c r="A10" s="6"/>
      <c r="B10" s="11" t="s">
        <v>392</v>
      </c>
      <c r="C10" s="41" t="str">
        <f aca="false">IF(MAX(ABS(Cash_Flow!C19:L19-Balance_Sheet!C6:L6))&lt;1,"PASS","FAIL")</f>
        <v>PASS</v>
      </c>
    </row>
    <row r="11" customFormat="false" ht="15" hidden="false" customHeight="false" outlineLevel="0" collapsed="false">
      <c r="A11" s="6"/>
      <c r="B11" s="11" t="s">
        <v>393</v>
      </c>
      <c r="C11" s="41" t="str">
        <f aca="false">IF(AND(MAX(Deal_Portfolio!C21,Deal_Portfolio!C38)&lt;=1,MIN(Deal_Portfolio!C21,Deal_Portfolio!C38)&gt;=0),"PASS","FAIL")</f>
        <v>PASS</v>
      </c>
    </row>
    <row r="12" customFormat="false" ht="15" hidden="false" customHeight="false" outlineLevel="0" collapsed="false">
      <c r="A12" s="6"/>
      <c r="B12" s="11" t="s">
        <v>394</v>
      </c>
      <c r="C12" s="41" t="str">
        <f aca="false">IF(AND(Deal_A_rNPV&gt;0,Portfolio_rNPV&gt;0),"PASS","FAIL")</f>
        <v>PASS</v>
      </c>
    </row>
    <row r="13" customFormat="false" ht="15" hidden="false" customHeight="false" outlineLevel="0" collapsed="false">
      <c r="A13" s="6"/>
      <c r="B13" s="11" t="s">
        <v>395</v>
      </c>
      <c r="C13" s="41" t="str">
        <f aca="false">IF(AND(Tax_Rate&gt;=0,Tax_Rate&lt;=0.5),"PASS","FAIL")</f>
        <v>PASS</v>
      </c>
    </row>
    <row r="14" customFormat="false" ht="15" hidden="false" customHeight="false" outlineLevel="0" collapsed="false">
      <c r="A14" s="6"/>
      <c r="B14" s="6"/>
      <c r="C14" s="6"/>
    </row>
    <row r="15" customFormat="false" ht="15" hidden="false" customHeight="false" outlineLevel="0" collapsed="false">
      <c r="A15" s="6"/>
      <c r="B15" s="7" t="s">
        <v>396</v>
      </c>
      <c r="C15" s="42" t="n">
        <f aca="false">COUNTIF(C6:C13,"FAIL")</f>
        <v>0</v>
      </c>
    </row>
  </sheetData>
  <conditionalFormatting sqref="C6:C13">
    <cfRule type="cellIs" priority="2" operator="equal" aboveAverage="0" equalAverage="0" bottom="0" percent="0" rank="0" text="" dxfId="0">
      <formula>"PASS"</formula>
    </cfRule>
    <cfRule type="cellIs" priority="3" operator="equal" aboveAverage="0" equalAverage="0" bottom="0" percent="0" rank="0" text="" dxfId="1">
      <formula>"FAIL"</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08080"/>
    <pageSetUpPr fitToPage="false"/>
  </sheetPr>
  <dimension ref="A1:AD3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140"/>
  </cols>
  <sheetData>
    <row r="1" customFormat="false" ht="15" hidden="false" customHeight="false" outlineLevel="0" collapsed="false">
      <c r="A1" s="1"/>
      <c r="B1" s="1"/>
      <c r="C1" s="2"/>
      <c r="D1" s="2"/>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397</v>
      </c>
      <c r="C2" s="2"/>
      <c r="D2" s="2"/>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398</v>
      </c>
      <c r="C3" s="2"/>
      <c r="D3" s="2"/>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row>
    <row r="5" customFormat="false" ht="15" hidden="false" customHeight="false" outlineLevel="0" collapsed="false">
      <c r="A5" s="6"/>
      <c r="B5" s="6"/>
    </row>
    <row r="6" customFormat="false" ht="15" hidden="false" customHeight="false" outlineLevel="0" collapsed="false">
      <c r="A6" s="6"/>
      <c r="B6" s="43" t="s">
        <v>399</v>
      </c>
    </row>
    <row r="7" customFormat="false" ht="15" hidden="false" customHeight="false" outlineLevel="0" collapsed="false">
      <c r="A7" s="6"/>
      <c r="B7" s="44" t="s">
        <v>400</v>
      </c>
    </row>
    <row r="8" customFormat="false" ht="15" hidden="false" customHeight="false" outlineLevel="0" collapsed="false">
      <c r="A8" s="6"/>
      <c r="B8" s="6"/>
    </row>
    <row r="9" customFormat="false" ht="15" hidden="false" customHeight="false" outlineLevel="0" collapsed="false">
      <c r="A9" s="6"/>
      <c r="B9" s="43" t="s">
        <v>401</v>
      </c>
    </row>
    <row r="10" customFormat="false" ht="23.85" hidden="false" customHeight="false" outlineLevel="0" collapsed="false">
      <c r="A10" s="6"/>
      <c r="B10" s="44" t="s">
        <v>402</v>
      </c>
    </row>
    <row r="11" customFormat="false" ht="15" hidden="false" customHeight="false" outlineLevel="0" collapsed="false">
      <c r="A11" s="6"/>
      <c r="B11" s="6"/>
    </row>
    <row r="12" customFormat="false" ht="15" hidden="false" customHeight="false" outlineLevel="0" collapsed="false">
      <c r="A12" s="6"/>
      <c r="B12" s="43" t="s">
        <v>403</v>
      </c>
    </row>
    <row r="13" customFormat="false" ht="15" hidden="false" customHeight="false" outlineLevel="0" collapsed="false">
      <c r="A13" s="6"/>
      <c r="B13" s="44" t="s">
        <v>404</v>
      </c>
    </row>
    <row r="14" customFormat="false" ht="15" hidden="false" customHeight="false" outlineLevel="0" collapsed="false">
      <c r="A14" s="6"/>
      <c r="B14" s="6"/>
    </row>
    <row r="15" customFormat="false" ht="15" hidden="false" customHeight="false" outlineLevel="0" collapsed="false">
      <c r="A15" s="6"/>
      <c r="B15" s="43" t="s">
        <v>405</v>
      </c>
    </row>
    <row r="16" customFormat="false" ht="15" hidden="false" customHeight="false" outlineLevel="0" collapsed="false">
      <c r="A16" s="6"/>
      <c r="B16" s="44" t="s">
        <v>406</v>
      </c>
    </row>
    <row r="17" customFormat="false" ht="15" hidden="false" customHeight="false" outlineLevel="0" collapsed="false">
      <c r="A17" s="6"/>
      <c r="B17" s="6"/>
    </row>
    <row r="18" customFormat="false" ht="15" hidden="false" customHeight="false" outlineLevel="0" collapsed="false">
      <c r="A18" s="6"/>
      <c r="B18" s="43" t="s">
        <v>407</v>
      </c>
    </row>
    <row r="19" customFormat="false" ht="35.05" hidden="false" customHeight="false" outlineLevel="0" collapsed="false">
      <c r="A19" s="6"/>
      <c r="B19" s="44" t="s">
        <v>408</v>
      </c>
    </row>
    <row r="20" customFormat="false" ht="15" hidden="false" customHeight="false" outlineLevel="0" collapsed="false">
      <c r="A20" s="6"/>
      <c r="B20" s="6"/>
    </row>
    <row r="21" customFormat="false" ht="15" hidden="false" customHeight="false" outlineLevel="0" collapsed="false">
      <c r="A21" s="6"/>
      <c r="B21" s="43" t="s">
        <v>409</v>
      </c>
    </row>
    <row r="22" customFormat="false" ht="23.85" hidden="false" customHeight="false" outlineLevel="0" collapsed="false">
      <c r="A22" s="6"/>
      <c r="B22" s="44" t="s">
        <v>410</v>
      </c>
    </row>
    <row r="23" customFormat="false" ht="15" hidden="false" customHeight="false" outlineLevel="0" collapsed="false">
      <c r="A23" s="6"/>
      <c r="B23" s="6"/>
    </row>
    <row r="24" customFormat="false" ht="15" hidden="false" customHeight="false" outlineLevel="0" collapsed="false">
      <c r="A24" s="6"/>
      <c r="B24" s="43" t="s">
        <v>411</v>
      </c>
    </row>
    <row r="25" customFormat="false" ht="15" hidden="false" customHeight="false" outlineLevel="0" collapsed="false">
      <c r="A25" s="6"/>
      <c r="B25" s="44" t="s">
        <v>412</v>
      </c>
    </row>
    <row r="26" customFormat="false" ht="15" hidden="false" customHeight="false" outlineLevel="0" collapsed="false">
      <c r="A26" s="6"/>
      <c r="B26" s="6"/>
    </row>
    <row r="27" customFormat="false" ht="15" hidden="false" customHeight="false" outlineLevel="0" collapsed="false">
      <c r="A27" s="6"/>
      <c r="B27" s="43" t="s">
        <v>413</v>
      </c>
    </row>
    <row r="28" customFormat="false" ht="23.85" hidden="false" customHeight="false" outlineLevel="0" collapsed="false">
      <c r="A28" s="6"/>
      <c r="B28" s="44" t="s">
        <v>414</v>
      </c>
    </row>
    <row r="29" customFormat="false" ht="15" hidden="false" customHeight="false" outlineLevel="0" collapsed="false">
      <c r="A29" s="6"/>
      <c r="B29" s="6"/>
    </row>
    <row r="30" customFormat="false" ht="15" hidden="false" customHeight="false" outlineLevel="0" collapsed="false">
      <c r="A30" s="6"/>
      <c r="B30" s="43" t="s">
        <v>415</v>
      </c>
    </row>
    <row r="31" customFormat="false" ht="23.85" hidden="false" customHeight="false" outlineLevel="0" collapsed="false">
      <c r="A31" s="6"/>
      <c r="B31" s="44" t="s">
        <v>416</v>
      </c>
    </row>
    <row r="32" customFormat="false" ht="15" hidden="false" customHeight="false" outlineLevel="0" collapsed="false">
      <c r="A32" s="6"/>
      <c r="B32" s="6"/>
    </row>
    <row r="33" customFormat="false" ht="15" hidden="false" customHeight="false" outlineLevel="0" collapsed="false">
      <c r="A33" s="6"/>
      <c r="B33" s="43" t="s">
        <v>417</v>
      </c>
    </row>
    <row r="34" customFormat="false" ht="15" hidden="false" customHeight="false" outlineLevel="0" collapsed="false">
      <c r="A34" s="6"/>
      <c r="B34" s="44" t="s">
        <v>418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45" t="s">
        <v>419</v>
      </c>
    </row>
    <row r="3" customFormat="false" ht="3.75" hidden="false" customHeight="true" outlineLevel="0" collapsed="false">
      <c r="B3" s="46"/>
    </row>
    <row r="5" customFormat="false" ht="19.5" hidden="false" customHeight="true" outlineLevel="0" collapsed="false">
      <c r="B5" s="47" t="s">
        <v>420</v>
      </c>
    </row>
    <row r="6" customFormat="false" ht="48" hidden="false" customHeight="true" outlineLevel="0" collapsed="false">
      <c r="B6" s="48" t="s">
        <v>421</v>
      </c>
    </row>
    <row r="8" customFormat="false" ht="19.5" hidden="false" customHeight="true" outlineLevel="0" collapsed="false">
      <c r="B8" s="47" t="s">
        <v>422</v>
      </c>
    </row>
    <row r="9" customFormat="false" ht="61.5" hidden="false" customHeight="true" outlineLevel="0" collapsed="false">
      <c r="B9" s="48" t="s">
        <v>423</v>
      </c>
    </row>
    <row r="11" customFormat="false" ht="19.5" hidden="false" customHeight="true" outlineLevel="0" collapsed="false">
      <c r="B11" s="47" t="s">
        <v>424</v>
      </c>
    </row>
    <row r="12" customFormat="false" ht="75.75" hidden="false" customHeight="true" outlineLevel="0" collapsed="false">
      <c r="B12" s="48" t="s">
        <v>425</v>
      </c>
    </row>
    <row r="14" customFormat="false" ht="19.5" hidden="false" customHeight="true" outlineLevel="0" collapsed="false">
      <c r="B14" s="47" t="s">
        <v>426</v>
      </c>
    </row>
    <row r="15" customFormat="false" ht="61.5" hidden="false" customHeight="true" outlineLevel="0" collapsed="false">
      <c r="B15" s="48" t="s">
        <v>427</v>
      </c>
    </row>
    <row r="17" customFormat="false" ht="19.5" hidden="false" customHeight="true" outlineLevel="0" collapsed="false">
      <c r="B17" s="47" t="s">
        <v>428</v>
      </c>
    </row>
    <row r="18" customFormat="false" ht="33.75" hidden="false" customHeight="true" outlineLevel="0" collapsed="false">
      <c r="B18" s="48" t="s">
        <v>429</v>
      </c>
    </row>
    <row r="20" customFormat="false" ht="19.5" hidden="false" customHeight="true" outlineLevel="0" collapsed="false">
      <c r="B20" s="47" t="s">
        <v>430</v>
      </c>
    </row>
    <row r="21" customFormat="false" ht="33.75" hidden="false" customHeight="true" outlineLevel="0" collapsed="false">
      <c r="B21" s="48" t="s">
        <v>431</v>
      </c>
    </row>
    <row r="23" customFormat="false" ht="21.75" hidden="false" customHeight="true" outlineLevel="0" collapsed="false">
      <c r="B23" s="49" t="s">
        <v>432</v>
      </c>
    </row>
    <row r="25" customFormat="false" ht="18" hidden="false" customHeight="true" outlineLevel="0" collapsed="false">
      <c r="B25" s="50" t="s">
        <v>433</v>
      </c>
    </row>
    <row r="26" customFormat="false" ht="201.75" hidden="false" customHeight="true" outlineLevel="0" collapsed="false">
      <c r="B26" s="51" t="s">
        <v>434</v>
      </c>
    </row>
    <row r="28" customFormat="false" ht="18" hidden="false" customHeight="true" outlineLevel="0" collapsed="false">
      <c r="B28" s="52" t="s">
        <v>435</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000"/>
    <pageSetUpPr fitToPage="false"/>
  </sheetPr>
  <dimension ref="A1:AD10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3" min="3" style="0" width="14"/>
    <col collapsed="false" customWidth="true" hidden="false" outlineLevel="0" max="4" min="4" style="0" width="38"/>
    <col collapsed="false" customWidth="true" hidden="false" outlineLevel="0" max="12" min="5" style="0" width="14"/>
    <col collapsed="false" customWidth="true" hidden="false" outlineLevel="0" max="13" min="13" style="0" width="4"/>
    <col collapsed="false" customWidth="true" hidden="false" outlineLevel="0" max="14" min="14" style="0" width="16"/>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13</v>
      </c>
      <c r="C2" s="1"/>
      <c r="D2" s="1"/>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47</v>
      </c>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9" t="s">
        <v>48</v>
      </c>
      <c r="C4" s="20"/>
      <c r="D4" s="20"/>
    </row>
    <row r="5" customFormat="false" ht="15" hidden="false" customHeight="false" outlineLevel="0" collapsed="false">
      <c r="A5" s="6"/>
      <c r="B5" s="6"/>
      <c r="C5" s="6"/>
      <c r="D5" s="6"/>
    </row>
    <row r="6" customFormat="false" ht="15" hidden="false" customHeight="false" outlineLevel="0" collapsed="false">
      <c r="A6" s="6"/>
      <c r="B6" s="11" t="s">
        <v>49</v>
      </c>
      <c r="C6" s="21" t="s">
        <v>50</v>
      </c>
      <c r="D6" s="22" t="s">
        <v>51</v>
      </c>
    </row>
    <row r="7" customFormat="false" ht="15" hidden="false" customHeight="false" outlineLevel="0" collapsed="false">
      <c r="A7" s="6"/>
      <c r="B7" s="6"/>
      <c r="C7" s="6"/>
      <c r="D7" s="6"/>
    </row>
    <row r="8" customFormat="false" ht="15" hidden="false" customHeight="false" outlineLevel="0" collapsed="false">
      <c r="A8" s="6"/>
      <c r="B8" s="9" t="s">
        <v>52</v>
      </c>
      <c r="C8" s="20"/>
      <c r="D8" s="20"/>
    </row>
    <row r="9" customFormat="false" ht="15" hidden="false" customHeight="false" outlineLevel="0" collapsed="false">
      <c r="A9" s="6"/>
      <c r="B9" s="11" t="s">
        <v>53</v>
      </c>
      <c r="C9" s="23" t="n">
        <v>800</v>
      </c>
      <c r="D9" s="22" t="s">
        <v>54</v>
      </c>
    </row>
    <row r="10" customFormat="false" ht="15" hidden="false" customHeight="false" outlineLevel="0" collapsed="false">
      <c r="A10" s="6"/>
      <c r="B10" s="11" t="s">
        <v>55</v>
      </c>
      <c r="C10" s="24" t="n">
        <v>0.08</v>
      </c>
      <c r="D10" s="22" t="s">
        <v>56</v>
      </c>
    </row>
    <row r="11" customFormat="false" ht="15" hidden="false" customHeight="false" outlineLevel="0" collapsed="false">
      <c r="A11" s="6"/>
      <c r="B11" s="11" t="s">
        <v>57</v>
      </c>
      <c r="C11" s="25" t="n">
        <f aca="false">CHOOSE(MATCH(Scenario,{"Base","Upside","Downside"},0),6,8,5)</f>
        <v>6</v>
      </c>
      <c r="D11" s="22" t="s">
        <v>58</v>
      </c>
    </row>
    <row r="12" customFormat="false" ht="15" hidden="false" customHeight="false" outlineLevel="0" collapsed="false">
      <c r="A12" s="6"/>
      <c r="B12" s="11" t="s">
        <v>59</v>
      </c>
      <c r="C12" s="26" t="n">
        <f aca="false">CHOOSE(MATCH(Scenario,{"Base","Upside","Downside"},0),0.75,0.6,0.85)</f>
        <v>0.75</v>
      </c>
      <c r="D12" s="22" t="s">
        <v>60</v>
      </c>
    </row>
    <row r="13" customFormat="false" ht="15" hidden="false" customHeight="false" outlineLevel="0" collapsed="false">
      <c r="A13" s="6"/>
      <c r="B13" s="11" t="s">
        <v>61</v>
      </c>
      <c r="C13" s="24" t="n">
        <v>0.3</v>
      </c>
      <c r="D13" s="22" t="s">
        <v>62</v>
      </c>
    </row>
    <row r="14" customFormat="false" ht="15" hidden="false" customHeight="false" outlineLevel="0" collapsed="false">
      <c r="A14" s="6"/>
      <c r="B14" s="11" t="s">
        <v>63</v>
      </c>
      <c r="C14" s="24" t="n">
        <v>0.1</v>
      </c>
      <c r="D14" s="22" t="s">
        <v>64</v>
      </c>
    </row>
    <row r="15" customFormat="false" ht="15" hidden="false" customHeight="false" outlineLevel="0" collapsed="false">
      <c r="A15" s="6"/>
      <c r="B15" s="11" t="s">
        <v>65</v>
      </c>
      <c r="C15" s="24" t="n">
        <v>0.15</v>
      </c>
      <c r="D15" s="22" t="s">
        <v>66</v>
      </c>
    </row>
    <row r="16" customFormat="false" ht="15" hidden="false" customHeight="false" outlineLevel="0" collapsed="false">
      <c r="A16" s="6"/>
      <c r="B16" s="11" t="s">
        <v>67</v>
      </c>
      <c r="C16" s="23" t="n">
        <v>1000</v>
      </c>
      <c r="D16" s="22" t="s">
        <v>68</v>
      </c>
    </row>
    <row r="17" customFormat="false" ht="15" hidden="false" customHeight="false" outlineLevel="0" collapsed="false">
      <c r="A17" s="6"/>
      <c r="B17" s="11" t="s">
        <v>69</v>
      </c>
      <c r="C17" s="24" t="n">
        <v>0.05</v>
      </c>
      <c r="D17" s="22" t="s">
        <v>70</v>
      </c>
    </row>
    <row r="18" customFormat="false" ht="15" hidden="false" customHeight="false" outlineLevel="0" collapsed="false">
      <c r="A18" s="6"/>
      <c r="B18" s="6"/>
      <c r="C18" s="6"/>
      <c r="D18" s="6"/>
    </row>
    <row r="19" customFormat="false" ht="15" hidden="false" customHeight="false" outlineLevel="0" collapsed="false">
      <c r="A19" s="6"/>
      <c r="B19" s="9" t="s">
        <v>71</v>
      </c>
      <c r="C19" s="20"/>
      <c r="D19" s="20"/>
    </row>
    <row r="20" customFormat="false" ht="15" hidden="false" customHeight="false" outlineLevel="0" collapsed="false">
      <c r="A20" s="6"/>
      <c r="B20" s="11" t="s">
        <v>72</v>
      </c>
      <c r="C20" s="27" t="n">
        <v>3</v>
      </c>
      <c r="D20" s="22" t="s">
        <v>73</v>
      </c>
    </row>
    <row r="21" customFormat="false" ht="15" hidden="false" customHeight="false" outlineLevel="0" collapsed="false">
      <c r="A21" s="6"/>
      <c r="B21" s="11" t="s">
        <v>74</v>
      </c>
      <c r="C21" s="23" t="n">
        <v>50</v>
      </c>
      <c r="D21" s="22" t="s">
        <v>75</v>
      </c>
    </row>
    <row r="22" customFormat="false" ht="15" hidden="false" customHeight="false" outlineLevel="0" collapsed="false">
      <c r="A22" s="6"/>
      <c r="B22" s="11" t="s">
        <v>76</v>
      </c>
      <c r="C22" s="27" t="n">
        <v>4</v>
      </c>
      <c r="D22" s="22" t="s">
        <v>77</v>
      </c>
    </row>
    <row r="23" customFormat="false" ht="15" hidden="false" customHeight="false" outlineLevel="0" collapsed="false">
      <c r="A23" s="6"/>
      <c r="B23" s="11" t="s">
        <v>78</v>
      </c>
      <c r="C23" s="23" t="n">
        <v>75</v>
      </c>
      <c r="D23" s="22" t="s">
        <v>79</v>
      </c>
    </row>
    <row r="24" customFormat="false" ht="15" hidden="false" customHeight="false" outlineLevel="0" collapsed="false">
      <c r="A24" s="6"/>
      <c r="B24" s="11" t="s">
        <v>80</v>
      </c>
      <c r="C24" s="27" t="n">
        <v>5</v>
      </c>
      <c r="D24" s="22" t="s">
        <v>81</v>
      </c>
    </row>
    <row r="25" customFormat="false" ht="15" hidden="false" customHeight="false" outlineLevel="0" collapsed="false">
      <c r="A25" s="6"/>
      <c r="B25" s="11" t="s">
        <v>82</v>
      </c>
      <c r="C25" s="23" t="n">
        <v>40</v>
      </c>
      <c r="D25" s="22" t="s">
        <v>83</v>
      </c>
    </row>
    <row r="26" customFormat="false" ht="15" hidden="false" customHeight="false" outlineLevel="0" collapsed="false">
      <c r="A26" s="6"/>
      <c r="B26" s="11" t="s">
        <v>84</v>
      </c>
      <c r="C26" s="26" t="n">
        <f aca="false">CHOOSE(MATCH(Scenario,{"Base","Upside","Downside"},0),0.6,0.8,0.4)</f>
        <v>0.6</v>
      </c>
      <c r="D26" s="22" t="s">
        <v>85</v>
      </c>
    </row>
    <row r="27" customFormat="false" ht="15" hidden="false" customHeight="false" outlineLevel="0" collapsed="false">
      <c r="A27" s="6"/>
      <c r="B27" s="11" t="s">
        <v>86</v>
      </c>
      <c r="C27" s="24" t="n">
        <v>0.85</v>
      </c>
      <c r="D27" s="22" t="s">
        <v>87</v>
      </c>
    </row>
    <row r="28" customFormat="false" ht="15" hidden="false" customHeight="false" outlineLevel="0" collapsed="false">
      <c r="A28" s="6"/>
      <c r="B28" s="11" t="s">
        <v>88</v>
      </c>
      <c r="C28" s="27" t="n">
        <v>5</v>
      </c>
      <c r="D28" s="22" t="s">
        <v>89</v>
      </c>
    </row>
    <row r="29" customFormat="false" ht="15" hidden="false" customHeight="false" outlineLevel="0" collapsed="false">
      <c r="A29" s="6"/>
      <c r="B29" s="11" t="s">
        <v>90</v>
      </c>
      <c r="C29" s="23" t="n">
        <v>200</v>
      </c>
      <c r="D29" s="22" t="s">
        <v>91</v>
      </c>
    </row>
    <row r="30" customFormat="false" ht="15" hidden="false" customHeight="false" outlineLevel="0" collapsed="false">
      <c r="A30" s="6"/>
      <c r="B30" s="11" t="s">
        <v>92</v>
      </c>
      <c r="C30" s="24" t="n">
        <v>0.25</v>
      </c>
      <c r="D30" s="22" t="s">
        <v>93</v>
      </c>
    </row>
    <row r="31" customFormat="false" ht="15" hidden="false" customHeight="false" outlineLevel="0" collapsed="false">
      <c r="A31" s="6"/>
      <c r="B31" s="11" t="s">
        <v>94</v>
      </c>
      <c r="C31" s="24" t="n">
        <v>0.08</v>
      </c>
      <c r="D31" s="22" t="s">
        <v>95</v>
      </c>
    </row>
    <row r="32" customFormat="false" ht="15" hidden="false" customHeight="false" outlineLevel="0" collapsed="false">
      <c r="A32" s="6"/>
      <c r="B32" s="11" t="s">
        <v>96</v>
      </c>
      <c r="C32" s="27" t="n">
        <v>9</v>
      </c>
      <c r="D32" s="22" t="s">
        <v>97</v>
      </c>
    </row>
    <row r="33" customFormat="false" ht="15" hidden="false" customHeight="false" outlineLevel="0" collapsed="false">
      <c r="A33" s="6"/>
      <c r="B33" s="11" t="s">
        <v>98</v>
      </c>
      <c r="C33" s="24" t="n">
        <v>0.12</v>
      </c>
      <c r="D33" s="22" t="s">
        <v>99</v>
      </c>
    </row>
    <row r="34" customFormat="false" ht="15" hidden="false" customHeight="false" outlineLevel="0" collapsed="false">
      <c r="A34" s="6"/>
      <c r="B34" s="11" t="s">
        <v>100</v>
      </c>
      <c r="C34" s="24" t="n">
        <v>0.025</v>
      </c>
      <c r="D34" s="22" t="s">
        <v>101</v>
      </c>
    </row>
    <row r="35" customFormat="false" ht="15" hidden="false" customHeight="false" outlineLevel="0" collapsed="false">
      <c r="A35" s="6"/>
      <c r="B35" s="6"/>
      <c r="C35" s="6"/>
      <c r="D35" s="6"/>
    </row>
    <row r="36" customFormat="false" ht="15" hidden="false" customHeight="false" outlineLevel="0" collapsed="false">
      <c r="A36" s="6"/>
      <c r="B36" s="9" t="s">
        <v>102</v>
      </c>
      <c r="C36" s="20"/>
      <c r="D36" s="20"/>
    </row>
    <row r="37" customFormat="false" ht="15" hidden="false" customHeight="false" outlineLevel="0" collapsed="false">
      <c r="A37" s="6"/>
      <c r="B37" s="11" t="s">
        <v>103</v>
      </c>
      <c r="C37" s="27" t="n">
        <v>3</v>
      </c>
      <c r="D37" s="22" t="s">
        <v>104</v>
      </c>
    </row>
    <row r="38" customFormat="false" ht="15" hidden="false" customHeight="false" outlineLevel="0" collapsed="false">
      <c r="A38" s="6"/>
      <c r="B38" s="11" t="s">
        <v>105</v>
      </c>
      <c r="C38" s="23" t="n">
        <v>15</v>
      </c>
      <c r="D38" s="22" t="s">
        <v>106</v>
      </c>
    </row>
    <row r="39" customFormat="false" ht="15" hidden="false" customHeight="false" outlineLevel="0" collapsed="false">
      <c r="A39" s="6"/>
      <c r="B39" s="11" t="s">
        <v>107</v>
      </c>
      <c r="C39" s="27" t="n">
        <v>6</v>
      </c>
      <c r="D39" s="22" t="s">
        <v>108</v>
      </c>
    </row>
    <row r="40" customFormat="false" ht="15" hidden="false" customHeight="false" outlineLevel="0" collapsed="false">
      <c r="A40" s="6"/>
      <c r="B40" s="11" t="s">
        <v>109</v>
      </c>
      <c r="C40" s="23" t="n">
        <v>30</v>
      </c>
      <c r="D40" s="22" t="s">
        <v>110</v>
      </c>
    </row>
    <row r="41" customFormat="false" ht="15" hidden="false" customHeight="false" outlineLevel="0" collapsed="false">
      <c r="A41" s="6"/>
      <c r="B41" s="11" t="s">
        <v>111</v>
      </c>
      <c r="C41" s="27" t="n">
        <v>9</v>
      </c>
      <c r="D41" s="22" t="s">
        <v>112</v>
      </c>
    </row>
    <row r="42" customFormat="false" ht="15" hidden="false" customHeight="false" outlineLevel="0" collapsed="false">
      <c r="A42" s="6"/>
      <c r="B42" s="11" t="s">
        <v>113</v>
      </c>
      <c r="C42" s="23" t="n">
        <v>60</v>
      </c>
      <c r="D42" s="22" t="s">
        <v>114</v>
      </c>
    </row>
    <row r="43" customFormat="false" ht="15" hidden="false" customHeight="false" outlineLevel="0" collapsed="false">
      <c r="A43" s="6"/>
      <c r="B43" s="11" t="s">
        <v>115</v>
      </c>
      <c r="C43" s="27" t="n">
        <v>10</v>
      </c>
      <c r="D43" s="22" t="s">
        <v>116</v>
      </c>
    </row>
    <row r="44" customFormat="false" ht="15" hidden="false" customHeight="false" outlineLevel="0" collapsed="false">
      <c r="A44" s="6"/>
      <c r="B44" s="11" t="s">
        <v>117</v>
      </c>
      <c r="C44" s="23" t="n">
        <v>50</v>
      </c>
      <c r="D44" s="22" t="s">
        <v>118</v>
      </c>
    </row>
    <row r="45" customFormat="false" ht="15" hidden="false" customHeight="false" outlineLevel="0" collapsed="false">
      <c r="A45" s="6"/>
      <c r="B45" s="11" t="s">
        <v>119</v>
      </c>
      <c r="C45" s="24" t="n">
        <v>0.6</v>
      </c>
      <c r="D45" s="22" t="s">
        <v>120</v>
      </c>
    </row>
    <row r="46" customFormat="false" ht="15" hidden="false" customHeight="false" outlineLevel="0" collapsed="false">
      <c r="A46" s="6"/>
      <c r="B46" s="11" t="s">
        <v>121</v>
      </c>
      <c r="C46" s="24" t="n">
        <v>0.35</v>
      </c>
      <c r="D46" s="22" t="s">
        <v>122</v>
      </c>
    </row>
    <row r="47" customFormat="false" ht="15" hidden="false" customHeight="false" outlineLevel="0" collapsed="false">
      <c r="A47" s="6"/>
      <c r="B47" s="11" t="s">
        <v>123</v>
      </c>
      <c r="C47" s="24" t="n">
        <v>0.6</v>
      </c>
      <c r="D47" s="22" t="s">
        <v>124</v>
      </c>
    </row>
    <row r="48" customFormat="false" ht="15" hidden="false" customHeight="false" outlineLevel="0" collapsed="false">
      <c r="A48" s="6"/>
      <c r="B48" s="11" t="s">
        <v>125</v>
      </c>
      <c r="C48" s="24" t="n">
        <v>0.85</v>
      </c>
      <c r="D48" s="22" t="s">
        <v>126</v>
      </c>
    </row>
    <row r="49" customFormat="false" ht="15" hidden="false" customHeight="false" outlineLevel="0" collapsed="false">
      <c r="A49" s="6"/>
      <c r="B49" s="11" t="s">
        <v>127</v>
      </c>
      <c r="C49" s="27" t="n">
        <v>10</v>
      </c>
      <c r="D49" s="22" t="s">
        <v>128</v>
      </c>
    </row>
    <row r="50" customFormat="false" ht="15" hidden="false" customHeight="false" outlineLevel="0" collapsed="false">
      <c r="A50" s="6"/>
      <c r="B50" s="11" t="s">
        <v>129</v>
      </c>
      <c r="C50" s="23" t="n">
        <v>40</v>
      </c>
      <c r="D50" s="22" t="s">
        <v>130</v>
      </c>
    </row>
    <row r="51" customFormat="false" ht="15" hidden="false" customHeight="false" outlineLevel="0" collapsed="false">
      <c r="A51" s="6"/>
      <c r="B51" s="11" t="s">
        <v>131</v>
      </c>
      <c r="C51" s="24" t="n">
        <v>0.3</v>
      </c>
      <c r="D51" s="22" t="s">
        <v>132</v>
      </c>
    </row>
    <row r="52" customFormat="false" ht="15" hidden="false" customHeight="false" outlineLevel="0" collapsed="false">
      <c r="A52" s="6"/>
      <c r="B52" s="11" t="s">
        <v>133</v>
      </c>
      <c r="C52" s="24" t="n">
        <v>0.05</v>
      </c>
      <c r="D52" s="22" t="s">
        <v>134</v>
      </c>
    </row>
    <row r="53" customFormat="false" ht="15" hidden="false" customHeight="false" outlineLevel="0" collapsed="false">
      <c r="A53" s="6"/>
      <c r="B53" s="11" t="s">
        <v>135</v>
      </c>
      <c r="C53" s="27" t="n">
        <v>13</v>
      </c>
      <c r="D53" s="22" t="s">
        <v>136</v>
      </c>
    </row>
    <row r="54" customFormat="false" ht="15" hidden="false" customHeight="false" outlineLevel="0" collapsed="false">
      <c r="A54" s="6"/>
      <c r="B54" s="11" t="s">
        <v>137</v>
      </c>
      <c r="C54" s="24" t="n">
        <v>0.1</v>
      </c>
      <c r="D54" s="22" t="s">
        <v>138</v>
      </c>
    </row>
    <row r="55" customFormat="false" ht="15" hidden="false" customHeight="false" outlineLevel="0" collapsed="false">
      <c r="A55" s="6"/>
      <c r="B55" s="11" t="s">
        <v>139</v>
      </c>
      <c r="C55" s="24" t="n">
        <v>0.025</v>
      </c>
      <c r="D55" s="22" t="s">
        <v>140</v>
      </c>
    </row>
    <row r="56" customFormat="false" ht="15" hidden="false" customHeight="false" outlineLevel="0" collapsed="false">
      <c r="A56" s="6"/>
      <c r="B56" s="6"/>
      <c r="C56" s="6"/>
      <c r="D56" s="6"/>
    </row>
    <row r="57" customFormat="false" ht="15" hidden="false" customHeight="false" outlineLevel="0" collapsed="false">
      <c r="A57" s="6"/>
      <c r="B57" s="9" t="s">
        <v>141</v>
      </c>
      <c r="C57" s="20"/>
      <c r="D57" s="20"/>
    </row>
    <row r="58" customFormat="false" ht="15" hidden="false" customHeight="false" outlineLevel="0" collapsed="false">
      <c r="A58" s="6"/>
      <c r="B58" s="11" t="s">
        <v>142</v>
      </c>
      <c r="C58" s="23" t="n">
        <v>20</v>
      </c>
      <c r="D58" s="22" t="s">
        <v>143</v>
      </c>
    </row>
    <row r="59" customFormat="false" ht="15" hidden="false" customHeight="false" outlineLevel="0" collapsed="false">
      <c r="A59" s="6"/>
      <c r="B59" s="11" t="s">
        <v>144</v>
      </c>
      <c r="C59" s="24" t="n">
        <v>0.05</v>
      </c>
      <c r="D59" s="22" t="s">
        <v>145</v>
      </c>
    </row>
    <row r="60" customFormat="false" ht="15" hidden="false" customHeight="false" outlineLevel="0" collapsed="false">
      <c r="A60" s="6"/>
      <c r="B60" s="6"/>
      <c r="C60" s="6"/>
      <c r="D60" s="6"/>
    </row>
    <row r="61" customFormat="false" ht="15" hidden="false" customHeight="false" outlineLevel="0" collapsed="false">
      <c r="A61" s="6"/>
      <c r="B61" s="9" t="s">
        <v>146</v>
      </c>
      <c r="C61" s="20"/>
      <c r="D61" s="20"/>
    </row>
    <row r="62" customFormat="false" ht="15" hidden="false" customHeight="false" outlineLevel="0" collapsed="false">
      <c r="A62" s="6"/>
      <c r="B62" s="11" t="s">
        <v>147</v>
      </c>
      <c r="C62" s="23" t="n">
        <v>25</v>
      </c>
      <c r="D62" s="22" t="s">
        <v>148</v>
      </c>
    </row>
    <row r="63" customFormat="false" ht="15" hidden="false" customHeight="false" outlineLevel="0" collapsed="false">
      <c r="A63" s="6"/>
      <c r="B63" s="11" t="s">
        <v>149</v>
      </c>
      <c r="C63" s="24" t="n">
        <v>0.06</v>
      </c>
      <c r="D63" s="22" t="s">
        <v>150</v>
      </c>
    </row>
    <row r="64" customFormat="false" ht="15" hidden="false" customHeight="false" outlineLevel="0" collapsed="false">
      <c r="A64" s="6"/>
      <c r="B64" s="11" t="s">
        <v>151</v>
      </c>
      <c r="C64" s="23" t="n">
        <v>8</v>
      </c>
      <c r="D64" s="22" t="s">
        <v>152</v>
      </c>
    </row>
    <row r="65" customFormat="false" ht="15" hidden="false" customHeight="false" outlineLevel="0" collapsed="false">
      <c r="A65" s="6"/>
      <c r="B65" s="11" t="s">
        <v>153</v>
      </c>
      <c r="C65" s="24" t="n">
        <v>0.05</v>
      </c>
      <c r="D65" s="22" t="s">
        <v>154</v>
      </c>
    </row>
    <row r="66" customFormat="false" ht="15" hidden="false" customHeight="false" outlineLevel="0" collapsed="false">
      <c r="A66" s="6"/>
      <c r="B66" s="11" t="s">
        <v>155</v>
      </c>
      <c r="C66" s="23" t="n">
        <v>3</v>
      </c>
      <c r="D66" s="22" t="s">
        <v>156</v>
      </c>
    </row>
    <row r="67" customFormat="false" ht="15" hidden="false" customHeight="false" outlineLevel="0" collapsed="false">
      <c r="A67" s="6"/>
      <c r="B67" s="11" t="s">
        <v>157</v>
      </c>
      <c r="C67" s="24" t="n">
        <v>0.04</v>
      </c>
      <c r="D67" s="22" t="s">
        <v>158</v>
      </c>
    </row>
    <row r="68" customFormat="false" ht="15" hidden="false" customHeight="false" outlineLevel="0" collapsed="false">
      <c r="A68" s="6"/>
      <c r="B68" s="11" t="s">
        <v>159</v>
      </c>
      <c r="C68" s="23" t="n">
        <v>18</v>
      </c>
      <c r="D68" s="22" t="s">
        <v>160</v>
      </c>
    </row>
    <row r="69" customFormat="false" ht="15" hidden="false" customHeight="false" outlineLevel="0" collapsed="false">
      <c r="A69" s="6"/>
      <c r="B69" s="11" t="s">
        <v>161</v>
      </c>
      <c r="C69" s="24" t="n">
        <v>0.03</v>
      </c>
      <c r="D69" s="22" t="s">
        <v>162</v>
      </c>
    </row>
    <row r="70" customFormat="false" ht="15" hidden="false" customHeight="false" outlineLevel="0" collapsed="false">
      <c r="A70" s="6"/>
      <c r="B70" s="11" t="s">
        <v>163</v>
      </c>
      <c r="C70" s="23" t="n">
        <v>6</v>
      </c>
      <c r="D70" s="22" t="s">
        <v>164</v>
      </c>
    </row>
    <row r="71" customFormat="false" ht="15" hidden="false" customHeight="false" outlineLevel="0" collapsed="false">
      <c r="A71" s="6"/>
      <c r="B71" s="11" t="s">
        <v>165</v>
      </c>
      <c r="C71" s="24" t="n">
        <v>0.04</v>
      </c>
      <c r="D71" s="22" t="s">
        <v>166</v>
      </c>
    </row>
    <row r="72" customFormat="false" ht="15" hidden="false" customHeight="false" outlineLevel="0" collapsed="false">
      <c r="A72" s="6"/>
      <c r="B72" s="6"/>
      <c r="C72" s="6"/>
      <c r="D72" s="6"/>
    </row>
    <row r="73" customFormat="false" ht="15" hidden="false" customHeight="false" outlineLevel="0" collapsed="false">
      <c r="A73" s="6"/>
      <c r="B73" s="9" t="s">
        <v>167</v>
      </c>
      <c r="C73" s="20"/>
      <c r="D73" s="20"/>
    </row>
    <row r="74" customFormat="false" ht="15" hidden="false" customHeight="false" outlineLevel="0" collapsed="false">
      <c r="A74" s="6"/>
      <c r="B74" s="11" t="s">
        <v>168</v>
      </c>
      <c r="C74" s="24" t="n">
        <v>0.015</v>
      </c>
      <c r="D74" s="22" t="s">
        <v>169</v>
      </c>
    </row>
    <row r="75" customFormat="false" ht="15" hidden="false" customHeight="false" outlineLevel="0" collapsed="false">
      <c r="A75" s="6"/>
      <c r="B75" s="11" t="s">
        <v>170</v>
      </c>
      <c r="C75" s="23" t="n">
        <v>4</v>
      </c>
      <c r="D75" s="22" t="s">
        <v>171</v>
      </c>
    </row>
    <row r="76" customFormat="false" ht="15" hidden="false" customHeight="false" outlineLevel="0" collapsed="false">
      <c r="A76" s="6"/>
      <c r="B76" s="11" t="s">
        <v>172</v>
      </c>
      <c r="C76" s="24" t="n">
        <v>0.025</v>
      </c>
      <c r="D76" s="22" t="s">
        <v>173</v>
      </c>
    </row>
    <row r="77" customFormat="false" ht="15" hidden="false" customHeight="false" outlineLevel="0" collapsed="false">
      <c r="A77" s="6"/>
      <c r="B77" s="11" t="s">
        <v>174</v>
      </c>
      <c r="C77" s="24" t="n">
        <v>0.01</v>
      </c>
      <c r="D77" s="22" t="s">
        <v>175</v>
      </c>
    </row>
    <row r="78" customFormat="false" ht="15" hidden="false" customHeight="false" outlineLevel="0" collapsed="false">
      <c r="A78" s="6"/>
      <c r="B78" s="11" t="s">
        <v>176</v>
      </c>
      <c r="C78" s="23" t="n">
        <v>60</v>
      </c>
      <c r="D78" s="22" t="s">
        <v>177</v>
      </c>
    </row>
    <row r="79" customFormat="false" ht="15" hidden="false" customHeight="false" outlineLevel="0" collapsed="false">
      <c r="A79" s="6"/>
      <c r="B79" s="6"/>
      <c r="C79" s="6"/>
      <c r="D79" s="6"/>
    </row>
    <row r="80" customFormat="false" ht="15" hidden="false" customHeight="false" outlineLevel="0" collapsed="false">
      <c r="A80" s="6"/>
      <c r="B80" s="9" t="s">
        <v>178</v>
      </c>
      <c r="C80" s="20"/>
      <c r="D80" s="20"/>
    </row>
    <row r="81" customFormat="false" ht="15" hidden="false" customHeight="false" outlineLevel="0" collapsed="false">
      <c r="A81" s="6"/>
      <c r="B81" s="11" t="s">
        <v>179</v>
      </c>
      <c r="C81" s="23" t="n">
        <v>120</v>
      </c>
      <c r="D81" s="22" t="s">
        <v>180</v>
      </c>
    </row>
    <row r="82" customFormat="false" ht="15" hidden="false" customHeight="false" outlineLevel="0" collapsed="false">
      <c r="A82" s="6"/>
      <c r="B82" s="11" t="s">
        <v>181</v>
      </c>
      <c r="C82" s="23" t="n">
        <v>45</v>
      </c>
      <c r="D82" s="22" t="s">
        <v>182</v>
      </c>
    </row>
    <row r="83" customFormat="false" ht="15" hidden="false" customHeight="false" outlineLevel="0" collapsed="false">
      <c r="A83" s="6"/>
      <c r="B83" s="11" t="s">
        <v>183</v>
      </c>
      <c r="C83" s="23" t="n">
        <v>8</v>
      </c>
      <c r="D83" s="22" t="s">
        <v>184</v>
      </c>
    </row>
    <row r="84" customFormat="false" ht="15" hidden="false" customHeight="false" outlineLevel="0" collapsed="false">
      <c r="A84" s="6"/>
      <c r="B84" s="11" t="s">
        <v>185</v>
      </c>
      <c r="C84" s="23" t="n">
        <v>25</v>
      </c>
      <c r="D84" s="22" t="s">
        <v>186</v>
      </c>
    </row>
    <row r="85" customFormat="false" ht="15" hidden="false" customHeight="false" outlineLevel="0" collapsed="false">
      <c r="A85" s="6"/>
      <c r="B85" s="11" t="s">
        <v>187</v>
      </c>
      <c r="C85" s="23" t="n">
        <v>10</v>
      </c>
      <c r="D85" s="22" t="s">
        <v>188</v>
      </c>
    </row>
    <row r="86" customFormat="false" ht="15" hidden="false" customHeight="false" outlineLevel="0" collapsed="false">
      <c r="A86" s="6"/>
      <c r="B86" s="11" t="s">
        <v>189</v>
      </c>
      <c r="C86" s="23" t="n">
        <v>80</v>
      </c>
      <c r="D86" s="22" t="s">
        <v>190</v>
      </c>
    </row>
    <row r="87" customFormat="false" ht="15" hidden="false" customHeight="false" outlineLevel="0" collapsed="false">
      <c r="A87" s="6"/>
      <c r="B87" s="11" t="s">
        <v>191</v>
      </c>
      <c r="C87" s="23" t="n">
        <v>20</v>
      </c>
      <c r="D87" s="22" t="s">
        <v>192</v>
      </c>
    </row>
    <row r="88" customFormat="false" ht="15" hidden="false" customHeight="false" outlineLevel="0" collapsed="false">
      <c r="A88" s="6"/>
      <c r="B88" s="11" t="s">
        <v>193</v>
      </c>
      <c r="C88" s="23" t="n">
        <v>0</v>
      </c>
      <c r="D88" s="22" t="s">
        <v>194</v>
      </c>
    </row>
    <row r="89" customFormat="false" ht="15" hidden="false" customHeight="false" outlineLevel="0" collapsed="false">
      <c r="A89" s="6"/>
      <c r="B89" s="11" t="s">
        <v>195</v>
      </c>
      <c r="C89" s="23" t="n">
        <v>130</v>
      </c>
      <c r="D89" s="22" t="s">
        <v>196</v>
      </c>
    </row>
    <row r="90" customFormat="false" ht="15" hidden="false" customHeight="false" outlineLevel="0" collapsed="false">
      <c r="A90" s="6"/>
      <c r="B90" s="11" t="s">
        <v>197</v>
      </c>
      <c r="C90" s="23" t="n">
        <v>102</v>
      </c>
      <c r="D90" s="22" t="s">
        <v>198</v>
      </c>
    </row>
    <row r="91" customFormat="false" ht="15" hidden="false" customHeight="false" outlineLevel="0" collapsed="false">
      <c r="A91" s="6"/>
      <c r="B91" s="11" t="s">
        <v>199</v>
      </c>
      <c r="C91" s="23" t="n">
        <v>75</v>
      </c>
      <c r="D91" s="22" t="s">
        <v>200</v>
      </c>
    </row>
    <row r="92" customFormat="false" ht="15" hidden="false" customHeight="false" outlineLevel="0" collapsed="false">
      <c r="A92" s="6"/>
      <c r="B92" s="11" t="s">
        <v>201</v>
      </c>
      <c r="C92" s="23" t="n">
        <v>45</v>
      </c>
      <c r="D92" s="22" t="s">
        <v>202</v>
      </c>
    </row>
    <row r="93" customFormat="false" ht="15" hidden="false" customHeight="false" outlineLevel="0" collapsed="false">
      <c r="A93" s="6"/>
      <c r="B93" s="11" t="s">
        <v>203</v>
      </c>
      <c r="C93" s="23" t="n">
        <v>3</v>
      </c>
      <c r="D93" s="22" t="s">
        <v>204</v>
      </c>
    </row>
    <row r="94" customFormat="false" ht="15" hidden="false" customHeight="false" outlineLevel="0" collapsed="false">
      <c r="A94" s="6"/>
      <c r="B94" s="11" t="s">
        <v>205</v>
      </c>
      <c r="C94" s="23" t="n">
        <v>8</v>
      </c>
      <c r="D94" s="22" t="s">
        <v>206</v>
      </c>
    </row>
    <row r="95" customFormat="false" ht="15" hidden="false" customHeight="false" outlineLevel="0" collapsed="false">
      <c r="A95" s="6"/>
      <c r="B95" s="11" t="s">
        <v>207</v>
      </c>
      <c r="C95" s="23" t="n">
        <v>8</v>
      </c>
      <c r="D95" s="22" t="s">
        <v>208</v>
      </c>
    </row>
    <row r="96" customFormat="false" ht="15" hidden="false" customHeight="false" outlineLevel="0" collapsed="false">
      <c r="A96" s="6"/>
      <c r="B96" s="11" t="s">
        <v>209</v>
      </c>
      <c r="C96" s="24" t="n">
        <v>0.21</v>
      </c>
      <c r="D96" s="22" t="s">
        <v>210</v>
      </c>
    </row>
    <row r="97" customFormat="false" ht="15" hidden="false" customHeight="false" outlineLevel="0" collapsed="false">
      <c r="A97" s="6"/>
      <c r="B97" s="6"/>
      <c r="C97" s="6"/>
      <c r="D97" s="6"/>
    </row>
    <row r="98" customFormat="false" ht="15" hidden="false" customHeight="false" outlineLevel="0" collapsed="false">
      <c r="A98" s="6"/>
      <c r="B98" s="9" t="s">
        <v>211</v>
      </c>
      <c r="C98" s="20"/>
      <c r="D98" s="20"/>
    </row>
    <row r="99" customFormat="false" ht="15" hidden="false" customHeight="false" outlineLevel="0" collapsed="false">
      <c r="A99" s="6"/>
      <c r="B99" s="11" t="s">
        <v>212</v>
      </c>
      <c r="C99" s="24" t="n">
        <v>0.09</v>
      </c>
      <c r="D99" s="22" t="s">
        <v>213</v>
      </c>
    </row>
    <row r="100" customFormat="false" ht="15" hidden="false" customHeight="false" outlineLevel="0" collapsed="false">
      <c r="A100" s="6"/>
      <c r="B100" s="11" t="s">
        <v>214</v>
      </c>
      <c r="C100" s="24" t="n">
        <v>0.12</v>
      </c>
      <c r="D100" s="22" t="s">
        <v>215</v>
      </c>
    </row>
    <row r="101" customFormat="false" ht="15" hidden="false" customHeight="false" outlineLevel="0" collapsed="false">
      <c r="A101" s="6"/>
      <c r="B101" s="11" t="s">
        <v>216</v>
      </c>
      <c r="C101" s="24" t="n">
        <v>0.16</v>
      </c>
      <c r="D101" s="22" t="s">
        <v>217</v>
      </c>
    </row>
    <row r="102" customFormat="false" ht="15" hidden="false" customHeight="false" outlineLevel="0" collapsed="false">
      <c r="A102" s="6"/>
      <c r="B102" s="11" t="s">
        <v>218</v>
      </c>
      <c r="C102" s="24" t="n">
        <v>0.1</v>
      </c>
      <c r="D102" s="22" t="s">
        <v>219</v>
      </c>
    </row>
    <row r="103" customFormat="false" ht="15" hidden="false" customHeight="false" outlineLevel="0" collapsed="false">
      <c r="A103" s="6"/>
      <c r="B103" s="11" t="s">
        <v>220</v>
      </c>
      <c r="C103" s="24" t="n">
        <v>0.12</v>
      </c>
      <c r="D103" s="22" t="s">
        <v>221</v>
      </c>
    </row>
  </sheetData>
  <dataValidations count="1">
    <dataValidation allowBlank="false" errorStyle="stop" operator="between" showDropDown="false" showErrorMessage="false" showInputMessage="false" sqref="C6" type="list">
      <formula1>"Base,Upside,Downside"</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5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12" min="3" style="0" width="13"/>
    <col collapsed="false" customWidth="true" hidden="false" outlineLevel="0" max="13" min="13" style="0" width="4"/>
    <col collapsed="false" customWidth="true" hidden="false" outlineLevel="0" max="14" min="14" style="0" width="16"/>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222</v>
      </c>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223</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28" t="s">
        <v>224</v>
      </c>
      <c r="C4" s="29" t="n">
        <v>1</v>
      </c>
      <c r="D4" s="29" t="n">
        <v>2</v>
      </c>
      <c r="E4" s="29" t="n">
        <v>3</v>
      </c>
      <c r="F4" s="29" t="n">
        <v>4</v>
      </c>
      <c r="G4" s="29" t="n">
        <v>5</v>
      </c>
      <c r="H4" s="29" t="n">
        <v>6</v>
      </c>
      <c r="I4" s="29" t="n">
        <v>7</v>
      </c>
      <c r="J4" s="29" t="n">
        <v>8</v>
      </c>
      <c r="K4" s="29" t="n">
        <v>9</v>
      </c>
      <c r="L4" s="29" t="n">
        <v>10</v>
      </c>
    </row>
    <row r="5" customFormat="false" ht="15" hidden="false" customHeight="false" outlineLevel="0" collapsed="false">
      <c r="A5" s="6"/>
      <c r="B5" s="6"/>
      <c r="C5" s="6"/>
      <c r="D5" s="6"/>
      <c r="E5" s="6"/>
      <c r="F5" s="6"/>
      <c r="G5" s="6"/>
      <c r="H5" s="6"/>
      <c r="I5" s="6"/>
      <c r="J5" s="6"/>
      <c r="K5" s="6"/>
      <c r="L5" s="6"/>
    </row>
    <row r="6" customFormat="false" ht="15" hidden="false" customHeight="false" outlineLevel="0" collapsed="false">
      <c r="A6" s="6"/>
      <c r="B6" s="28" t="s">
        <v>52</v>
      </c>
      <c r="C6" s="30"/>
      <c r="D6" s="30"/>
      <c r="E6" s="30"/>
      <c r="F6" s="30"/>
      <c r="G6" s="30"/>
      <c r="H6" s="30"/>
      <c r="I6" s="30"/>
      <c r="J6" s="30"/>
      <c r="K6" s="30"/>
      <c r="L6" s="30"/>
    </row>
    <row r="7" customFormat="false" ht="15" hidden="false" customHeight="false" outlineLevel="0" collapsed="false">
      <c r="A7" s="6"/>
      <c r="B7" s="11" t="s">
        <v>225</v>
      </c>
      <c r="C7" s="12" t="n">
        <f aca="false">DA_Sales_Y1</f>
        <v>800</v>
      </c>
      <c r="D7" s="12" t="n">
        <f aca="false">IF(D4=DA_LOE_Year,C7*(1-DA_LOE_Erosion),IF(D4&gt;DA_LOE_Year,C7*(1-DA_PostLOE_Decay),C7*(1+DA_Sales_Growth)))</f>
        <v>864</v>
      </c>
      <c r="E7" s="12" t="n">
        <f aca="false">IF(E4=DA_LOE_Year,D7*(1-DA_LOE_Erosion),IF(E4&gt;DA_LOE_Year,D7*(1-DA_PostLOE_Decay),D7*(1+DA_Sales_Growth)))</f>
        <v>933.12</v>
      </c>
      <c r="F7" s="12" t="n">
        <f aca="false">IF(F4=DA_LOE_Year,E7*(1-DA_LOE_Erosion),IF(F4&gt;DA_LOE_Year,E7*(1-DA_PostLOE_Decay),E7*(1+DA_Sales_Growth)))</f>
        <v>1007.7696</v>
      </c>
      <c r="G7" s="12" t="n">
        <f aca="false">IF(G4=DA_LOE_Year,F7*(1-DA_LOE_Erosion),IF(G4&gt;DA_LOE_Year,F7*(1-DA_PostLOE_Decay),F7*(1+DA_Sales_Growth)))</f>
        <v>1088.391168</v>
      </c>
      <c r="H7" s="12" t="n">
        <f aca="false">IF(H4=DA_LOE_Year,G7*(1-DA_LOE_Erosion),IF(H4&gt;DA_LOE_Year,G7*(1-DA_PostLOE_Decay),G7*(1+DA_Sales_Growth)))</f>
        <v>272.097792</v>
      </c>
      <c r="I7" s="12" t="n">
        <f aca="false">IF(I4=DA_LOE_Year,H7*(1-DA_LOE_Erosion),IF(I4&gt;DA_LOE_Year,H7*(1-DA_PostLOE_Decay),H7*(1+DA_Sales_Growth)))</f>
        <v>190.4684544</v>
      </c>
      <c r="J7" s="12" t="n">
        <f aca="false">IF(J4=DA_LOE_Year,I7*(1-DA_LOE_Erosion),IF(J4&gt;DA_LOE_Year,I7*(1-DA_PostLOE_Decay),I7*(1+DA_Sales_Growth)))</f>
        <v>133.32791808</v>
      </c>
      <c r="K7" s="12" t="n">
        <f aca="false">IF(K4=DA_LOE_Year,J7*(1-DA_LOE_Erosion),IF(K4&gt;DA_LOE_Year,J7*(1-DA_PostLOE_Decay),J7*(1+DA_Sales_Growth)))</f>
        <v>93.329542656</v>
      </c>
      <c r="L7" s="12" t="n">
        <f aca="false">IF(L4=DA_LOE_Year,K7*(1-DA_LOE_Erosion),IF(L4&gt;DA_LOE_Year,K7*(1-DA_PostLOE_Decay),K7*(1+DA_Sales_Growth)))</f>
        <v>65.3306798592</v>
      </c>
    </row>
    <row r="8" customFormat="false" ht="15" hidden="false" customHeight="false" outlineLevel="0" collapsed="false">
      <c r="A8" s="6"/>
      <c r="B8" s="11" t="s">
        <v>226</v>
      </c>
      <c r="C8" s="12" t="n">
        <f aca="false">MIN(C7,DA_Royalty_Threshold)*DA_Royalty_T1</f>
        <v>80</v>
      </c>
      <c r="D8" s="12" t="n">
        <f aca="false">MIN(D7,DA_Royalty_Threshold)*DA_Royalty_T1</f>
        <v>86.4</v>
      </c>
      <c r="E8" s="12" t="n">
        <f aca="false">MIN(E7,DA_Royalty_Threshold)*DA_Royalty_T1</f>
        <v>93.312</v>
      </c>
      <c r="F8" s="12" t="n">
        <f aca="false">MIN(F7,DA_Royalty_Threshold)*DA_Royalty_T1</f>
        <v>100</v>
      </c>
      <c r="G8" s="12" t="n">
        <f aca="false">MIN(G7,DA_Royalty_Threshold)*DA_Royalty_T1</f>
        <v>100</v>
      </c>
      <c r="H8" s="12" t="n">
        <f aca="false">MIN(H7,DA_Royalty_Threshold)*DA_Royalty_T1</f>
        <v>27.2097792</v>
      </c>
      <c r="I8" s="12" t="n">
        <f aca="false">MIN(I7,DA_Royalty_Threshold)*DA_Royalty_T1</f>
        <v>19.04684544</v>
      </c>
      <c r="J8" s="12" t="n">
        <f aca="false">MIN(J7,DA_Royalty_Threshold)*DA_Royalty_T1</f>
        <v>13.332791808</v>
      </c>
      <c r="K8" s="12" t="n">
        <f aca="false">MIN(K7,DA_Royalty_Threshold)*DA_Royalty_T1</f>
        <v>9.3329542656</v>
      </c>
      <c r="L8" s="12" t="n">
        <f aca="false">MIN(L7,DA_Royalty_Threshold)*DA_Royalty_T1</f>
        <v>6.53306798592</v>
      </c>
    </row>
    <row r="9" customFormat="false" ht="15" hidden="false" customHeight="false" outlineLevel="0" collapsed="false">
      <c r="A9" s="6"/>
      <c r="B9" s="11" t="s">
        <v>227</v>
      </c>
      <c r="C9" s="12" t="n">
        <f aca="false">MAX(0,C7-DA_Royalty_Threshold)*DA_Royalty_T2</f>
        <v>0</v>
      </c>
      <c r="D9" s="12" t="n">
        <f aca="false">MAX(0,D7-DA_Royalty_Threshold)*DA_Royalty_T2</f>
        <v>0</v>
      </c>
      <c r="E9" s="12" t="n">
        <f aca="false">MAX(0,E7-DA_Royalty_Threshold)*DA_Royalty_T2</f>
        <v>0</v>
      </c>
      <c r="F9" s="12" t="n">
        <f aca="false">MAX(0,F7-DA_Royalty_Threshold)*DA_Royalty_T2</f>
        <v>1.16544000000003</v>
      </c>
      <c r="G9" s="12" t="n">
        <f aca="false">MAX(0,G7-DA_Royalty_Threshold)*DA_Royalty_T2</f>
        <v>13.2586752000001</v>
      </c>
      <c r="H9" s="12" t="n">
        <f aca="false">MAX(0,H7-DA_Royalty_Threshold)*DA_Royalty_T2</f>
        <v>0</v>
      </c>
      <c r="I9" s="12" t="n">
        <f aca="false">MAX(0,I7-DA_Royalty_Threshold)*DA_Royalty_T2</f>
        <v>0</v>
      </c>
      <c r="J9" s="12" t="n">
        <f aca="false">MAX(0,J7-DA_Royalty_Threshold)*DA_Royalty_T2</f>
        <v>0</v>
      </c>
      <c r="K9" s="12" t="n">
        <f aca="false">MAX(0,K7-DA_Royalty_Threshold)*DA_Royalty_T2</f>
        <v>0</v>
      </c>
      <c r="L9" s="12" t="n">
        <f aca="false">MAX(0,L7-DA_Royalty_Threshold)*DA_Royalty_T2</f>
        <v>0</v>
      </c>
    </row>
    <row r="10" customFormat="false" ht="15" hidden="false" customHeight="false" outlineLevel="0" collapsed="false">
      <c r="A10" s="6"/>
      <c r="B10" s="11" t="s">
        <v>228</v>
      </c>
      <c r="C10" s="12" t="n">
        <f aca="false">C8+C9</f>
        <v>80</v>
      </c>
      <c r="D10" s="12" t="n">
        <f aca="false">D8+D9</f>
        <v>86.4</v>
      </c>
      <c r="E10" s="12" t="n">
        <f aca="false">E8+E9</f>
        <v>93.312</v>
      </c>
      <c r="F10" s="12" t="n">
        <f aca="false">F8+F9</f>
        <v>101.16544</v>
      </c>
      <c r="G10" s="12" t="n">
        <f aca="false">G8+G9</f>
        <v>113.2586752</v>
      </c>
      <c r="H10" s="12" t="n">
        <f aca="false">H8+H9</f>
        <v>27.2097792</v>
      </c>
      <c r="I10" s="12" t="n">
        <f aca="false">I8+I9</f>
        <v>19.04684544</v>
      </c>
      <c r="J10" s="12" t="n">
        <f aca="false">J8+J9</f>
        <v>13.332791808</v>
      </c>
      <c r="K10" s="12" t="n">
        <f aca="false">K8+K9</f>
        <v>9.3329542656</v>
      </c>
      <c r="L10" s="12" t="n">
        <f aca="false">L8+L9</f>
        <v>6.53306798592</v>
      </c>
    </row>
    <row r="11" customFormat="false" ht="15" hidden="false" customHeight="false" outlineLevel="0" collapsed="false">
      <c r="A11" s="6"/>
      <c r="B11" s="31" t="s">
        <v>229</v>
      </c>
      <c r="C11" s="32" t="n">
        <f aca="false">IF(C4&gt;DA_LOE_Year,C7*DA_Royalty_PostLOE,C10)</f>
        <v>80</v>
      </c>
      <c r="D11" s="32" t="n">
        <f aca="false">IF(D4&gt;DA_LOE_Year,D7*DA_Royalty_PostLOE,D10)</f>
        <v>86.4</v>
      </c>
      <c r="E11" s="32" t="n">
        <f aca="false">IF(E4&gt;DA_LOE_Year,E7*DA_Royalty_PostLOE,E10)</f>
        <v>93.312</v>
      </c>
      <c r="F11" s="32" t="n">
        <f aca="false">IF(F4&gt;DA_LOE_Year,F7*DA_Royalty_PostLOE,F10)</f>
        <v>101.16544</v>
      </c>
      <c r="G11" s="32" t="n">
        <f aca="false">IF(G4&gt;DA_LOE_Year,G7*DA_Royalty_PostLOE,G10)</f>
        <v>113.2586752</v>
      </c>
      <c r="H11" s="32" t="n">
        <f aca="false">IF(H4&gt;DA_LOE_Year,H7*DA_Royalty_PostLOE,H10)</f>
        <v>27.2097792</v>
      </c>
      <c r="I11" s="32" t="n">
        <f aca="false">IF(I4&gt;DA_LOE_Year,I7*DA_Royalty_PostLOE,I10)</f>
        <v>9.52342272</v>
      </c>
      <c r="J11" s="32" t="n">
        <f aca="false">IF(J4&gt;DA_LOE_Year,J7*DA_Royalty_PostLOE,J10)</f>
        <v>6.666395904</v>
      </c>
      <c r="K11" s="32" t="n">
        <f aca="false">IF(K4&gt;DA_LOE_Year,K7*DA_Royalty_PostLOE,K10)</f>
        <v>4.6664771328</v>
      </c>
      <c r="L11" s="32" t="n">
        <f aca="false">IF(L4&gt;DA_LOE_Year,L7*DA_Royalty_PostLOE,L10)</f>
        <v>3.26653399296</v>
      </c>
    </row>
    <row r="12" customFormat="false" ht="15" hidden="false" customHeight="false" outlineLevel="0" collapsed="false">
      <c r="A12" s="6"/>
      <c r="B12" s="6"/>
      <c r="C12" s="6"/>
      <c r="D12" s="6"/>
      <c r="E12" s="6"/>
      <c r="F12" s="6"/>
      <c r="G12" s="6"/>
      <c r="H12" s="6"/>
      <c r="I12" s="6"/>
      <c r="J12" s="6"/>
      <c r="K12" s="6"/>
      <c r="L12" s="6"/>
    </row>
    <row r="13" customFormat="false" ht="15" hidden="false" customHeight="false" outlineLevel="0" collapsed="false">
      <c r="A13" s="6"/>
      <c r="B13" s="28" t="s">
        <v>71</v>
      </c>
      <c r="C13" s="30"/>
      <c r="D13" s="30"/>
      <c r="E13" s="30"/>
      <c r="F13" s="30"/>
      <c r="G13" s="30"/>
      <c r="H13" s="30"/>
      <c r="I13" s="30"/>
      <c r="J13" s="30"/>
      <c r="K13" s="30"/>
      <c r="L13" s="30"/>
    </row>
    <row r="14" customFormat="false" ht="15" hidden="false" customHeight="false" outlineLevel="0" collapsed="false">
      <c r="A14" s="6"/>
      <c r="B14" s="11" t="s">
        <v>230</v>
      </c>
      <c r="C14" s="12" t="n">
        <f aca="false">IF(C4&lt;DB_Launch_Year,0,IF(C4=DB_Launch_Year,DB_Launch_Sales,0))</f>
        <v>0</v>
      </c>
      <c r="D14" s="12" t="n">
        <f aca="false">IF(D4&lt;DB_Launch_Year,0,IF(D4=DB_Launch_Year,DB_Launch_Sales,IF(D4&lt;=DB_Maturity_Year,C14*(1+DB_Sales_Growth_Early),C14*(1+DB_Sales_Growth_Mature))))</f>
        <v>0</v>
      </c>
      <c r="E14" s="12" t="n">
        <f aca="false">IF(E4&lt;DB_Launch_Year,0,IF(E4=DB_Launch_Year,DB_Launch_Sales,IF(E4&lt;=DB_Maturity_Year,D14*(1+DB_Sales_Growth_Early),D14*(1+DB_Sales_Growth_Mature))))</f>
        <v>0</v>
      </c>
      <c r="F14" s="12" t="n">
        <f aca="false">IF(F4&lt;DB_Launch_Year,0,IF(F4=DB_Launch_Year,DB_Launch_Sales,IF(F4&lt;=DB_Maturity_Year,E14*(1+DB_Sales_Growth_Early),E14*(1+DB_Sales_Growth_Mature))))</f>
        <v>0</v>
      </c>
      <c r="G14" s="12" t="n">
        <f aca="false">IF(G4&lt;DB_Launch_Year,0,IF(G4=DB_Launch_Year,DB_Launch_Sales,IF(G4&lt;=DB_Maturity_Year,F14*(1+DB_Sales_Growth_Early),F14*(1+DB_Sales_Growth_Mature))))</f>
        <v>200</v>
      </c>
      <c r="H14" s="12" t="n">
        <f aca="false">IF(H4&lt;DB_Launch_Year,0,IF(H4=DB_Launch_Year,DB_Launch_Sales,IF(H4&lt;=DB_Maturity_Year,G14*(1+DB_Sales_Growth_Early),G14*(1+DB_Sales_Growth_Mature))))</f>
        <v>250</v>
      </c>
      <c r="I14" s="12" t="n">
        <f aca="false">IF(I4&lt;DB_Launch_Year,0,IF(I4=DB_Launch_Year,DB_Launch_Sales,IF(I4&lt;=DB_Maturity_Year,H14*(1+DB_Sales_Growth_Early),H14*(1+DB_Sales_Growth_Mature))))</f>
        <v>312.5</v>
      </c>
      <c r="J14" s="12" t="n">
        <f aca="false">IF(J4&lt;DB_Launch_Year,0,IF(J4=DB_Launch_Year,DB_Launch_Sales,IF(J4&lt;=DB_Maturity_Year,I14*(1+DB_Sales_Growth_Early),I14*(1+DB_Sales_Growth_Mature))))</f>
        <v>390.625</v>
      </c>
      <c r="K14" s="12" t="n">
        <f aca="false">IF(K4&lt;DB_Launch_Year,0,IF(K4=DB_Launch_Year,DB_Launch_Sales,IF(K4&lt;=DB_Maturity_Year,J14*(1+DB_Sales_Growth_Early),J14*(1+DB_Sales_Growth_Mature))))</f>
        <v>488.28125</v>
      </c>
      <c r="L14" s="12" t="n">
        <f aca="false">IF(L4&lt;DB_Launch_Year,0,IF(L4=DB_Launch_Year,DB_Launch_Sales,IF(L4&lt;=DB_Maturity_Year,K14*(1+DB_Sales_Growth_Early),K14*(1+DB_Sales_Growth_Mature))))</f>
        <v>527.34375</v>
      </c>
    </row>
    <row r="15" customFormat="false" ht="15" hidden="false" customHeight="false" outlineLevel="0" collapsed="false">
      <c r="A15" s="6"/>
      <c r="B15" s="11" t="s">
        <v>231</v>
      </c>
      <c r="C15" s="12" t="n">
        <f aca="false">C14*DB_Royalty_Rate</f>
        <v>0</v>
      </c>
      <c r="D15" s="12" t="n">
        <f aca="false">D14*DB_Royalty_Rate</f>
        <v>0</v>
      </c>
      <c r="E15" s="12" t="n">
        <f aca="false">E14*DB_Royalty_Rate</f>
        <v>0</v>
      </c>
      <c r="F15" s="12" t="n">
        <f aca="false">F14*DB_Royalty_Rate</f>
        <v>0</v>
      </c>
      <c r="G15" s="12" t="n">
        <f aca="false">G14*DB_Royalty_Rate</f>
        <v>24</v>
      </c>
      <c r="H15" s="12" t="n">
        <f aca="false">H14*DB_Royalty_Rate</f>
        <v>30</v>
      </c>
      <c r="I15" s="12" t="n">
        <f aca="false">I14*DB_Royalty_Rate</f>
        <v>37.5</v>
      </c>
      <c r="J15" s="12" t="n">
        <f aca="false">J14*DB_Royalty_Rate</f>
        <v>46.875</v>
      </c>
      <c r="K15" s="12" t="n">
        <f aca="false">K14*DB_Royalty_Rate</f>
        <v>58.59375</v>
      </c>
      <c r="L15" s="12" t="n">
        <f aca="false">L14*DB_Royalty_Rate</f>
        <v>63.28125</v>
      </c>
    </row>
    <row r="16" customFormat="false" ht="15" hidden="false" customHeight="false" outlineLevel="0" collapsed="false">
      <c r="A16" s="6"/>
      <c r="B16" s="11" t="s">
        <v>232</v>
      </c>
      <c r="C16" s="12" t="n">
        <f aca="false">IF(C4=DB_Ph3_MS_Yr,DB_Ph3_Milestone,0)</f>
        <v>0</v>
      </c>
      <c r="D16" s="12" t="n">
        <f aca="false">IF(D4=DB_Ph3_MS_Yr,DB_Ph3_Milestone,0)</f>
        <v>0</v>
      </c>
      <c r="E16" s="12" t="n">
        <f aca="false">IF(E4=DB_Ph3_MS_Yr,DB_Ph3_Milestone,0)</f>
        <v>50</v>
      </c>
      <c r="F16" s="12" t="n">
        <f aca="false">IF(F4=DB_Ph3_MS_Yr,DB_Ph3_Milestone,0)</f>
        <v>0</v>
      </c>
      <c r="G16" s="12" t="n">
        <f aca="false">IF(G4=DB_Ph3_MS_Yr,DB_Ph3_Milestone,0)</f>
        <v>0</v>
      </c>
      <c r="H16" s="12" t="n">
        <f aca="false">IF(H4=DB_Ph3_MS_Yr,DB_Ph3_Milestone,0)</f>
        <v>0</v>
      </c>
      <c r="I16" s="12" t="n">
        <f aca="false">IF(I4=DB_Ph3_MS_Yr,DB_Ph3_Milestone,0)</f>
        <v>0</v>
      </c>
      <c r="J16" s="12" t="n">
        <f aca="false">IF(J4=DB_Ph3_MS_Yr,DB_Ph3_Milestone,0)</f>
        <v>0</v>
      </c>
      <c r="K16" s="12" t="n">
        <f aca="false">IF(K4=DB_Ph3_MS_Yr,DB_Ph3_Milestone,0)</f>
        <v>0</v>
      </c>
      <c r="L16" s="12" t="n">
        <f aca="false">IF(L4=DB_Ph3_MS_Yr,DB_Ph3_Milestone,0)</f>
        <v>0</v>
      </c>
    </row>
    <row r="17" customFormat="false" ht="15" hidden="false" customHeight="false" outlineLevel="0" collapsed="false">
      <c r="A17" s="6"/>
      <c r="B17" s="11" t="s">
        <v>233</v>
      </c>
      <c r="C17" s="12" t="n">
        <f aca="false">IF(C4=DB_Reg_MS_Yr,DB_Reg_Milestone,0)</f>
        <v>0</v>
      </c>
      <c r="D17" s="12" t="n">
        <f aca="false">IF(D4=DB_Reg_MS_Yr,DB_Reg_Milestone,0)</f>
        <v>0</v>
      </c>
      <c r="E17" s="12" t="n">
        <f aca="false">IF(E4=DB_Reg_MS_Yr,DB_Reg_Milestone,0)</f>
        <v>0</v>
      </c>
      <c r="F17" s="12" t="n">
        <f aca="false">IF(F4=DB_Reg_MS_Yr,DB_Reg_Milestone,0)</f>
        <v>75</v>
      </c>
      <c r="G17" s="12" t="n">
        <f aca="false">IF(G4=DB_Reg_MS_Yr,DB_Reg_Milestone,0)</f>
        <v>0</v>
      </c>
      <c r="H17" s="12" t="n">
        <f aca="false">IF(H4=DB_Reg_MS_Yr,DB_Reg_Milestone,0)</f>
        <v>0</v>
      </c>
      <c r="I17" s="12" t="n">
        <f aca="false">IF(I4=DB_Reg_MS_Yr,DB_Reg_Milestone,0)</f>
        <v>0</v>
      </c>
      <c r="J17" s="12" t="n">
        <f aca="false">IF(J4=DB_Reg_MS_Yr,DB_Reg_Milestone,0)</f>
        <v>0</v>
      </c>
      <c r="K17" s="12" t="n">
        <f aca="false">IF(K4=DB_Reg_MS_Yr,DB_Reg_Milestone,0)</f>
        <v>0</v>
      </c>
      <c r="L17" s="12" t="n">
        <f aca="false">IF(L4=DB_Reg_MS_Yr,DB_Reg_Milestone,0)</f>
        <v>0</v>
      </c>
    </row>
    <row r="18" customFormat="false" ht="15" hidden="false" customHeight="false" outlineLevel="0" collapsed="false">
      <c r="A18" s="6"/>
      <c r="B18" s="11" t="s">
        <v>234</v>
      </c>
      <c r="C18" s="12" t="n">
        <f aca="false">IF(C4=DB_Launch_MS_Yr,DB_Launch_Milestone,0)</f>
        <v>0</v>
      </c>
      <c r="D18" s="12" t="n">
        <f aca="false">IF(D4=DB_Launch_MS_Yr,DB_Launch_Milestone,0)</f>
        <v>0</v>
      </c>
      <c r="E18" s="12" t="n">
        <f aca="false">IF(E4=DB_Launch_MS_Yr,DB_Launch_Milestone,0)</f>
        <v>0</v>
      </c>
      <c r="F18" s="12" t="n">
        <f aca="false">IF(F4=DB_Launch_MS_Yr,DB_Launch_Milestone,0)</f>
        <v>0</v>
      </c>
      <c r="G18" s="12" t="n">
        <f aca="false">IF(G4=DB_Launch_MS_Yr,DB_Launch_Milestone,0)</f>
        <v>40</v>
      </c>
      <c r="H18" s="12" t="n">
        <f aca="false">IF(H4=DB_Launch_MS_Yr,DB_Launch_Milestone,0)</f>
        <v>0</v>
      </c>
      <c r="I18" s="12" t="n">
        <f aca="false">IF(I4=DB_Launch_MS_Yr,DB_Launch_Milestone,0)</f>
        <v>0</v>
      </c>
      <c r="J18" s="12" t="n">
        <f aca="false">IF(J4=DB_Launch_MS_Yr,DB_Launch_Milestone,0)</f>
        <v>0</v>
      </c>
      <c r="K18" s="12" t="n">
        <f aca="false">IF(K4=DB_Launch_MS_Yr,DB_Launch_Milestone,0)</f>
        <v>0</v>
      </c>
      <c r="L18" s="12" t="n">
        <f aca="false">IF(L4=DB_Launch_MS_Yr,DB_Launch_Milestone,0)</f>
        <v>0</v>
      </c>
    </row>
    <row r="19" customFormat="false" ht="15" hidden="false" customHeight="false" outlineLevel="0" collapsed="false">
      <c r="A19" s="6"/>
      <c r="B19" s="11" t="s">
        <v>235</v>
      </c>
      <c r="C19" s="26" t="n">
        <f aca="false">1</f>
        <v>1</v>
      </c>
      <c r="D19" s="26" t="n">
        <f aca="false">1</f>
        <v>1</v>
      </c>
      <c r="E19" s="26" t="n">
        <f aca="false">1</f>
        <v>1</v>
      </c>
      <c r="F19" s="26" t="n">
        <f aca="false">1</f>
        <v>1</v>
      </c>
      <c r="G19" s="26" t="n">
        <f aca="false">1</f>
        <v>1</v>
      </c>
      <c r="H19" s="26" t="n">
        <f aca="false">1</f>
        <v>1</v>
      </c>
      <c r="I19" s="26" t="n">
        <f aca="false">1</f>
        <v>1</v>
      </c>
      <c r="J19" s="26" t="n">
        <f aca="false">1</f>
        <v>1</v>
      </c>
      <c r="K19" s="26" t="n">
        <f aca="false">1</f>
        <v>1</v>
      </c>
      <c r="L19" s="26" t="n">
        <f aca="false">1</f>
        <v>1</v>
      </c>
    </row>
    <row r="20" customFormat="false" ht="15" hidden="false" customHeight="false" outlineLevel="0" collapsed="false">
      <c r="A20" s="6"/>
      <c r="B20" s="11" t="s">
        <v>236</v>
      </c>
      <c r="C20" s="26" t="n">
        <f aca="false">DB_Ph3_PoS</f>
        <v>0.6</v>
      </c>
      <c r="D20" s="26" t="n">
        <f aca="false">DB_Ph3_PoS</f>
        <v>0.6</v>
      </c>
      <c r="E20" s="26" t="n">
        <f aca="false">DB_Ph3_PoS</f>
        <v>0.6</v>
      </c>
      <c r="F20" s="26" t="n">
        <f aca="false">DB_Ph3_PoS</f>
        <v>0.6</v>
      </c>
      <c r="G20" s="26" t="n">
        <f aca="false">DB_Ph3_PoS</f>
        <v>0.6</v>
      </c>
      <c r="H20" s="26" t="n">
        <f aca="false">DB_Ph3_PoS</f>
        <v>0.6</v>
      </c>
      <c r="I20" s="26" t="n">
        <f aca="false">DB_Ph3_PoS</f>
        <v>0.6</v>
      </c>
      <c r="J20" s="26" t="n">
        <f aca="false">DB_Ph3_PoS</f>
        <v>0.6</v>
      </c>
      <c r="K20" s="26" t="n">
        <f aca="false">DB_Ph3_PoS</f>
        <v>0.6</v>
      </c>
      <c r="L20" s="26" t="n">
        <f aca="false">DB_Ph3_PoS</f>
        <v>0.6</v>
      </c>
    </row>
    <row r="21" customFormat="false" ht="15" hidden="false" customHeight="false" outlineLevel="0" collapsed="false">
      <c r="A21" s="6"/>
      <c r="B21" s="11" t="s">
        <v>237</v>
      </c>
      <c r="C21" s="26" t="n">
        <f aca="false">DB_Ph3_PoS*DB_Reg_PoS</f>
        <v>0.51</v>
      </c>
      <c r="D21" s="26" t="n">
        <f aca="false">DB_Ph3_PoS*DB_Reg_PoS</f>
        <v>0.51</v>
      </c>
      <c r="E21" s="26" t="n">
        <f aca="false">DB_Ph3_PoS*DB_Reg_PoS</f>
        <v>0.51</v>
      </c>
      <c r="F21" s="26" t="n">
        <f aca="false">DB_Ph3_PoS*DB_Reg_PoS</f>
        <v>0.51</v>
      </c>
      <c r="G21" s="26" t="n">
        <f aca="false">DB_Ph3_PoS*DB_Reg_PoS</f>
        <v>0.51</v>
      </c>
      <c r="H21" s="26" t="n">
        <f aca="false">DB_Ph3_PoS*DB_Reg_PoS</f>
        <v>0.51</v>
      </c>
      <c r="I21" s="26" t="n">
        <f aca="false">DB_Ph3_PoS*DB_Reg_PoS</f>
        <v>0.51</v>
      </c>
      <c r="J21" s="26" t="n">
        <f aca="false">DB_Ph3_PoS*DB_Reg_PoS</f>
        <v>0.51</v>
      </c>
      <c r="K21" s="26" t="n">
        <f aca="false">DB_Ph3_PoS*DB_Reg_PoS</f>
        <v>0.51</v>
      </c>
      <c r="L21" s="26" t="n">
        <f aca="false">DB_Ph3_PoS*DB_Reg_PoS</f>
        <v>0.51</v>
      </c>
    </row>
    <row r="22" customFormat="false" ht="15" hidden="false" customHeight="false" outlineLevel="0" collapsed="false">
      <c r="A22" s="6"/>
      <c r="B22" s="11" t="s">
        <v>238</v>
      </c>
      <c r="C22" s="12" t="n">
        <f aca="false">C16*C19</f>
        <v>0</v>
      </c>
      <c r="D22" s="12" t="n">
        <f aca="false">D16*D19</f>
        <v>0</v>
      </c>
      <c r="E22" s="12" t="n">
        <f aca="false">E16*E19</f>
        <v>50</v>
      </c>
      <c r="F22" s="12" t="n">
        <f aca="false">F16*F19</f>
        <v>0</v>
      </c>
      <c r="G22" s="12" t="n">
        <f aca="false">G16*G19</f>
        <v>0</v>
      </c>
      <c r="H22" s="12" t="n">
        <f aca="false">H16*H19</f>
        <v>0</v>
      </c>
      <c r="I22" s="12" t="n">
        <f aca="false">I16*I19</f>
        <v>0</v>
      </c>
      <c r="J22" s="12" t="n">
        <f aca="false">J16*J19</f>
        <v>0</v>
      </c>
      <c r="K22" s="12" t="n">
        <f aca="false">K16*K19</f>
        <v>0</v>
      </c>
      <c r="L22" s="12" t="n">
        <f aca="false">L16*L19</f>
        <v>0</v>
      </c>
    </row>
    <row r="23" customFormat="false" ht="15" hidden="false" customHeight="false" outlineLevel="0" collapsed="false">
      <c r="A23" s="6"/>
      <c r="B23" s="11" t="s">
        <v>239</v>
      </c>
      <c r="C23" s="12" t="n">
        <f aca="false">C17*C20</f>
        <v>0</v>
      </c>
      <c r="D23" s="12" t="n">
        <f aca="false">D17*D20</f>
        <v>0</v>
      </c>
      <c r="E23" s="12" t="n">
        <f aca="false">E17*E20</f>
        <v>0</v>
      </c>
      <c r="F23" s="12" t="n">
        <f aca="false">F17*F20</f>
        <v>45</v>
      </c>
      <c r="G23" s="12" t="n">
        <f aca="false">G17*G20</f>
        <v>0</v>
      </c>
      <c r="H23" s="12" t="n">
        <f aca="false">H17*H20</f>
        <v>0</v>
      </c>
      <c r="I23" s="12" t="n">
        <f aca="false">I17*I20</f>
        <v>0</v>
      </c>
      <c r="J23" s="12" t="n">
        <f aca="false">J17*J20</f>
        <v>0</v>
      </c>
      <c r="K23" s="12" t="n">
        <f aca="false">K17*K20</f>
        <v>0</v>
      </c>
      <c r="L23" s="12" t="n">
        <f aca="false">L17*L20</f>
        <v>0</v>
      </c>
    </row>
    <row r="24" customFormat="false" ht="15" hidden="false" customHeight="false" outlineLevel="0" collapsed="false">
      <c r="A24" s="6"/>
      <c r="B24" s="11" t="s">
        <v>240</v>
      </c>
      <c r="C24" s="12" t="n">
        <f aca="false">C18*C21</f>
        <v>0</v>
      </c>
      <c r="D24" s="12" t="n">
        <f aca="false">D18*D21</f>
        <v>0</v>
      </c>
      <c r="E24" s="12" t="n">
        <f aca="false">E18*E21</f>
        <v>0</v>
      </c>
      <c r="F24" s="12" t="n">
        <f aca="false">F18*F21</f>
        <v>0</v>
      </c>
      <c r="G24" s="12" t="n">
        <f aca="false">G18*G21</f>
        <v>20.4</v>
      </c>
      <c r="H24" s="12" t="n">
        <f aca="false">H18*H21</f>
        <v>0</v>
      </c>
      <c r="I24" s="12" t="n">
        <f aca="false">I18*I21</f>
        <v>0</v>
      </c>
      <c r="J24" s="12" t="n">
        <f aca="false">J18*J21</f>
        <v>0</v>
      </c>
      <c r="K24" s="12" t="n">
        <f aca="false">K18*K21</f>
        <v>0</v>
      </c>
      <c r="L24" s="12" t="n">
        <f aca="false">L18*L21</f>
        <v>0</v>
      </c>
    </row>
    <row r="25" customFormat="false" ht="15" hidden="false" customHeight="false" outlineLevel="0" collapsed="false">
      <c r="A25" s="6"/>
      <c r="B25" s="31" t="s">
        <v>241</v>
      </c>
      <c r="C25" s="32" t="n">
        <f aca="false">C22+C23+C24</f>
        <v>0</v>
      </c>
      <c r="D25" s="32" t="n">
        <f aca="false">D22+D23+D24</f>
        <v>0</v>
      </c>
      <c r="E25" s="32" t="n">
        <f aca="false">E22+E23+E24</f>
        <v>50</v>
      </c>
      <c r="F25" s="32" t="n">
        <f aca="false">F22+F23+F24</f>
        <v>45</v>
      </c>
      <c r="G25" s="32" t="n">
        <f aca="false">G22+G23+G24</f>
        <v>20.4</v>
      </c>
      <c r="H25" s="32" t="n">
        <f aca="false">H22+H23+H24</f>
        <v>0</v>
      </c>
      <c r="I25" s="32" t="n">
        <f aca="false">I22+I23+I24</f>
        <v>0</v>
      </c>
      <c r="J25" s="32" t="n">
        <f aca="false">J22+J23+J24</f>
        <v>0</v>
      </c>
      <c r="K25" s="32" t="n">
        <f aca="false">K22+K23+K24</f>
        <v>0</v>
      </c>
      <c r="L25" s="32" t="n">
        <f aca="false">L22+L23+L24</f>
        <v>0</v>
      </c>
    </row>
    <row r="26" customFormat="false" ht="15" hidden="false" customHeight="false" outlineLevel="0" collapsed="false">
      <c r="A26" s="6"/>
      <c r="B26" s="31" t="s">
        <v>242</v>
      </c>
      <c r="C26" s="32" t="n">
        <f aca="false">C15*C21</f>
        <v>0</v>
      </c>
      <c r="D26" s="32" t="n">
        <f aca="false">D15*D21</f>
        <v>0</v>
      </c>
      <c r="E26" s="32" t="n">
        <f aca="false">E15*E21</f>
        <v>0</v>
      </c>
      <c r="F26" s="32" t="n">
        <f aca="false">F15*F21</f>
        <v>0</v>
      </c>
      <c r="G26" s="32" t="n">
        <f aca="false">G15*G21</f>
        <v>12.24</v>
      </c>
      <c r="H26" s="32" t="n">
        <f aca="false">H15*H21</f>
        <v>15.3</v>
      </c>
      <c r="I26" s="32" t="n">
        <f aca="false">I15*I21</f>
        <v>19.125</v>
      </c>
      <c r="J26" s="32" t="n">
        <f aca="false">J15*J21</f>
        <v>23.90625</v>
      </c>
      <c r="K26" s="32" t="n">
        <f aca="false">K15*K21</f>
        <v>29.8828125</v>
      </c>
      <c r="L26" s="32" t="n">
        <f aca="false">L15*L21</f>
        <v>32.2734375</v>
      </c>
    </row>
    <row r="27" customFormat="false" ht="15" hidden="false" customHeight="false" outlineLevel="0" collapsed="false">
      <c r="A27" s="6"/>
      <c r="B27" s="6"/>
      <c r="C27" s="6"/>
      <c r="D27" s="6"/>
      <c r="E27" s="6"/>
      <c r="F27" s="6"/>
      <c r="G27" s="6"/>
      <c r="H27" s="6"/>
      <c r="I27" s="6"/>
      <c r="J27" s="6"/>
      <c r="K27" s="6"/>
      <c r="L27" s="6"/>
    </row>
    <row r="28" customFormat="false" ht="15" hidden="false" customHeight="false" outlineLevel="0" collapsed="false">
      <c r="A28" s="6"/>
      <c r="B28" s="28" t="s">
        <v>102</v>
      </c>
      <c r="C28" s="30"/>
      <c r="D28" s="30"/>
      <c r="E28" s="30"/>
      <c r="F28" s="30"/>
      <c r="G28" s="30"/>
      <c r="H28" s="30"/>
      <c r="I28" s="30"/>
      <c r="J28" s="30"/>
      <c r="K28" s="30"/>
      <c r="L28" s="30"/>
    </row>
    <row r="29" customFormat="false" ht="15" hidden="false" customHeight="false" outlineLevel="0" collapsed="false">
      <c r="A29" s="6"/>
      <c r="B29" s="11" t="s">
        <v>230</v>
      </c>
      <c r="C29" s="12" t="n">
        <f aca="false">IF(C4&lt;DC_Launch_Year,0,IF(C4=DC_Launch_Year,DC_Launch_Sales,0))</f>
        <v>0</v>
      </c>
      <c r="D29" s="12" t="n">
        <f aca="false">IF(D4&lt;DC_Launch_Year,0,IF(D4=DC_Launch_Year,DC_Launch_Sales,IF(D4&lt;=DC_Maturity_Year,C29*(1+DC_Sales_Growth_Early),C29*(1+DC_Sales_Growth_Mature))))</f>
        <v>0</v>
      </c>
      <c r="E29" s="12" t="n">
        <f aca="false">IF(E4&lt;DC_Launch_Year,0,IF(E4=DC_Launch_Year,DC_Launch_Sales,IF(E4&lt;=DC_Maturity_Year,D29*(1+DC_Sales_Growth_Early),D29*(1+DC_Sales_Growth_Mature))))</f>
        <v>0</v>
      </c>
      <c r="F29" s="12" t="n">
        <f aca="false">IF(F4&lt;DC_Launch_Year,0,IF(F4=DC_Launch_Year,DC_Launch_Sales,IF(F4&lt;=DC_Maturity_Year,E29*(1+DC_Sales_Growth_Early),E29*(1+DC_Sales_Growth_Mature))))</f>
        <v>0</v>
      </c>
      <c r="G29" s="12" t="n">
        <f aca="false">IF(G4&lt;DC_Launch_Year,0,IF(G4=DC_Launch_Year,DC_Launch_Sales,IF(G4&lt;=DC_Maturity_Year,F29*(1+DC_Sales_Growth_Early),F29*(1+DC_Sales_Growth_Mature))))</f>
        <v>0</v>
      </c>
      <c r="H29" s="12" t="n">
        <f aca="false">IF(H4&lt;DC_Launch_Year,0,IF(H4=DC_Launch_Year,DC_Launch_Sales,IF(H4&lt;=DC_Maturity_Year,G29*(1+DC_Sales_Growth_Early),G29*(1+DC_Sales_Growth_Mature))))</f>
        <v>0</v>
      </c>
      <c r="I29" s="12" t="n">
        <f aca="false">IF(I4&lt;DC_Launch_Year,0,IF(I4=DC_Launch_Year,DC_Launch_Sales,IF(I4&lt;=DC_Maturity_Year,H29*(1+DC_Sales_Growth_Early),H29*(1+DC_Sales_Growth_Mature))))</f>
        <v>0</v>
      </c>
      <c r="J29" s="12" t="n">
        <f aca="false">IF(J4&lt;DC_Launch_Year,0,IF(J4=DC_Launch_Year,DC_Launch_Sales,IF(J4&lt;=DC_Maturity_Year,I29*(1+DC_Sales_Growth_Early),I29*(1+DC_Sales_Growth_Mature))))</f>
        <v>0</v>
      </c>
      <c r="K29" s="12" t="n">
        <f aca="false">IF(K4&lt;DC_Launch_Year,0,IF(K4=DC_Launch_Year,DC_Launch_Sales,IF(K4&lt;=DC_Maturity_Year,J29*(1+DC_Sales_Growth_Early),J29*(1+DC_Sales_Growth_Mature))))</f>
        <v>0</v>
      </c>
      <c r="L29" s="12" t="n">
        <f aca="false">IF(L4&lt;DC_Launch_Year,0,IF(L4=DC_Launch_Year,DC_Launch_Sales,IF(L4&lt;=DC_Maturity_Year,K29*(1+DC_Sales_Growth_Early),K29*(1+DC_Sales_Growth_Mature))))</f>
        <v>40</v>
      </c>
    </row>
    <row r="30" customFormat="false" ht="15" hidden="false" customHeight="false" outlineLevel="0" collapsed="false">
      <c r="A30" s="6"/>
      <c r="B30" s="11" t="s">
        <v>231</v>
      </c>
      <c r="C30" s="12" t="n">
        <f aca="false">C29*DC_Royalty_Rate</f>
        <v>0</v>
      </c>
      <c r="D30" s="12" t="n">
        <f aca="false">D29*DC_Royalty_Rate</f>
        <v>0</v>
      </c>
      <c r="E30" s="12" t="n">
        <f aca="false">E29*DC_Royalty_Rate</f>
        <v>0</v>
      </c>
      <c r="F30" s="12" t="n">
        <f aca="false">F29*DC_Royalty_Rate</f>
        <v>0</v>
      </c>
      <c r="G30" s="12" t="n">
        <f aca="false">G29*DC_Royalty_Rate</f>
        <v>0</v>
      </c>
      <c r="H30" s="12" t="n">
        <f aca="false">H29*DC_Royalty_Rate</f>
        <v>0</v>
      </c>
      <c r="I30" s="12" t="n">
        <f aca="false">I29*DC_Royalty_Rate</f>
        <v>0</v>
      </c>
      <c r="J30" s="12" t="n">
        <f aca="false">J29*DC_Royalty_Rate</f>
        <v>0</v>
      </c>
      <c r="K30" s="12" t="n">
        <f aca="false">K29*DC_Royalty_Rate</f>
        <v>0</v>
      </c>
      <c r="L30" s="12" t="n">
        <f aca="false">L29*DC_Royalty_Rate</f>
        <v>4</v>
      </c>
    </row>
    <row r="31" customFormat="false" ht="15" hidden="false" customHeight="false" outlineLevel="0" collapsed="false">
      <c r="A31" s="6"/>
      <c r="B31" s="11" t="s">
        <v>243</v>
      </c>
      <c r="C31" s="12" t="n">
        <f aca="false">IF(C4=DC_Ph2_MS_Yr,DC_Ph2_Milestone,0)</f>
        <v>0</v>
      </c>
      <c r="D31" s="12" t="n">
        <f aca="false">IF(D4=DC_Ph2_MS_Yr,DC_Ph2_Milestone,0)</f>
        <v>0</v>
      </c>
      <c r="E31" s="12" t="n">
        <f aca="false">IF(E4=DC_Ph2_MS_Yr,DC_Ph2_Milestone,0)</f>
        <v>15</v>
      </c>
      <c r="F31" s="12" t="n">
        <f aca="false">IF(F4=DC_Ph2_MS_Yr,DC_Ph2_Milestone,0)</f>
        <v>0</v>
      </c>
      <c r="G31" s="12" t="n">
        <f aca="false">IF(G4=DC_Ph2_MS_Yr,DC_Ph2_Milestone,0)</f>
        <v>0</v>
      </c>
      <c r="H31" s="12" t="n">
        <f aca="false">IF(H4=DC_Ph2_MS_Yr,DC_Ph2_Milestone,0)</f>
        <v>0</v>
      </c>
      <c r="I31" s="12" t="n">
        <f aca="false">IF(I4=DC_Ph2_MS_Yr,DC_Ph2_Milestone,0)</f>
        <v>0</v>
      </c>
      <c r="J31" s="12" t="n">
        <f aca="false">IF(J4=DC_Ph2_MS_Yr,DC_Ph2_Milestone,0)</f>
        <v>0</v>
      </c>
      <c r="K31" s="12" t="n">
        <f aca="false">IF(K4=DC_Ph2_MS_Yr,DC_Ph2_Milestone,0)</f>
        <v>0</v>
      </c>
      <c r="L31" s="12" t="n">
        <f aca="false">IF(L4=DC_Ph2_MS_Yr,DC_Ph2_Milestone,0)</f>
        <v>0</v>
      </c>
    </row>
    <row r="32" customFormat="false" ht="15" hidden="false" customHeight="false" outlineLevel="0" collapsed="false">
      <c r="A32" s="6"/>
      <c r="B32" s="11" t="s">
        <v>244</v>
      </c>
      <c r="C32" s="12" t="n">
        <f aca="false">IF(C4=DC_Ph3_MS_Yr,DC_Ph3_Milestone,0)</f>
        <v>0</v>
      </c>
      <c r="D32" s="12" t="n">
        <f aca="false">IF(D4=DC_Ph3_MS_Yr,DC_Ph3_Milestone,0)</f>
        <v>0</v>
      </c>
      <c r="E32" s="12" t="n">
        <f aca="false">IF(E4=DC_Ph3_MS_Yr,DC_Ph3_Milestone,0)</f>
        <v>0</v>
      </c>
      <c r="F32" s="12" t="n">
        <f aca="false">IF(F4=DC_Ph3_MS_Yr,DC_Ph3_Milestone,0)</f>
        <v>0</v>
      </c>
      <c r="G32" s="12" t="n">
        <f aca="false">IF(G4=DC_Ph3_MS_Yr,DC_Ph3_Milestone,0)</f>
        <v>0</v>
      </c>
      <c r="H32" s="12" t="n">
        <f aca="false">IF(H4=DC_Ph3_MS_Yr,DC_Ph3_Milestone,0)</f>
        <v>30</v>
      </c>
      <c r="I32" s="12" t="n">
        <f aca="false">IF(I4=DC_Ph3_MS_Yr,DC_Ph3_Milestone,0)</f>
        <v>0</v>
      </c>
      <c r="J32" s="12" t="n">
        <f aca="false">IF(J4=DC_Ph3_MS_Yr,DC_Ph3_Milestone,0)</f>
        <v>0</v>
      </c>
      <c r="K32" s="12" t="n">
        <f aca="false">IF(K4=DC_Ph3_MS_Yr,DC_Ph3_Milestone,0)</f>
        <v>0</v>
      </c>
      <c r="L32" s="12" t="n">
        <f aca="false">IF(L4=DC_Ph3_MS_Yr,DC_Ph3_Milestone,0)</f>
        <v>0</v>
      </c>
    </row>
    <row r="33" customFormat="false" ht="15" hidden="false" customHeight="false" outlineLevel="0" collapsed="false">
      <c r="A33" s="6"/>
      <c r="B33" s="11" t="s">
        <v>233</v>
      </c>
      <c r="C33" s="12" t="n">
        <f aca="false">IF(C4=DC_Reg_MS_Yr,DC_Reg_Milestone,0)</f>
        <v>0</v>
      </c>
      <c r="D33" s="12" t="n">
        <f aca="false">IF(D4=DC_Reg_MS_Yr,DC_Reg_Milestone,0)</f>
        <v>0</v>
      </c>
      <c r="E33" s="12" t="n">
        <f aca="false">IF(E4=DC_Reg_MS_Yr,DC_Reg_Milestone,0)</f>
        <v>0</v>
      </c>
      <c r="F33" s="12" t="n">
        <f aca="false">IF(F4=DC_Reg_MS_Yr,DC_Reg_Milestone,0)</f>
        <v>0</v>
      </c>
      <c r="G33" s="12" t="n">
        <f aca="false">IF(G4=DC_Reg_MS_Yr,DC_Reg_Milestone,0)</f>
        <v>0</v>
      </c>
      <c r="H33" s="12" t="n">
        <f aca="false">IF(H4=DC_Reg_MS_Yr,DC_Reg_Milestone,0)</f>
        <v>0</v>
      </c>
      <c r="I33" s="12" t="n">
        <f aca="false">IF(I4=DC_Reg_MS_Yr,DC_Reg_Milestone,0)</f>
        <v>0</v>
      </c>
      <c r="J33" s="12" t="n">
        <f aca="false">IF(J4=DC_Reg_MS_Yr,DC_Reg_Milestone,0)</f>
        <v>0</v>
      </c>
      <c r="K33" s="12" t="n">
        <f aca="false">IF(K4=DC_Reg_MS_Yr,DC_Reg_Milestone,0)</f>
        <v>60</v>
      </c>
      <c r="L33" s="12" t="n">
        <f aca="false">IF(L4=DC_Reg_MS_Yr,DC_Reg_Milestone,0)</f>
        <v>0</v>
      </c>
    </row>
    <row r="34" customFormat="false" ht="15" hidden="false" customHeight="false" outlineLevel="0" collapsed="false">
      <c r="A34" s="6"/>
      <c r="B34" s="11" t="s">
        <v>234</v>
      </c>
      <c r="C34" s="12" t="n">
        <f aca="false">IF(C4=DC_Launch_MS_Yr,DC_Launch_Milestone,0)</f>
        <v>0</v>
      </c>
      <c r="D34" s="12" t="n">
        <f aca="false">IF(D4=DC_Launch_MS_Yr,DC_Launch_Milestone,0)</f>
        <v>0</v>
      </c>
      <c r="E34" s="12" t="n">
        <f aca="false">IF(E4=DC_Launch_MS_Yr,DC_Launch_Milestone,0)</f>
        <v>0</v>
      </c>
      <c r="F34" s="12" t="n">
        <f aca="false">IF(F4=DC_Launch_MS_Yr,DC_Launch_Milestone,0)</f>
        <v>0</v>
      </c>
      <c r="G34" s="12" t="n">
        <f aca="false">IF(G4=DC_Launch_MS_Yr,DC_Launch_Milestone,0)</f>
        <v>0</v>
      </c>
      <c r="H34" s="12" t="n">
        <f aca="false">IF(H4=DC_Launch_MS_Yr,DC_Launch_Milestone,0)</f>
        <v>0</v>
      </c>
      <c r="I34" s="12" t="n">
        <f aca="false">IF(I4=DC_Launch_MS_Yr,DC_Launch_Milestone,0)</f>
        <v>0</v>
      </c>
      <c r="J34" s="12" t="n">
        <f aca="false">IF(J4=DC_Launch_MS_Yr,DC_Launch_Milestone,0)</f>
        <v>0</v>
      </c>
      <c r="K34" s="12" t="n">
        <f aca="false">IF(K4=DC_Launch_MS_Yr,DC_Launch_Milestone,0)</f>
        <v>0</v>
      </c>
      <c r="L34" s="12" t="n">
        <f aca="false">IF(L4=DC_Launch_MS_Yr,DC_Launch_Milestone,0)</f>
        <v>50</v>
      </c>
    </row>
    <row r="35" customFormat="false" ht="15" hidden="false" customHeight="false" outlineLevel="0" collapsed="false">
      <c r="A35" s="6"/>
      <c r="B35" s="11" t="s">
        <v>245</v>
      </c>
      <c r="C35" s="26" t="n">
        <f aca="false">DC_Ph1_PoS</f>
        <v>0.6</v>
      </c>
      <c r="D35" s="26" t="n">
        <f aca="false">DC_Ph1_PoS</f>
        <v>0.6</v>
      </c>
      <c r="E35" s="26" t="n">
        <f aca="false">DC_Ph1_PoS</f>
        <v>0.6</v>
      </c>
      <c r="F35" s="26" t="n">
        <f aca="false">DC_Ph1_PoS</f>
        <v>0.6</v>
      </c>
      <c r="G35" s="26" t="n">
        <f aca="false">DC_Ph1_PoS</f>
        <v>0.6</v>
      </c>
      <c r="H35" s="26" t="n">
        <f aca="false">DC_Ph1_PoS</f>
        <v>0.6</v>
      </c>
      <c r="I35" s="26" t="n">
        <f aca="false">DC_Ph1_PoS</f>
        <v>0.6</v>
      </c>
      <c r="J35" s="26" t="n">
        <f aca="false">DC_Ph1_PoS</f>
        <v>0.6</v>
      </c>
      <c r="K35" s="26" t="n">
        <f aca="false">DC_Ph1_PoS</f>
        <v>0.6</v>
      </c>
      <c r="L35" s="26" t="n">
        <f aca="false">DC_Ph1_PoS</f>
        <v>0.6</v>
      </c>
    </row>
    <row r="36" customFormat="false" ht="15" hidden="false" customHeight="false" outlineLevel="0" collapsed="false">
      <c r="A36" s="6"/>
      <c r="B36" s="11" t="s">
        <v>246</v>
      </c>
      <c r="C36" s="26" t="n">
        <f aca="false">DC_Ph1_PoS*DC_Ph2_PoS</f>
        <v>0.21</v>
      </c>
      <c r="D36" s="26" t="n">
        <f aca="false">DC_Ph1_PoS*DC_Ph2_PoS</f>
        <v>0.21</v>
      </c>
      <c r="E36" s="26" t="n">
        <f aca="false">DC_Ph1_PoS*DC_Ph2_PoS</f>
        <v>0.21</v>
      </c>
      <c r="F36" s="26" t="n">
        <f aca="false">DC_Ph1_PoS*DC_Ph2_PoS</f>
        <v>0.21</v>
      </c>
      <c r="G36" s="26" t="n">
        <f aca="false">DC_Ph1_PoS*DC_Ph2_PoS</f>
        <v>0.21</v>
      </c>
      <c r="H36" s="26" t="n">
        <f aca="false">DC_Ph1_PoS*DC_Ph2_PoS</f>
        <v>0.21</v>
      </c>
      <c r="I36" s="26" t="n">
        <f aca="false">DC_Ph1_PoS*DC_Ph2_PoS</f>
        <v>0.21</v>
      </c>
      <c r="J36" s="26" t="n">
        <f aca="false">DC_Ph1_PoS*DC_Ph2_PoS</f>
        <v>0.21</v>
      </c>
      <c r="K36" s="26" t="n">
        <f aca="false">DC_Ph1_PoS*DC_Ph2_PoS</f>
        <v>0.21</v>
      </c>
      <c r="L36" s="26" t="n">
        <f aca="false">DC_Ph1_PoS*DC_Ph2_PoS</f>
        <v>0.21</v>
      </c>
    </row>
    <row r="37" customFormat="false" ht="15" hidden="false" customHeight="false" outlineLevel="0" collapsed="false">
      <c r="A37" s="6"/>
      <c r="B37" s="11" t="s">
        <v>247</v>
      </c>
      <c r="C37" s="26" t="n">
        <f aca="false">DC_Ph1_PoS*DC_Ph2_PoS*DC_Ph3_PoS</f>
        <v>0.126</v>
      </c>
      <c r="D37" s="26" t="n">
        <f aca="false">DC_Ph1_PoS*DC_Ph2_PoS*DC_Ph3_PoS</f>
        <v>0.126</v>
      </c>
      <c r="E37" s="26" t="n">
        <f aca="false">DC_Ph1_PoS*DC_Ph2_PoS*DC_Ph3_PoS</f>
        <v>0.126</v>
      </c>
      <c r="F37" s="26" t="n">
        <f aca="false">DC_Ph1_PoS*DC_Ph2_PoS*DC_Ph3_PoS</f>
        <v>0.126</v>
      </c>
      <c r="G37" s="26" t="n">
        <f aca="false">DC_Ph1_PoS*DC_Ph2_PoS*DC_Ph3_PoS</f>
        <v>0.126</v>
      </c>
      <c r="H37" s="26" t="n">
        <f aca="false">DC_Ph1_PoS*DC_Ph2_PoS*DC_Ph3_PoS</f>
        <v>0.126</v>
      </c>
      <c r="I37" s="26" t="n">
        <f aca="false">DC_Ph1_PoS*DC_Ph2_PoS*DC_Ph3_PoS</f>
        <v>0.126</v>
      </c>
      <c r="J37" s="26" t="n">
        <f aca="false">DC_Ph1_PoS*DC_Ph2_PoS*DC_Ph3_PoS</f>
        <v>0.126</v>
      </c>
      <c r="K37" s="26" t="n">
        <f aca="false">DC_Ph1_PoS*DC_Ph2_PoS*DC_Ph3_PoS</f>
        <v>0.126</v>
      </c>
      <c r="L37" s="26" t="n">
        <f aca="false">DC_Ph1_PoS*DC_Ph2_PoS*DC_Ph3_PoS</f>
        <v>0.126</v>
      </c>
    </row>
    <row r="38" customFormat="false" ht="15" hidden="false" customHeight="false" outlineLevel="0" collapsed="false">
      <c r="A38" s="6"/>
      <c r="B38" s="11" t="s">
        <v>248</v>
      </c>
      <c r="C38" s="26" t="n">
        <f aca="false">DC_Ph1_PoS*DC_Ph2_PoS*DC_Ph3_PoS*DC_Reg_PoS</f>
        <v>0.1071</v>
      </c>
      <c r="D38" s="26" t="n">
        <f aca="false">DC_Ph1_PoS*DC_Ph2_PoS*DC_Ph3_PoS*DC_Reg_PoS</f>
        <v>0.1071</v>
      </c>
      <c r="E38" s="26" t="n">
        <f aca="false">DC_Ph1_PoS*DC_Ph2_PoS*DC_Ph3_PoS*DC_Reg_PoS</f>
        <v>0.1071</v>
      </c>
      <c r="F38" s="26" t="n">
        <f aca="false">DC_Ph1_PoS*DC_Ph2_PoS*DC_Ph3_PoS*DC_Reg_PoS</f>
        <v>0.1071</v>
      </c>
      <c r="G38" s="26" t="n">
        <f aca="false">DC_Ph1_PoS*DC_Ph2_PoS*DC_Ph3_PoS*DC_Reg_PoS</f>
        <v>0.1071</v>
      </c>
      <c r="H38" s="26" t="n">
        <f aca="false">DC_Ph1_PoS*DC_Ph2_PoS*DC_Ph3_PoS*DC_Reg_PoS</f>
        <v>0.1071</v>
      </c>
      <c r="I38" s="26" t="n">
        <f aca="false">DC_Ph1_PoS*DC_Ph2_PoS*DC_Ph3_PoS*DC_Reg_PoS</f>
        <v>0.1071</v>
      </c>
      <c r="J38" s="26" t="n">
        <f aca="false">DC_Ph1_PoS*DC_Ph2_PoS*DC_Ph3_PoS*DC_Reg_PoS</f>
        <v>0.1071</v>
      </c>
      <c r="K38" s="26" t="n">
        <f aca="false">DC_Ph1_PoS*DC_Ph2_PoS*DC_Ph3_PoS*DC_Reg_PoS</f>
        <v>0.1071</v>
      </c>
      <c r="L38" s="26" t="n">
        <f aca="false">DC_Ph1_PoS*DC_Ph2_PoS*DC_Ph3_PoS*DC_Reg_PoS</f>
        <v>0.1071</v>
      </c>
    </row>
    <row r="39" customFormat="false" ht="15" hidden="false" customHeight="false" outlineLevel="0" collapsed="false">
      <c r="A39" s="6"/>
      <c r="B39" s="11" t="s">
        <v>249</v>
      </c>
      <c r="C39" s="12" t="n">
        <f aca="false">C31*C35</f>
        <v>0</v>
      </c>
      <c r="D39" s="12" t="n">
        <f aca="false">D31*D35</f>
        <v>0</v>
      </c>
      <c r="E39" s="12" t="n">
        <f aca="false">E31*E35</f>
        <v>9</v>
      </c>
      <c r="F39" s="12" t="n">
        <f aca="false">F31*F35</f>
        <v>0</v>
      </c>
      <c r="G39" s="12" t="n">
        <f aca="false">G31*G35</f>
        <v>0</v>
      </c>
      <c r="H39" s="12" t="n">
        <f aca="false">H31*H35</f>
        <v>0</v>
      </c>
      <c r="I39" s="12" t="n">
        <f aca="false">I31*I35</f>
        <v>0</v>
      </c>
      <c r="J39" s="12" t="n">
        <f aca="false">J31*J35</f>
        <v>0</v>
      </c>
      <c r="K39" s="12" t="n">
        <f aca="false">K31*K35</f>
        <v>0</v>
      </c>
      <c r="L39" s="12" t="n">
        <f aca="false">L31*L35</f>
        <v>0</v>
      </c>
    </row>
    <row r="40" customFormat="false" ht="15" hidden="false" customHeight="false" outlineLevel="0" collapsed="false">
      <c r="A40" s="6"/>
      <c r="B40" s="11" t="s">
        <v>250</v>
      </c>
      <c r="C40" s="12" t="n">
        <f aca="false">C32*C36</f>
        <v>0</v>
      </c>
      <c r="D40" s="12" t="n">
        <f aca="false">D32*D36</f>
        <v>0</v>
      </c>
      <c r="E40" s="12" t="n">
        <f aca="false">E32*E36</f>
        <v>0</v>
      </c>
      <c r="F40" s="12" t="n">
        <f aca="false">F32*F36</f>
        <v>0</v>
      </c>
      <c r="G40" s="12" t="n">
        <f aca="false">G32*G36</f>
        <v>0</v>
      </c>
      <c r="H40" s="12" t="n">
        <f aca="false">H32*H36</f>
        <v>6.3</v>
      </c>
      <c r="I40" s="12" t="n">
        <f aca="false">I32*I36</f>
        <v>0</v>
      </c>
      <c r="J40" s="12" t="n">
        <f aca="false">J32*J36</f>
        <v>0</v>
      </c>
      <c r="K40" s="12" t="n">
        <f aca="false">K32*K36</f>
        <v>0</v>
      </c>
      <c r="L40" s="12" t="n">
        <f aca="false">L32*L36</f>
        <v>0</v>
      </c>
    </row>
    <row r="41" customFormat="false" ht="15" hidden="false" customHeight="false" outlineLevel="0" collapsed="false">
      <c r="A41" s="6"/>
      <c r="B41" s="11" t="s">
        <v>239</v>
      </c>
      <c r="C41" s="12" t="n">
        <f aca="false">C33*C37</f>
        <v>0</v>
      </c>
      <c r="D41" s="12" t="n">
        <f aca="false">D33*D37</f>
        <v>0</v>
      </c>
      <c r="E41" s="12" t="n">
        <f aca="false">E33*E37</f>
        <v>0</v>
      </c>
      <c r="F41" s="12" t="n">
        <f aca="false">F33*F37</f>
        <v>0</v>
      </c>
      <c r="G41" s="12" t="n">
        <f aca="false">G33*G37</f>
        <v>0</v>
      </c>
      <c r="H41" s="12" t="n">
        <f aca="false">H33*H37</f>
        <v>0</v>
      </c>
      <c r="I41" s="12" t="n">
        <f aca="false">I33*I37</f>
        <v>0</v>
      </c>
      <c r="J41" s="12" t="n">
        <f aca="false">J33*J37</f>
        <v>0</v>
      </c>
      <c r="K41" s="12" t="n">
        <f aca="false">K33*K37</f>
        <v>7.56</v>
      </c>
      <c r="L41" s="12" t="n">
        <f aca="false">L33*L37</f>
        <v>0</v>
      </c>
    </row>
    <row r="42" customFormat="false" ht="15" hidden="false" customHeight="false" outlineLevel="0" collapsed="false">
      <c r="A42" s="6"/>
      <c r="B42" s="11" t="s">
        <v>240</v>
      </c>
      <c r="C42" s="12" t="n">
        <f aca="false">C34*C38</f>
        <v>0</v>
      </c>
      <c r="D42" s="12" t="n">
        <f aca="false">D34*D38</f>
        <v>0</v>
      </c>
      <c r="E42" s="12" t="n">
        <f aca="false">E34*E38</f>
        <v>0</v>
      </c>
      <c r="F42" s="12" t="n">
        <f aca="false">F34*F38</f>
        <v>0</v>
      </c>
      <c r="G42" s="12" t="n">
        <f aca="false">G34*G38</f>
        <v>0</v>
      </c>
      <c r="H42" s="12" t="n">
        <f aca="false">H34*H38</f>
        <v>0</v>
      </c>
      <c r="I42" s="12" t="n">
        <f aca="false">I34*I38</f>
        <v>0</v>
      </c>
      <c r="J42" s="12" t="n">
        <f aca="false">J34*J38</f>
        <v>0</v>
      </c>
      <c r="K42" s="12" t="n">
        <f aca="false">K34*K38</f>
        <v>0</v>
      </c>
      <c r="L42" s="12" t="n">
        <f aca="false">L34*L38</f>
        <v>5.355</v>
      </c>
    </row>
    <row r="43" customFormat="false" ht="15" hidden="false" customHeight="false" outlineLevel="0" collapsed="false">
      <c r="A43" s="6"/>
      <c r="B43" s="31" t="s">
        <v>241</v>
      </c>
      <c r="C43" s="32" t="n">
        <f aca="false">C39+C40+C41+C42</f>
        <v>0</v>
      </c>
      <c r="D43" s="32" t="n">
        <f aca="false">D39+D40+D41+D42</f>
        <v>0</v>
      </c>
      <c r="E43" s="32" t="n">
        <f aca="false">E39+E40+E41+E42</f>
        <v>9</v>
      </c>
      <c r="F43" s="32" t="n">
        <f aca="false">F39+F40+F41+F42</f>
        <v>0</v>
      </c>
      <c r="G43" s="32" t="n">
        <f aca="false">G39+G40+G41+G42</f>
        <v>0</v>
      </c>
      <c r="H43" s="32" t="n">
        <f aca="false">H39+H40+H41+H42</f>
        <v>6.3</v>
      </c>
      <c r="I43" s="32" t="n">
        <f aca="false">I39+I40+I41+I42</f>
        <v>0</v>
      </c>
      <c r="J43" s="32" t="n">
        <f aca="false">J39+J40+J41+J42</f>
        <v>0</v>
      </c>
      <c r="K43" s="32" t="n">
        <f aca="false">K39+K40+K41+K42</f>
        <v>7.56</v>
      </c>
      <c r="L43" s="32" t="n">
        <f aca="false">L39+L40+L41+L42</f>
        <v>5.355</v>
      </c>
    </row>
    <row r="44" customFormat="false" ht="15" hidden="false" customHeight="false" outlineLevel="0" collapsed="false">
      <c r="A44" s="6"/>
      <c r="B44" s="31" t="s">
        <v>242</v>
      </c>
      <c r="C44" s="32" t="n">
        <f aca="false">C30*C38</f>
        <v>0</v>
      </c>
      <c r="D44" s="32" t="n">
        <f aca="false">D30*D38</f>
        <v>0</v>
      </c>
      <c r="E44" s="32" t="n">
        <f aca="false">E30*E38</f>
        <v>0</v>
      </c>
      <c r="F44" s="32" t="n">
        <f aca="false">F30*F38</f>
        <v>0</v>
      </c>
      <c r="G44" s="32" t="n">
        <f aca="false">G30*G38</f>
        <v>0</v>
      </c>
      <c r="H44" s="32" t="n">
        <f aca="false">H30*H38</f>
        <v>0</v>
      </c>
      <c r="I44" s="32" t="n">
        <f aca="false">I30*I38</f>
        <v>0</v>
      </c>
      <c r="J44" s="32" t="n">
        <f aca="false">J30*J38</f>
        <v>0</v>
      </c>
      <c r="K44" s="32" t="n">
        <f aca="false">K30*K38</f>
        <v>0</v>
      </c>
      <c r="L44" s="32" t="n">
        <f aca="false">L30*L38</f>
        <v>0.4284</v>
      </c>
    </row>
    <row r="45" customFormat="false" ht="15" hidden="false" customHeight="false" outlineLevel="0" collapsed="false">
      <c r="A45" s="6"/>
      <c r="B45" s="6"/>
      <c r="C45" s="6"/>
      <c r="D45" s="6"/>
      <c r="E45" s="6"/>
      <c r="F45" s="6"/>
      <c r="G45" s="6"/>
      <c r="H45" s="6"/>
      <c r="I45" s="6"/>
      <c r="J45" s="6"/>
      <c r="K45" s="6"/>
      <c r="L45" s="6"/>
    </row>
    <row r="46" customFormat="false" ht="15" hidden="false" customHeight="false" outlineLevel="0" collapsed="false">
      <c r="A46" s="6"/>
      <c r="B46" s="28" t="s">
        <v>251</v>
      </c>
      <c r="C46" s="30"/>
      <c r="D46" s="30"/>
      <c r="E46" s="30"/>
      <c r="F46" s="30"/>
      <c r="G46" s="30"/>
      <c r="H46" s="30"/>
      <c r="I46" s="30"/>
      <c r="J46" s="30"/>
      <c r="K46" s="30"/>
      <c r="L46" s="30"/>
    </row>
    <row r="47" customFormat="false" ht="15" hidden="false" customHeight="false" outlineLevel="0" collapsed="false">
      <c r="A47" s="6"/>
      <c r="B47" s="11" t="s">
        <v>252</v>
      </c>
      <c r="C47" s="12" t="n">
        <f aca="false">Platform_Rev_Base</f>
        <v>20</v>
      </c>
      <c r="D47" s="12" t="n">
        <f aca="false">C47*(1+Platform_Rev_Growth)</f>
        <v>21</v>
      </c>
      <c r="E47" s="12" t="n">
        <f aca="false">D47*(1+Platform_Rev_Growth)</f>
        <v>22.05</v>
      </c>
      <c r="F47" s="12" t="n">
        <f aca="false">E47*(1+Platform_Rev_Growth)</f>
        <v>23.1525</v>
      </c>
      <c r="G47" s="12" t="n">
        <f aca="false">F47*(1+Platform_Rev_Growth)</f>
        <v>24.310125</v>
      </c>
      <c r="H47" s="12" t="n">
        <f aca="false">G47*(1+Platform_Rev_Growth)</f>
        <v>25.52563125</v>
      </c>
      <c r="I47" s="12" t="n">
        <f aca="false">H47*(1+Platform_Rev_Growth)</f>
        <v>26.8019128125</v>
      </c>
      <c r="J47" s="12" t="n">
        <f aca="false">I47*(1+Platform_Rev_Growth)</f>
        <v>28.142008453125</v>
      </c>
      <c r="K47" s="12" t="n">
        <f aca="false">J47*(1+Platform_Rev_Growth)</f>
        <v>29.5491088757813</v>
      </c>
      <c r="L47" s="12" t="n">
        <f aca="false">K47*(1+Platform_Rev_Growth)</f>
        <v>31.0265643195703</v>
      </c>
    </row>
    <row r="48" customFormat="false" ht="15" hidden="false" customHeight="false" outlineLevel="0" collapsed="false">
      <c r="A48" s="6"/>
      <c r="B48" s="6"/>
      <c r="C48" s="6"/>
      <c r="D48" s="6"/>
      <c r="E48" s="6"/>
      <c r="F48" s="6"/>
      <c r="G48" s="6"/>
      <c r="H48" s="6"/>
      <c r="I48" s="6"/>
      <c r="J48" s="6"/>
      <c r="K48" s="6"/>
      <c r="L48" s="6"/>
    </row>
    <row r="49" customFormat="false" ht="15" hidden="false" customHeight="false" outlineLevel="0" collapsed="false">
      <c r="A49" s="6"/>
      <c r="B49" s="28" t="s">
        <v>253</v>
      </c>
      <c r="C49" s="30"/>
      <c r="D49" s="30"/>
      <c r="E49" s="30"/>
      <c r="F49" s="30"/>
      <c r="G49" s="30"/>
      <c r="H49" s="30"/>
      <c r="I49" s="30"/>
      <c r="J49" s="30"/>
      <c r="K49" s="30"/>
      <c r="L49" s="30"/>
    </row>
    <row r="50" customFormat="false" ht="15" hidden="false" customHeight="false" outlineLevel="0" collapsed="false">
      <c r="A50" s="6"/>
      <c r="B50" s="33" t="s">
        <v>254</v>
      </c>
      <c r="C50" s="14" t="n">
        <f aca="false">C11+C26+C25+C44+C43+C47</f>
        <v>100</v>
      </c>
      <c r="D50" s="14" t="n">
        <f aca="false">D11+D26+D25+D44+D43+D47</f>
        <v>107.4</v>
      </c>
      <c r="E50" s="14" t="n">
        <f aca="false">E11+E26+E25+E44+E43+E47</f>
        <v>174.362</v>
      </c>
      <c r="F50" s="14" t="n">
        <f aca="false">F11+F26+F25+F44+F43+F47</f>
        <v>169.31794</v>
      </c>
      <c r="G50" s="14" t="n">
        <f aca="false">G11+G26+G25+G44+G43+G47</f>
        <v>170.2088002</v>
      </c>
      <c r="H50" s="14" t="n">
        <f aca="false">H11+H26+H25+H44+H43+H47</f>
        <v>74.33541045</v>
      </c>
      <c r="I50" s="14" t="n">
        <f aca="false">I11+I26+I25+I44+I43+I47</f>
        <v>55.4503355325</v>
      </c>
      <c r="J50" s="14" t="n">
        <f aca="false">J11+J26+J25+J44+J43+J47</f>
        <v>58.714654357125</v>
      </c>
      <c r="K50" s="14" t="n">
        <f aca="false">K11+K26+K25+K44+K43+K47</f>
        <v>71.6583985085813</v>
      </c>
      <c r="L50" s="14" t="n">
        <f aca="false">L11+L26+L25+L44+L43+L47</f>
        <v>72.3499358125303</v>
      </c>
    </row>
    <row r="51" customFormat="false" ht="15" hidden="false" customHeight="false" outlineLevel="0" collapsed="false">
      <c r="A51" s="6"/>
      <c r="B51" s="31" t="s">
        <v>255</v>
      </c>
      <c r="C51" s="32" t="n">
        <f aca="false">C11+C26+C44</f>
        <v>80</v>
      </c>
      <c r="D51" s="32" t="n">
        <f aca="false">D11+D26+D44</f>
        <v>86.4</v>
      </c>
      <c r="E51" s="32" t="n">
        <f aca="false">E11+E26+E44</f>
        <v>93.312</v>
      </c>
      <c r="F51" s="32" t="n">
        <f aca="false">F11+F26+F44</f>
        <v>101.16544</v>
      </c>
      <c r="G51" s="32" t="n">
        <f aca="false">G11+G26+G44</f>
        <v>125.4986752</v>
      </c>
      <c r="H51" s="32" t="n">
        <f aca="false">H11+H26+H44</f>
        <v>42.5097792</v>
      </c>
      <c r="I51" s="32" t="n">
        <f aca="false">I11+I26+I44</f>
        <v>28.64842272</v>
      </c>
      <c r="J51" s="32" t="n">
        <f aca="false">J11+J26+J44</f>
        <v>30.572645904</v>
      </c>
      <c r="K51" s="32" t="n">
        <f aca="false">K11+K26+K44</f>
        <v>34.5492896328</v>
      </c>
      <c r="L51" s="32" t="n">
        <f aca="false">L11+L26+L44</f>
        <v>35.96837149296</v>
      </c>
    </row>
    <row r="52" customFormat="false" ht="15" hidden="false" customHeight="false" outlineLevel="0" collapsed="false">
      <c r="A52" s="6"/>
      <c r="B52" s="31" t="s">
        <v>256</v>
      </c>
      <c r="C52" s="32" t="n">
        <f aca="false">C25+C43</f>
        <v>0</v>
      </c>
      <c r="D52" s="32" t="n">
        <f aca="false">D25+D43</f>
        <v>0</v>
      </c>
      <c r="E52" s="32" t="n">
        <f aca="false">E25+E43</f>
        <v>59</v>
      </c>
      <c r="F52" s="32" t="n">
        <f aca="false">F25+F43</f>
        <v>45</v>
      </c>
      <c r="G52" s="32" t="n">
        <f aca="false">G25+G43</f>
        <v>20.4</v>
      </c>
      <c r="H52" s="32" t="n">
        <f aca="false">H25+H43</f>
        <v>6.3</v>
      </c>
      <c r="I52" s="32" t="n">
        <f aca="false">I25+I43</f>
        <v>0</v>
      </c>
      <c r="J52" s="32" t="n">
        <f aca="false">J25+J43</f>
        <v>0</v>
      </c>
      <c r="K52" s="32" t="n">
        <f aca="false">K25+K43</f>
        <v>7.56</v>
      </c>
      <c r="L52" s="32" t="n">
        <f aca="false">L25+L43</f>
        <v>5.355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12" min="3" style="0" width="13"/>
    <col collapsed="false" customWidth="true" hidden="false" outlineLevel="0" max="13" min="13" style="0" width="4"/>
    <col collapsed="false" customWidth="true" hidden="false" outlineLevel="0" max="14" min="14" style="0" width="16"/>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257</v>
      </c>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258</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28" t="s">
        <v>224</v>
      </c>
      <c r="C4" s="29" t="n">
        <v>1</v>
      </c>
      <c r="D4" s="29" t="n">
        <v>2</v>
      </c>
      <c r="E4" s="29" t="n">
        <v>3</v>
      </c>
      <c r="F4" s="29" t="n">
        <v>4</v>
      </c>
      <c r="G4" s="29" t="n">
        <v>5</v>
      </c>
      <c r="H4" s="29" t="n">
        <v>6</v>
      </c>
      <c r="I4" s="29" t="n">
        <v>7</v>
      </c>
      <c r="J4" s="29" t="n">
        <v>8</v>
      </c>
      <c r="K4" s="29" t="n">
        <v>9</v>
      </c>
      <c r="L4" s="29" t="n">
        <v>10</v>
      </c>
    </row>
    <row r="5" customFormat="false" ht="15" hidden="false" customHeight="false" outlineLevel="0" collapsed="false">
      <c r="A5" s="6"/>
      <c r="B5" s="6"/>
      <c r="C5" s="6"/>
      <c r="D5" s="6"/>
      <c r="E5" s="6"/>
      <c r="F5" s="6"/>
      <c r="G5" s="6"/>
      <c r="H5" s="6"/>
      <c r="I5" s="6"/>
      <c r="J5" s="6"/>
      <c r="K5" s="6"/>
      <c r="L5" s="6"/>
    </row>
    <row r="6" customFormat="false" ht="15" hidden="false" customHeight="false" outlineLevel="0" collapsed="false">
      <c r="A6" s="6"/>
      <c r="B6" s="11" t="s">
        <v>259</v>
      </c>
      <c r="C6" s="12" t="n">
        <f aca="false">Platform_RD_Base</f>
        <v>25</v>
      </c>
      <c r="D6" s="12" t="n">
        <f aca="false">C6*(1+Platform_RD_Growth)</f>
        <v>26.5</v>
      </c>
      <c r="E6" s="12" t="n">
        <f aca="false">D6*(1+Platform_RD_Growth)</f>
        <v>28.09</v>
      </c>
      <c r="F6" s="12" t="n">
        <f aca="false">E6*(1+Platform_RD_Growth)</f>
        <v>29.7754</v>
      </c>
      <c r="G6" s="12" t="n">
        <f aca="false">F6*(1+Platform_RD_Growth)</f>
        <v>31.561924</v>
      </c>
      <c r="H6" s="12" t="n">
        <f aca="false">G6*(1+Platform_RD_Growth)</f>
        <v>33.45563944</v>
      </c>
      <c r="I6" s="12" t="n">
        <f aca="false">H6*(1+Platform_RD_Growth)</f>
        <v>35.4629778064</v>
      </c>
      <c r="J6" s="12" t="n">
        <f aca="false">I6*(1+Platform_RD_Growth)</f>
        <v>37.590756474784</v>
      </c>
      <c r="K6" s="12" t="n">
        <f aca="false">J6*(1+Platform_RD_Growth)</f>
        <v>39.8462018632711</v>
      </c>
      <c r="L6" s="12" t="n">
        <f aca="false">K6*(1+Platform_RD_Growth)</f>
        <v>42.2369739750673</v>
      </c>
    </row>
    <row r="7" customFormat="false" ht="15" hidden="false" customHeight="false" outlineLevel="0" collapsed="false">
      <c r="A7" s="6"/>
      <c r="B7" s="11" t="s">
        <v>260</v>
      </c>
      <c r="C7" s="12" t="n">
        <f aca="false">Clinical_Base</f>
        <v>8</v>
      </c>
      <c r="D7" s="12" t="n">
        <f aca="false">C7*(1+Clinical_Growth)</f>
        <v>8.4</v>
      </c>
      <c r="E7" s="12" t="n">
        <f aca="false">D7*(1+Clinical_Growth)</f>
        <v>8.82</v>
      </c>
      <c r="F7" s="12" t="n">
        <f aca="false">E7*(1+Clinical_Growth)</f>
        <v>9.261</v>
      </c>
      <c r="G7" s="12" t="n">
        <f aca="false">F7*(1+Clinical_Growth)</f>
        <v>9.72405</v>
      </c>
      <c r="H7" s="12" t="n">
        <f aca="false">G7*(1+Clinical_Growth)</f>
        <v>10.2102525</v>
      </c>
      <c r="I7" s="12" t="n">
        <f aca="false">H7*(1+Clinical_Growth)</f>
        <v>10.720765125</v>
      </c>
      <c r="J7" s="12" t="n">
        <f aca="false">I7*(1+Clinical_Growth)</f>
        <v>11.25680338125</v>
      </c>
      <c r="K7" s="12" t="n">
        <f aca="false">J7*(1+Clinical_Growth)</f>
        <v>11.8196435503125</v>
      </c>
      <c r="L7" s="12" t="n">
        <f aca="false">K7*(1+Clinical_Growth)</f>
        <v>12.4106257278281</v>
      </c>
    </row>
    <row r="8" customFormat="false" ht="15" hidden="false" customHeight="false" outlineLevel="0" collapsed="false">
      <c r="A8" s="6"/>
      <c r="B8" s="11" t="s">
        <v>261</v>
      </c>
      <c r="C8" s="12" t="n">
        <f aca="false">Patent_Base</f>
        <v>3</v>
      </c>
      <c r="D8" s="12" t="n">
        <f aca="false">C8*(1+Patent_Growth)</f>
        <v>3.12</v>
      </c>
      <c r="E8" s="12" t="n">
        <f aca="false">D8*(1+Patent_Growth)</f>
        <v>3.2448</v>
      </c>
      <c r="F8" s="12" t="n">
        <f aca="false">E8*(1+Patent_Growth)</f>
        <v>3.374592</v>
      </c>
      <c r="G8" s="12" t="n">
        <f aca="false">F8*(1+Patent_Growth)</f>
        <v>3.50957568</v>
      </c>
      <c r="H8" s="12" t="n">
        <f aca="false">G8*(1+Patent_Growth)</f>
        <v>3.6499587072</v>
      </c>
      <c r="I8" s="12" t="n">
        <f aca="false">H8*(1+Patent_Growth)</f>
        <v>3.795957055488</v>
      </c>
      <c r="J8" s="12" t="n">
        <f aca="false">I8*(1+Patent_Growth)</f>
        <v>3.94779533770752</v>
      </c>
      <c r="K8" s="12" t="n">
        <f aca="false">J8*(1+Patent_Growth)</f>
        <v>4.10570715121582</v>
      </c>
      <c r="L8" s="12" t="n">
        <f aca="false">K8*(1+Patent_Growth)</f>
        <v>4.26993543726446</v>
      </c>
    </row>
    <row r="9" customFormat="false" ht="15" hidden="false" customHeight="false" outlineLevel="0" collapsed="false">
      <c r="A9" s="6"/>
      <c r="B9" s="11" t="s">
        <v>262</v>
      </c>
      <c r="C9" s="12" t="n">
        <f aca="false">GA_Base</f>
        <v>18</v>
      </c>
      <c r="D9" s="12" t="n">
        <f aca="false">C9*(1+GA_Growth)</f>
        <v>18.54</v>
      </c>
      <c r="E9" s="12" t="n">
        <f aca="false">D9*(1+GA_Growth)</f>
        <v>19.0962</v>
      </c>
      <c r="F9" s="12" t="n">
        <f aca="false">E9*(1+GA_Growth)</f>
        <v>19.669086</v>
      </c>
      <c r="G9" s="12" t="n">
        <f aca="false">F9*(1+GA_Growth)</f>
        <v>20.25915858</v>
      </c>
      <c r="H9" s="12" t="n">
        <f aca="false">G9*(1+GA_Growth)</f>
        <v>20.8669333374</v>
      </c>
      <c r="I9" s="12" t="n">
        <f aca="false">H9*(1+GA_Growth)</f>
        <v>21.492941337522</v>
      </c>
      <c r="J9" s="12" t="n">
        <f aca="false">I9*(1+GA_Growth)</f>
        <v>22.1377295776477</v>
      </c>
      <c r="K9" s="12" t="n">
        <f aca="false">J9*(1+GA_Growth)</f>
        <v>22.8018614649771</v>
      </c>
      <c r="L9" s="12" t="n">
        <f aca="false">K9*(1+GA_Growth)</f>
        <v>23.4859173089264</v>
      </c>
    </row>
    <row r="10" customFormat="false" ht="15" hidden="false" customHeight="false" outlineLevel="0" collapsed="false">
      <c r="A10" s="6"/>
      <c r="B10" s="11" t="s">
        <v>263</v>
      </c>
      <c r="C10" s="12" t="n">
        <f aca="false">BD_Base</f>
        <v>6</v>
      </c>
      <c r="D10" s="12" t="n">
        <f aca="false">C10*(1+BD_Growth)</f>
        <v>6.24</v>
      </c>
      <c r="E10" s="12" t="n">
        <f aca="false">D10*(1+BD_Growth)</f>
        <v>6.4896</v>
      </c>
      <c r="F10" s="12" t="n">
        <f aca="false">E10*(1+BD_Growth)</f>
        <v>6.749184</v>
      </c>
      <c r="G10" s="12" t="n">
        <f aca="false">F10*(1+BD_Growth)</f>
        <v>7.01915136</v>
      </c>
      <c r="H10" s="12" t="n">
        <f aca="false">G10*(1+BD_Growth)</f>
        <v>7.2999174144</v>
      </c>
      <c r="I10" s="12" t="n">
        <f aca="false">H10*(1+BD_Growth)</f>
        <v>7.591914110976</v>
      </c>
      <c r="J10" s="12" t="n">
        <f aca="false">I10*(1+BD_Growth)</f>
        <v>7.89559067541504</v>
      </c>
      <c r="K10" s="12" t="n">
        <f aca="false">J10*(1+BD_Growth)</f>
        <v>8.21141430243164</v>
      </c>
      <c r="L10" s="12" t="n">
        <f aca="false">K10*(1+BD_Growth)</f>
        <v>8.53987087452891</v>
      </c>
    </row>
    <row r="11" customFormat="false" ht="15" hidden="false" customHeight="false" outlineLevel="0" collapsed="false">
      <c r="A11" s="6"/>
      <c r="B11" s="6"/>
      <c r="C11" s="6"/>
      <c r="D11" s="6"/>
      <c r="E11" s="6"/>
      <c r="F11" s="6"/>
      <c r="G11" s="6"/>
      <c r="H11" s="6"/>
      <c r="I11" s="6"/>
      <c r="J11" s="6"/>
      <c r="K11" s="6"/>
      <c r="L11" s="6"/>
    </row>
    <row r="12" customFormat="false" ht="15" hidden="false" customHeight="false" outlineLevel="0" collapsed="false">
      <c r="A12" s="6"/>
      <c r="B12" s="33" t="s">
        <v>264</v>
      </c>
      <c r="C12" s="14" t="n">
        <f aca="false">SUM(C6:C10)</f>
        <v>60</v>
      </c>
      <c r="D12" s="14" t="n">
        <f aca="false">SUM(D6:D10)</f>
        <v>62.8</v>
      </c>
      <c r="E12" s="14" t="n">
        <f aca="false">SUM(E6:E10)</f>
        <v>65.7406</v>
      </c>
      <c r="F12" s="14" t="n">
        <f aca="false">SUM(F6:F10)</f>
        <v>68.829262</v>
      </c>
      <c r="G12" s="14" t="n">
        <f aca="false">SUM(G6:G10)</f>
        <v>72.07385962</v>
      </c>
      <c r="H12" s="14" t="n">
        <f aca="false">SUM(H6:H10)</f>
        <v>75.482701399</v>
      </c>
      <c r="I12" s="14" t="n">
        <f aca="false">SUM(I6:I10)</f>
        <v>79.064555435386</v>
      </c>
      <c r="J12" s="14" t="n">
        <f aca="false">SUM(J6:J10)</f>
        <v>82.8286754468042</v>
      </c>
      <c r="K12" s="14" t="n">
        <f aca="false">SUM(K6:K10)</f>
        <v>86.7848283322081</v>
      </c>
      <c r="L12" s="14" t="n">
        <f aca="false">SUM(L6:L10)</f>
        <v>90.9433233236152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12" min="3" style="0" width="13"/>
    <col collapsed="false" customWidth="true" hidden="false" outlineLevel="0" max="13" min="13" style="0" width="4"/>
    <col collapsed="false" customWidth="true" hidden="false" outlineLevel="0" max="14" min="14" style="0" width="16"/>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265</v>
      </c>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266</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28" t="s">
        <v>224</v>
      </c>
      <c r="C4" s="29" t="n">
        <v>1</v>
      </c>
      <c r="D4" s="29" t="n">
        <v>2</v>
      </c>
      <c r="E4" s="29" t="n">
        <v>3</v>
      </c>
      <c r="F4" s="29" t="n">
        <v>4</v>
      </c>
      <c r="G4" s="29" t="n">
        <v>5</v>
      </c>
      <c r="H4" s="29" t="n">
        <v>6</v>
      </c>
      <c r="I4" s="29" t="n">
        <v>7</v>
      </c>
      <c r="J4" s="29" t="n">
        <v>8</v>
      </c>
      <c r="K4" s="29" t="n">
        <v>9</v>
      </c>
      <c r="L4" s="29" t="n">
        <v>10</v>
      </c>
    </row>
    <row r="5" customFormat="false" ht="15" hidden="false" customHeight="false" outlineLevel="0" collapsed="false">
      <c r="A5" s="6"/>
      <c r="B5" s="6"/>
      <c r="C5" s="6"/>
      <c r="D5" s="6"/>
      <c r="E5" s="6"/>
      <c r="F5" s="6"/>
      <c r="G5" s="6"/>
      <c r="H5" s="6"/>
      <c r="I5" s="6"/>
      <c r="J5" s="6"/>
      <c r="K5" s="6"/>
      <c r="L5" s="6"/>
    </row>
    <row r="6" customFormat="false" ht="15" hidden="false" customHeight="false" outlineLevel="0" collapsed="false">
      <c r="A6" s="6"/>
      <c r="B6" s="11" t="s">
        <v>267</v>
      </c>
      <c r="C6" s="12" t="n">
        <f aca="false">Open_PPE_Gross</f>
        <v>25</v>
      </c>
      <c r="D6" s="12" t="n">
        <f aca="false">C8</f>
        <v>28</v>
      </c>
      <c r="E6" s="12" t="n">
        <f aca="false">D8</f>
        <v>31</v>
      </c>
      <c r="F6" s="12" t="n">
        <f aca="false">E8</f>
        <v>34</v>
      </c>
      <c r="G6" s="12" t="n">
        <f aca="false">F8</f>
        <v>37</v>
      </c>
      <c r="H6" s="12" t="n">
        <f aca="false">G8</f>
        <v>40</v>
      </c>
      <c r="I6" s="12" t="n">
        <f aca="false">H8</f>
        <v>43</v>
      </c>
      <c r="J6" s="12" t="n">
        <f aca="false">I8</f>
        <v>46</v>
      </c>
      <c r="K6" s="12" t="n">
        <f aca="false">J8</f>
        <v>49</v>
      </c>
      <c r="L6" s="12" t="n">
        <f aca="false">K8</f>
        <v>52</v>
      </c>
    </row>
    <row r="7" customFormat="false" ht="15" hidden="false" customHeight="false" outlineLevel="0" collapsed="false">
      <c r="A7" s="6"/>
      <c r="B7" s="11" t="s">
        <v>268</v>
      </c>
      <c r="C7" s="12" t="n">
        <f aca="false">Maint_Capex</f>
        <v>3</v>
      </c>
      <c r="D7" s="12" t="n">
        <f aca="false">Maint_Capex</f>
        <v>3</v>
      </c>
      <c r="E7" s="12" t="n">
        <f aca="false">Maint_Capex</f>
        <v>3</v>
      </c>
      <c r="F7" s="12" t="n">
        <f aca="false">Maint_Capex</f>
        <v>3</v>
      </c>
      <c r="G7" s="12" t="n">
        <f aca="false">Maint_Capex</f>
        <v>3</v>
      </c>
      <c r="H7" s="12" t="n">
        <f aca="false">Maint_Capex</f>
        <v>3</v>
      </c>
      <c r="I7" s="12" t="n">
        <f aca="false">Maint_Capex</f>
        <v>3</v>
      </c>
      <c r="J7" s="12" t="n">
        <f aca="false">Maint_Capex</f>
        <v>3</v>
      </c>
      <c r="K7" s="12" t="n">
        <f aca="false">Maint_Capex</f>
        <v>3</v>
      </c>
      <c r="L7" s="12" t="n">
        <f aca="false">Maint_Capex</f>
        <v>3</v>
      </c>
    </row>
    <row r="8" customFormat="false" ht="15" hidden="false" customHeight="false" outlineLevel="0" collapsed="false">
      <c r="A8" s="6"/>
      <c r="B8" s="31" t="s">
        <v>269</v>
      </c>
      <c r="C8" s="32" t="n">
        <f aca="false">C6+C7</f>
        <v>28</v>
      </c>
      <c r="D8" s="32" t="n">
        <f aca="false">D6+D7</f>
        <v>31</v>
      </c>
      <c r="E8" s="32" t="n">
        <f aca="false">E6+E7</f>
        <v>34</v>
      </c>
      <c r="F8" s="32" t="n">
        <f aca="false">F6+F7</f>
        <v>37</v>
      </c>
      <c r="G8" s="32" t="n">
        <f aca="false">G6+G7</f>
        <v>40</v>
      </c>
      <c r="H8" s="32" t="n">
        <f aca="false">H6+H7</f>
        <v>43</v>
      </c>
      <c r="I8" s="32" t="n">
        <f aca="false">I6+I7</f>
        <v>46</v>
      </c>
      <c r="J8" s="32" t="n">
        <f aca="false">J6+J7</f>
        <v>49</v>
      </c>
      <c r="K8" s="32" t="n">
        <f aca="false">K6+K7</f>
        <v>52</v>
      </c>
      <c r="L8" s="32" t="n">
        <f aca="false">L6+L7</f>
        <v>55</v>
      </c>
    </row>
    <row r="9" customFormat="false" ht="15" hidden="false" customHeight="false" outlineLevel="0" collapsed="false">
      <c r="A9" s="6"/>
      <c r="B9" s="6"/>
      <c r="C9" s="6"/>
      <c r="D9" s="6"/>
      <c r="E9" s="6"/>
      <c r="F9" s="6"/>
      <c r="G9" s="6"/>
      <c r="H9" s="6"/>
      <c r="I9" s="6"/>
      <c r="J9" s="6"/>
      <c r="K9" s="6"/>
      <c r="L9" s="6"/>
    </row>
    <row r="10" customFormat="false" ht="15" hidden="false" customHeight="false" outlineLevel="0" collapsed="false">
      <c r="A10" s="6"/>
      <c r="B10" s="11" t="s">
        <v>270</v>
      </c>
      <c r="C10" s="12" t="n">
        <f aca="false">MIN(Open_PPE_Gross/PPE_Useful_Life,MAX(0,Open_PPE_Gross-Open_PPE_AccDep))</f>
        <v>3.125</v>
      </c>
      <c r="D10" s="12" t="n">
        <f aca="false">MIN(Open_PPE_Gross/PPE_Useful_Life,MAX(0,Open_PPE_Gross-Open_PPE_AccDep-SUM($C10:C10)))</f>
        <v>3.125</v>
      </c>
      <c r="E10" s="12" t="n">
        <f aca="false">MIN(Open_PPE_Gross/PPE_Useful_Life,MAX(0,Open_PPE_Gross-Open_PPE_AccDep-SUM($C10:D10)))</f>
        <v>3.125</v>
      </c>
      <c r="F10" s="12" t="n">
        <f aca="false">MIN(Open_PPE_Gross/PPE_Useful_Life,MAX(0,Open_PPE_Gross-Open_PPE_AccDep-SUM($C10:E10)))</f>
        <v>3.125</v>
      </c>
      <c r="G10" s="12" t="n">
        <f aca="false">MIN(Open_PPE_Gross/PPE_Useful_Life,MAX(0,Open_PPE_Gross-Open_PPE_AccDep-SUM($C10:F10)))</f>
        <v>2.5</v>
      </c>
      <c r="H10" s="12" t="n">
        <f aca="false">MIN(Open_PPE_Gross/PPE_Useful_Life,MAX(0,Open_PPE_Gross-Open_PPE_AccDep-SUM($C10:G10)))</f>
        <v>0</v>
      </c>
      <c r="I10" s="12" t="n">
        <f aca="false">MIN(Open_PPE_Gross/PPE_Useful_Life,MAX(0,Open_PPE_Gross-Open_PPE_AccDep-SUM($C10:H10)))</f>
        <v>0</v>
      </c>
      <c r="J10" s="12" t="n">
        <f aca="false">MIN(Open_PPE_Gross/PPE_Useful_Life,MAX(0,Open_PPE_Gross-Open_PPE_AccDep-SUM($C10:I10)))</f>
        <v>0</v>
      </c>
      <c r="K10" s="12" t="n">
        <f aca="false">MIN(Open_PPE_Gross/PPE_Useful_Life,MAX(0,Open_PPE_Gross-Open_PPE_AccDep-SUM($C10:J10)))</f>
        <v>0</v>
      </c>
      <c r="L10" s="12" t="n">
        <f aca="false">MIN(Open_PPE_Gross/PPE_Useful_Life,MAX(0,Open_PPE_Gross-Open_PPE_AccDep-SUM($C10:K10)))</f>
        <v>0</v>
      </c>
    </row>
    <row r="11" customFormat="false" ht="15" hidden="false" customHeight="false" outlineLevel="0" collapsed="false">
      <c r="A11" s="6"/>
      <c r="B11" s="11" t="s">
        <v>271</v>
      </c>
      <c r="C11" s="12" t="n">
        <f aca="false">Maint_Capex/PPE_Useful_Life*MIN(C4,PPE_Useful_Life)</f>
        <v>0.375</v>
      </c>
      <c r="D11" s="12" t="n">
        <f aca="false">Maint_Capex/PPE_Useful_Life*MIN(D4,PPE_Useful_Life)</f>
        <v>0.75</v>
      </c>
      <c r="E11" s="12" t="n">
        <f aca="false">Maint_Capex/PPE_Useful_Life*MIN(E4,PPE_Useful_Life)</f>
        <v>1.125</v>
      </c>
      <c r="F11" s="12" t="n">
        <f aca="false">Maint_Capex/PPE_Useful_Life*MIN(F4,PPE_Useful_Life)</f>
        <v>1.5</v>
      </c>
      <c r="G11" s="12" t="n">
        <f aca="false">Maint_Capex/PPE_Useful_Life*MIN(G4,PPE_Useful_Life)</f>
        <v>1.875</v>
      </c>
      <c r="H11" s="12" t="n">
        <f aca="false">Maint_Capex/PPE_Useful_Life*MIN(H4,PPE_Useful_Life)</f>
        <v>2.25</v>
      </c>
      <c r="I11" s="12" t="n">
        <f aca="false">Maint_Capex/PPE_Useful_Life*MIN(I4,PPE_Useful_Life)</f>
        <v>2.625</v>
      </c>
      <c r="J11" s="12" t="n">
        <f aca="false">Maint_Capex/PPE_Useful_Life*MIN(J4,PPE_Useful_Life)</f>
        <v>3</v>
      </c>
      <c r="K11" s="12" t="n">
        <f aca="false">Maint_Capex/PPE_Useful_Life*MIN(K4,PPE_Useful_Life)</f>
        <v>3</v>
      </c>
      <c r="L11" s="12" t="n">
        <f aca="false">Maint_Capex/PPE_Useful_Life*MIN(L4,PPE_Useful_Life)</f>
        <v>3</v>
      </c>
    </row>
    <row r="12" customFormat="false" ht="15" hidden="false" customHeight="false" outlineLevel="0" collapsed="false">
      <c r="A12" s="6"/>
      <c r="B12" s="31" t="s">
        <v>272</v>
      </c>
      <c r="C12" s="32" t="n">
        <f aca="false">C10+C11</f>
        <v>3.5</v>
      </c>
      <c r="D12" s="32" t="n">
        <f aca="false">D10+D11</f>
        <v>3.875</v>
      </c>
      <c r="E12" s="32" t="n">
        <f aca="false">E10+E11</f>
        <v>4.25</v>
      </c>
      <c r="F12" s="32" t="n">
        <f aca="false">F10+F11</f>
        <v>4.625</v>
      </c>
      <c r="G12" s="32" t="n">
        <f aca="false">G10+G11</f>
        <v>4.375</v>
      </c>
      <c r="H12" s="32" t="n">
        <f aca="false">H10+H11</f>
        <v>2.25</v>
      </c>
      <c r="I12" s="32" t="n">
        <f aca="false">I10+I11</f>
        <v>2.625</v>
      </c>
      <c r="J12" s="32" t="n">
        <f aca="false">J10+J11</f>
        <v>3</v>
      </c>
      <c r="K12" s="32" t="n">
        <f aca="false">K10+K11</f>
        <v>3</v>
      </c>
      <c r="L12" s="32" t="n">
        <f aca="false">L10+L11</f>
        <v>3</v>
      </c>
    </row>
    <row r="13" customFormat="false" ht="15" hidden="false" customHeight="false" outlineLevel="0" collapsed="false">
      <c r="A13" s="6"/>
      <c r="B13" s="11" t="s">
        <v>273</v>
      </c>
      <c r="C13" s="12" t="n">
        <f aca="false">Open_PPE_AccDep</f>
        <v>10</v>
      </c>
      <c r="D13" s="12" t="n">
        <f aca="false">C14</f>
        <v>13.5</v>
      </c>
      <c r="E13" s="12" t="n">
        <f aca="false">D14</f>
        <v>17.375</v>
      </c>
      <c r="F13" s="12" t="n">
        <f aca="false">E14</f>
        <v>21.625</v>
      </c>
      <c r="G13" s="12" t="n">
        <f aca="false">F14</f>
        <v>26.25</v>
      </c>
      <c r="H13" s="12" t="n">
        <f aca="false">G14</f>
        <v>30.625</v>
      </c>
      <c r="I13" s="12" t="n">
        <f aca="false">H14</f>
        <v>32.875</v>
      </c>
      <c r="J13" s="12" t="n">
        <f aca="false">I14</f>
        <v>35.5</v>
      </c>
      <c r="K13" s="12" t="n">
        <f aca="false">J14</f>
        <v>38.5</v>
      </c>
      <c r="L13" s="12" t="n">
        <f aca="false">K14</f>
        <v>41.5</v>
      </c>
    </row>
    <row r="14" customFormat="false" ht="15" hidden="false" customHeight="false" outlineLevel="0" collapsed="false">
      <c r="A14" s="6"/>
      <c r="B14" s="31" t="s">
        <v>274</v>
      </c>
      <c r="C14" s="32" t="n">
        <f aca="false">C13+C12</f>
        <v>13.5</v>
      </c>
      <c r="D14" s="32" t="n">
        <f aca="false">D13+D12</f>
        <v>17.375</v>
      </c>
      <c r="E14" s="32" t="n">
        <f aca="false">E13+E12</f>
        <v>21.625</v>
      </c>
      <c r="F14" s="32" t="n">
        <f aca="false">F13+F12</f>
        <v>26.25</v>
      </c>
      <c r="G14" s="32" t="n">
        <f aca="false">G13+G12</f>
        <v>30.625</v>
      </c>
      <c r="H14" s="32" t="n">
        <f aca="false">H13+H12</f>
        <v>32.875</v>
      </c>
      <c r="I14" s="32" t="n">
        <f aca="false">I13+I12</f>
        <v>35.5</v>
      </c>
      <c r="J14" s="32" t="n">
        <f aca="false">J13+J12</f>
        <v>38.5</v>
      </c>
      <c r="K14" s="32" t="n">
        <f aca="false">K13+K12</f>
        <v>41.5</v>
      </c>
      <c r="L14" s="32" t="n">
        <f aca="false">L13+L12</f>
        <v>44.5</v>
      </c>
    </row>
    <row r="15" customFormat="false" ht="15" hidden="false" customHeight="false" outlineLevel="0" collapsed="false">
      <c r="A15" s="6"/>
      <c r="B15" s="33" t="s">
        <v>275</v>
      </c>
      <c r="C15" s="14" t="n">
        <f aca="false">C8-C14</f>
        <v>14.5</v>
      </c>
      <c r="D15" s="14" t="n">
        <f aca="false">D8-D14</f>
        <v>13.625</v>
      </c>
      <c r="E15" s="14" t="n">
        <f aca="false">E8-E14</f>
        <v>12.375</v>
      </c>
      <c r="F15" s="14" t="n">
        <f aca="false">F8-F14</f>
        <v>10.75</v>
      </c>
      <c r="G15" s="14" t="n">
        <f aca="false">G8-G14</f>
        <v>9.375</v>
      </c>
      <c r="H15" s="14" t="n">
        <f aca="false">H8-H14</f>
        <v>10.125</v>
      </c>
      <c r="I15" s="14" t="n">
        <f aca="false">I8-I14</f>
        <v>10.5</v>
      </c>
      <c r="J15" s="14" t="n">
        <f aca="false">J8-J14</f>
        <v>10.5</v>
      </c>
      <c r="K15" s="14" t="n">
        <f aca="false">K8-K14</f>
        <v>10.5</v>
      </c>
      <c r="L15" s="14" t="n">
        <f aca="false">L8-L14</f>
        <v>10.5</v>
      </c>
    </row>
    <row r="16" customFormat="false" ht="15" hidden="false" customHeight="false" outlineLevel="0" collapsed="false">
      <c r="A16" s="6"/>
      <c r="B16" s="6"/>
      <c r="C16" s="6"/>
      <c r="D16" s="6"/>
      <c r="E16" s="6"/>
      <c r="F16" s="6"/>
      <c r="G16" s="6"/>
      <c r="H16" s="6"/>
      <c r="I16" s="6"/>
      <c r="J16" s="6"/>
      <c r="K16" s="6"/>
      <c r="L16" s="6"/>
    </row>
    <row r="17" customFormat="false" ht="15" hidden="false" customHeight="false" outlineLevel="0" collapsed="false">
      <c r="A17" s="6"/>
      <c r="B17" s="11" t="s">
        <v>276</v>
      </c>
      <c r="C17" s="12" t="n">
        <f aca="false">Open_Intang_Gross-Open_Intang_AccAmort</f>
        <v>60</v>
      </c>
      <c r="D17" s="12" t="n">
        <f aca="false">C19</f>
        <v>52</v>
      </c>
      <c r="E17" s="12" t="n">
        <f aca="false">D19</f>
        <v>44</v>
      </c>
      <c r="F17" s="12" t="n">
        <f aca="false">E19</f>
        <v>36</v>
      </c>
      <c r="G17" s="12" t="n">
        <f aca="false">F19</f>
        <v>28</v>
      </c>
      <c r="H17" s="12" t="n">
        <f aca="false">G19</f>
        <v>20</v>
      </c>
      <c r="I17" s="12" t="n">
        <f aca="false">H19</f>
        <v>12</v>
      </c>
      <c r="J17" s="12" t="n">
        <f aca="false">I19</f>
        <v>4</v>
      </c>
      <c r="K17" s="12" t="n">
        <f aca="false">J19</f>
        <v>0</v>
      </c>
      <c r="L17" s="12" t="n">
        <f aca="false">K19</f>
        <v>0</v>
      </c>
    </row>
    <row r="18" customFormat="false" ht="15" hidden="false" customHeight="false" outlineLevel="0" collapsed="false">
      <c r="A18" s="6"/>
      <c r="B18" s="11" t="s">
        <v>277</v>
      </c>
      <c r="C18" s="12" t="n">
        <f aca="false">MIN(Intang_Amort_Annual,C17)</f>
        <v>8</v>
      </c>
      <c r="D18" s="12" t="n">
        <f aca="false">MIN(Intang_Amort_Annual,D17)</f>
        <v>8</v>
      </c>
      <c r="E18" s="12" t="n">
        <f aca="false">MIN(Intang_Amort_Annual,E17)</f>
        <v>8</v>
      </c>
      <c r="F18" s="12" t="n">
        <f aca="false">MIN(Intang_Amort_Annual,F17)</f>
        <v>8</v>
      </c>
      <c r="G18" s="12" t="n">
        <f aca="false">MIN(Intang_Amort_Annual,G17)</f>
        <v>8</v>
      </c>
      <c r="H18" s="12" t="n">
        <f aca="false">MIN(Intang_Amort_Annual,H17)</f>
        <v>8</v>
      </c>
      <c r="I18" s="12" t="n">
        <f aca="false">MIN(Intang_Amort_Annual,I17)</f>
        <v>8</v>
      </c>
      <c r="J18" s="12" t="n">
        <f aca="false">MIN(Intang_Amort_Annual,J17)</f>
        <v>4</v>
      </c>
      <c r="K18" s="12" t="n">
        <f aca="false">MIN(Intang_Amort_Annual,K17)</f>
        <v>0</v>
      </c>
      <c r="L18" s="12" t="n">
        <f aca="false">MIN(Intang_Amort_Annual,L17)</f>
        <v>0</v>
      </c>
    </row>
    <row r="19" customFormat="false" ht="15" hidden="false" customHeight="false" outlineLevel="0" collapsed="false">
      <c r="A19" s="6"/>
      <c r="B19" s="31" t="s">
        <v>278</v>
      </c>
      <c r="C19" s="32" t="n">
        <f aca="false">C17-C18</f>
        <v>52</v>
      </c>
      <c r="D19" s="32" t="n">
        <f aca="false">D17-D18</f>
        <v>44</v>
      </c>
      <c r="E19" s="32" t="n">
        <f aca="false">E17-E18</f>
        <v>36</v>
      </c>
      <c r="F19" s="32" t="n">
        <f aca="false">F17-F18</f>
        <v>28</v>
      </c>
      <c r="G19" s="32" t="n">
        <f aca="false">G17-G18</f>
        <v>20</v>
      </c>
      <c r="H19" s="32" t="n">
        <f aca="false">H17-H18</f>
        <v>12</v>
      </c>
      <c r="I19" s="32" t="n">
        <f aca="false">I17-I18</f>
        <v>4</v>
      </c>
      <c r="J19" s="32" t="n">
        <f aca="false">J17-J18</f>
        <v>0</v>
      </c>
      <c r="K19" s="32" t="n">
        <f aca="false">K17-K18</f>
        <v>0</v>
      </c>
      <c r="L19" s="32" t="n">
        <f aca="false">L17-L18</f>
        <v>0</v>
      </c>
    </row>
    <row r="20" customFormat="false" ht="15" hidden="false" customHeight="false" outlineLevel="0" collapsed="false">
      <c r="A20" s="6"/>
      <c r="B20" s="6"/>
      <c r="C20" s="6"/>
      <c r="D20" s="6"/>
      <c r="E20" s="6"/>
      <c r="F20" s="6"/>
      <c r="G20" s="6"/>
      <c r="H20" s="6"/>
      <c r="I20" s="6"/>
      <c r="J20" s="6"/>
      <c r="K20" s="6"/>
      <c r="L20" s="6"/>
    </row>
    <row r="21" customFormat="false" ht="15" hidden="false" customHeight="false" outlineLevel="0" collapsed="false">
      <c r="A21" s="6"/>
      <c r="B21" s="33" t="s">
        <v>279</v>
      </c>
      <c r="C21" s="14" t="n">
        <f aca="false">C12+C18</f>
        <v>11.5</v>
      </c>
      <c r="D21" s="14" t="n">
        <f aca="false">D12+D18</f>
        <v>11.875</v>
      </c>
      <c r="E21" s="14" t="n">
        <f aca="false">E12+E18</f>
        <v>12.25</v>
      </c>
      <c r="F21" s="14" t="n">
        <f aca="false">F12+F18</f>
        <v>12.625</v>
      </c>
      <c r="G21" s="14" t="n">
        <f aca="false">G12+G18</f>
        <v>12.375</v>
      </c>
      <c r="H21" s="14" t="n">
        <f aca="false">H12+H18</f>
        <v>10.25</v>
      </c>
      <c r="I21" s="14" t="n">
        <f aca="false">I12+I18</f>
        <v>10.625</v>
      </c>
      <c r="J21" s="14" t="n">
        <f aca="false">J12+J18</f>
        <v>7</v>
      </c>
      <c r="K21" s="14" t="n">
        <f aca="false">K12+K18</f>
        <v>3</v>
      </c>
      <c r="L21" s="14" t="n">
        <f aca="false">L12+L18</f>
        <v>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12" min="3" style="0" width="13"/>
    <col collapsed="false" customWidth="true" hidden="false" outlineLevel="0" max="13" min="13" style="0" width="4"/>
    <col collapsed="false" customWidth="true" hidden="false" outlineLevel="0" max="14" min="14" style="0" width="16"/>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280</v>
      </c>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281</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28" t="s">
        <v>224</v>
      </c>
      <c r="C4" s="29" t="n">
        <v>1</v>
      </c>
      <c r="D4" s="29" t="n">
        <v>2</v>
      </c>
      <c r="E4" s="29" t="n">
        <v>3</v>
      </c>
      <c r="F4" s="29" t="n">
        <v>4</v>
      </c>
      <c r="G4" s="29" t="n">
        <v>5</v>
      </c>
      <c r="H4" s="29" t="n">
        <v>6</v>
      </c>
      <c r="I4" s="29" t="n">
        <v>7</v>
      </c>
      <c r="J4" s="29" t="n">
        <v>8</v>
      </c>
      <c r="K4" s="29" t="n">
        <v>9</v>
      </c>
      <c r="L4" s="29" t="n">
        <v>10</v>
      </c>
    </row>
    <row r="5" customFormat="false" ht="15" hidden="false" customHeight="false" outlineLevel="0" collapsed="false">
      <c r="A5" s="6"/>
      <c r="B5" s="6"/>
      <c r="C5" s="6"/>
      <c r="D5" s="6"/>
      <c r="E5" s="6"/>
      <c r="F5" s="6"/>
      <c r="G5" s="6"/>
      <c r="H5" s="6"/>
      <c r="I5" s="6"/>
      <c r="J5" s="6"/>
      <c r="K5" s="6"/>
      <c r="L5" s="6"/>
    </row>
    <row r="6" customFormat="false" ht="15" hidden="false" customHeight="false" outlineLevel="0" collapsed="false">
      <c r="A6" s="6"/>
      <c r="B6" s="11" t="s">
        <v>282</v>
      </c>
      <c r="C6" s="12" t="n">
        <f aca="false">Deal_Portfolio!C50</f>
        <v>100</v>
      </c>
      <c r="D6" s="12" t="n">
        <f aca="false">Deal_Portfolio!D50</f>
        <v>107.4</v>
      </c>
      <c r="E6" s="12" t="n">
        <f aca="false">Deal_Portfolio!E50</f>
        <v>174.362</v>
      </c>
      <c r="F6" s="12" t="n">
        <f aca="false">Deal_Portfolio!F50</f>
        <v>169.31794</v>
      </c>
      <c r="G6" s="12" t="n">
        <f aca="false">Deal_Portfolio!G50</f>
        <v>170.2088002</v>
      </c>
      <c r="H6" s="12" t="n">
        <f aca="false">Deal_Portfolio!H50</f>
        <v>74.33541045</v>
      </c>
      <c r="I6" s="12" t="n">
        <f aca="false">Deal_Portfolio!I50</f>
        <v>55.4503355325</v>
      </c>
      <c r="J6" s="12" t="n">
        <f aca="false">Deal_Portfolio!J50</f>
        <v>58.714654357125</v>
      </c>
      <c r="K6" s="12" t="n">
        <f aca="false">Deal_Portfolio!K50</f>
        <v>71.6583985085813</v>
      </c>
      <c r="L6" s="12" t="n">
        <f aca="false">Deal_Portfolio!L50</f>
        <v>72.3499358125303</v>
      </c>
    </row>
    <row r="7" customFormat="false" ht="15" hidden="false" customHeight="false" outlineLevel="0" collapsed="false">
      <c r="A7" s="6"/>
      <c r="B7" s="11" t="s">
        <v>283</v>
      </c>
      <c r="C7" s="12" t="n">
        <f aca="false">Deal_Portfolio!C52</f>
        <v>0</v>
      </c>
      <c r="D7" s="12" t="n">
        <f aca="false">Deal_Portfolio!D52</f>
        <v>0</v>
      </c>
      <c r="E7" s="12" t="n">
        <f aca="false">Deal_Portfolio!E52</f>
        <v>59</v>
      </c>
      <c r="F7" s="12" t="n">
        <f aca="false">Deal_Portfolio!F52</f>
        <v>45</v>
      </c>
      <c r="G7" s="12" t="n">
        <f aca="false">Deal_Portfolio!G52</f>
        <v>20.4</v>
      </c>
      <c r="H7" s="12" t="n">
        <f aca="false">Deal_Portfolio!H52</f>
        <v>6.3</v>
      </c>
      <c r="I7" s="12" t="n">
        <f aca="false">Deal_Portfolio!I52</f>
        <v>0</v>
      </c>
      <c r="J7" s="12" t="n">
        <f aca="false">Deal_Portfolio!J52</f>
        <v>0</v>
      </c>
      <c r="K7" s="12" t="n">
        <f aca="false">Deal_Portfolio!K52</f>
        <v>7.56</v>
      </c>
      <c r="L7" s="12" t="n">
        <f aca="false">Deal_Portfolio!L52</f>
        <v>5.355</v>
      </c>
    </row>
    <row r="8" customFormat="false" ht="15" hidden="false" customHeight="false" outlineLevel="0" collapsed="false">
      <c r="A8" s="6"/>
      <c r="B8" s="11" t="s">
        <v>284</v>
      </c>
      <c r="C8" s="12" t="n">
        <f aca="false">OpEx_Schedule!C12+Deal_Portfolio!C51*COGS_3rd_Party_Royalty_Pct+Patent_Maintenance_Base*(1+Inflation_Rate)^(C4-1)</f>
        <v>65.2</v>
      </c>
      <c r="D8" s="12" t="n">
        <f aca="false">OpEx_Schedule!D12+Deal_Portfolio!D51*COGS_3rd_Party_Royalty_Pct+Patent_Maintenance_Base*(1+Inflation_Rate)^(D4-1)</f>
        <v>68.196</v>
      </c>
      <c r="E8" s="12" t="n">
        <f aca="false">OpEx_Schedule!E12+Deal_Portfolio!E51*COGS_3rd_Party_Royalty_Pct+Patent_Maintenance_Base*(1+Inflation_Rate)^(E4-1)</f>
        <v>71.34278</v>
      </c>
      <c r="F8" s="12" t="n">
        <f aca="false">OpEx_Schedule!F12+Deal_Portfolio!F51*COGS_3rd_Party_Royalty_Pct+Patent_Maintenance_Base*(1+Inflation_Rate)^(F4-1)</f>
        <v>74.6543061</v>
      </c>
      <c r="G8" s="12" t="n">
        <f aca="false">OpEx_Schedule!G12+Deal_Portfolio!G51*COGS_3rd_Party_Royalty_Pct+Patent_Maintenance_Base*(1+Inflation_Rate)^(G4-1)</f>
        <v>78.3715913105</v>
      </c>
      <c r="H8" s="12" t="n">
        <f aca="false">OpEx_Schedule!H12+Deal_Portfolio!H51*COGS_3rd_Party_Royalty_Pct+Patent_Maintenance_Base*(1+Inflation_Rate)^(H4-1)</f>
        <v>80.6459809385625</v>
      </c>
      <c r="I8" s="12" t="n">
        <f aca="false">OpEx_Schedule!I12+Deal_Portfolio!I51*COGS_3rd_Party_Royalty_Pct+Patent_Maintenance_Base*(1+Inflation_Rate)^(I4-1)</f>
        <v>84.1330554490376</v>
      </c>
      <c r="J8" s="12" t="n">
        <f aca="false">OpEx_Schedule!J12+Deal_Portfolio!J51*COGS_3rd_Party_Royalty_Pct+Patent_Maintenance_Base*(1+Inflation_Rate)^(J4-1)</f>
        <v>88.0420081500371</v>
      </c>
      <c r="K8" s="12" t="n">
        <f aca="false">OpEx_Schedule!K12+Deal_Portfolio!K51*COGS_3rd_Party_Royalty_Pct+Patent_Maintenance_Base*(1+Inflation_Rate)^(K4-1)</f>
        <v>92.1766792667398</v>
      </c>
      <c r="L8" s="12" t="n">
        <f aca="false">OpEx_Schedule!L12+Deal_Portfolio!L51*COGS_3rd_Party_Royalty_Pct+Patent_Maintenance_Base*(1+Inflation_Rate)^(L4-1)</f>
        <v>96.4783007758003</v>
      </c>
    </row>
    <row r="9" customFormat="false" ht="15" hidden="false" customHeight="false" outlineLevel="0" collapsed="false">
      <c r="A9" s="6"/>
      <c r="B9" s="6"/>
      <c r="C9" s="6"/>
      <c r="D9" s="6"/>
      <c r="E9" s="6"/>
      <c r="F9" s="6"/>
      <c r="G9" s="6"/>
      <c r="H9" s="6"/>
      <c r="I9" s="6"/>
      <c r="J9" s="6"/>
      <c r="K9" s="6"/>
      <c r="L9" s="6"/>
    </row>
    <row r="10" customFormat="false" ht="15" hidden="false" customHeight="false" outlineLevel="0" collapsed="false">
      <c r="A10" s="6"/>
      <c r="B10" s="11" t="s">
        <v>285</v>
      </c>
      <c r="C10" s="12" t="n">
        <f aca="false">Open_AR</f>
        <v>45</v>
      </c>
      <c r="D10" s="12" t="n">
        <f aca="false">C11</f>
        <v>20.5479452054795</v>
      </c>
      <c r="E10" s="12" t="n">
        <f aca="false">D11</f>
        <v>22.0684931506849</v>
      </c>
      <c r="F10" s="12" t="n">
        <f aca="false">E11</f>
        <v>45.5264383561644</v>
      </c>
      <c r="G10" s="12" t="n">
        <f aca="false">F11</f>
        <v>42.1886178082192</v>
      </c>
      <c r="H10" s="12" t="n">
        <f aca="false">G11</f>
        <v>38.3278356575343</v>
      </c>
      <c r="I10" s="12" t="n">
        <f aca="false">H11</f>
        <v>16.3100158458904</v>
      </c>
      <c r="J10" s="12" t="n">
        <f aca="false">I11</f>
        <v>11.3939045614726</v>
      </c>
      <c r="K10" s="12" t="n">
        <f aca="false">J11</f>
        <v>12.0646550048887</v>
      </c>
      <c r="L10" s="12" t="n">
        <f aca="false">K11</f>
        <v>15.9670681866948</v>
      </c>
    </row>
    <row r="11" customFormat="false" ht="15" hidden="false" customHeight="false" outlineLevel="0" collapsed="false">
      <c r="A11" s="6"/>
      <c r="B11" s="31" t="s">
        <v>286</v>
      </c>
      <c r="C11" s="32" t="n">
        <f aca="false">C6*AR_Days/365+C7*Milestone_Lag_Days/365</f>
        <v>20.5479452054795</v>
      </c>
      <c r="D11" s="32" t="n">
        <f aca="false">D6*AR_Days/365+D7*Milestone_Lag_Days/365</f>
        <v>22.0684931506849</v>
      </c>
      <c r="E11" s="32" t="n">
        <f aca="false">E6*AR_Days/365+E7*Milestone_Lag_Days/365</f>
        <v>45.5264383561644</v>
      </c>
      <c r="F11" s="32" t="n">
        <f aca="false">F6*AR_Days/365+F7*Milestone_Lag_Days/365</f>
        <v>42.1886178082192</v>
      </c>
      <c r="G11" s="32" t="n">
        <f aca="false">G6*AR_Days/365+G7*Milestone_Lag_Days/365</f>
        <v>38.3278356575343</v>
      </c>
      <c r="H11" s="32" t="n">
        <f aca="false">H6*AR_Days/365+H7*Milestone_Lag_Days/365</f>
        <v>16.3100158458904</v>
      </c>
      <c r="I11" s="32" t="n">
        <f aca="false">I6*AR_Days/365+I7*Milestone_Lag_Days/365</f>
        <v>11.3939045614726</v>
      </c>
      <c r="J11" s="32" t="n">
        <f aca="false">J6*AR_Days/365+J7*Milestone_Lag_Days/365</f>
        <v>12.0646550048887</v>
      </c>
      <c r="K11" s="32" t="n">
        <f aca="false">K6*AR_Days/365+K7*Milestone_Lag_Days/365</f>
        <v>15.9670681866948</v>
      </c>
      <c r="L11" s="32" t="n">
        <f aca="false">L6*AR_Days/365+L7*Milestone_Lag_Days/365</f>
        <v>15.746699139561</v>
      </c>
    </row>
    <row r="12" customFormat="false" ht="15" hidden="false" customHeight="false" outlineLevel="0" collapsed="false">
      <c r="A12" s="6"/>
      <c r="B12" s="11" t="s">
        <v>287</v>
      </c>
      <c r="C12" s="12" t="n">
        <f aca="false">C11-C10</f>
        <v>-24.4520547945206</v>
      </c>
      <c r="D12" s="12" t="n">
        <f aca="false">D11-D10</f>
        <v>1.52054794520548</v>
      </c>
      <c r="E12" s="12" t="n">
        <f aca="false">E11-E10</f>
        <v>23.4579452054795</v>
      </c>
      <c r="F12" s="12" t="n">
        <f aca="false">F11-F10</f>
        <v>-3.3378205479452</v>
      </c>
      <c r="G12" s="12" t="n">
        <f aca="false">G11-G10</f>
        <v>-3.86078215068493</v>
      </c>
      <c r="H12" s="12" t="n">
        <f aca="false">H11-H10</f>
        <v>-22.0178198116438</v>
      </c>
      <c r="I12" s="12" t="n">
        <f aca="false">I11-I10</f>
        <v>-4.91611128441781</v>
      </c>
      <c r="J12" s="12" t="n">
        <f aca="false">J11-J10</f>
        <v>0.670750443416097</v>
      </c>
      <c r="K12" s="12" t="n">
        <f aca="false">K11-K10</f>
        <v>3.90241318180608</v>
      </c>
      <c r="L12" s="12" t="n">
        <f aca="false">L11-L10</f>
        <v>-0.220369047133749</v>
      </c>
    </row>
    <row r="13" customFormat="false" ht="15" hidden="false" customHeight="false" outlineLevel="0" collapsed="false">
      <c r="A13" s="6"/>
      <c r="B13" s="6"/>
      <c r="C13" s="6"/>
      <c r="D13" s="6"/>
      <c r="E13" s="6"/>
      <c r="F13" s="6"/>
      <c r="G13" s="6"/>
      <c r="H13" s="6"/>
      <c r="I13" s="6"/>
      <c r="J13" s="6"/>
      <c r="K13" s="6"/>
      <c r="L13" s="6"/>
    </row>
    <row r="14" customFormat="false" ht="15" hidden="false" customHeight="false" outlineLevel="0" collapsed="false">
      <c r="A14" s="6"/>
      <c r="B14" s="11" t="s">
        <v>288</v>
      </c>
      <c r="C14" s="12" t="n">
        <f aca="false">Open_AP</f>
        <v>8</v>
      </c>
      <c r="D14" s="12" t="n">
        <f aca="false">C15</f>
        <v>8.03835616438356</v>
      </c>
      <c r="E14" s="12" t="n">
        <f aca="false">D15</f>
        <v>8.40772602739726</v>
      </c>
      <c r="F14" s="12" t="n">
        <f aca="false">E15</f>
        <v>8.79568520547945</v>
      </c>
      <c r="G14" s="12" t="n">
        <f aca="false">F15</f>
        <v>9.20395554657534</v>
      </c>
      <c r="H14" s="12" t="n">
        <f aca="false">G15</f>
        <v>9.6622509834863</v>
      </c>
      <c r="I14" s="12" t="n">
        <f aca="false">H15</f>
        <v>9.94265518420634</v>
      </c>
      <c r="J14" s="12" t="n">
        <f aca="false">I15</f>
        <v>10.3725684800183</v>
      </c>
      <c r="K14" s="12" t="n">
        <f aca="false">J15</f>
        <v>10.854494155484</v>
      </c>
      <c r="L14" s="12" t="n">
        <f aca="false">K15</f>
        <v>11.3642481287761</v>
      </c>
    </row>
    <row r="15" customFormat="false" ht="15" hidden="false" customHeight="false" outlineLevel="0" collapsed="false">
      <c r="A15" s="6"/>
      <c r="B15" s="31" t="s">
        <v>289</v>
      </c>
      <c r="C15" s="32" t="n">
        <f aca="false">C8*AP_Days/365</f>
        <v>8.03835616438356</v>
      </c>
      <c r="D15" s="32" t="n">
        <f aca="false">D8*AP_Days/365</f>
        <v>8.40772602739726</v>
      </c>
      <c r="E15" s="32" t="n">
        <f aca="false">E8*AP_Days/365</f>
        <v>8.79568520547945</v>
      </c>
      <c r="F15" s="32" t="n">
        <f aca="false">F8*AP_Days/365</f>
        <v>9.20395554657534</v>
      </c>
      <c r="G15" s="32" t="n">
        <f aca="false">G8*AP_Days/365</f>
        <v>9.6622509834863</v>
      </c>
      <c r="H15" s="32" t="n">
        <f aca="false">H8*AP_Days/365</f>
        <v>9.94265518420634</v>
      </c>
      <c r="I15" s="32" t="n">
        <f aca="false">I8*AP_Days/365</f>
        <v>10.3725684800183</v>
      </c>
      <c r="J15" s="32" t="n">
        <f aca="false">J8*AP_Days/365</f>
        <v>10.854494155484</v>
      </c>
      <c r="K15" s="32" t="n">
        <f aca="false">K8*AP_Days/365</f>
        <v>11.3642481287761</v>
      </c>
      <c r="L15" s="32" t="n">
        <f aca="false">L8*AP_Days/365</f>
        <v>11.8945850271535</v>
      </c>
    </row>
    <row r="16" customFormat="false" ht="15" hidden="false" customHeight="false" outlineLevel="0" collapsed="false">
      <c r="A16" s="6"/>
      <c r="B16" s="11" t="s">
        <v>290</v>
      </c>
      <c r="C16" s="12" t="n">
        <f aca="false">C15-C14</f>
        <v>0.0383561643835613</v>
      </c>
      <c r="D16" s="12" t="n">
        <f aca="false">D15-D14</f>
        <v>0.369369863013699</v>
      </c>
      <c r="E16" s="12" t="n">
        <f aca="false">E15-E14</f>
        <v>0.387959178082193</v>
      </c>
      <c r="F16" s="12" t="n">
        <f aca="false">F15-F14</f>
        <v>0.408270341095889</v>
      </c>
      <c r="G16" s="12" t="n">
        <f aca="false">G15-G14</f>
        <v>0.45829543691096</v>
      </c>
      <c r="H16" s="12" t="n">
        <f aca="false">H15-H14</f>
        <v>0.280404200720033</v>
      </c>
      <c r="I16" s="12" t="n">
        <f aca="false">I15-I14</f>
        <v>0.429913295811994</v>
      </c>
      <c r="J16" s="12" t="n">
        <f aca="false">J15-J14</f>
        <v>0.481925675465694</v>
      </c>
      <c r="K16" s="12" t="n">
        <f aca="false">K15-K14</f>
        <v>0.509753973292114</v>
      </c>
      <c r="L16" s="12" t="n">
        <f aca="false">L15-L14</f>
        <v>0.530336898377321</v>
      </c>
    </row>
    <row r="17" customFormat="false" ht="15" hidden="false" customHeight="false" outlineLevel="0" collapsed="false">
      <c r="A17" s="6"/>
      <c r="B17" s="6"/>
      <c r="C17" s="6"/>
      <c r="D17" s="6"/>
      <c r="E17" s="6"/>
      <c r="F17" s="6"/>
      <c r="G17" s="6"/>
      <c r="H17" s="6"/>
      <c r="I17" s="6"/>
      <c r="J17" s="6"/>
      <c r="K17" s="6"/>
      <c r="L17" s="6"/>
    </row>
    <row r="18" customFormat="false" ht="15" hidden="false" customHeight="false" outlineLevel="0" collapsed="false">
      <c r="A18" s="6"/>
      <c r="B18" s="11" t="s">
        <v>291</v>
      </c>
      <c r="C18" s="12" t="n">
        <f aca="false">0</f>
        <v>0</v>
      </c>
      <c r="D18" s="12" t="n">
        <f aca="false">C19</f>
        <v>0.8</v>
      </c>
      <c r="E18" s="12" t="n">
        <f aca="false">D19</f>
        <v>0.864</v>
      </c>
      <c r="F18" s="12" t="n">
        <f aca="false">E19</f>
        <v>0.93312</v>
      </c>
      <c r="G18" s="12" t="n">
        <f aca="false">F19</f>
        <v>1.0116544</v>
      </c>
      <c r="H18" s="12" t="n">
        <f aca="false">G19</f>
        <v>1.254986752</v>
      </c>
      <c r="I18" s="12" t="n">
        <f aca="false">H19</f>
        <v>0.425097792</v>
      </c>
      <c r="J18" s="12" t="n">
        <f aca="false">I19</f>
        <v>0.2864842272</v>
      </c>
      <c r="K18" s="12" t="n">
        <f aca="false">J19</f>
        <v>0.30572645904</v>
      </c>
      <c r="L18" s="12" t="n">
        <f aca="false">K19</f>
        <v>0.345492896328</v>
      </c>
    </row>
    <row r="19" customFormat="false" ht="15" hidden="false" customHeight="false" outlineLevel="0" collapsed="false">
      <c r="A19" s="6"/>
      <c r="B19" s="31" t="s">
        <v>292</v>
      </c>
      <c r="C19" s="32" t="n">
        <f aca="false">Deal_Portfolio!C51*Audit_Clawback_Pct</f>
        <v>0.8</v>
      </c>
      <c r="D19" s="32" t="n">
        <f aca="false">Deal_Portfolio!D51*Audit_Clawback_Pct</f>
        <v>0.864</v>
      </c>
      <c r="E19" s="32" t="n">
        <f aca="false">Deal_Portfolio!E51*Audit_Clawback_Pct</f>
        <v>0.93312</v>
      </c>
      <c r="F19" s="32" t="n">
        <f aca="false">Deal_Portfolio!F51*Audit_Clawback_Pct</f>
        <v>1.0116544</v>
      </c>
      <c r="G19" s="32" t="n">
        <f aca="false">Deal_Portfolio!G51*Audit_Clawback_Pct</f>
        <v>1.254986752</v>
      </c>
      <c r="H19" s="32" t="n">
        <f aca="false">Deal_Portfolio!H51*Audit_Clawback_Pct</f>
        <v>0.425097792</v>
      </c>
      <c r="I19" s="32" t="n">
        <f aca="false">Deal_Portfolio!I51*Audit_Clawback_Pct</f>
        <v>0.2864842272</v>
      </c>
      <c r="J19" s="32" t="n">
        <f aca="false">Deal_Portfolio!J51*Audit_Clawback_Pct</f>
        <v>0.30572645904</v>
      </c>
      <c r="K19" s="32" t="n">
        <f aca="false">Deal_Portfolio!K51*Audit_Clawback_Pct</f>
        <v>0.345492896328</v>
      </c>
      <c r="L19" s="32" t="n">
        <f aca="false">Deal_Portfolio!L51*Audit_Clawback_Pct</f>
        <v>0.3596837149296</v>
      </c>
    </row>
    <row r="20" customFormat="false" ht="15" hidden="false" customHeight="false" outlineLevel="0" collapsed="false">
      <c r="A20" s="6"/>
      <c r="B20" s="11" t="s">
        <v>293</v>
      </c>
      <c r="C20" s="12" t="n">
        <f aca="false">C19-C18</f>
        <v>0.8</v>
      </c>
      <c r="D20" s="12" t="n">
        <f aca="false">D19-D18</f>
        <v>0.0640000000000001</v>
      </c>
      <c r="E20" s="12" t="n">
        <f aca="false">E19-E18</f>
        <v>0.0691200000000001</v>
      </c>
      <c r="F20" s="12" t="n">
        <f aca="false">F19-F18</f>
        <v>0.0785344000000001</v>
      </c>
      <c r="G20" s="12" t="n">
        <f aca="false">G19-G18</f>
        <v>0.243332352</v>
      </c>
      <c r="H20" s="12" t="n">
        <f aca="false">H19-H18</f>
        <v>-0.82988896</v>
      </c>
      <c r="I20" s="12" t="n">
        <f aca="false">I19-I18</f>
        <v>-0.1386135648</v>
      </c>
      <c r="J20" s="12" t="n">
        <f aca="false">J19-J18</f>
        <v>0.01924223184</v>
      </c>
      <c r="K20" s="12" t="n">
        <f aca="false">K19-K18</f>
        <v>0.0397664372879999</v>
      </c>
      <c r="L20" s="12" t="n">
        <f aca="false">L19-L18</f>
        <v>0.0141908186016001</v>
      </c>
    </row>
    <row r="21" customFormat="false" ht="15" hidden="false" customHeight="false" outlineLevel="0" collapsed="false">
      <c r="A21" s="6"/>
      <c r="B21" s="6"/>
      <c r="C21" s="6"/>
      <c r="D21" s="6"/>
      <c r="E21" s="6"/>
      <c r="F21" s="6"/>
      <c r="G21" s="6"/>
      <c r="H21" s="6"/>
      <c r="I21" s="6"/>
      <c r="J21" s="6"/>
      <c r="K21" s="6"/>
      <c r="L21" s="6"/>
    </row>
    <row r="22" customFormat="false" ht="15" hidden="false" customHeight="false" outlineLevel="0" collapsed="false">
      <c r="A22" s="6"/>
      <c r="B22" s="33" t="s">
        <v>294</v>
      </c>
      <c r="C22" s="14" t="n">
        <f aca="false">C12-C16-C20</f>
        <v>-25.2904109589041</v>
      </c>
      <c r="D22" s="14" t="n">
        <f aca="false">D12-D16-D20</f>
        <v>1.08717808219178</v>
      </c>
      <c r="E22" s="14" t="n">
        <f aca="false">E12-E16-E20</f>
        <v>23.0008660273973</v>
      </c>
      <c r="F22" s="14" t="n">
        <f aca="false">F12-F16-F20</f>
        <v>-3.82462528904109</v>
      </c>
      <c r="G22" s="14" t="n">
        <f aca="false">G12-G16-G20</f>
        <v>-4.56240993959589</v>
      </c>
      <c r="H22" s="14" t="n">
        <f aca="false">H12-H16-H20</f>
        <v>-21.4683350523639</v>
      </c>
      <c r="I22" s="14" t="n">
        <f aca="false">I12-I16-I20</f>
        <v>-5.20741101542981</v>
      </c>
      <c r="J22" s="14" t="n">
        <f aca="false">J12-J16-J20</f>
        <v>0.169582536110402</v>
      </c>
      <c r="K22" s="14" t="n">
        <f aca="false">K12-K16-K20</f>
        <v>3.35289277122596</v>
      </c>
      <c r="L22" s="14" t="n">
        <f aca="false">L12-L16-L20</f>
        <v>-0.76489676411267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1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12" min="3" style="0" width="13"/>
    <col collapsed="false" customWidth="true" hidden="false" outlineLevel="0" max="13" min="13" style="0" width="4"/>
    <col collapsed="false" customWidth="true" hidden="false" outlineLevel="0" max="14" min="14" style="0" width="16"/>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295</v>
      </c>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296</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28" t="s">
        <v>224</v>
      </c>
      <c r="C4" s="29" t="n">
        <v>1</v>
      </c>
      <c r="D4" s="29" t="n">
        <v>2</v>
      </c>
      <c r="E4" s="29" t="n">
        <v>3</v>
      </c>
      <c r="F4" s="29" t="n">
        <v>4</v>
      </c>
      <c r="G4" s="29" t="n">
        <v>5</v>
      </c>
      <c r="H4" s="29" t="n">
        <v>6</v>
      </c>
      <c r="I4" s="29" t="n">
        <v>7</v>
      </c>
      <c r="J4" s="29" t="n">
        <v>8</v>
      </c>
      <c r="K4" s="29" t="n">
        <v>9</v>
      </c>
      <c r="L4" s="29" t="n">
        <v>10</v>
      </c>
    </row>
    <row r="5" customFormat="false" ht="15" hidden="false" customHeight="false" outlineLevel="0" collapsed="false">
      <c r="A5" s="6"/>
      <c r="B5" s="6"/>
      <c r="C5" s="6"/>
      <c r="D5" s="6"/>
      <c r="E5" s="6"/>
      <c r="F5" s="6"/>
      <c r="G5" s="6"/>
      <c r="H5" s="6"/>
      <c r="I5" s="6"/>
      <c r="J5" s="6"/>
      <c r="K5" s="6"/>
      <c r="L5" s="6"/>
    </row>
    <row r="6" customFormat="false" ht="15" hidden="false" customHeight="false" outlineLevel="0" collapsed="false">
      <c r="A6" s="6"/>
      <c r="B6" s="11" t="s">
        <v>193</v>
      </c>
      <c r="C6" s="12" t="n">
        <f aca="false">Open_Debt</f>
        <v>0</v>
      </c>
      <c r="D6" s="12" t="n">
        <f aca="false">C9</f>
        <v>0</v>
      </c>
      <c r="E6" s="12" t="n">
        <f aca="false">D9</f>
        <v>0</v>
      </c>
      <c r="F6" s="12" t="n">
        <f aca="false">E9</f>
        <v>0</v>
      </c>
      <c r="G6" s="12" t="n">
        <f aca="false">F9</f>
        <v>0</v>
      </c>
      <c r="H6" s="12" t="n">
        <f aca="false">G9</f>
        <v>0</v>
      </c>
      <c r="I6" s="12" t="n">
        <f aca="false">H9</f>
        <v>0</v>
      </c>
      <c r="J6" s="12" t="n">
        <f aca="false">I9</f>
        <v>0</v>
      </c>
      <c r="K6" s="12" t="n">
        <f aca="false">J9</f>
        <v>0</v>
      </c>
      <c r="L6" s="12" t="n">
        <f aca="false">K9</f>
        <v>0</v>
      </c>
    </row>
    <row r="7" customFormat="false" ht="15" hidden="false" customHeight="false" outlineLevel="0" collapsed="false">
      <c r="A7" s="6"/>
      <c r="B7" s="11" t="s">
        <v>297</v>
      </c>
      <c r="C7" s="12" t="n">
        <f aca="false">0</f>
        <v>0</v>
      </c>
      <c r="D7" s="12" t="n">
        <f aca="false">0</f>
        <v>0</v>
      </c>
      <c r="E7" s="12" t="n">
        <f aca="false">0</f>
        <v>0</v>
      </c>
      <c r="F7" s="12" t="n">
        <f aca="false">0</f>
        <v>0</v>
      </c>
      <c r="G7" s="12" t="n">
        <f aca="false">0</f>
        <v>0</v>
      </c>
      <c r="H7" s="12" t="n">
        <f aca="false">0</f>
        <v>0</v>
      </c>
      <c r="I7" s="12" t="n">
        <f aca="false">0</f>
        <v>0</v>
      </c>
      <c r="J7" s="12" t="n">
        <f aca="false">0</f>
        <v>0</v>
      </c>
      <c r="K7" s="12" t="n">
        <f aca="false">0</f>
        <v>0</v>
      </c>
      <c r="L7" s="12" t="n">
        <f aca="false">0</f>
        <v>0</v>
      </c>
    </row>
    <row r="8" customFormat="false" ht="15" hidden="false" customHeight="false" outlineLevel="0" collapsed="false">
      <c r="A8" s="6"/>
      <c r="B8" s="11" t="s">
        <v>298</v>
      </c>
      <c r="C8" s="12" t="n">
        <f aca="false">0</f>
        <v>0</v>
      </c>
      <c r="D8" s="12" t="n">
        <f aca="false">0</f>
        <v>0</v>
      </c>
      <c r="E8" s="12" t="n">
        <f aca="false">0</f>
        <v>0</v>
      </c>
      <c r="F8" s="12" t="n">
        <f aca="false">0</f>
        <v>0</v>
      </c>
      <c r="G8" s="12" t="n">
        <f aca="false">0</f>
        <v>0</v>
      </c>
      <c r="H8" s="12" t="n">
        <f aca="false">0</f>
        <v>0</v>
      </c>
      <c r="I8" s="12" t="n">
        <f aca="false">0</f>
        <v>0</v>
      </c>
      <c r="J8" s="12" t="n">
        <f aca="false">0</f>
        <v>0</v>
      </c>
      <c r="K8" s="12" t="n">
        <f aca="false">0</f>
        <v>0</v>
      </c>
      <c r="L8" s="12" t="n">
        <f aca="false">0</f>
        <v>0</v>
      </c>
    </row>
    <row r="9" customFormat="false" ht="15" hidden="false" customHeight="false" outlineLevel="0" collapsed="false">
      <c r="A9" s="6"/>
      <c r="B9" s="31" t="s">
        <v>299</v>
      </c>
      <c r="C9" s="32" t="n">
        <f aca="false">C6+C7-C8</f>
        <v>0</v>
      </c>
      <c r="D9" s="32" t="n">
        <f aca="false">D6+D7-D8</f>
        <v>0</v>
      </c>
      <c r="E9" s="32" t="n">
        <f aca="false">E6+E7-E8</f>
        <v>0</v>
      </c>
      <c r="F9" s="32" t="n">
        <f aca="false">F6+F7-F8</f>
        <v>0</v>
      </c>
      <c r="G9" s="32" t="n">
        <f aca="false">G6+G7-G8</f>
        <v>0</v>
      </c>
      <c r="H9" s="32" t="n">
        <f aca="false">H6+H7-H8</f>
        <v>0</v>
      </c>
      <c r="I9" s="32" t="n">
        <f aca="false">I6+I7-I8</f>
        <v>0</v>
      </c>
      <c r="J9" s="32" t="n">
        <f aca="false">J6+J7-J8</f>
        <v>0</v>
      </c>
      <c r="K9" s="32" t="n">
        <f aca="false">K6+K7-K8</f>
        <v>0</v>
      </c>
      <c r="L9" s="32" t="n">
        <f aca="false">L6+L7-L8</f>
        <v>0</v>
      </c>
    </row>
    <row r="10" customFormat="false" ht="15" hidden="false" customHeight="false" outlineLevel="0" collapsed="false">
      <c r="A10" s="6"/>
      <c r="B10" s="6"/>
      <c r="C10" s="6"/>
      <c r="D10" s="6"/>
      <c r="E10" s="6"/>
      <c r="F10" s="6"/>
      <c r="G10" s="6"/>
      <c r="H10" s="6"/>
      <c r="I10" s="6"/>
      <c r="J10" s="6"/>
      <c r="K10" s="6"/>
      <c r="L10" s="6"/>
    </row>
    <row r="11" customFormat="false" ht="15" hidden="false" customHeight="false" outlineLevel="0" collapsed="false">
      <c r="A11" s="6"/>
      <c r="B11" s="11" t="s">
        <v>300</v>
      </c>
      <c r="C11" s="12" t="n">
        <f aca="false">0</f>
        <v>0</v>
      </c>
      <c r="D11" s="12" t="n">
        <f aca="false">0</f>
        <v>0</v>
      </c>
      <c r="E11" s="12" t="n">
        <f aca="false">0</f>
        <v>0</v>
      </c>
      <c r="F11" s="12" t="n">
        <f aca="false">0</f>
        <v>0</v>
      </c>
      <c r="G11" s="12" t="n">
        <f aca="false">0</f>
        <v>0</v>
      </c>
      <c r="H11" s="12" t="n">
        <f aca="false">0</f>
        <v>0</v>
      </c>
      <c r="I11" s="12" t="n">
        <f aca="false">0</f>
        <v>0</v>
      </c>
      <c r="J11" s="12" t="n">
        <f aca="false">0</f>
        <v>0</v>
      </c>
      <c r="K11" s="12" t="n">
        <f aca="false">0</f>
        <v>0</v>
      </c>
      <c r="L11" s="12" t="n">
        <f aca="false">0</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12" min="3" style="0" width="13"/>
    <col collapsed="false" customWidth="true" hidden="false" outlineLevel="0" max="13" min="13" style="0" width="4"/>
    <col collapsed="false" customWidth="true" hidden="false" outlineLevel="0" max="14" min="14" style="0" width="16"/>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301</v>
      </c>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302</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28" t="s">
        <v>224</v>
      </c>
      <c r="C4" s="29" t="n">
        <v>1</v>
      </c>
      <c r="D4" s="29" t="n">
        <v>2</v>
      </c>
      <c r="E4" s="29" t="n">
        <v>3</v>
      </c>
      <c r="F4" s="29" t="n">
        <v>4</v>
      </c>
      <c r="G4" s="29" t="n">
        <v>5</v>
      </c>
      <c r="H4" s="29" t="n">
        <v>6</v>
      </c>
      <c r="I4" s="29" t="n">
        <v>7</v>
      </c>
      <c r="J4" s="29" t="n">
        <v>8</v>
      </c>
      <c r="K4" s="29" t="n">
        <v>9</v>
      </c>
      <c r="L4" s="29" t="n">
        <v>10</v>
      </c>
    </row>
    <row r="5" customFormat="false" ht="15" hidden="false" customHeight="false" outlineLevel="0" collapsed="false">
      <c r="A5" s="6"/>
      <c r="B5" s="6"/>
      <c r="C5" s="6"/>
      <c r="D5" s="6"/>
      <c r="E5" s="6"/>
      <c r="F5" s="6"/>
      <c r="G5" s="6"/>
      <c r="H5" s="6"/>
      <c r="I5" s="6"/>
      <c r="J5" s="6"/>
      <c r="K5" s="6"/>
      <c r="L5" s="6"/>
    </row>
    <row r="6" customFormat="false" ht="15" hidden="false" customHeight="false" outlineLevel="0" collapsed="false">
      <c r="A6" s="6"/>
      <c r="B6" s="7" t="s">
        <v>254</v>
      </c>
      <c r="C6" s="34" t="n">
        <f aca="false">Deal_Portfolio!C50</f>
        <v>100</v>
      </c>
      <c r="D6" s="34" t="n">
        <f aca="false">Deal_Portfolio!D50</f>
        <v>107.4</v>
      </c>
      <c r="E6" s="34" t="n">
        <f aca="false">Deal_Portfolio!E50</f>
        <v>174.362</v>
      </c>
      <c r="F6" s="34" t="n">
        <f aca="false">Deal_Portfolio!F50</f>
        <v>169.31794</v>
      </c>
      <c r="G6" s="34" t="n">
        <f aca="false">Deal_Portfolio!G50</f>
        <v>170.2088002</v>
      </c>
      <c r="H6" s="34" t="n">
        <f aca="false">Deal_Portfolio!H50</f>
        <v>74.33541045</v>
      </c>
      <c r="I6" s="34" t="n">
        <f aca="false">Deal_Portfolio!I50</f>
        <v>55.4503355325</v>
      </c>
      <c r="J6" s="34" t="n">
        <f aca="false">Deal_Portfolio!J50</f>
        <v>58.714654357125</v>
      </c>
      <c r="K6" s="34" t="n">
        <f aca="false">Deal_Portfolio!K50</f>
        <v>71.6583985085813</v>
      </c>
      <c r="L6" s="34" t="n">
        <f aca="false">Deal_Portfolio!L50</f>
        <v>72.3499358125303</v>
      </c>
    </row>
    <row r="7" customFormat="false" ht="15" hidden="false" customHeight="false" outlineLevel="0" collapsed="false">
      <c r="A7" s="6"/>
      <c r="B7" s="6"/>
      <c r="C7" s="6"/>
      <c r="D7" s="6"/>
      <c r="E7" s="6"/>
      <c r="F7" s="6"/>
      <c r="G7" s="6"/>
      <c r="H7" s="6"/>
      <c r="I7" s="6"/>
      <c r="J7" s="6"/>
      <c r="K7" s="6"/>
      <c r="L7" s="6"/>
    </row>
    <row r="8" customFormat="false" ht="15" hidden="false" customHeight="false" outlineLevel="0" collapsed="false">
      <c r="A8" s="6"/>
      <c r="B8" s="11" t="s">
        <v>303</v>
      </c>
      <c r="C8" s="12" t="n">
        <f aca="false">-Deal_Portfolio!C51*COGS_3rd_Party_Royalty_Pct</f>
        <v>-1.2</v>
      </c>
      <c r="D8" s="12" t="n">
        <f aca="false">-Deal_Portfolio!D51*COGS_3rd_Party_Royalty_Pct</f>
        <v>-1.296</v>
      </c>
      <c r="E8" s="12" t="n">
        <f aca="false">-Deal_Portfolio!E51*COGS_3rd_Party_Royalty_Pct</f>
        <v>-1.39968</v>
      </c>
      <c r="F8" s="12" t="n">
        <f aca="false">-Deal_Portfolio!F51*COGS_3rd_Party_Royalty_Pct</f>
        <v>-1.5174816</v>
      </c>
      <c r="G8" s="12" t="n">
        <f aca="false">-Deal_Portfolio!G51*COGS_3rd_Party_Royalty_Pct</f>
        <v>-1.882480128</v>
      </c>
      <c r="H8" s="12" t="n">
        <f aca="false">-Deal_Portfolio!H51*COGS_3rd_Party_Royalty_Pct</f>
        <v>-0.637646688</v>
      </c>
      <c r="I8" s="12" t="n">
        <f aca="false">-Deal_Portfolio!I51*COGS_3rd_Party_Royalty_Pct</f>
        <v>-0.4297263408</v>
      </c>
      <c r="J8" s="12" t="n">
        <f aca="false">-Deal_Portfolio!J51*COGS_3rd_Party_Royalty_Pct</f>
        <v>-0.45858968856</v>
      </c>
      <c r="K8" s="12" t="n">
        <f aca="false">-Deal_Portfolio!K51*COGS_3rd_Party_Royalty_Pct</f>
        <v>-0.518239344492</v>
      </c>
      <c r="L8" s="12" t="n">
        <f aca="false">-Deal_Portfolio!L51*COGS_3rd_Party_Royalty_Pct</f>
        <v>-0.5395255723944</v>
      </c>
    </row>
    <row r="9" customFormat="false" ht="15" hidden="false" customHeight="false" outlineLevel="0" collapsed="false">
      <c r="A9" s="6"/>
      <c r="B9" s="11" t="s">
        <v>304</v>
      </c>
      <c r="C9" s="12" t="n">
        <f aca="false">-Patent_Maintenance_Base*(1+Inflation_Rate)^(C4-1)</f>
        <v>-4</v>
      </c>
      <c r="D9" s="12" t="n">
        <f aca="false">-Patent_Maintenance_Base*(1+Inflation_Rate)^(D4-1)</f>
        <v>-4.1</v>
      </c>
      <c r="E9" s="12" t="n">
        <f aca="false">-Patent_Maintenance_Base*(1+Inflation_Rate)^(E4-1)</f>
        <v>-4.2025</v>
      </c>
      <c r="F9" s="12" t="n">
        <f aca="false">-Patent_Maintenance_Base*(1+Inflation_Rate)^(F4-1)</f>
        <v>-4.3075625</v>
      </c>
      <c r="G9" s="12" t="n">
        <f aca="false">-Patent_Maintenance_Base*(1+Inflation_Rate)^(G4-1)</f>
        <v>-4.4152515625</v>
      </c>
      <c r="H9" s="12" t="n">
        <f aca="false">-Patent_Maintenance_Base*(1+Inflation_Rate)^(H4-1)</f>
        <v>-4.5256328515625</v>
      </c>
      <c r="I9" s="12" t="n">
        <f aca="false">-Patent_Maintenance_Base*(1+Inflation_Rate)^(I4-1)</f>
        <v>-4.63877367285156</v>
      </c>
      <c r="J9" s="12" t="n">
        <f aca="false">-Patent_Maintenance_Base*(1+Inflation_Rate)^(J4-1)</f>
        <v>-4.75474301467285</v>
      </c>
      <c r="K9" s="12" t="n">
        <f aca="false">-Patent_Maintenance_Base*(1+Inflation_Rate)^(K4-1)</f>
        <v>-4.87361159003967</v>
      </c>
      <c r="L9" s="12" t="n">
        <f aca="false">-Patent_Maintenance_Base*(1+Inflation_Rate)^(L4-1)</f>
        <v>-4.99545187979066</v>
      </c>
    </row>
    <row r="10" customFormat="false" ht="15" hidden="false" customHeight="false" outlineLevel="0" collapsed="false">
      <c r="A10" s="6"/>
      <c r="B10" s="11" t="s">
        <v>305</v>
      </c>
      <c r="C10" s="12" t="n">
        <f aca="false">-Deal_Portfolio!C51*Audit_Clawback_Pct</f>
        <v>-0.8</v>
      </c>
      <c r="D10" s="12" t="n">
        <f aca="false">-Deal_Portfolio!D51*Audit_Clawback_Pct</f>
        <v>-0.864</v>
      </c>
      <c r="E10" s="12" t="n">
        <f aca="false">-Deal_Portfolio!E51*Audit_Clawback_Pct</f>
        <v>-0.93312</v>
      </c>
      <c r="F10" s="12" t="n">
        <f aca="false">-Deal_Portfolio!F51*Audit_Clawback_Pct</f>
        <v>-1.0116544</v>
      </c>
      <c r="G10" s="12" t="n">
        <f aca="false">-Deal_Portfolio!G51*Audit_Clawback_Pct</f>
        <v>-1.254986752</v>
      </c>
      <c r="H10" s="12" t="n">
        <f aca="false">-Deal_Portfolio!H51*Audit_Clawback_Pct</f>
        <v>-0.425097792</v>
      </c>
      <c r="I10" s="12" t="n">
        <f aca="false">-Deal_Portfolio!I51*Audit_Clawback_Pct</f>
        <v>-0.2864842272</v>
      </c>
      <c r="J10" s="12" t="n">
        <f aca="false">-Deal_Portfolio!J51*Audit_Clawback_Pct</f>
        <v>-0.30572645904</v>
      </c>
      <c r="K10" s="12" t="n">
        <f aca="false">-Deal_Portfolio!K51*Audit_Clawback_Pct</f>
        <v>-0.345492896328</v>
      </c>
      <c r="L10" s="12" t="n">
        <f aca="false">-Deal_Portfolio!L51*Audit_Clawback_Pct</f>
        <v>-0.3596837149296</v>
      </c>
    </row>
    <row r="11" customFormat="false" ht="15" hidden="false" customHeight="false" outlineLevel="0" collapsed="false">
      <c r="A11" s="6"/>
      <c r="B11" s="31" t="s">
        <v>306</v>
      </c>
      <c r="C11" s="32" t="n">
        <f aca="false">C8+C9+C10</f>
        <v>-6</v>
      </c>
      <c r="D11" s="32" t="n">
        <f aca="false">D8+D9+D10</f>
        <v>-6.26</v>
      </c>
      <c r="E11" s="32" t="n">
        <f aca="false">E8+E9+E10</f>
        <v>-6.5353</v>
      </c>
      <c r="F11" s="32" t="n">
        <f aca="false">F8+F9+F10</f>
        <v>-6.8366985</v>
      </c>
      <c r="G11" s="32" t="n">
        <f aca="false">G8+G9+G10</f>
        <v>-7.5527184425</v>
      </c>
      <c r="H11" s="32" t="n">
        <f aca="false">H8+H9+H10</f>
        <v>-5.5883773315625</v>
      </c>
      <c r="I11" s="32" t="n">
        <f aca="false">I8+I9+I10</f>
        <v>-5.35498424085156</v>
      </c>
      <c r="J11" s="32" t="n">
        <f aca="false">J8+J9+J10</f>
        <v>-5.51905916227285</v>
      </c>
      <c r="K11" s="32" t="n">
        <f aca="false">K8+K9+K10</f>
        <v>-5.73734383085967</v>
      </c>
      <c r="L11" s="32" t="n">
        <f aca="false">L8+L9+L10</f>
        <v>-5.89466116711466</v>
      </c>
    </row>
    <row r="12" customFormat="false" ht="15" hidden="false" customHeight="false" outlineLevel="0" collapsed="false">
      <c r="A12" s="6"/>
      <c r="B12" s="33" t="s">
        <v>307</v>
      </c>
      <c r="C12" s="14" t="n">
        <f aca="false">C6+C11</f>
        <v>94</v>
      </c>
      <c r="D12" s="14" t="n">
        <f aca="false">D6+D11</f>
        <v>101.14</v>
      </c>
      <c r="E12" s="14" t="n">
        <f aca="false">E6+E11</f>
        <v>167.8267</v>
      </c>
      <c r="F12" s="14" t="n">
        <f aca="false">F6+F11</f>
        <v>162.4812415</v>
      </c>
      <c r="G12" s="14" t="n">
        <f aca="false">G6+G11</f>
        <v>162.6560817575</v>
      </c>
      <c r="H12" s="14" t="n">
        <f aca="false">H6+H11</f>
        <v>68.7470331184375</v>
      </c>
      <c r="I12" s="14" t="n">
        <f aca="false">I6+I11</f>
        <v>50.0953512916485</v>
      </c>
      <c r="J12" s="14" t="n">
        <f aca="false">J6+J11</f>
        <v>53.1955951948522</v>
      </c>
      <c r="K12" s="14" t="n">
        <f aca="false">K6+K11</f>
        <v>65.9210546777216</v>
      </c>
      <c r="L12" s="14" t="n">
        <f aca="false">L6+L11</f>
        <v>66.4552746454157</v>
      </c>
    </row>
    <row r="13" customFormat="false" ht="15" hidden="false" customHeight="false" outlineLevel="0" collapsed="false">
      <c r="A13" s="6"/>
      <c r="B13" s="6"/>
      <c r="C13" s="6"/>
      <c r="D13" s="6"/>
      <c r="E13" s="6"/>
      <c r="F13" s="6"/>
      <c r="G13" s="6"/>
      <c r="H13" s="6"/>
      <c r="I13" s="6"/>
      <c r="J13" s="6"/>
      <c r="K13" s="6"/>
      <c r="L13" s="6"/>
    </row>
    <row r="14" customFormat="false" ht="15" hidden="false" customHeight="false" outlineLevel="0" collapsed="false">
      <c r="A14" s="6"/>
      <c r="B14" s="11" t="s">
        <v>308</v>
      </c>
      <c r="C14" s="12" t="n">
        <f aca="false">-OpEx_Schedule!C6</f>
        <v>-25</v>
      </c>
      <c r="D14" s="12" t="n">
        <f aca="false">-OpEx_Schedule!D6</f>
        <v>-26.5</v>
      </c>
      <c r="E14" s="12" t="n">
        <f aca="false">-OpEx_Schedule!E6</f>
        <v>-28.09</v>
      </c>
      <c r="F14" s="12" t="n">
        <f aca="false">-OpEx_Schedule!F6</f>
        <v>-29.7754</v>
      </c>
      <c r="G14" s="12" t="n">
        <f aca="false">-OpEx_Schedule!G6</f>
        <v>-31.561924</v>
      </c>
      <c r="H14" s="12" t="n">
        <f aca="false">-OpEx_Schedule!H6</f>
        <v>-33.45563944</v>
      </c>
      <c r="I14" s="12" t="n">
        <f aca="false">-OpEx_Schedule!I6</f>
        <v>-35.4629778064</v>
      </c>
      <c r="J14" s="12" t="n">
        <f aca="false">-OpEx_Schedule!J6</f>
        <v>-37.590756474784</v>
      </c>
      <c r="K14" s="12" t="n">
        <f aca="false">-OpEx_Schedule!K6</f>
        <v>-39.8462018632711</v>
      </c>
      <c r="L14" s="12" t="n">
        <f aca="false">-OpEx_Schedule!L6</f>
        <v>-42.2369739750673</v>
      </c>
    </row>
    <row r="15" customFormat="false" ht="15" hidden="false" customHeight="false" outlineLevel="0" collapsed="false">
      <c r="A15" s="6"/>
      <c r="B15" s="11" t="s">
        <v>309</v>
      </c>
      <c r="C15" s="12" t="n">
        <f aca="false">-OpEx_Schedule!C7</f>
        <v>-8</v>
      </c>
      <c r="D15" s="12" t="n">
        <f aca="false">-OpEx_Schedule!D7</f>
        <v>-8.4</v>
      </c>
      <c r="E15" s="12" t="n">
        <f aca="false">-OpEx_Schedule!E7</f>
        <v>-8.82</v>
      </c>
      <c r="F15" s="12" t="n">
        <f aca="false">-OpEx_Schedule!F7</f>
        <v>-9.261</v>
      </c>
      <c r="G15" s="12" t="n">
        <f aca="false">-OpEx_Schedule!G7</f>
        <v>-9.72405</v>
      </c>
      <c r="H15" s="12" t="n">
        <f aca="false">-OpEx_Schedule!H7</f>
        <v>-10.2102525</v>
      </c>
      <c r="I15" s="12" t="n">
        <f aca="false">-OpEx_Schedule!I7</f>
        <v>-10.720765125</v>
      </c>
      <c r="J15" s="12" t="n">
        <f aca="false">-OpEx_Schedule!J7</f>
        <v>-11.25680338125</v>
      </c>
      <c r="K15" s="12" t="n">
        <f aca="false">-OpEx_Schedule!K7</f>
        <v>-11.8196435503125</v>
      </c>
      <c r="L15" s="12" t="n">
        <f aca="false">-OpEx_Schedule!L7</f>
        <v>-12.4106257278281</v>
      </c>
    </row>
    <row r="16" customFormat="false" ht="15" hidden="false" customHeight="false" outlineLevel="0" collapsed="false">
      <c r="A16" s="6"/>
      <c r="B16" s="11" t="s">
        <v>310</v>
      </c>
      <c r="C16" s="12" t="n">
        <f aca="false">-OpEx_Schedule!C8</f>
        <v>-3</v>
      </c>
      <c r="D16" s="12" t="n">
        <f aca="false">-OpEx_Schedule!D8</f>
        <v>-3.12</v>
      </c>
      <c r="E16" s="12" t="n">
        <f aca="false">-OpEx_Schedule!E8</f>
        <v>-3.2448</v>
      </c>
      <c r="F16" s="12" t="n">
        <f aca="false">-OpEx_Schedule!F8</f>
        <v>-3.374592</v>
      </c>
      <c r="G16" s="12" t="n">
        <f aca="false">-OpEx_Schedule!G8</f>
        <v>-3.50957568</v>
      </c>
      <c r="H16" s="12" t="n">
        <f aca="false">-OpEx_Schedule!H8</f>
        <v>-3.6499587072</v>
      </c>
      <c r="I16" s="12" t="n">
        <f aca="false">-OpEx_Schedule!I8</f>
        <v>-3.795957055488</v>
      </c>
      <c r="J16" s="12" t="n">
        <f aca="false">-OpEx_Schedule!J8</f>
        <v>-3.94779533770752</v>
      </c>
      <c r="K16" s="12" t="n">
        <f aca="false">-OpEx_Schedule!K8</f>
        <v>-4.10570715121582</v>
      </c>
      <c r="L16" s="12" t="n">
        <f aca="false">-OpEx_Schedule!L8</f>
        <v>-4.26993543726446</v>
      </c>
    </row>
    <row r="17" customFormat="false" ht="15" hidden="false" customHeight="false" outlineLevel="0" collapsed="false">
      <c r="A17" s="6"/>
      <c r="B17" s="11" t="s">
        <v>311</v>
      </c>
      <c r="C17" s="12" t="n">
        <f aca="false">-OpEx_Schedule!C9</f>
        <v>-18</v>
      </c>
      <c r="D17" s="12" t="n">
        <f aca="false">-OpEx_Schedule!D9</f>
        <v>-18.54</v>
      </c>
      <c r="E17" s="12" t="n">
        <f aca="false">-OpEx_Schedule!E9</f>
        <v>-19.0962</v>
      </c>
      <c r="F17" s="12" t="n">
        <f aca="false">-OpEx_Schedule!F9</f>
        <v>-19.669086</v>
      </c>
      <c r="G17" s="12" t="n">
        <f aca="false">-OpEx_Schedule!G9</f>
        <v>-20.25915858</v>
      </c>
      <c r="H17" s="12" t="n">
        <f aca="false">-OpEx_Schedule!H9</f>
        <v>-20.8669333374</v>
      </c>
      <c r="I17" s="12" t="n">
        <f aca="false">-OpEx_Schedule!I9</f>
        <v>-21.492941337522</v>
      </c>
      <c r="J17" s="12" t="n">
        <f aca="false">-OpEx_Schedule!J9</f>
        <v>-22.1377295776477</v>
      </c>
      <c r="K17" s="12" t="n">
        <f aca="false">-OpEx_Schedule!K9</f>
        <v>-22.8018614649771</v>
      </c>
      <c r="L17" s="12" t="n">
        <f aca="false">-OpEx_Schedule!L9</f>
        <v>-23.4859173089264</v>
      </c>
    </row>
    <row r="18" customFormat="false" ht="15" hidden="false" customHeight="false" outlineLevel="0" collapsed="false">
      <c r="A18" s="6"/>
      <c r="B18" s="11" t="s">
        <v>312</v>
      </c>
      <c r="C18" s="12" t="n">
        <f aca="false">-OpEx_Schedule!C10</f>
        <v>-6</v>
      </c>
      <c r="D18" s="12" t="n">
        <f aca="false">-OpEx_Schedule!D10</f>
        <v>-6.24</v>
      </c>
      <c r="E18" s="12" t="n">
        <f aca="false">-OpEx_Schedule!E10</f>
        <v>-6.4896</v>
      </c>
      <c r="F18" s="12" t="n">
        <f aca="false">-OpEx_Schedule!F10</f>
        <v>-6.749184</v>
      </c>
      <c r="G18" s="12" t="n">
        <f aca="false">-OpEx_Schedule!G10</f>
        <v>-7.01915136</v>
      </c>
      <c r="H18" s="12" t="n">
        <f aca="false">-OpEx_Schedule!H10</f>
        <v>-7.2999174144</v>
      </c>
      <c r="I18" s="12" t="n">
        <f aca="false">-OpEx_Schedule!I10</f>
        <v>-7.591914110976</v>
      </c>
      <c r="J18" s="12" t="n">
        <f aca="false">-OpEx_Schedule!J10</f>
        <v>-7.89559067541504</v>
      </c>
      <c r="K18" s="12" t="n">
        <f aca="false">-OpEx_Schedule!K10</f>
        <v>-8.21141430243164</v>
      </c>
      <c r="L18" s="12" t="n">
        <f aca="false">-OpEx_Schedule!L10</f>
        <v>-8.53987087452891</v>
      </c>
    </row>
    <row r="19" customFormat="false" ht="15" hidden="false" customHeight="false" outlineLevel="0" collapsed="false">
      <c r="A19" s="6"/>
      <c r="B19" s="31" t="s">
        <v>264</v>
      </c>
      <c r="C19" s="32" t="n">
        <f aca="false">SUM(C14:C18)</f>
        <v>-60</v>
      </c>
      <c r="D19" s="32" t="n">
        <f aca="false">SUM(D14:D18)</f>
        <v>-62.8</v>
      </c>
      <c r="E19" s="32" t="n">
        <f aca="false">SUM(E14:E18)</f>
        <v>-65.7406</v>
      </c>
      <c r="F19" s="32" t="n">
        <f aca="false">SUM(F14:F18)</f>
        <v>-68.829262</v>
      </c>
      <c r="G19" s="32" t="n">
        <f aca="false">SUM(G14:G18)</f>
        <v>-72.07385962</v>
      </c>
      <c r="H19" s="32" t="n">
        <f aca="false">SUM(H14:H18)</f>
        <v>-75.482701399</v>
      </c>
      <c r="I19" s="32" t="n">
        <f aca="false">SUM(I14:I18)</f>
        <v>-79.064555435386</v>
      </c>
      <c r="J19" s="32" t="n">
        <f aca="false">SUM(J14:J18)</f>
        <v>-82.8286754468042</v>
      </c>
      <c r="K19" s="32" t="n">
        <f aca="false">SUM(K14:K18)</f>
        <v>-86.7848283322081</v>
      </c>
      <c r="L19" s="32" t="n">
        <f aca="false">SUM(L14:L18)</f>
        <v>-90.9433233236152</v>
      </c>
    </row>
    <row r="20" customFormat="false" ht="15" hidden="false" customHeight="false" outlineLevel="0" collapsed="false">
      <c r="A20" s="6"/>
      <c r="B20" s="6"/>
      <c r="C20" s="6"/>
      <c r="D20" s="6"/>
      <c r="E20" s="6"/>
      <c r="F20" s="6"/>
      <c r="G20" s="6"/>
      <c r="H20" s="6"/>
      <c r="I20" s="6"/>
      <c r="J20" s="6"/>
      <c r="K20" s="6"/>
      <c r="L20" s="6"/>
    </row>
    <row r="21" customFormat="false" ht="15" hidden="false" customHeight="false" outlineLevel="0" collapsed="false">
      <c r="A21" s="6"/>
      <c r="B21" s="33" t="s">
        <v>313</v>
      </c>
      <c r="C21" s="14" t="n">
        <f aca="false">C12+C19</f>
        <v>34</v>
      </c>
      <c r="D21" s="14" t="n">
        <f aca="false">D12+D19</f>
        <v>38.34</v>
      </c>
      <c r="E21" s="14" t="n">
        <f aca="false">E12+E19</f>
        <v>102.0861</v>
      </c>
      <c r="F21" s="14" t="n">
        <f aca="false">F12+F19</f>
        <v>93.6519795</v>
      </c>
      <c r="G21" s="14" t="n">
        <f aca="false">G12+G19</f>
        <v>90.5822221375</v>
      </c>
      <c r="H21" s="14" t="n">
        <f aca="false">H12+H19</f>
        <v>-6.73566828056249</v>
      </c>
      <c r="I21" s="14" t="n">
        <f aca="false">I12+I19</f>
        <v>-28.9692041437376</v>
      </c>
      <c r="J21" s="14" t="n">
        <f aca="false">J12+J19</f>
        <v>-29.6330802519521</v>
      </c>
      <c r="K21" s="14" t="n">
        <f aca="false">K12+K19</f>
        <v>-20.8637736544865</v>
      </c>
      <c r="L21" s="14" t="n">
        <f aca="false">L12+L19</f>
        <v>-24.4880486781995</v>
      </c>
    </row>
    <row r="22" customFormat="false" ht="15" hidden="false" customHeight="false" outlineLevel="0" collapsed="false">
      <c r="A22" s="6"/>
      <c r="B22" s="11" t="s">
        <v>314</v>
      </c>
      <c r="C22" s="12" t="n">
        <f aca="false">-Capex_Depreciation!C21</f>
        <v>-11.5</v>
      </c>
      <c r="D22" s="12" t="n">
        <f aca="false">-Capex_Depreciation!D21</f>
        <v>-11.875</v>
      </c>
      <c r="E22" s="12" t="n">
        <f aca="false">-Capex_Depreciation!E21</f>
        <v>-12.25</v>
      </c>
      <c r="F22" s="12" t="n">
        <f aca="false">-Capex_Depreciation!F21</f>
        <v>-12.625</v>
      </c>
      <c r="G22" s="12" t="n">
        <f aca="false">-Capex_Depreciation!G21</f>
        <v>-12.375</v>
      </c>
      <c r="H22" s="12" t="n">
        <f aca="false">-Capex_Depreciation!H21</f>
        <v>-10.25</v>
      </c>
      <c r="I22" s="12" t="n">
        <f aca="false">-Capex_Depreciation!I21</f>
        <v>-10.625</v>
      </c>
      <c r="J22" s="12" t="n">
        <f aca="false">-Capex_Depreciation!J21</f>
        <v>-7</v>
      </c>
      <c r="K22" s="12" t="n">
        <f aca="false">-Capex_Depreciation!K21</f>
        <v>-3</v>
      </c>
      <c r="L22" s="12" t="n">
        <f aca="false">-Capex_Depreciation!L21</f>
        <v>-3</v>
      </c>
    </row>
    <row r="23" customFormat="false" ht="15" hidden="false" customHeight="false" outlineLevel="0" collapsed="false">
      <c r="A23" s="6"/>
      <c r="B23" s="31" t="s">
        <v>315</v>
      </c>
      <c r="C23" s="32" t="n">
        <f aca="false">C21+C22</f>
        <v>22.5</v>
      </c>
      <c r="D23" s="32" t="n">
        <f aca="false">D21+D22</f>
        <v>26.465</v>
      </c>
      <c r="E23" s="32" t="n">
        <f aca="false">E21+E22</f>
        <v>89.8361</v>
      </c>
      <c r="F23" s="32" t="n">
        <f aca="false">F21+F22</f>
        <v>81.0269795</v>
      </c>
      <c r="G23" s="32" t="n">
        <f aca="false">G21+G22</f>
        <v>78.2072221375</v>
      </c>
      <c r="H23" s="32" t="n">
        <f aca="false">H21+H22</f>
        <v>-16.9856682805625</v>
      </c>
      <c r="I23" s="32" t="n">
        <f aca="false">I21+I22</f>
        <v>-39.5942041437376</v>
      </c>
      <c r="J23" s="32" t="n">
        <f aca="false">J21+J22</f>
        <v>-36.6330802519521</v>
      </c>
      <c r="K23" s="32" t="n">
        <f aca="false">K21+K22</f>
        <v>-23.8637736544865</v>
      </c>
      <c r="L23" s="32" t="n">
        <f aca="false">L21+L22</f>
        <v>-27.4880486781995</v>
      </c>
    </row>
    <row r="24" customFormat="false" ht="15" hidden="false" customHeight="false" outlineLevel="0" collapsed="false">
      <c r="A24" s="6"/>
      <c r="B24" s="11" t="s">
        <v>316</v>
      </c>
      <c r="C24" s="12" t="n">
        <f aca="false">-Debt_Schedule!C11</f>
        <v>-0</v>
      </c>
      <c r="D24" s="12" t="n">
        <f aca="false">-Debt_Schedule!D11</f>
        <v>-0</v>
      </c>
      <c r="E24" s="12" t="n">
        <f aca="false">-Debt_Schedule!E11</f>
        <v>-0</v>
      </c>
      <c r="F24" s="12" t="n">
        <f aca="false">-Debt_Schedule!F11</f>
        <v>-0</v>
      </c>
      <c r="G24" s="12" t="n">
        <f aca="false">-Debt_Schedule!G11</f>
        <v>-0</v>
      </c>
      <c r="H24" s="12" t="n">
        <f aca="false">-Debt_Schedule!H11</f>
        <v>-0</v>
      </c>
      <c r="I24" s="12" t="n">
        <f aca="false">-Debt_Schedule!I11</f>
        <v>-0</v>
      </c>
      <c r="J24" s="12" t="n">
        <f aca="false">-Debt_Schedule!J11</f>
        <v>-0</v>
      </c>
      <c r="K24" s="12" t="n">
        <f aca="false">-Debt_Schedule!K11</f>
        <v>-0</v>
      </c>
      <c r="L24" s="12" t="n">
        <f aca="false">-Debt_Schedule!L11</f>
        <v>-0</v>
      </c>
    </row>
    <row r="25" customFormat="false" ht="15" hidden="false" customHeight="false" outlineLevel="0" collapsed="false">
      <c r="A25" s="6"/>
      <c r="B25" s="31" t="s">
        <v>317</v>
      </c>
      <c r="C25" s="32" t="n">
        <f aca="false">C23+C24</f>
        <v>22.5</v>
      </c>
      <c r="D25" s="32" t="n">
        <f aca="false">D23+D24</f>
        <v>26.465</v>
      </c>
      <c r="E25" s="32" t="n">
        <f aca="false">E23+E24</f>
        <v>89.8361</v>
      </c>
      <c r="F25" s="32" t="n">
        <f aca="false">F23+F24</f>
        <v>81.0269795</v>
      </c>
      <c r="G25" s="32" t="n">
        <f aca="false">G23+G24</f>
        <v>78.2072221375</v>
      </c>
      <c r="H25" s="32" t="n">
        <f aca="false">H23+H24</f>
        <v>-16.9856682805625</v>
      </c>
      <c r="I25" s="32" t="n">
        <f aca="false">I23+I24</f>
        <v>-39.5942041437376</v>
      </c>
      <c r="J25" s="32" t="n">
        <f aca="false">J23+J24</f>
        <v>-36.6330802519521</v>
      </c>
      <c r="K25" s="32" t="n">
        <f aca="false">K23+K24</f>
        <v>-23.8637736544865</v>
      </c>
      <c r="L25" s="32" t="n">
        <f aca="false">L23+L24</f>
        <v>-27.4880486781995</v>
      </c>
    </row>
    <row r="26" customFormat="false" ht="15" hidden="false" customHeight="false" outlineLevel="0" collapsed="false">
      <c r="A26" s="6"/>
      <c r="B26" s="6"/>
      <c r="C26" s="6"/>
      <c r="D26" s="6"/>
      <c r="E26" s="6"/>
      <c r="F26" s="6"/>
      <c r="G26" s="6"/>
      <c r="H26" s="6"/>
      <c r="I26" s="6"/>
      <c r="J26" s="6"/>
      <c r="K26" s="6"/>
      <c r="L26" s="6"/>
    </row>
    <row r="27" customFormat="false" ht="15" hidden="false" customHeight="false" outlineLevel="0" collapsed="false">
      <c r="A27" s="6"/>
      <c r="B27" s="11" t="s">
        <v>318</v>
      </c>
      <c r="C27" s="12" t="n">
        <f aca="false">0</f>
        <v>0</v>
      </c>
      <c r="D27" s="12" t="n">
        <f aca="false">C30</f>
        <v>0</v>
      </c>
      <c r="E27" s="12" t="n">
        <f aca="false">D30</f>
        <v>0</v>
      </c>
      <c r="F27" s="12" t="n">
        <f aca="false">E30</f>
        <v>0</v>
      </c>
      <c r="G27" s="12" t="n">
        <f aca="false">F30</f>
        <v>0</v>
      </c>
      <c r="H27" s="12" t="n">
        <f aca="false">G30</f>
        <v>0</v>
      </c>
      <c r="I27" s="12" t="n">
        <f aca="false">H30</f>
        <v>16.9856682805625</v>
      </c>
      <c r="J27" s="12" t="n">
        <f aca="false">I30</f>
        <v>56.5798724243001</v>
      </c>
      <c r="K27" s="12" t="n">
        <f aca="false">J30</f>
        <v>93.2129526762521</v>
      </c>
      <c r="L27" s="12" t="n">
        <f aca="false">K30</f>
        <v>117.076726330739</v>
      </c>
    </row>
    <row r="28" customFormat="false" ht="15" hidden="false" customHeight="false" outlineLevel="0" collapsed="false">
      <c r="A28" s="6"/>
      <c r="B28" s="11" t="s">
        <v>319</v>
      </c>
      <c r="C28" s="12" t="n">
        <f aca="false">MAX(0,-C25)</f>
        <v>0</v>
      </c>
      <c r="D28" s="12" t="n">
        <f aca="false">MAX(0,-D25)</f>
        <v>0</v>
      </c>
      <c r="E28" s="12" t="n">
        <f aca="false">MAX(0,-E25)</f>
        <v>0</v>
      </c>
      <c r="F28" s="12" t="n">
        <f aca="false">MAX(0,-F25)</f>
        <v>0</v>
      </c>
      <c r="G28" s="12" t="n">
        <f aca="false">MAX(0,-G25)</f>
        <v>0</v>
      </c>
      <c r="H28" s="12" t="n">
        <f aca="false">MAX(0,-H25)</f>
        <v>16.9856682805625</v>
      </c>
      <c r="I28" s="12" t="n">
        <f aca="false">MAX(0,-I25)</f>
        <v>39.5942041437376</v>
      </c>
      <c r="J28" s="12" t="n">
        <f aca="false">MAX(0,-J25)</f>
        <v>36.6330802519521</v>
      </c>
      <c r="K28" s="12" t="n">
        <f aca="false">MAX(0,-K25)</f>
        <v>23.8637736544865</v>
      </c>
      <c r="L28" s="12" t="n">
        <f aca="false">MAX(0,-L25)</f>
        <v>27.4880486781995</v>
      </c>
    </row>
    <row r="29" customFormat="false" ht="15" hidden="false" customHeight="false" outlineLevel="0" collapsed="false">
      <c r="A29" s="6"/>
      <c r="B29" s="11" t="s">
        <v>320</v>
      </c>
      <c r="C29" s="12" t="n">
        <f aca="false">MIN(C27,MAX(0,C25))</f>
        <v>0</v>
      </c>
      <c r="D29" s="12" t="n">
        <f aca="false">MIN(D27,MAX(0,D25))</f>
        <v>0</v>
      </c>
      <c r="E29" s="12" t="n">
        <f aca="false">MIN(E27,MAX(0,E25))</f>
        <v>0</v>
      </c>
      <c r="F29" s="12" t="n">
        <f aca="false">MIN(F27,MAX(0,F25))</f>
        <v>0</v>
      </c>
      <c r="G29" s="12" t="n">
        <f aca="false">MIN(G27,MAX(0,G25))</f>
        <v>0</v>
      </c>
      <c r="H29" s="12" t="n">
        <f aca="false">MIN(H27,MAX(0,H25))</f>
        <v>0</v>
      </c>
      <c r="I29" s="12" t="n">
        <f aca="false">MIN(I27,MAX(0,I25))</f>
        <v>0</v>
      </c>
      <c r="J29" s="12" t="n">
        <f aca="false">MIN(J27,MAX(0,J25))</f>
        <v>0</v>
      </c>
      <c r="K29" s="12" t="n">
        <f aca="false">MIN(K27,MAX(0,K25))</f>
        <v>0</v>
      </c>
      <c r="L29" s="12" t="n">
        <f aca="false">MIN(L27,MAX(0,L25))</f>
        <v>0</v>
      </c>
    </row>
    <row r="30" customFormat="false" ht="15" hidden="false" customHeight="false" outlineLevel="0" collapsed="false">
      <c r="A30" s="6"/>
      <c r="B30" s="31" t="s">
        <v>321</v>
      </c>
      <c r="C30" s="32" t="n">
        <f aca="false">C27+C28-C29</f>
        <v>0</v>
      </c>
      <c r="D30" s="32" t="n">
        <f aca="false">D27+D28-D29</f>
        <v>0</v>
      </c>
      <c r="E30" s="32" t="n">
        <f aca="false">E27+E28-E29</f>
        <v>0</v>
      </c>
      <c r="F30" s="32" t="n">
        <f aca="false">F27+F28-F29</f>
        <v>0</v>
      </c>
      <c r="G30" s="32" t="n">
        <f aca="false">G27+G28-G29</f>
        <v>0</v>
      </c>
      <c r="H30" s="32" t="n">
        <f aca="false">H27+H28-H29</f>
        <v>16.9856682805625</v>
      </c>
      <c r="I30" s="32" t="n">
        <f aca="false">I27+I28-I29</f>
        <v>56.5798724243001</v>
      </c>
      <c r="J30" s="32" t="n">
        <f aca="false">J27+J28-J29</f>
        <v>93.2129526762521</v>
      </c>
      <c r="K30" s="32" t="n">
        <f aca="false">K27+K28-K29</f>
        <v>117.076726330739</v>
      </c>
      <c r="L30" s="32" t="n">
        <f aca="false">L27+L28-L29</f>
        <v>144.564775008938</v>
      </c>
    </row>
    <row r="31" customFormat="false" ht="15" hidden="false" customHeight="false" outlineLevel="0" collapsed="false">
      <c r="A31" s="6"/>
      <c r="B31" s="11" t="s">
        <v>322</v>
      </c>
      <c r="C31" s="12" t="n">
        <f aca="false">MAX(0,C25-C29)</f>
        <v>22.5</v>
      </c>
      <c r="D31" s="12" t="n">
        <f aca="false">MAX(0,D25-D29)</f>
        <v>26.465</v>
      </c>
      <c r="E31" s="12" t="n">
        <f aca="false">MAX(0,E25-E29)</f>
        <v>89.8361</v>
      </c>
      <c r="F31" s="12" t="n">
        <f aca="false">MAX(0,F25-F29)</f>
        <v>81.0269795</v>
      </c>
      <c r="G31" s="12" t="n">
        <f aca="false">MAX(0,G25-G29)</f>
        <v>78.2072221375</v>
      </c>
      <c r="H31" s="12" t="n">
        <f aca="false">MAX(0,H25-H29)</f>
        <v>0</v>
      </c>
      <c r="I31" s="12" t="n">
        <f aca="false">MAX(0,I25-I29)</f>
        <v>0</v>
      </c>
      <c r="J31" s="12" t="n">
        <f aca="false">MAX(0,J25-J29)</f>
        <v>0</v>
      </c>
      <c r="K31" s="12" t="n">
        <f aca="false">MAX(0,K25-K29)</f>
        <v>0</v>
      </c>
      <c r="L31" s="12" t="n">
        <f aca="false">MAX(0,L25-L29)</f>
        <v>0</v>
      </c>
    </row>
    <row r="32" customFormat="false" ht="15" hidden="false" customHeight="false" outlineLevel="0" collapsed="false">
      <c r="A32" s="6"/>
      <c r="B32" s="11" t="s">
        <v>323</v>
      </c>
      <c r="C32" s="12" t="n">
        <f aca="false">-C31*Tax_Rate</f>
        <v>-4.725</v>
      </c>
      <c r="D32" s="12" t="n">
        <f aca="false">-D31*Tax_Rate</f>
        <v>-5.55765</v>
      </c>
      <c r="E32" s="12" t="n">
        <f aca="false">-E31*Tax_Rate</f>
        <v>-18.865581</v>
      </c>
      <c r="F32" s="12" t="n">
        <f aca="false">-F31*Tax_Rate</f>
        <v>-17.015665695</v>
      </c>
      <c r="G32" s="12" t="n">
        <f aca="false">-G31*Tax_Rate</f>
        <v>-16.423516648875</v>
      </c>
      <c r="H32" s="12" t="n">
        <f aca="false">-H31*Tax_Rate</f>
        <v>-0</v>
      </c>
      <c r="I32" s="12" t="n">
        <f aca="false">-I31*Tax_Rate</f>
        <v>-0</v>
      </c>
      <c r="J32" s="12" t="n">
        <f aca="false">-J31*Tax_Rate</f>
        <v>-0</v>
      </c>
      <c r="K32" s="12" t="n">
        <f aca="false">-K31*Tax_Rate</f>
        <v>-0</v>
      </c>
      <c r="L32" s="12" t="n">
        <f aca="false">-L31*Tax_Rate</f>
        <v>-0</v>
      </c>
    </row>
    <row r="33" customFormat="false" ht="15" hidden="false" customHeight="false" outlineLevel="0" collapsed="false">
      <c r="A33" s="6"/>
      <c r="B33" s="33" t="s">
        <v>324</v>
      </c>
      <c r="C33" s="14" t="n">
        <f aca="false">C25+C32</f>
        <v>17.775</v>
      </c>
      <c r="D33" s="14" t="n">
        <f aca="false">D25+D32</f>
        <v>20.90735</v>
      </c>
      <c r="E33" s="14" t="n">
        <f aca="false">E25+E32</f>
        <v>70.970519</v>
      </c>
      <c r="F33" s="14" t="n">
        <f aca="false">F25+F32</f>
        <v>64.011313805</v>
      </c>
      <c r="G33" s="14" t="n">
        <f aca="false">G25+G32</f>
        <v>61.783705488625</v>
      </c>
      <c r="H33" s="14" t="n">
        <f aca="false">H25+H32</f>
        <v>-16.9856682805625</v>
      </c>
      <c r="I33" s="14" t="n">
        <f aca="false">I25+I32</f>
        <v>-39.5942041437376</v>
      </c>
      <c r="J33" s="14" t="n">
        <f aca="false">J25+J32</f>
        <v>-36.6330802519521</v>
      </c>
      <c r="K33" s="14" t="n">
        <f aca="false">K25+K32</f>
        <v>-23.8637736544865</v>
      </c>
      <c r="L33" s="14" t="n">
        <f aca="false">L25+L32</f>
        <v>-27.4880486781995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12" min="3" style="0" width="13"/>
    <col collapsed="false" customWidth="true" hidden="false" outlineLevel="0" max="13" min="13" style="0" width="4"/>
    <col collapsed="false" customWidth="true" hidden="false" outlineLevel="0" max="14" min="14" style="0" width="16"/>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325</v>
      </c>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326</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28" t="s">
        <v>224</v>
      </c>
      <c r="C4" s="29" t="n">
        <v>1</v>
      </c>
      <c r="D4" s="29" t="n">
        <v>2</v>
      </c>
      <c r="E4" s="29" t="n">
        <v>3</v>
      </c>
      <c r="F4" s="29" t="n">
        <v>4</v>
      </c>
      <c r="G4" s="29" t="n">
        <v>5</v>
      </c>
      <c r="H4" s="29" t="n">
        <v>6</v>
      </c>
      <c r="I4" s="29" t="n">
        <v>7</v>
      </c>
      <c r="J4" s="29" t="n">
        <v>8</v>
      </c>
      <c r="K4" s="29" t="n">
        <v>9</v>
      </c>
      <c r="L4" s="29" t="n">
        <v>10</v>
      </c>
    </row>
    <row r="5" customFormat="false" ht="15" hidden="false" customHeight="false" outlineLevel="0" collapsed="false">
      <c r="A5" s="6"/>
      <c r="B5" s="6"/>
      <c r="C5" s="6"/>
      <c r="D5" s="6"/>
      <c r="E5" s="6"/>
      <c r="F5" s="6"/>
      <c r="G5" s="6"/>
      <c r="H5" s="6"/>
      <c r="I5" s="6"/>
      <c r="J5" s="6"/>
      <c r="K5" s="6"/>
      <c r="L5" s="6"/>
    </row>
    <row r="6" customFormat="false" ht="15" hidden="false" customHeight="false" outlineLevel="0" collapsed="false">
      <c r="A6" s="6"/>
      <c r="B6" s="11" t="s">
        <v>324</v>
      </c>
      <c r="C6" s="12" t="n">
        <f aca="false">Income_Statement!C33</f>
        <v>17.775</v>
      </c>
      <c r="D6" s="12" t="n">
        <f aca="false">Income_Statement!D33</f>
        <v>20.90735</v>
      </c>
      <c r="E6" s="12" t="n">
        <f aca="false">Income_Statement!E33</f>
        <v>70.970519</v>
      </c>
      <c r="F6" s="12" t="n">
        <f aca="false">Income_Statement!F33</f>
        <v>64.011313805</v>
      </c>
      <c r="G6" s="12" t="n">
        <f aca="false">Income_Statement!G33</f>
        <v>61.783705488625</v>
      </c>
      <c r="H6" s="12" t="n">
        <f aca="false">Income_Statement!H33</f>
        <v>-16.9856682805625</v>
      </c>
      <c r="I6" s="12" t="n">
        <f aca="false">Income_Statement!I33</f>
        <v>-39.5942041437376</v>
      </c>
      <c r="J6" s="12" t="n">
        <f aca="false">Income_Statement!J33</f>
        <v>-36.6330802519521</v>
      </c>
      <c r="K6" s="12" t="n">
        <f aca="false">Income_Statement!K33</f>
        <v>-23.8637736544865</v>
      </c>
      <c r="L6" s="12" t="n">
        <f aca="false">Income_Statement!L33</f>
        <v>-27.4880486781995</v>
      </c>
    </row>
    <row r="7" customFormat="false" ht="15" hidden="false" customHeight="false" outlineLevel="0" collapsed="false">
      <c r="A7" s="6"/>
      <c r="B7" s="11" t="s">
        <v>327</v>
      </c>
      <c r="C7" s="12" t="n">
        <f aca="false">Capex_Depreciation!C21</f>
        <v>11.5</v>
      </c>
      <c r="D7" s="12" t="n">
        <f aca="false">Capex_Depreciation!D21</f>
        <v>11.875</v>
      </c>
      <c r="E7" s="12" t="n">
        <f aca="false">Capex_Depreciation!E21</f>
        <v>12.25</v>
      </c>
      <c r="F7" s="12" t="n">
        <f aca="false">Capex_Depreciation!F21</f>
        <v>12.625</v>
      </c>
      <c r="G7" s="12" t="n">
        <f aca="false">Capex_Depreciation!G21</f>
        <v>12.375</v>
      </c>
      <c r="H7" s="12" t="n">
        <f aca="false">Capex_Depreciation!H21</f>
        <v>10.25</v>
      </c>
      <c r="I7" s="12" t="n">
        <f aca="false">Capex_Depreciation!I21</f>
        <v>10.625</v>
      </c>
      <c r="J7" s="12" t="n">
        <f aca="false">Capex_Depreciation!J21</f>
        <v>7</v>
      </c>
      <c r="K7" s="12" t="n">
        <f aca="false">Capex_Depreciation!K21</f>
        <v>3</v>
      </c>
      <c r="L7" s="12" t="n">
        <f aca="false">Capex_Depreciation!L21</f>
        <v>3</v>
      </c>
    </row>
    <row r="8" customFormat="false" ht="15" hidden="false" customHeight="false" outlineLevel="0" collapsed="false">
      <c r="A8" s="6"/>
      <c r="B8" s="11" t="s">
        <v>328</v>
      </c>
      <c r="C8" s="12" t="n">
        <f aca="false">-Working_Capital!C22</f>
        <v>25.2904109589041</v>
      </c>
      <c r="D8" s="12" t="n">
        <f aca="false">-Working_Capital!D22</f>
        <v>-1.08717808219178</v>
      </c>
      <c r="E8" s="12" t="n">
        <f aca="false">-Working_Capital!E22</f>
        <v>-23.0008660273973</v>
      </c>
      <c r="F8" s="12" t="n">
        <f aca="false">-Working_Capital!F22</f>
        <v>3.82462528904109</v>
      </c>
      <c r="G8" s="12" t="n">
        <f aca="false">-Working_Capital!G22</f>
        <v>4.56240993959589</v>
      </c>
      <c r="H8" s="12" t="n">
        <f aca="false">-Working_Capital!H22</f>
        <v>21.4683350523639</v>
      </c>
      <c r="I8" s="12" t="n">
        <f aca="false">-Working_Capital!I22</f>
        <v>5.20741101542981</v>
      </c>
      <c r="J8" s="12" t="n">
        <f aca="false">-Working_Capital!J22</f>
        <v>-0.169582536110402</v>
      </c>
      <c r="K8" s="12" t="n">
        <f aca="false">-Working_Capital!K22</f>
        <v>-3.35289277122596</v>
      </c>
      <c r="L8" s="12" t="n">
        <f aca="false">-Working_Capital!L22</f>
        <v>0.76489676411267</v>
      </c>
    </row>
    <row r="9" customFormat="false" ht="15" hidden="false" customHeight="false" outlineLevel="0" collapsed="false">
      <c r="A9" s="6"/>
      <c r="B9" s="33" t="s">
        <v>329</v>
      </c>
      <c r="C9" s="14" t="n">
        <f aca="false">C6+C7+C8</f>
        <v>54.5654109589041</v>
      </c>
      <c r="D9" s="14" t="n">
        <f aca="false">D6+D7+D8</f>
        <v>31.6951719178082</v>
      </c>
      <c r="E9" s="14" t="n">
        <f aca="false">E6+E7+E8</f>
        <v>60.2196529726027</v>
      </c>
      <c r="F9" s="14" t="n">
        <f aca="false">F6+F7+F8</f>
        <v>80.4609390940411</v>
      </c>
      <c r="G9" s="14" t="n">
        <f aca="false">G6+G7+G8</f>
        <v>78.7211154282209</v>
      </c>
      <c r="H9" s="14" t="n">
        <f aca="false">H6+H7+H8</f>
        <v>14.7326667718014</v>
      </c>
      <c r="I9" s="14" t="n">
        <f aca="false">I6+I7+I8</f>
        <v>-23.7617931283078</v>
      </c>
      <c r="J9" s="14" t="n">
        <f aca="false">J6+J7+J8</f>
        <v>-29.8026627880625</v>
      </c>
      <c r="K9" s="14" t="n">
        <f aca="false">K6+K7+K8</f>
        <v>-24.2166664257125</v>
      </c>
      <c r="L9" s="14" t="n">
        <f aca="false">L6+L7+L8</f>
        <v>-23.7231519140869</v>
      </c>
    </row>
    <row r="10" customFormat="false" ht="15" hidden="false" customHeight="false" outlineLevel="0" collapsed="false">
      <c r="A10" s="6"/>
      <c r="B10" s="6"/>
      <c r="C10" s="6"/>
      <c r="D10" s="6"/>
      <c r="E10" s="6"/>
      <c r="F10" s="6"/>
      <c r="G10" s="6"/>
      <c r="H10" s="6"/>
      <c r="I10" s="6"/>
      <c r="J10" s="6"/>
      <c r="K10" s="6"/>
      <c r="L10" s="6"/>
    </row>
    <row r="11" customFormat="false" ht="15" hidden="false" customHeight="false" outlineLevel="0" collapsed="false">
      <c r="A11" s="6"/>
      <c r="B11" s="11" t="s">
        <v>330</v>
      </c>
      <c r="C11" s="12" t="n">
        <f aca="false">-Capex_Depreciation!C7</f>
        <v>-3</v>
      </c>
      <c r="D11" s="12" t="n">
        <f aca="false">-Capex_Depreciation!D7</f>
        <v>-3</v>
      </c>
      <c r="E11" s="12" t="n">
        <f aca="false">-Capex_Depreciation!E7</f>
        <v>-3</v>
      </c>
      <c r="F11" s="12" t="n">
        <f aca="false">-Capex_Depreciation!F7</f>
        <v>-3</v>
      </c>
      <c r="G11" s="12" t="n">
        <f aca="false">-Capex_Depreciation!G7</f>
        <v>-3</v>
      </c>
      <c r="H11" s="12" t="n">
        <f aca="false">-Capex_Depreciation!H7</f>
        <v>-3</v>
      </c>
      <c r="I11" s="12" t="n">
        <f aca="false">-Capex_Depreciation!I7</f>
        <v>-3</v>
      </c>
      <c r="J11" s="12" t="n">
        <f aca="false">-Capex_Depreciation!J7</f>
        <v>-3</v>
      </c>
      <c r="K11" s="12" t="n">
        <f aca="false">-Capex_Depreciation!K7</f>
        <v>-3</v>
      </c>
      <c r="L11" s="12" t="n">
        <f aca="false">-Capex_Depreciation!L7</f>
        <v>-3</v>
      </c>
    </row>
    <row r="12" customFormat="false" ht="15" hidden="false" customHeight="false" outlineLevel="0" collapsed="false">
      <c r="A12" s="6"/>
      <c r="B12" s="33" t="s">
        <v>331</v>
      </c>
      <c r="C12" s="14" t="n">
        <f aca="false">C11</f>
        <v>-3</v>
      </c>
      <c r="D12" s="14" t="n">
        <f aca="false">D11</f>
        <v>-3</v>
      </c>
      <c r="E12" s="14" t="n">
        <f aca="false">E11</f>
        <v>-3</v>
      </c>
      <c r="F12" s="14" t="n">
        <f aca="false">F11</f>
        <v>-3</v>
      </c>
      <c r="G12" s="14" t="n">
        <f aca="false">G11</f>
        <v>-3</v>
      </c>
      <c r="H12" s="14" t="n">
        <f aca="false">H11</f>
        <v>-3</v>
      </c>
      <c r="I12" s="14" t="n">
        <f aca="false">I11</f>
        <v>-3</v>
      </c>
      <c r="J12" s="14" t="n">
        <f aca="false">J11</f>
        <v>-3</v>
      </c>
      <c r="K12" s="14" t="n">
        <f aca="false">K11</f>
        <v>-3</v>
      </c>
      <c r="L12" s="14" t="n">
        <f aca="false">L11</f>
        <v>-3</v>
      </c>
    </row>
    <row r="13" customFormat="false" ht="15" hidden="false" customHeight="false" outlineLevel="0" collapsed="false">
      <c r="A13" s="6"/>
      <c r="B13" s="6"/>
      <c r="C13" s="6"/>
      <c r="D13" s="6"/>
      <c r="E13" s="6"/>
      <c r="F13" s="6"/>
      <c r="G13" s="6"/>
      <c r="H13" s="6"/>
      <c r="I13" s="6"/>
      <c r="J13" s="6"/>
      <c r="K13" s="6"/>
      <c r="L13" s="6"/>
    </row>
    <row r="14" customFormat="false" ht="15" hidden="false" customHeight="false" outlineLevel="0" collapsed="false">
      <c r="A14" s="6"/>
      <c r="B14" s="11" t="s">
        <v>332</v>
      </c>
      <c r="C14" s="12" t="n">
        <f aca="false">Debt_Schedule!C7-Debt_Schedule!C8</f>
        <v>0</v>
      </c>
      <c r="D14" s="12" t="n">
        <f aca="false">Debt_Schedule!D7-Debt_Schedule!D8</f>
        <v>0</v>
      </c>
      <c r="E14" s="12" t="n">
        <f aca="false">Debt_Schedule!E7-Debt_Schedule!E8</f>
        <v>0</v>
      </c>
      <c r="F14" s="12" t="n">
        <f aca="false">Debt_Schedule!F7-Debt_Schedule!F8</f>
        <v>0</v>
      </c>
      <c r="G14" s="12" t="n">
        <f aca="false">Debt_Schedule!G7-Debt_Schedule!G8</f>
        <v>0</v>
      </c>
      <c r="H14" s="12" t="n">
        <f aca="false">Debt_Schedule!H7-Debt_Schedule!H8</f>
        <v>0</v>
      </c>
      <c r="I14" s="12" t="n">
        <f aca="false">Debt_Schedule!I7-Debt_Schedule!I8</f>
        <v>0</v>
      </c>
      <c r="J14" s="12" t="n">
        <f aca="false">Debt_Schedule!J7-Debt_Schedule!J8</f>
        <v>0</v>
      </c>
      <c r="K14" s="12" t="n">
        <f aca="false">Debt_Schedule!K7-Debt_Schedule!K8</f>
        <v>0</v>
      </c>
      <c r="L14" s="12" t="n">
        <f aca="false">Debt_Schedule!L7-Debt_Schedule!L8</f>
        <v>0</v>
      </c>
    </row>
    <row r="15" customFormat="false" ht="15" hidden="false" customHeight="false" outlineLevel="0" collapsed="false">
      <c r="A15" s="6"/>
      <c r="B15" s="33" t="s">
        <v>333</v>
      </c>
      <c r="C15" s="14" t="n">
        <f aca="false">C14</f>
        <v>0</v>
      </c>
      <c r="D15" s="14" t="n">
        <f aca="false">D14</f>
        <v>0</v>
      </c>
      <c r="E15" s="14" t="n">
        <f aca="false">E14</f>
        <v>0</v>
      </c>
      <c r="F15" s="14" t="n">
        <f aca="false">F14</f>
        <v>0</v>
      </c>
      <c r="G15" s="14" t="n">
        <f aca="false">G14</f>
        <v>0</v>
      </c>
      <c r="H15" s="14" t="n">
        <f aca="false">H14</f>
        <v>0</v>
      </c>
      <c r="I15" s="14" t="n">
        <f aca="false">I14</f>
        <v>0</v>
      </c>
      <c r="J15" s="14" t="n">
        <f aca="false">J14</f>
        <v>0</v>
      </c>
      <c r="K15" s="14" t="n">
        <f aca="false">K14</f>
        <v>0</v>
      </c>
      <c r="L15" s="14" t="n">
        <f aca="false">L14</f>
        <v>0</v>
      </c>
    </row>
    <row r="16" customFormat="false" ht="15" hidden="false" customHeight="false" outlineLevel="0" collapsed="false">
      <c r="A16" s="6"/>
      <c r="B16" s="6"/>
      <c r="C16" s="6"/>
      <c r="D16" s="6"/>
      <c r="E16" s="6"/>
      <c r="F16" s="6"/>
      <c r="G16" s="6"/>
      <c r="H16" s="6"/>
      <c r="I16" s="6"/>
      <c r="J16" s="6"/>
      <c r="K16" s="6"/>
      <c r="L16" s="6"/>
    </row>
    <row r="17" customFormat="false" ht="15" hidden="false" customHeight="false" outlineLevel="0" collapsed="false">
      <c r="A17" s="6"/>
      <c r="B17" s="31" t="s">
        <v>334</v>
      </c>
      <c r="C17" s="32" t="n">
        <f aca="false">C9+C12+C15</f>
        <v>51.5654109589041</v>
      </c>
      <c r="D17" s="32" t="n">
        <f aca="false">D9+D12+D15</f>
        <v>28.6951719178082</v>
      </c>
      <c r="E17" s="32" t="n">
        <f aca="false">E9+E12+E15</f>
        <v>57.2196529726027</v>
      </c>
      <c r="F17" s="32" t="n">
        <f aca="false">F9+F12+F15</f>
        <v>77.4609390940411</v>
      </c>
      <c r="G17" s="32" t="n">
        <f aca="false">G9+G12+G15</f>
        <v>75.7211154282209</v>
      </c>
      <c r="H17" s="32" t="n">
        <f aca="false">H9+H12+H15</f>
        <v>11.7326667718014</v>
      </c>
      <c r="I17" s="32" t="n">
        <f aca="false">I9+I12+I15</f>
        <v>-26.7617931283078</v>
      </c>
      <c r="J17" s="32" t="n">
        <f aca="false">J9+J12+J15</f>
        <v>-32.8026627880625</v>
      </c>
      <c r="K17" s="32" t="n">
        <f aca="false">K9+K12+K15</f>
        <v>-27.2166664257125</v>
      </c>
      <c r="L17" s="32" t="n">
        <f aca="false">L9+L12+L15</f>
        <v>-26.7231519140869</v>
      </c>
    </row>
    <row r="18" customFormat="false" ht="15" hidden="false" customHeight="false" outlineLevel="0" collapsed="false">
      <c r="A18" s="6"/>
      <c r="B18" s="11" t="s">
        <v>179</v>
      </c>
      <c r="C18" s="12" t="n">
        <f aca="false">Open_Cash</f>
        <v>120</v>
      </c>
      <c r="D18" s="12" t="n">
        <f aca="false">C19</f>
        <v>171.565410958904</v>
      </c>
      <c r="E18" s="12" t="n">
        <f aca="false">D19</f>
        <v>200.260582876712</v>
      </c>
      <c r="F18" s="12" t="n">
        <f aca="false">E19</f>
        <v>257.480235849315</v>
      </c>
      <c r="G18" s="12" t="n">
        <f aca="false">F19</f>
        <v>334.941174943356</v>
      </c>
      <c r="H18" s="12" t="n">
        <f aca="false">G19</f>
        <v>410.662290371577</v>
      </c>
      <c r="I18" s="12" t="n">
        <f aca="false">H19</f>
        <v>422.394957143379</v>
      </c>
      <c r="J18" s="12" t="n">
        <f aca="false">I19</f>
        <v>395.633164015071</v>
      </c>
      <c r="K18" s="12" t="n">
        <f aca="false">J19</f>
        <v>362.830501227008</v>
      </c>
      <c r="L18" s="12" t="n">
        <f aca="false">K19</f>
        <v>335.613834801296</v>
      </c>
    </row>
    <row r="19" customFormat="false" ht="15" hidden="false" customHeight="false" outlineLevel="0" collapsed="false">
      <c r="A19" s="6"/>
      <c r="B19" s="33" t="s">
        <v>335</v>
      </c>
      <c r="C19" s="14" t="n">
        <f aca="false">C18+C17</f>
        <v>171.565410958904</v>
      </c>
      <c r="D19" s="14" t="n">
        <f aca="false">D18+D17</f>
        <v>200.260582876712</v>
      </c>
      <c r="E19" s="14" t="n">
        <f aca="false">E18+E17</f>
        <v>257.480235849315</v>
      </c>
      <c r="F19" s="14" t="n">
        <f aca="false">F18+F17</f>
        <v>334.941174943356</v>
      </c>
      <c r="G19" s="14" t="n">
        <f aca="false">G18+G17</f>
        <v>410.662290371577</v>
      </c>
      <c r="H19" s="14" t="n">
        <f aca="false">H18+H17</f>
        <v>422.394957143379</v>
      </c>
      <c r="I19" s="14" t="n">
        <f aca="false">I18+I17</f>
        <v>395.633164015071</v>
      </c>
      <c r="J19" s="14" t="n">
        <f aca="false">J18+J17</f>
        <v>362.830501227008</v>
      </c>
      <c r="K19" s="14" t="n">
        <f aca="false">K18+K17</f>
        <v>335.613834801296</v>
      </c>
      <c r="L19" s="14" t="n">
        <f aca="false">L18+L17</f>
        <v>308.890682887209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2026-05-15T18:52:48Z</dcterms:created>
  <dc:creator>openpyxl</dc:creator>
  <dc:description/>
  <dc:language>en-GB</dc:language>
  <cp:lastModifiedBy/>
  <dcterms:modified xsi:type="dcterms:W3CDTF">2026-05-15T18:52:48Z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