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Revenue_Build" sheetId="4" state="visible" r:id="rId6"/>
    <sheet name="Funding_Costs" sheetId="5" state="visible" r:id="rId7"/>
    <sheet name="Opex_Compensation" sheetId="6" state="visible" r:id="rId8"/>
    <sheet name="Income_Statement" sheetId="7" state="visible" r:id="rId9"/>
    <sheet name="Balance_Sheet" sheetId="8" state="visible" r:id="rId10"/>
    <sheet name="Capital_Adequacy" sheetId="9" state="visible" r:id="rId11"/>
    <sheet name="Cash_Flow" sheetId="10" state="visible" r:id="rId12"/>
    <sheet name="Key_Metrics" sheetId="11" state="visible" r:id="rId13"/>
    <sheet name="Checks" sheetId="12" state="visible" r:id="rId14"/>
  </sheets>
  <definedNames>
    <definedName function="false" hidden="false" name="Avg_Bond_Yield" vbProcedure="false">Assumptions!$C$57</definedName>
    <definedName function="false" hidden="false" name="Bonus_Cap_Pct" vbProcedure="false">Assumptions!$C$80</definedName>
    <definedName function="false" hidden="false" name="Bonus_Hurdle_Pct" vbProcedure="false">Assumptions!$C$78</definedName>
    <definedName function="false" hidden="false" name="Bonus_Share_Pct" vbProcedure="false">Assumptions!$C$79</definedName>
    <definedName function="false" hidden="false" name="BS_Accum_Depr" vbProcedure="false">Balance_Sheet!$C$17:$G$17</definedName>
    <definedName function="false" hidden="false" name="BS_Bonus_Accrual" vbProcedure="false">Balance_Sheet!$C$25:$G$25</definedName>
    <definedName function="false" hidden="false" name="BS_Cash" vbProcedure="false">Balance_Sheet!$C$10:$G$10</definedName>
    <definedName function="false" hidden="false" name="BS_Corp_Debt" vbProcedure="false">Balance_Sheet!$C$28:$G$28</definedName>
    <definedName function="false" hidden="false" name="BS_Gross_PPE" vbProcedure="false">Balance_Sheet!$C$16:$G$16</definedName>
    <definedName function="false" hidden="false" name="BS_Net_PPE" vbProcedure="false">Balance_Sheet!$C$18:$G$18</definedName>
    <definedName function="false" hidden="false" name="BS_Payables" vbProcedure="false">Balance_Sheet!$C$24:$G$24</definedName>
    <definedName function="false" hidden="false" name="BS_Receivables" vbProcedure="false">Balance_Sheet!$C$13:$G$13</definedName>
    <definedName function="false" hidden="false" name="BS_Repo_Payable" vbProcedure="false">Balance_Sheet!$C$23:$G$23</definedName>
    <definedName function="false" hidden="false" name="BS_Ret_Earnings" vbProcedure="false">Balance_Sheet!$C$33:$G$33</definedName>
    <definedName function="false" hidden="false" name="BS_Reverse_Repo" vbProcedure="false">Balance_Sheet!$C$12:$G$12</definedName>
    <definedName function="false" hidden="false" name="BS_Share_Capital" vbProcedure="false">Balance_Sheet!$C$32:$G$32</definedName>
    <definedName function="false" hidden="false" name="BS_Total_Assets" vbProcedure="false">Balance_Sheet!$C$20:$G$20</definedName>
    <definedName function="false" hidden="false" name="BS_Total_Equity" vbProcedure="false">Balance_Sheet!$C$34:$G$34</definedName>
    <definedName function="false" hidden="false" name="BS_Total_LE" vbProcedure="false">Balance_Sheet!$C$36:$G$36</definedName>
    <definedName function="false" hidden="false" name="BS_Total_Liab" vbProcedure="false">Balance_Sheet!$C$29:$G$29</definedName>
    <definedName function="false" hidden="false" name="BS_Trading_Assets" vbProcedure="false">Balance_Sheet!$C$11:$G$11</definedName>
    <definedName function="false" hidden="false" name="Capex_Pct" vbProcedure="false">Assumptions!$C$97</definedName>
    <definedName function="false" hidden="false" name="CA_CET1_Capital" vbProcedure="false">Capital_Adequacy!$C$23:$G$23</definedName>
    <definedName function="false" hidden="false" name="CA_CET1_Ratio" vbProcedure="false">Capital_Adequacy!$C$24:$G$24</definedName>
    <definedName function="false" hidden="false" name="CA_Excess_Capital" vbProcedure="false">Capital_Adequacy!$C$27:$G$27</definedName>
    <definedName function="false" hidden="false" name="CA_Required_Capital" vbProcedure="false">Capital_Adequacy!$C$26:$G$26</definedName>
    <definedName function="false" hidden="false" name="CA_Total_RWA" vbProcedure="false">Capital_Adequacy!$C$19:$G$19</definedName>
    <definedName function="false" hidden="false" name="CF_CFF" vbProcedure="false">Cash_Flow!$C$28:$G$28</definedName>
    <definedName function="false" hidden="false" name="CF_CFI" vbProcedure="false">Cash_Flow!$C$22:$G$22</definedName>
    <definedName function="false" hidden="false" name="CF_CFO" vbProcedure="false">Cash_Flow!$C$18:$G$18</definedName>
    <definedName function="false" hidden="false" name="CF_Closing_Cash" vbProcedure="false">Cash_Flow!$C$33:$G$33</definedName>
    <definedName function="false" hidden="false" name="CF_Net_Change" vbProcedure="false">Cash_Flow!$C$30:$G$30</definedName>
    <definedName function="false" hidden="false" name="CF_Opening_Cash" vbProcedure="false">Cash_Flow!$C$32:$G$32</definedName>
    <definedName function="false" hidden="false" name="Client_Volume_Base" vbProcedure="false">Assumptions!$C$53</definedName>
    <definedName function="false" hidden="false" name="Compliance_Pct" vbProcedure="false">Assumptions!$C$85</definedName>
    <definedName function="false" hidden="false" name="Comp_Escalation" vbProcedure="false">Assumptions!$C$77</definedName>
    <definedName function="false" hidden="false" name="Corp_Debt_Spread" vbProcedure="false">Assumptions!$C$94</definedName>
    <definedName function="false" hidden="false" name="Credit_Risk_Weight" vbProcedure="false">Assumptions!$C$89</definedName>
    <definedName function="false" hidden="false" name="CSprd_B" vbProcedure="false">Assumptions!$C$37</definedName>
    <definedName function="false" hidden="false" name="CSprd_BB" vbProcedure="false">Assumptions!$C$36</definedName>
    <definedName function="false" hidden="false" name="CSprd_BBB" vbProcedure="false">Assumptions!$C$35</definedName>
    <definedName function="false" hidden="false" name="CSprd_CCC" vbProcedure="false">Assumptions!$C$38</definedName>
    <definedName function="false" hidden="false" name="Debt_New_Issuance" vbProcedure="false">Assumptions!$C$116</definedName>
    <definedName function="false" hidden="false" name="Debt_Term_Years" vbProcedure="false">Assumptions!$C$115</definedName>
    <definedName function="false" hidden="false" name="Dividend_Payout" vbProcedure="false">Assumptions!$C$93</definedName>
    <definedName function="false" hidden="false" name="DV01" vbProcedure="false">Assumptions!$C$59</definedName>
    <definedName function="false" hidden="false" name="FC_Corp_Interest" vbProcedure="false">Funding_Costs!$C$17:$G$17</definedName>
    <definedName function="false" hidden="false" name="FC_Repo_Cost" vbProcedure="false">Funding_Costs!$C$12:$G$12</definedName>
    <definedName function="false" hidden="false" name="FC_Total_Funding" vbProcedure="false">Funding_Costs!$C$19:$G$19</definedName>
    <definedName function="false" hidden="false" name="FRTB_Multiplier" vbProcedure="false">Assumptions!$C$95</definedName>
    <definedName function="false" hidden="false" name="Haircut_HY" vbProcedure="false">Assumptions!$C$43</definedName>
    <definedName function="false" hidden="false" name="Haircut_IG" vbProcedure="false">Assumptions!$C$42</definedName>
    <definedName function="false" hidden="false" name="Haircut_MBS" vbProcedure="false">Assumptions!$C$44</definedName>
    <definedName function="false" hidden="false" name="Haircut_UST" vbProcedure="false">Assumptions!$C$41</definedName>
    <definedName function="false" hidden="false" name="Headcount_Growth" vbProcedure="false">Assumptions!$C$14</definedName>
    <definedName function="false" hidden="false" name="Inventory_Base" vbProcedure="false">Assumptions!$C$56</definedName>
    <definedName function="false" hidden="false" name="IS_Corp_Interest" vbProcedure="false">Income_Statement!$C$31:$G$31</definedName>
    <definedName function="false" hidden="false" name="IS_Depr" vbProcedure="false">Income_Statement!$C$28:$G$28</definedName>
    <definedName function="false" hidden="false" name="IS_Dividends" vbProcedure="false">Income_Statement!$C$37:$G$37</definedName>
    <definedName function="false" hidden="false" name="IS_EBIT" vbProcedure="false">Income_Statement!$C$29:$G$29</definedName>
    <definedName function="false" hidden="false" name="IS_EBITDA" vbProcedure="false">Income_Statement!$C$27:$G$27</definedName>
    <definedName function="false" hidden="false" name="IS_EBT" vbProcedure="false">Income_Statement!$C$32:$G$32</definedName>
    <definedName function="false" hidden="false" name="IS_Gross_Revenue" vbProcedure="false">Income_Statement!$C$20:$G$20</definedName>
    <definedName function="false" hidden="false" name="IS_Net_Income" vbProcedure="false">Income_Statement!$C$35:$G$35</definedName>
    <definedName function="false" hidden="false" name="IS_Net_Trading_Rev" vbProcedure="false">Income_Statement!$C$14:$G$14</definedName>
    <definedName function="false" hidden="false" name="IS_Retained" vbProcedure="false">Income_Statement!$C$38:$G$38</definedName>
    <definedName function="false" hidden="false" name="IS_Tax" vbProcedure="false">Income_Statement!$C$33:$G$33</definedName>
    <definedName function="false" hidden="false" name="IS_Total_Opex" vbProcedure="false">Income_Statement!$C$25:$G$25</definedName>
    <definedName function="false" hidden="false" name="Mix_HY_Pct" vbProcedure="false">Assumptions!$C$24</definedName>
    <definedName function="false" hidden="false" name="Mix_IG_Pct" vbProcedure="false">Assumptions!$C$23</definedName>
    <definedName function="false" hidden="false" name="Mix_MBS_Pct" vbProcedure="false">Assumptions!$C$25</definedName>
    <definedName function="false" hidden="false" name="Mix_UST_Pct" vbProcedure="false">Assumptions!$C$22</definedName>
    <definedName function="false" hidden="false" name="Model_Start_Year" vbProcedure="false">Assumptions!$C$8</definedName>
    <definedName function="false" hidden="false" name="MOVE_Index" vbProcedure="false">Assumptions!$C$18</definedName>
    <definedName function="false" hidden="false" name="MTM_Y1" vbProcedure="false">Assumptions!$C$65</definedName>
    <definedName function="false" hidden="false" name="MTM_Y2" vbProcedure="false">Assumptions!$C$66</definedName>
    <definedName function="false" hidden="false" name="MTM_Y3" vbProcedure="false">Assumptions!$C$67</definedName>
    <definedName function="false" hidden="false" name="MTM_Y4" vbProcedure="false">Assumptions!$C$68</definedName>
    <definedName function="false" hidden="false" name="MTM_Y5" vbProcedure="false">Assumptions!$C$69</definedName>
    <definedName function="false" hidden="false" name="NI_Fee_Rate" vbProcedure="false">Assumptions!$C$62</definedName>
    <definedName function="false" hidden="false" name="NI_Fee_Volume" vbProcedure="false">Assumptions!$C$61</definedName>
    <definedName function="false" hidden="false" name="Num_Ops_Y0" vbProcedure="false">Assumptions!$C$13</definedName>
    <definedName function="false" hidden="false" name="Num_Risk_Y0" vbProcedure="false">Assumptions!$C$11</definedName>
    <definedName function="false" hidden="false" name="Num_Sales_Y0" vbProcedure="false">Assumptions!$C$10</definedName>
    <definedName function="false" hidden="false" name="Num_Tech_Y0" vbProcedure="false">Assumptions!$C$12</definedName>
    <definedName function="false" hidden="false" name="Num_Traders_Y0" vbProcedure="false">Assumptions!$C$9</definedName>
    <definedName function="false" hidden="false" name="Occupancy_Pct" vbProcedure="false">Assumptions!$C$84</definedName>
    <definedName function="false" hidden="false" name="OC_Bonus_Pool" vbProcedure="false">Opex_Compensation!$C$23:$G$23</definedName>
    <definedName function="false" hidden="false" name="OC_Comp_Ratio" vbProcedure="false">Opex_Compensation!$C$25:$G$25</definedName>
    <definedName function="false" hidden="false" name="OC_Operations" vbProcedure="false">Opex_Compensation!$C$18:$G$18</definedName>
    <definedName function="false" hidden="false" name="OC_Risk" vbProcedure="false">Opex_Compensation!$C$14:$G$14</definedName>
    <definedName function="false" hidden="false" name="OC_Sales" vbProcedure="false">Opex_Compensation!$C$12:$G$12</definedName>
    <definedName function="false" hidden="false" name="OC_Tech" vbProcedure="false">Opex_Compensation!$C$16:$G$16</definedName>
    <definedName function="false" hidden="false" name="OC_Total_Comp" vbProcedure="false">Opex_Compensation!$C$24:$G$24</definedName>
    <definedName function="false" hidden="false" name="OC_Total_Noncomp" vbProcedure="false">Opex_Compensation!$C$32:$G$32</definedName>
    <definedName function="false" hidden="false" name="OC_Total_Opex" vbProcedure="false">Opex_Compensation!$C$34:$G$34</definedName>
    <definedName function="false" hidden="false" name="OC_Traders" vbProcedure="false">Opex_Compensation!$C$10:$G$10</definedName>
    <definedName function="false" hidden="false" name="Open_Accum_Depr" vbProcedure="false">Assumptions!$C$106</definedName>
    <definedName function="false" hidden="false" name="Open_Bonus_Accrual" vbProcedure="false">Assumptions!$C$109</definedName>
    <definedName function="false" hidden="false" name="Open_Cash" vbProcedure="false">Assumptions!$C$101</definedName>
    <definedName function="false" hidden="false" name="Open_Corp_Debt" vbProcedure="false">Assumptions!$C$110</definedName>
    <definedName function="false" hidden="false" name="Open_Payables" vbProcedure="false">Assumptions!$C$108</definedName>
    <definedName function="false" hidden="false" name="Open_PPE" vbProcedure="false">Assumptions!$C$105</definedName>
    <definedName function="false" hidden="false" name="Open_Receivables" vbProcedure="false">Assumptions!$C$104</definedName>
    <definedName function="false" hidden="false" name="Open_Repo_Payable" vbProcedure="false">Assumptions!$C$107</definedName>
    <definedName function="false" hidden="false" name="Open_Ret_Earnings" vbProcedure="false">Assumptions!$C$112</definedName>
    <definedName function="false" hidden="false" name="Open_Reverse_Repo" vbProcedure="false">Assumptions!$C$103</definedName>
    <definedName function="false" hidden="false" name="Open_Share_Capital" vbProcedure="false">Assumptions!$C$111</definedName>
    <definedName function="false" hidden="false" name="Open_Trading_Assets" vbProcedure="false">Assumptions!$C$102</definedName>
    <definedName function="false" hidden="false" name="OpRisk_Factor" vbProcedure="false">Assumptions!$C$90</definedName>
    <definedName function="false" hidden="false" name="Ops_Comp" vbProcedure="false">Assumptions!$C$76</definedName>
    <definedName function="false" hidden="false" name="Other_Opex_Pct" vbProcedure="false">Assumptions!$C$86</definedName>
    <definedName function="false" hidden="false" name="RB_Avg_Inventory" vbProcedure="false">Revenue_Build!$C$19:$G$19</definedName>
    <definedName function="false" hidden="false" name="RB_BidAsk_Rev" vbProcedure="false">Revenue_Build!$C$16:$G$16</definedName>
    <definedName function="false" hidden="false" name="RB_Blended_Spread" vbProcedure="false">Revenue_Build!$C$15:$G$15</definedName>
    <definedName function="false" hidden="false" name="RB_Carry_Income" vbProcedure="false">Revenue_Build!$C$23:$G$23</definedName>
    <definedName function="false" hidden="false" name="RB_Client_Volume" vbProcedure="false">Revenue_Build!$C$10:$G$10</definedName>
    <definedName function="false" hidden="false" name="RB_MTM_PnL" vbProcedure="false">Revenue_Build!$C$26:$G$26</definedName>
    <definedName function="false" hidden="false" name="RB_Net_Trading_Rev" vbProcedure="false">Revenue_Build!$C$33:$G$33</definedName>
    <definedName function="false" hidden="false" name="RB_NI_Fee_Rev" vbProcedure="false">Revenue_Build!$C$31:$G$31</definedName>
    <definedName function="false" hidden="false" name="Repo_Spread" vbProcedure="false">Assumptions!$C$58</definedName>
    <definedName function="false" hidden="false" name="Risk_Comp" vbProcedure="false">Assumptions!$C$74</definedName>
    <definedName function="false" hidden="false" name="RWT_HY" vbProcedure="false">Assumptions!$C$49</definedName>
    <definedName function="false" hidden="false" name="RWT_IG" vbProcedure="false">Assumptions!$C$48</definedName>
    <definedName function="false" hidden="false" name="RWT_MBS" vbProcedure="false">Assumptions!$C$50</definedName>
    <definedName function="false" hidden="false" name="RWT_UST" vbProcedure="false">Assumptions!$C$47</definedName>
    <definedName function="false" hidden="false" name="Sales_Comp" vbProcedure="false">Assumptions!$C$73</definedName>
    <definedName function="false" hidden="false" name="SOFR_Rate" vbProcedure="false">Assumptions!$C$17</definedName>
    <definedName function="false" hidden="false" name="Spread_HY" vbProcedure="false">Assumptions!$C$31</definedName>
    <definedName function="false" hidden="false" name="Spread_IG" vbProcedure="false">Assumptions!$C$30</definedName>
    <definedName function="false" hidden="false" name="Spread_MBS" vbProcedure="false">Assumptions!$C$32</definedName>
    <definedName function="false" hidden="false" name="Spread_UST" vbProcedure="false">Assumptions!$C$29</definedName>
    <definedName function="false" hidden="false" name="Target_CET1" vbProcedure="false">Assumptions!$C$91</definedName>
    <definedName function="false" hidden="false" name="Tax_Rate" vbProcedure="false">Assumptions!$C$92</definedName>
    <definedName function="false" hidden="false" name="Tech_Comp" vbProcedure="false">Assumptions!$C$75</definedName>
    <definedName function="false" hidden="false" name="Tech_Cost_Pct" vbProcedure="false">Assumptions!$C$83</definedName>
    <definedName function="false" hidden="false" name="Trader_Comp" vbProcedure="false">Assumptions!$C$72</definedName>
    <definedName function="false" hidden="false" name="Trading_Days" vbProcedure="false">Assumptions!$C$54</definedName>
    <definedName function="false" hidden="false" name="T_Plus_Days" vbProcedure="false">Assumptions!$C$55</definedName>
    <definedName function="false" hidden="false" name="Useful_Life" vbProcedure="false">Assumptions!$C$98</definedName>
    <definedName function="false" hidden="false" name="VaR_Limit" vbProcedure="false">Assumptions!$C$60</definedName>
    <definedName function="false" hidden="false" name="Volume_Growth" vbProcedure="false">Assumptions!$C$19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<sst xmlns="http://schemas.openxmlformats.org/spreadsheetml/2006/main" count="522" uniqueCount="393">
  <si>
    <t xml:space="preserve">Bond Trading Desk</t>
  </si>
  <si>
    <t xml:space="preserve">FINAMODEL.com</t>
  </si>
  <si>
    <t xml:space="preserve">Financial Model</t>
  </si>
  <si>
    <t xml:space="preserve">Entity</t>
  </si>
  <si>
    <t xml:space="preserve">[Trading Desk / Firm Name]</t>
  </si>
  <si>
    <t xml:space="preserve">Currency</t>
  </si>
  <si>
    <t xml:space="preserve">USD ($)</t>
  </si>
  <si>
    <t xml:space="preserve">Projection Period</t>
  </si>
  <si>
    <t xml:space="preserve">5 Years</t>
  </si>
  <si>
    <t xml:space="preserve">Date Prepared</t>
  </si>
  <si>
    <t xml:space="preserve">April 2026</t>
  </si>
  <si>
    <t xml:space="preserve">Sheet Navigation</t>
  </si>
  <si>
    <t xml:space="preserve">All model inputs and drivers</t>
  </si>
  <si>
    <t xml:space="preserve">Trading revenue by stream</t>
  </si>
  <si>
    <t xml:space="preserve">Repo and corporate funding</t>
  </si>
  <si>
    <t xml:space="preserve">Staff costs and non-comp</t>
  </si>
  <si>
    <t xml:space="preserve">Net Trading Rev to Net Income</t>
  </si>
  <si>
    <t xml:space="preserve">Assets, Liabilities, Equity</t>
  </si>
  <si>
    <t xml:space="preserve">RWA and CET1 analysis</t>
  </si>
  <si>
    <t xml:space="preserve">Operating, Investing, Financing</t>
  </si>
  <si>
    <t xml:space="preserve">Performance ratios</t>
  </si>
  <si>
    <t xml:space="preserve">Validation and error flags</t>
  </si>
  <si>
    <t xml:space="preserve">Tab Colour Legend</t>
  </si>
  <si>
    <t xml:space="preserve">Dark Blue</t>
  </si>
  <si>
    <t xml:space="preserve">Cover</t>
  </si>
  <si>
    <t xml:space="preserve">Light Blue</t>
  </si>
  <si>
    <t xml:space="preserve">Assumptions / Inputs</t>
  </si>
  <si>
    <t xml:space="preserve">Green</t>
  </si>
  <si>
    <t xml:space="preserve">Revenue Drivers</t>
  </si>
  <si>
    <t xml:space="preserve">Orange</t>
  </si>
  <si>
    <t xml:space="preserve">Cost Schedules</t>
  </si>
  <si>
    <t xml:space="preserve">Grey</t>
  </si>
  <si>
    <t xml:space="preserve">Financial Statements</t>
  </si>
  <si>
    <t xml:space="preserve">Red</t>
  </si>
  <si>
    <t xml:space="preserve">Capital / Risk</t>
  </si>
  <si>
    <t xml:space="preserve">About this model</t>
  </si>
  <si>
    <t xml:space="preserve">A bond trading desk model tracks fixed income positions, calculates mark-to-market P&amp;L, Greeks (duration, convexity, DV01, key rate durations), and scenario analysis to support daily P&amp;L reporting, risk monitoring, and inventory management. The model answers what the current unrealised loss is on the portfolio, how much P&amp;L would swing if the yield curve shifts, and where the concentration risk sits across issuer and sector.
Positions are tracked with issuer name, maturity, coupon, amount, and cost basis. Valuation uses a bond pricing formula (present value of future coupons plus final principal, discounted at current market yield) which updates daily as spreads and base rates move. P&amp;L is decomposed into carry (coupon accrual), roll-down (capital appreciation as bonds age and yields converge to maturity), spread widening/tightening, and curve reshaping (steepening or flattening). Greeks are calculated analytically: duration tells the percentage price move per 1% yield change (DV01 in dollars), convexity accounts for the acceleration of price changes at extreme yields, and key rate durations isolate sensitivity to specific maturity buckets (2Y, 5Y, 10Y, 30Y). Scenario analysis applies parallel shifts (all yields up/down 100bps), steepening (short-end up, long-end down), or flattening to show portfolio sensitivity.
Fixed income traders, portfolio managers, and risk managers use bond models to size trading positions, monitor daily P&amp;L attribution (which curve factors drove profits/losses), and stress test the book for adverse rate or credit scenarios.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</si>
  <si>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</si>
  <si>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</si>
  <si>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</si>
  <si>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</si>
  <si>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</si>
  <si>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Model Inputs</t>
  </si>
  <si>
    <t xml:space="preserve">Parameter</t>
  </si>
  <si>
    <t xml:space="preserve">Value</t>
  </si>
  <si>
    <t xml:space="preserve">Unit</t>
  </si>
  <si>
    <t xml:space="preserve">Notes</t>
  </si>
  <si>
    <t xml:space="preserve">Headcount &amp; General</t>
  </si>
  <si>
    <t xml:space="preserve">Model Start Year</t>
  </si>
  <si>
    <t xml:space="preserve">[ASSUMPTION] First projection year</t>
  </si>
  <si>
    <t xml:space="preserve">Number of Traders Y0</t>
  </si>
  <si>
    <t xml:space="preserve">heads</t>
  </si>
  <si>
    <t xml:space="preserve">[ASSUMPTION] Front-office traders</t>
  </si>
  <si>
    <t xml:space="preserve">Number of Sales Y0</t>
  </si>
  <si>
    <t xml:space="preserve">[ASSUMPTION] Institutional sales</t>
  </si>
  <si>
    <t xml:space="preserve">Risk Managers Y0</t>
  </si>
  <si>
    <t xml:space="preserve">[ASSUMPTION] Risk and quant staff</t>
  </si>
  <si>
    <t xml:space="preserve">Technology Staff Y0</t>
  </si>
  <si>
    <t xml:space="preserve">[ASSUMPTION] Platform and infra</t>
  </si>
  <si>
    <t xml:space="preserve">Operations Staff Y0</t>
  </si>
  <si>
    <t xml:space="preserve">[ASSUMPTION] Settlement and back office</t>
  </si>
  <si>
    <t xml:space="preserve">Headcount Growth</t>
  </si>
  <si>
    <t xml:space="preserve">%</t>
  </si>
  <si>
    <t xml:space="preserve">[ASSUMPTION] Scales with volume</t>
  </si>
  <si>
    <t xml:space="preserve">Market / Macro</t>
  </si>
  <si>
    <t xml:space="preserve">SOFR Rate</t>
  </si>
  <si>
    <t xml:space="preserve">[ASSUMPTION] Benchmark overnight rate</t>
  </si>
  <si>
    <t xml:space="preserve">MOVE Index</t>
  </si>
  <si>
    <t xml:space="preserve">pts</t>
  </si>
  <si>
    <t xml:space="preserve">[ASSUMPTION] Bond market volatility</t>
  </si>
  <si>
    <t xml:space="preserve">Volume Growth Rate</t>
  </si>
  <si>
    <t xml:space="preserve">[ASSUMPTION] Annual client volume growth</t>
  </si>
  <si>
    <t xml:space="preserve">Instrument Mix (% of Volume / Assets)</t>
  </si>
  <si>
    <t xml:space="preserve">Mix US Treasuries</t>
  </si>
  <si>
    <t xml:space="preserve">[ASSUMPTION] UST share</t>
  </si>
  <si>
    <t xml:space="preserve">Mix IG Corporates</t>
  </si>
  <si>
    <t xml:space="preserve">[ASSUMPTION] Investment-grade share</t>
  </si>
  <si>
    <t xml:space="preserve">Mix HY Corporates</t>
  </si>
  <si>
    <t xml:space="preserve">[ASSUMPTION] High-yield share</t>
  </si>
  <si>
    <t xml:space="preserve">Mix MBS</t>
  </si>
  <si>
    <t xml:space="preserve">[ASSUMPTION] Mortgage-backed share</t>
  </si>
  <si>
    <t xml:space="preserve">  Mix Total (check)</t>
  </si>
  <si>
    <t xml:space="preserve">Must equal 100%</t>
  </si>
  <si>
    <t xml:space="preserve">Bid-Ask Spreads (per instrument class)</t>
  </si>
  <si>
    <t xml:space="preserve">Spread - UST</t>
  </si>
  <si>
    <t xml:space="preserve">[ASSUMPTION] 2 bps</t>
  </si>
  <si>
    <t xml:space="preserve">Spread - IG Corp</t>
  </si>
  <si>
    <t xml:space="preserve">[ASSUMPTION] 10 bps</t>
  </si>
  <si>
    <t xml:space="preserve">Spread - HY Corp</t>
  </si>
  <si>
    <t xml:space="preserve">[ASSUMPTION] 50 bps</t>
  </si>
  <si>
    <t xml:space="preserve">Spread - MBS</t>
  </si>
  <si>
    <t xml:space="preserve">[ASSUMPTION] 15 bps</t>
  </si>
  <si>
    <t xml:space="preserve">Credit Spreads by Rating (bps over benchmark)</t>
  </si>
  <si>
    <t xml:space="preserve">Credit Spread BBB</t>
  </si>
  <si>
    <t xml:space="preserve">[ASSUMPTION] 150 bps</t>
  </si>
  <si>
    <t xml:space="preserve">Credit Spread BB</t>
  </si>
  <si>
    <t xml:space="preserve">[ASSUMPTION] 300 bps</t>
  </si>
  <si>
    <t xml:space="preserve">Credit Spread B</t>
  </si>
  <si>
    <t xml:space="preserve">[ASSUMPTION] 500 bps</t>
  </si>
  <si>
    <t xml:space="preserve">Credit Spread CCC</t>
  </si>
  <si>
    <t xml:space="preserve">[ASSUMPTION] 900 bps</t>
  </si>
  <si>
    <t xml:space="preserve">Repo Haircuts by Collateral</t>
  </si>
  <si>
    <t xml:space="preserve">Haircut - UST</t>
  </si>
  <si>
    <t xml:space="preserve">[ASSUMPTION] 1% on UST</t>
  </si>
  <si>
    <t xml:space="preserve">Haircut - IG Corp</t>
  </si>
  <si>
    <t xml:space="preserve">[ASSUMPTION] 5% on IG</t>
  </si>
  <si>
    <t xml:space="preserve">Haircut - HY Corp</t>
  </si>
  <si>
    <t xml:space="preserve">[ASSUMPTION] 10% on HY</t>
  </si>
  <si>
    <t xml:space="preserve">Haircut - MBS</t>
  </si>
  <si>
    <t xml:space="preserve">[ASSUMPTION] 8% on MBS</t>
  </si>
  <si>
    <t xml:space="preserve">FRTB Market Risk Weights</t>
  </si>
  <si>
    <t xml:space="preserve">RWT - UST</t>
  </si>
  <si>
    <t xml:space="preserve">[ASSUMPTION] 0% (sovereign)</t>
  </si>
  <si>
    <t xml:space="preserve">RWT - IG Corp</t>
  </si>
  <si>
    <t xml:space="preserve">[ASSUMPTION] 4%</t>
  </si>
  <si>
    <t xml:space="preserve">RWT - HY Corp</t>
  </si>
  <si>
    <t xml:space="preserve">[ASSUMPTION] 16%</t>
  </si>
  <si>
    <t xml:space="preserve">RWT - MBS</t>
  </si>
  <si>
    <t xml:space="preserve">[ASSUMPTION] 8%</t>
  </si>
  <si>
    <t xml:space="preserve">Trading Revenue Drivers</t>
  </si>
  <si>
    <t xml:space="preserve">Client Volume Y0</t>
  </si>
  <si>
    <t xml:space="preserve">$</t>
  </si>
  <si>
    <t xml:space="preserve">[ASSUMPTION] Annual client trading volume</t>
  </si>
  <si>
    <t xml:space="preserve">Trading Days / Year</t>
  </si>
  <si>
    <t xml:space="preserve">days</t>
  </si>
  <si>
    <t xml:space="preserve">[ASSUMPTION]</t>
  </si>
  <si>
    <t xml:space="preserve">Settlement T+ Days</t>
  </si>
  <si>
    <t xml:space="preserve">[ASSUMPTION] T+2 settlement</t>
  </si>
  <si>
    <t xml:space="preserve">Inventory Base Y0</t>
  </si>
  <si>
    <t xml:space="preserve">[ASSUMPTION] Average bond inventory</t>
  </si>
  <si>
    <t xml:space="preserve">Avg Bond Yield</t>
  </si>
  <si>
    <t xml:space="preserve">[ASSUMPTION] Portfolio weighted avg yield</t>
  </si>
  <si>
    <t xml:space="preserve">Repo Spread Over SOFR</t>
  </si>
  <si>
    <t xml:space="preserve">[ASSUMPTION] Repo = SOFR + spread</t>
  </si>
  <si>
    <t xml:space="preserve">DV01 ($/bp)</t>
  </si>
  <si>
    <t xml:space="preserve">[ASSUMPTION] P&amp;L per 1bp parallel move</t>
  </si>
  <si>
    <t xml:space="preserve">VaR Limit</t>
  </si>
  <si>
    <t xml:space="preserve">[ASSUMPTION] 99% 1-day VaR limit</t>
  </si>
  <si>
    <t xml:space="preserve">New Issue Volume</t>
  </si>
  <si>
    <t xml:space="preserve">[ASSUMPTION] Annual new issue participation</t>
  </si>
  <si>
    <t xml:space="preserve">New Issue Fee Rate</t>
  </si>
  <si>
    <t xml:space="preserve">[ASSUMPTION] Avg syndication fee</t>
  </si>
  <si>
    <t xml:space="preserve">MTM P&amp;L Scenario per Year (can be negative)</t>
  </si>
  <si>
    <t xml:space="preserve">MTM P&amp;L Y1</t>
  </si>
  <si>
    <t xml:space="preserve">[ASSUMPTION] override with negative if bearish</t>
  </si>
  <si>
    <t xml:space="preserve">MTM P&amp;L Y2</t>
  </si>
  <si>
    <t xml:space="preserve">MTM P&amp;L Y3</t>
  </si>
  <si>
    <t xml:space="preserve">[ASSUMPTION] adverse year example (override-able)</t>
  </si>
  <si>
    <t xml:space="preserve">MTM P&amp;L Y4</t>
  </si>
  <si>
    <t xml:space="preserve">MTM P&amp;L Y5</t>
  </si>
  <si>
    <t xml:space="preserve">Compensation</t>
  </si>
  <si>
    <t xml:space="preserve">Trader Avg Base</t>
  </si>
  <si>
    <t xml:space="preserve">[ASSUMPTION] Base salary only</t>
  </si>
  <si>
    <t xml:space="preserve">Sales Avg Base</t>
  </si>
  <si>
    <t xml:space="preserve">Risk Mgr Avg Base</t>
  </si>
  <si>
    <t xml:space="preserve">Tech Staff Avg Base</t>
  </si>
  <si>
    <t xml:space="preserve">Ops Staff Avg Base</t>
  </si>
  <si>
    <t xml:space="preserve">Comp Escalation</t>
  </si>
  <si>
    <t xml:space="preserve">[ASSUMPTION] Annual base growth</t>
  </si>
  <si>
    <t xml:space="preserve">Bonus Hurdle (% NTR)</t>
  </si>
  <si>
    <t xml:space="preserve">[ASSUMPTION] Bonus only on NTR above hurdle</t>
  </si>
  <si>
    <t xml:space="preserve">Bonus Share Above Hurdle</t>
  </si>
  <si>
    <t xml:space="preserve">[ASSUMPTION] Share of excess NTR to bonus</t>
  </si>
  <si>
    <t xml:space="preserve">Bonus Cap (% NTR)</t>
  </si>
  <si>
    <t xml:space="preserve">[ASSUMPTION] Absolute cap</t>
  </si>
  <si>
    <t xml:space="preserve">Non-Comp Operating Costs</t>
  </si>
  <si>
    <t xml:space="preserve">Technology (% NTR)</t>
  </si>
  <si>
    <t xml:space="preserve">[ASSUMPTION] Data, systems</t>
  </si>
  <si>
    <t xml:space="preserve">Occupancy (% NTR)</t>
  </si>
  <si>
    <t xml:space="preserve">Compliance (% NTR)</t>
  </si>
  <si>
    <t xml:space="preserve">Other Opex (% NTR)</t>
  </si>
  <si>
    <t xml:space="preserve">Capital, Tax &amp; Debt</t>
  </si>
  <si>
    <t xml:space="preserve">Credit Risk Weight</t>
  </si>
  <si>
    <t xml:space="preserve">[ASSUMPTION] On non-trading assets</t>
  </si>
  <si>
    <t xml:space="preserve">Op Risk Factor</t>
  </si>
  <si>
    <t xml:space="preserve">[ASSUMPTION] BIA factor</t>
  </si>
  <si>
    <t xml:space="preserve">Target CET1 Ratio</t>
  </si>
  <si>
    <t xml:space="preserve">Effective Tax Rate</t>
  </si>
  <si>
    <t xml:space="preserve">Dividend Payout</t>
  </si>
  <si>
    <t xml:space="preserve">[ASSUMPTION] of NI</t>
  </si>
  <si>
    <t xml:space="preserve">Corp Debt Spread / SOFR</t>
  </si>
  <si>
    <t xml:space="preserve">[ASSUMPTION] Unsecured spread</t>
  </si>
  <si>
    <t xml:space="preserve">FRTB Capital -&gt; RWA Multiplier</t>
  </si>
  <si>
    <t xml:space="preserve">x</t>
  </si>
  <si>
    <t xml:space="preserve">[ASSUMPTION] Basel 12.5x + SVaR/IRC/DRC stacks ~22x effective</t>
  </si>
  <si>
    <t xml:space="preserve">Capital Expenditure</t>
  </si>
  <si>
    <t xml:space="preserve">Capex (% NTR)</t>
  </si>
  <si>
    <t xml:space="preserve">[ASSUMPTION] Technology investment</t>
  </si>
  <si>
    <t xml:space="preserve">Useful Life</t>
  </si>
  <si>
    <t xml:space="preserve">years</t>
  </si>
  <si>
    <t xml:space="preserve">[ASSUMPTION] Tech asset depreciation</t>
  </si>
  <si>
    <t xml:space="preserve">Opening Balances</t>
  </si>
  <si>
    <t xml:space="preserve">Opening Cash</t>
  </si>
  <si>
    <t xml:space="preserve">[ASSUMPTION] Liquidity buffer for stress scenarios</t>
  </si>
  <si>
    <t xml:space="preserve">Trading Assets</t>
  </si>
  <si>
    <t xml:space="preserve">[ASSUMPTION] Bond inventory</t>
  </si>
  <si>
    <t xml:space="preserve">Reverse Repos</t>
  </si>
  <si>
    <t xml:space="preserve">[ASSUMPTION] Securities borrowed</t>
  </si>
  <si>
    <t xml:space="preserve">Receivables</t>
  </si>
  <si>
    <t xml:space="preserve">[ASSUMPTION] T+2 daily vol</t>
  </si>
  <si>
    <t xml:space="preserve">Gross PP&amp;E</t>
  </si>
  <si>
    <t xml:space="preserve">[ASSUMPTION] Tech infrastructure</t>
  </si>
  <si>
    <t xml:space="preserve">Accumulated Depr</t>
  </si>
  <si>
    <t xml:space="preserve">Repo Payable</t>
  </si>
  <si>
    <t xml:space="preserve">[ASSUMPTION] = TA x blended (1-haircut)</t>
  </si>
  <si>
    <t xml:space="preserve">Trade Payables</t>
  </si>
  <si>
    <t xml:space="preserve">Bonus Accrual</t>
  </si>
  <si>
    <t xml:space="preserve">[ASSUMPTION] Half-year accrual</t>
  </si>
  <si>
    <t xml:space="preserve">Corporate Debt</t>
  </si>
  <si>
    <t xml:space="preserve">[ASSUMPTION] Unsecured term debt sized for leverage</t>
  </si>
  <si>
    <t xml:space="preserve">Share Capital</t>
  </si>
  <si>
    <t xml:space="preserve">[ASSUMPTION] Recalibrated lower</t>
  </si>
  <si>
    <t xml:space="preserve">Retained Earnings</t>
  </si>
  <si>
    <t xml:space="preserve">[ASSUMPTION] Set to balance opening BS</t>
  </si>
  <si>
    <t xml:space="preserve">Debt Schedule</t>
  </si>
  <si>
    <t xml:space="preserve">Debt Term to Maturity</t>
  </si>
  <si>
    <t xml:space="preserve">[ASSUMPTION] Bullet at end of Y_T (10yr; outside projection)</t>
  </si>
  <si>
    <t xml:space="preserve">New Debt Issuance Y1</t>
  </si>
  <si>
    <t xml:space="preserve">[ASSUMPTION] Override to model refi</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</si>
  <si>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</si>
  <si>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</si>
  <si>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</si>
  <si>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</si>
  <si>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</si>
  <si>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</si>
  <si>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</si>
  <si>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</si>
  <si>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</si>
  <si>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</si>
  <si>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</si>
  <si>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</si>
  <si>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</si>
  <si>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</si>
  <si>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</si>
  <si>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</si>
  <si>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</si>
  <si>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Revenue Build</t>
  </si>
  <si>
    <t xml:space="preserve">Trading Revenue</t>
  </si>
  <si>
    <t xml:space="preserve">Year #</t>
  </si>
  <si>
    <t xml:space="preserve">Bid-Ask Spread Income</t>
  </si>
  <si>
    <t xml:space="preserve">Client Volume</t>
  </si>
  <si>
    <t xml:space="preserve">  UST Mix</t>
  </si>
  <si>
    <t xml:space="preserve">  IG Mix</t>
  </si>
  <si>
    <t xml:space="preserve">  HY Mix</t>
  </si>
  <si>
    <t xml:space="preserve">  MBS Mix</t>
  </si>
  <si>
    <t xml:space="preserve">Blended Bid-Ask Spread</t>
  </si>
  <si>
    <t xml:space="preserve">Bid-Ask Revenue</t>
  </si>
  <si>
    <t xml:space="preserve">Carry Income (Gross Coupon)</t>
  </si>
  <si>
    <t xml:space="preserve">Average Inventory</t>
  </si>
  <si>
    <t xml:space="preserve">Repo Funding Rate (info)</t>
  </si>
  <si>
    <t xml:space="preserve">Net Carry Spread (info)</t>
  </si>
  <si>
    <t xml:space="preserve">Gross Carry Income</t>
  </si>
  <si>
    <t xml:space="preserve">Mark-to-Market P&amp;L</t>
  </si>
  <si>
    <t xml:space="preserve">MTM P&amp;L</t>
  </si>
  <si>
    <t xml:space="preserve">New Issue Fees</t>
  </si>
  <si>
    <t xml:space="preserve">Fee Rate</t>
  </si>
  <si>
    <t xml:space="preserve">New Issue Fee Revenue</t>
  </si>
  <si>
    <t xml:space="preserve">NET TRADING REVENUE</t>
  </si>
  <si>
    <t xml:space="preserve">Funding Costs</t>
  </si>
  <si>
    <t xml:space="preserve">Repo and Corporate</t>
  </si>
  <si>
    <t xml:space="preserve">Repo Funding Cost</t>
  </si>
  <si>
    <t xml:space="preserve">Financed Inventory</t>
  </si>
  <si>
    <t xml:space="preserve">Repo Rate</t>
  </si>
  <si>
    <t xml:space="preserve">Repo Interest Cost</t>
  </si>
  <si>
    <t xml:space="preserve">Corporate Debt Interest</t>
  </si>
  <si>
    <t xml:space="preserve">Corp Debt - Opening Bal</t>
  </si>
  <si>
    <t xml:space="preserve">Interest Rate</t>
  </si>
  <si>
    <t xml:space="preserve">Corporate Interest</t>
  </si>
  <si>
    <t xml:space="preserve">TOTAL FUNDING COSTS</t>
  </si>
  <si>
    <t xml:space="preserve">Opex and Compensation</t>
  </si>
  <si>
    <t xml:space="preserve">Staff and Operating</t>
  </si>
  <si>
    <t xml:space="preserve">Traders (heads)</t>
  </si>
  <si>
    <t xml:space="preserve">Trader Base Compensation</t>
  </si>
  <si>
    <t xml:space="preserve">Sales (heads)</t>
  </si>
  <si>
    <t xml:space="preserve">Sales Base Compensation</t>
  </si>
  <si>
    <t xml:space="preserve">Risk (heads)</t>
  </si>
  <si>
    <t xml:space="preserve">Risk Base Compensation</t>
  </si>
  <si>
    <t xml:space="preserve">Technology (heads)</t>
  </si>
  <si>
    <t xml:space="preserve">Tech Base Compensation</t>
  </si>
  <si>
    <t xml:space="preserve">Operations (heads)</t>
  </si>
  <si>
    <t xml:space="preserve">Ops Base Compensation</t>
  </si>
  <si>
    <t xml:space="preserve">Total Base Comp</t>
  </si>
  <si>
    <t xml:space="preserve">Bonus (Above Hurdle Share)</t>
  </si>
  <si>
    <t xml:space="preserve">Bonus Cap</t>
  </si>
  <si>
    <t xml:space="preserve">Discretionary Bonus Pool</t>
  </si>
  <si>
    <t xml:space="preserve">TOTAL COMPENSATION</t>
  </si>
  <si>
    <t xml:space="preserve">Compensation Ratio (OUTPUT)</t>
  </si>
  <si>
    <t xml:space="preserve">Non-Compensation Opex</t>
  </si>
  <si>
    <t xml:space="preserve">Technology</t>
  </si>
  <si>
    <t xml:space="preserve">Occupancy</t>
  </si>
  <si>
    <t xml:space="preserve">Compliance and Legal</t>
  </si>
  <si>
    <t xml:space="preserve">Other Opex</t>
  </si>
  <si>
    <t xml:space="preserve">Total Non-Comp Opex</t>
  </si>
  <si>
    <t xml:space="preserve">TOTAL OPERATING COSTS</t>
  </si>
  <si>
    <t xml:space="preserve">Income Statement</t>
  </si>
  <si>
    <t xml:space="preserve">P&amp;L Summary</t>
  </si>
  <si>
    <t xml:space="preserve">Bid-Ask Income</t>
  </si>
  <si>
    <t xml:space="preserve">Carry Income</t>
  </si>
  <si>
    <t xml:space="preserve">Net Trading Revenue</t>
  </si>
  <si>
    <t xml:space="preserve">Total Funding Costs</t>
  </si>
  <si>
    <t xml:space="preserve">Gross Revenue</t>
  </si>
  <si>
    <t xml:space="preserve">Operating Expenses</t>
  </si>
  <si>
    <t xml:space="preserve">Non-Comp Opex</t>
  </si>
  <si>
    <t xml:space="preserve">Total Opex</t>
  </si>
  <si>
    <t xml:space="preserve">EBITDA</t>
  </si>
  <si>
    <t xml:space="preserve">Depreciation</t>
  </si>
  <si>
    <t xml:space="preserve">EBIT</t>
  </si>
  <si>
    <t xml:space="preserve">EBT</t>
  </si>
  <si>
    <t xml:space="preserve">Tax</t>
  </si>
  <si>
    <t xml:space="preserve">NET INCOME</t>
  </si>
  <si>
    <t xml:space="preserve">Dividends</t>
  </si>
  <si>
    <t xml:space="preserve">Retained Earnings Add</t>
  </si>
  <si>
    <t xml:space="preserve">Balance Sheet</t>
  </si>
  <si>
    <t xml:space="preserve">Assets</t>
  </si>
  <si>
    <t xml:space="preserve">Cash</t>
  </si>
  <si>
    <t xml:space="preserve">Total Current Assets</t>
  </si>
  <si>
    <t xml:space="preserve">Net PP&amp;E</t>
  </si>
  <si>
    <t xml:space="preserve">TOTAL ASSETS</t>
  </si>
  <si>
    <t xml:space="preserve">Liabilities</t>
  </si>
  <si>
    <t xml:space="preserve">Total Current Liab</t>
  </si>
  <si>
    <t xml:space="preserve">Total Liabilities</t>
  </si>
  <si>
    <t xml:space="preserve">Equity</t>
  </si>
  <si>
    <t xml:space="preserve">Total Equity</t>
  </si>
  <si>
    <t xml:space="preserve">TOTAL LIABILITIES &amp; EQUITY</t>
  </si>
  <si>
    <t xml:space="preserve">Balance Check</t>
  </si>
  <si>
    <t xml:space="preserve">Capital Adequacy</t>
  </si>
  <si>
    <t xml:space="preserve">RWA and CET1</t>
  </si>
  <si>
    <t xml:space="preserve">Risk-Weighted Assets</t>
  </si>
  <si>
    <t xml:space="preserve">Blended FRTB Capital Charge</t>
  </si>
  <si>
    <t xml:space="preserve">Market Risk RWA</t>
  </si>
  <si>
    <t xml:space="preserve">Other Assets</t>
  </si>
  <si>
    <t xml:space="preserve">Credit Risk RWA</t>
  </si>
  <si>
    <t xml:space="preserve">Op Risk RWA</t>
  </si>
  <si>
    <t xml:space="preserve">TOTAL RWA</t>
  </si>
  <si>
    <t xml:space="preserve">Capital Position</t>
  </si>
  <si>
    <t xml:space="preserve">CET1 Capital</t>
  </si>
  <si>
    <t xml:space="preserve">CET1 Ratio</t>
  </si>
  <si>
    <t xml:space="preserve">Target CET1</t>
  </si>
  <si>
    <t xml:space="preserve">Required Capital</t>
  </si>
  <si>
    <t xml:space="preserve">Excess Capital</t>
  </si>
  <si>
    <t xml:space="preserve">Cash Flow Statement</t>
  </si>
  <si>
    <t xml:space="preserve">Cash from Operations</t>
  </si>
  <si>
    <t xml:space="preserve">Net Income</t>
  </si>
  <si>
    <t xml:space="preserve">Change Trading Assets</t>
  </si>
  <si>
    <t xml:space="preserve">Change Reverse Repos</t>
  </si>
  <si>
    <t xml:space="preserve">Change Receivables</t>
  </si>
  <si>
    <t xml:space="preserve">Change Repo Payable</t>
  </si>
  <si>
    <t xml:space="preserve">Change Payables</t>
  </si>
  <si>
    <t xml:space="preserve">Change Bonus Accrual</t>
  </si>
  <si>
    <t xml:space="preserve">CASH FROM OPERATIONS</t>
  </si>
  <si>
    <t xml:space="preserve">Cash from Investing</t>
  </si>
  <si>
    <t xml:space="preserve">CASH FROM INVESTING</t>
  </si>
  <si>
    <t xml:space="preserve">Cash from Financing</t>
  </si>
  <si>
    <t xml:space="preserve">Debt Proceeds</t>
  </si>
  <si>
    <t xml:space="preserve">Debt Repayments</t>
  </si>
  <si>
    <t xml:space="preserve">Dividends Paid</t>
  </si>
  <si>
    <t xml:space="preserve">CASH FROM FINANCING</t>
  </si>
  <si>
    <t xml:space="preserve">Net Change in Cash</t>
  </si>
  <si>
    <t xml:space="preserve">Closing Cash</t>
  </si>
  <si>
    <t xml:space="preserve">Key Metrics</t>
  </si>
  <si>
    <t xml:space="preserve">Performance Ratios</t>
  </si>
  <si>
    <t xml:space="preserve">Profitability</t>
  </si>
  <si>
    <t xml:space="preserve">ROTCE</t>
  </si>
  <si>
    <t xml:space="preserve">ROA</t>
  </si>
  <si>
    <t xml:space="preserve">Pre-Tax Margin</t>
  </si>
  <si>
    <t xml:space="preserve">Net Margin</t>
  </si>
  <si>
    <t xml:space="preserve">Productivity</t>
  </si>
  <si>
    <t xml:space="preserve">Revenue / Trader</t>
  </si>
  <si>
    <t xml:space="preserve">Revenue / Head</t>
  </si>
  <si>
    <t xml:space="preserve">Net Income / Trader</t>
  </si>
  <si>
    <t xml:space="preserve">Compensation Ratio</t>
  </si>
  <si>
    <t xml:space="preserve">Efficiency Ratio</t>
  </si>
  <si>
    <t xml:space="preserve">Capital and Risk</t>
  </si>
  <si>
    <t xml:space="preserve">Leverage Ratio</t>
  </si>
  <si>
    <t xml:space="preserve">Inventory Turnover</t>
  </si>
  <si>
    <t xml:space="preserve">VaR Utilization (DV01 x 100bps / Limit)</t>
  </si>
  <si>
    <t xml:space="preserve">Risk Diagnostics</t>
  </si>
  <si>
    <t xml:space="preserve">MOVE Volatility Scalar (vs 100)</t>
  </si>
  <si>
    <t xml:space="preserve">HY-Bucket Wtd Credit Spread</t>
  </si>
  <si>
    <t xml:space="preserve">Implied HY Yield (SOFR + Wtd Sprd)</t>
  </si>
  <si>
    <t xml:space="preserve">Validation Checks</t>
  </si>
  <si>
    <t xml:space="preserve">Error Flags</t>
  </si>
  <si>
    <t xml:space="preserve">BS Balance</t>
  </si>
  <si>
    <t xml:space="preserve">CET1 &gt;= 10%</t>
  </si>
  <si>
    <t xml:space="preserve">Comp Ratio 35-65%</t>
  </si>
  <si>
    <t xml:space="preserve">Leverage 5-20x</t>
  </si>
  <si>
    <t xml:space="preserve">Cash &gt;= 0</t>
  </si>
  <si>
    <t xml:space="preserve">ROTCE 8-25%</t>
  </si>
  <si>
    <t xml:space="preserve">Div &lt;= Excess Cap</t>
  </si>
  <si>
    <t xml:space="preserve">Tax Rate 18-25%</t>
  </si>
  <si>
    <t xml:space="preserve">Rev/Trader $1M-$10M</t>
  </si>
  <si>
    <t xml:space="preserve">Cash Reconciliation</t>
  </si>
  <si>
    <t xml:space="preserve">Instrument Mix = 100%</t>
  </si>
</sst>
</file>

<file path=xl/styles.xml><?xml version="1.0" encoding="utf-8"?>
<styleSheet xmlns="http://schemas.openxmlformats.org/spreadsheetml/2006/main">
  <numFmts count="8">
    <numFmt numFmtId="164" formatCode="General"/>
    <numFmt numFmtId="165" formatCode="#,##0.00"/>
    <numFmt numFmtId="166" formatCode="0.00%"/>
    <numFmt numFmtId="167" formatCode="0"/>
    <numFmt numFmtId="168" formatCode="0.00\x"/>
    <numFmt numFmtId="169" formatCode="#,##0.0"/>
    <numFmt numFmtId="170" formatCode="0.00"/>
    <numFmt numFmtId="171" formatCode="@"/>
  </numFmts>
  <fonts count="30">
    <font>
      <sz val="11"/>
      <name val="Arial"/>
      <family val="0"/>
      <charset val="1"/>
    </font>
    <font>
      <sz val="10"/>
      <name val="Arial"/>
      <family val="0"/>
    </font>
    <font>
      <sz val="10"/>
      <name val="Arial"/>
      <family val="0"/>
    </font>
    <font>
      <sz val="10"/>
      <name val="Arial"/>
      <family val="0"/>
    </font>
    <font>
      <sz val="11"/>
      <color theme="0"/>
      <name val="Calibri"/>
      <family val="0"/>
      <charset val="1"/>
    </font>
    <font>
      <b val="true"/>
      <sz val="16"/>
      <color theme="0"/>
      <name val="Calibri"/>
      <family val="0"/>
      <charset val="1"/>
    </font>
    <font>
      <b val="true"/>
      <u val="single"/>
      <sz val="11"/>
      <color theme="0"/>
      <name val="Calibri"/>
      <family val="0"/>
      <charset val="1"/>
    </font>
    <font>
      <i val="true"/>
      <sz val="11"/>
      <color theme="0"/>
      <name val="Calibri"/>
      <family val="0"/>
      <charset val="1"/>
    </font>
    <font>
      <b val="true"/>
      <sz val="11"/>
      <name val="Calibri"/>
      <family val="0"/>
      <charset val="1"/>
    </font>
    <font>
      <sz val="11"/>
      <name val="Calibri"/>
      <family val="0"/>
      <charset val="1"/>
    </font>
    <font>
      <b val="true"/>
      <sz val="11"/>
      <color theme="3"/>
      <name val="Calibri"/>
      <family val="0"/>
      <charset val="1"/>
    </font>
    <font>
      <sz val="11"/>
      <color theme="1"/>
      <name val="Calibri"/>
      <family val="2"/>
      <charset val="1"/>
    </font>
    <font>
      <u val="single"/>
      <sz val="11"/>
      <color rgb="FF0563C1"/>
      <name val="Calibri"/>
      <family val="0"/>
      <charset val="1"/>
    </font>
    <font>
      <b val="true"/>
      <sz val="11"/>
      <color rgb="FF1F4E79"/>
      <name val="Calibri"/>
      <family val="0"/>
      <charset val="1"/>
    </font>
    <font>
      <sz val="11"/>
      <color rgb="FF262626"/>
      <name val="Calibri"/>
      <family val="0"/>
      <charset val="1"/>
    </font>
    <font>
      <i val="true"/>
      <sz val="11"/>
      <color rgb="FF595959"/>
      <name val="Calibri"/>
      <family val="0"/>
      <charset val="1"/>
    </font>
    <font>
      <b val="true"/>
      <i val="true"/>
      <sz val="11"/>
      <color rgb="FF1F4E79"/>
      <name val="Calibri"/>
      <family val="0"/>
      <charset val="1"/>
    </font>
    <font>
      <b val="true"/>
      <sz val="11"/>
      <color theme="0"/>
      <name val="Calibri"/>
      <family val="0"/>
      <charset val="1"/>
    </font>
    <font>
      <sz val="11"/>
      <color rgb="FF0000CC"/>
      <name val="Calibri"/>
      <family val="0"/>
      <charset val="1"/>
    </font>
    <font>
      <i val="true"/>
      <sz val="11"/>
      <color rgb="FF808080"/>
      <name val="Calibri"/>
      <family val="0"/>
      <charset val="1"/>
    </font>
    <font>
      <b val="true"/>
      <sz val="18"/>
      <color rgb="FF1F4E79"/>
      <name val="Calibri"/>
      <family val="0"/>
      <charset val="1"/>
    </font>
    <font>
      <b val="true"/>
      <sz val="11"/>
      <color rgb="FFFFFFFF"/>
      <name val="Calibri"/>
      <family val="0"/>
      <charset val="1"/>
    </font>
    <font>
      <sz val="10"/>
      <color rgb="FF262626"/>
      <name val="Calibri"/>
      <family val="0"/>
      <charset val="1"/>
    </font>
    <font>
      <b val="true"/>
      <sz val="10"/>
      <color rgb="FF1F4E79"/>
      <name val="Calibri"/>
      <family val="0"/>
      <charset val="1"/>
    </font>
    <font>
      <sz val="9"/>
      <color rgb="FF404040"/>
      <name val="Calibri"/>
      <family val="0"/>
      <charset val="1"/>
    </font>
    <font>
      <i val="true"/>
      <sz val="10"/>
      <color rgb="FF808080"/>
      <name val="Calibri"/>
      <family val="0"/>
      <charset val="1"/>
    </font>
    <font>
      <b val="true"/>
      <sz val="16"/>
      <color rgb="FFFFFFFF"/>
      <name val="Calibri"/>
      <family val="0"/>
      <charset val="1"/>
    </font>
    <font>
      <b val="true"/>
      <sz val="11"/>
      <color rgb="FF1F3864"/>
      <name val="Calibri"/>
      <family val="0"/>
      <charset val="1"/>
    </font>
    <font>
      <sz val="11"/>
      <color rgb="FF000000"/>
      <name val="Calibri"/>
      <family val="0"/>
      <charset val="1"/>
    </font>
    <font>
      <b val="true"/>
      <sz val="11"/>
      <color rgb="FFFF0000"/>
      <name val="Calibri"/>
      <family val="0"/>
      <charset val="1"/>
    </font>
  </fonts>
  <fills count="14">
    <fill>
      <patternFill patternType="none"/>
    </fill>
    <fill>
      <patternFill patternType="gray125"/>
    </fill>
    <fill>
      <patternFill patternType="solid">
        <fgColor theme="3"/>
        <bgColor rgb="FF1F4E79"/>
      </patternFill>
    </fill>
    <fill>
      <patternFill patternType="solid">
        <fgColor theme="3" tint="0.8"/>
        <bgColor rgb="FFD6E4F0"/>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C00000"/>
        <bgColor rgb="FFFF0000"/>
      </patternFill>
    </fill>
    <fill>
      <patternFill patternType="solid">
        <fgColor rgb="FFD6E4F0"/>
        <bgColor rgb="FFC6D9F1"/>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
      <patternFill patternType="solid">
        <fgColor rgb="FF1F3864"/>
        <bgColor rgb="FF1F497D"/>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3" borderId="0" xfId="0" applyFont="true" applyBorder="false" applyAlignment="false" applyProtection="false">
      <alignment horizontal="general" vertical="bottom" textRotation="0" wrapText="false" indent="0" shrinkToFit="false"/>
      <protection locked="true" hidden="false"/>
    </xf>
    <xf numFmtId="164" fontId="11" fillId="3"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11" fillId="4" borderId="0" xfId="0" applyFont="true" applyBorder="false" applyAlignment="false" applyProtection="false">
      <alignment horizontal="general" vertical="bottom" textRotation="0" wrapText="false" indent="0" shrinkToFit="false"/>
      <protection locked="true" hidden="false"/>
    </xf>
    <xf numFmtId="164" fontId="11" fillId="5" borderId="0" xfId="0" applyFont="true" applyBorder="false" applyAlignment="false" applyProtection="false">
      <alignment horizontal="general" vertical="bottom" textRotation="0" wrapText="false" indent="0" shrinkToFit="false"/>
      <protection locked="true" hidden="false"/>
    </xf>
    <xf numFmtId="164" fontId="11" fillId="6" borderId="0" xfId="0" applyFont="true" applyBorder="false" applyAlignment="false" applyProtection="false">
      <alignment horizontal="general" vertical="bottom" textRotation="0" wrapText="false" indent="0" shrinkToFit="false"/>
      <protection locked="true" hidden="false"/>
    </xf>
    <xf numFmtId="164" fontId="11" fillId="7" borderId="0" xfId="0" applyFont="true" applyBorder="false" applyAlignment="false" applyProtection="false">
      <alignment horizontal="general" vertical="bottom" textRotation="0" wrapText="false" indent="0" shrinkToFit="false"/>
      <protection locked="true" hidden="false"/>
    </xf>
    <xf numFmtId="164" fontId="11" fillId="8" borderId="0" xfId="0" applyFont="true" applyBorder="false" applyAlignment="false" applyProtection="false">
      <alignment horizontal="general" vertical="bottom" textRotation="0" wrapText="false" indent="0" shrinkToFit="false"/>
      <protection locked="true" hidden="false"/>
    </xf>
    <xf numFmtId="164" fontId="13" fillId="9" borderId="0" xfId="0" applyFont="true" applyBorder="false" applyAlignment="true" applyProtection="false">
      <alignment horizontal="left" vertical="center" textRotation="0" wrapText="false" indent="0" shrinkToFit="false"/>
      <protection locked="true" hidden="false"/>
    </xf>
    <xf numFmtId="164" fontId="11" fillId="9"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5" fontId="18" fillId="1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true" applyProtection="false">
      <alignment horizontal="left" vertical="bottom" textRotation="0" wrapText="false" indent="0" shrinkToFit="false"/>
      <protection locked="true" hidden="false"/>
    </xf>
    <xf numFmtId="166" fontId="18" fillId="10" borderId="0" xfId="0" applyFont="true" applyBorder="false" applyAlignment="true" applyProtection="false">
      <alignment horizontal="right"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6" fontId="19"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1" fillId="0" borderId="1" xfId="0" applyFont="true" applyBorder="true" applyAlignment="false" applyProtection="false">
      <alignment horizontal="general" vertical="bottom" textRotation="0" wrapText="false" indent="0" shrinkToFit="false"/>
      <protection locked="true" hidden="false"/>
    </xf>
    <xf numFmtId="164" fontId="21" fillId="11" borderId="0" xfId="0" applyFont="true" applyBorder="false" applyAlignment="true" applyProtection="false">
      <alignment horizontal="left" vertical="center" textRotation="0" wrapText="false" indent="1" shrinkToFit="false"/>
      <protection locked="true" hidden="false"/>
    </xf>
    <xf numFmtId="164" fontId="22" fillId="0" borderId="0" xfId="0" applyFont="true" applyBorder="false" applyAlignment="true" applyProtection="false">
      <alignment horizontal="left" vertical="top" textRotation="0" wrapText="true" indent="1" shrinkToFit="false"/>
      <protection locked="true" hidden="false"/>
    </xf>
    <xf numFmtId="164" fontId="23"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4" fillId="12"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26" fillId="13" borderId="0" xfId="0" applyFont="true" applyBorder="false" applyAlignment="true" applyProtection="false">
      <alignment horizontal="left" vertical="center" textRotation="0" wrapText="false" indent="0" shrinkToFit="false"/>
      <protection locked="true" hidden="false"/>
    </xf>
    <xf numFmtId="164" fontId="11" fillId="13" borderId="0" xfId="0" applyFont="true" applyBorder="false" applyAlignment="false" applyProtection="false">
      <alignment horizontal="general" vertical="bottom" textRotation="0" wrapText="false" indent="0" shrinkToFit="false"/>
      <protection locked="true" hidden="false"/>
    </xf>
    <xf numFmtId="164" fontId="21" fillId="13" borderId="0" xfId="0" applyFont="true" applyBorder="false" applyAlignment="true" applyProtection="false">
      <alignment horizontal="center" vertical="bottom" textRotation="0" wrapText="false" indent="0" shrinkToFit="false"/>
      <protection locked="true" hidden="false"/>
    </xf>
    <xf numFmtId="167" fontId="21" fillId="13" borderId="0" xfId="0" applyFont="true" applyBorder="false" applyAlignment="true" applyProtection="false">
      <alignment horizontal="center" vertical="bottom" textRotation="0" wrapText="false" indent="0" shrinkToFit="false"/>
      <protection locked="true" hidden="false"/>
    </xf>
    <xf numFmtId="167" fontId="19" fillId="0" borderId="0" xfId="0" applyFont="true" applyBorder="false" applyAlignment="true" applyProtection="false">
      <alignment horizontal="right" vertical="bottom" textRotation="0" wrapText="false" indent="0" shrinkToFit="false"/>
      <protection locked="true" hidden="false"/>
    </xf>
    <xf numFmtId="164" fontId="27" fillId="9"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1" shrinkToFit="false"/>
      <protection locked="true" hidden="false"/>
    </xf>
    <xf numFmtId="165" fontId="28" fillId="0" borderId="0" xfId="0" applyFont="true" applyBorder="fals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2" shrinkToFit="false"/>
      <protection locked="true" hidden="false"/>
    </xf>
    <xf numFmtId="166" fontId="28" fillId="0" borderId="0" xfId="0" applyFont="true" applyBorder="fals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1" shrinkToFit="false"/>
      <protection locked="true" hidden="false"/>
    </xf>
    <xf numFmtId="165" fontId="8" fillId="0" borderId="2" xfId="0" applyFont="true" applyBorder="true" applyAlignment="true" applyProtection="false">
      <alignment horizontal="right"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5" fontId="8" fillId="0" borderId="3" xfId="0" applyFont="true" applyBorder="true" applyAlignment="true" applyProtection="false">
      <alignment horizontal="right" vertical="bottom" textRotation="0" wrapText="false" indent="0" shrinkToFit="false"/>
      <protection locked="true" hidden="false"/>
    </xf>
    <xf numFmtId="167" fontId="28" fillId="0" borderId="0" xfId="0" applyFont="true" applyBorder="false" applyAlignment="true" applyProtection="false">
      <alignment horizontal="right" vertical="bottom" textRotation="0" wrapText="false" indent="0" shrinkToFit="false"/>
      <protection locked="true" hidden="false"/>
    </xf>
    <xf numFmtId="165" fontId="29" fillId="0" borderId="0" xfId="0" applyFont="true" applyBorder="false" applyAlignment="true" applyProtection="false">
      <alignment horizontal="right" vertical="bottom" textRotation="0" wrapText="false" indent="0" shrinkToFit="false"/>
      <protection locked="true" hidden="false"/>
    </xf>
    <xf numFmtId="168" fontId="28" fillId="0" borderId="0" xfId="0" applyFont="true" applyBorder="false" applyAlignment="true" applyProtection="false">
      <alignment horizontal="right" vertical="bottom" textRotation="0" wrapText="false" indent="0" shrinkToFit="false"/>
      <protection locked="true" hidden="false"/>
    </xf>
    <xf numFmtId="169" fontId="28" fillId="0" borderId="0" xfId="0" applyFont="true" applyBorder="false" applyAlignment="true" applyProtection="false">
      <alignment horizontal="right" vertical="bottom" textRotation="0" wrapText="false" indent="0" shrinkToFit="false"/>
      <protection locked="true" hidden="false"/>
    </xf>
    <xf numFmtId="170" fontId="28" fillId="0" borderId="0" xfId="0" applyFont="true" applyBorder="false" applyAlignment="true" applyProtection="false">
      <alignment horizontal="right" vertical="bottom" textRotation="0" wrapText="false" indent="0" shrinkToFit="false"/>
      <protection locked="true" hidden="false"/>
    </xf>
    <xf numFmtId="171" fontId="28"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CC"/>
      <rgbColor rgb="FFFFFF00"/>
      <rgbColor rgb="FFFF00FF"/>
      <rgbColor rgb="FF00FFFF"/>
      <rgbColor rgb="FFC00000"/>
      <rgbColor rgb="FF008000"/>
      <rgbColor rgb="FF000080"/>
      <rgbColor rgb="FF808000"/>
      <rgbColor rgb="FF800080"/>
      <rgbColor rgb="FF1F4E79"/>
      <rgbColor rgb="FFC0C0C0"/>
      <rgbColor rgb="FF808080"/>
      <rgbColor rgb="FF5B9BD5"/>
      <rgbColor rgb="FF993366"/>
      <rgbColor rgb="FFF2F2F2"/>
      <rgbColor rgb="FFE8F0FE"/>
      <rgbColor rgb="FF660066"/>
      <rgbColor rgb="FFFF8080"/>
      <rgbColor rgb="FF0563C1"/>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3864"/>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3864"/>
    <pageSetUpPr fitToPage="false"/>
  </sheetPr>
  <dimension ref="A1:AD3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32"/>
    <col collapsed="false" customWidth="true" hidden="false" outlineLevel="0" max="4" min="4" style="0" width="2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0</v>
      </c>
      <c r="C2" s="1"/>
      <c r="D2" s="3" t="s">
        <v>1</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5" t="s">
        <v>3</v>
      </c>
      <c r="C5" s="6" t="s">
        <v>4</v>
      </c>
    </row>
    <row r="6" customFormat="false" ht="15" hidden="false" customHeight="false" outlineLevel="0" collapsed="false">
      <c r="B6" s="5" t="s">
        <v>5</v>
      </c>
      <c r="C6" s="6" t="s">
        <v>6</v>
      </c>
    </row>
    <row r="7" customFormat="false" ht="15" hidden="false" customHeight="false" outlineLevel="0" collapsed="false">
      <c r="B7" s="5" t="s">
        <v>7</v>
      </c>
      <c r="C7" s="6" t="s">
        <v>8</v>
      </c>
    </row>
    <row r="8" customFormat="false" ht="15" hidden="false" customHeight="false" outlineLevel="0" collapsed="false">
      <c r="B8" s="5" t="s">
        <v>9</v>
      </c>
      <c r="C8" s="6" t="s">
        <v>10</v>
      </c>
    </row>
    <row r="10" customFormat="false" ht="15" hidden="false" customHeight="false" outlineLevel="0" collapsed="false">
      <c r="B10" s="7" t="s">
        <v>11</v>
      </c>
      <c r="C10" s="8"/>
      <c r="D10" s="8"/>
    </row>
    <row r="11" customFormat="false" ht="15" hidden="false" customHeight="false" outlineLevel="0" collapsed="false">
      <c r="B11" s="9" t="str">
        <f aca="false">HYPERLINK("#'Assumptions'!A1","Assumptions")</f>
        <v>Assumptions</v>
      </c>
      <c r="C11" s="6" t="s">
        <v>12</v>
      </c>
    </row>
    <row r="12" customFormat="false" ht="15" hidden="false" customHeight="false" outlineLevel="0" collapsed="false">
      <c r="B12" s="9" t="str">
        <f aca="false">HYPERLINK("#'Revenue_Build'!A1","Revenue_Build")</f>
        <v>Revenue_Build</v>
      </c>
      <c r="C12" s="6" t="s">
        <v>13</v>
      </c>
    </row>
    <row r="13" customFormat="false" ht="15" hidden="false" customHeight="false" outlineLevel="0" collapsed="false">
      <c r="B13" s="9" t="str">
        <f aca="false">HYPERLINK("#'Funding_Costs'!A1","Funding_Costs")</f>
        <v>Funding_Costs</v>
      </c>
      <c r="C13" s="6" t="s">
        <v>14</v>
      </c>
    </row>
    <row r="14" customFormat="false" ht="15" hidden="false" customHeight="false" outlineLevel="0" collapsed="false">
      <c r="B14" s="9" t="str">
        <f aca="false">HYPERLINK("#'Opex_Compensation'!A1","Opex_Compensation")</f>
        <v>Opex_Compensation</v>
      </c>
      <c r="C14" s="6" t="s">
        <v>15</v>
      </c>
    </row>
    <row r="15" customFormat="false" ht="15" hidden="false" customHeight="false" outlineLevel="0" collapsed="false">
      <c r="B15" s="9" t="str">
        <f aca="false">HYPERLINK("#'Income_Statement'!A1","Income_Statement")</f>
        <v>Income_Statement</v>
      </c>
      <c r="C15" s="6" t="s">
        <v>16</v>
      </c>
    </row>
    <row r="16" customFormat="false" ht="15" hidden="false" customHeight="false" outlineLevel="0" collapsed="false">
      <c r="B16" s="9" t="str">
        <f aca="false">HYPERLINK("#'Balance_Sheet'!A1","Balance_Sheet")</f>
        <v>Balance_Sheet</v>
      </c>
      <c r="C16" s="6" t="s">
        <v>17</v>
      </c>
    </row>
    <row r="17" customFormat="false" ht="15" hidden="false" customHeight="false" outlineLevel="0" collapsed="false">
      <c r="B17" s="9" t="str">
        <f aca="false">HYPERLINK("#'Capital_Adequacy'!A1","Capital_Adequacy")</f>
        <v>Capital_Adequacy</v>
      </c>
      <c r="C17" s="6" t="s">
        <v>18</v>
      </c>
    </row>
    <row r="18" customFormat="false" ht="15" hidden="false" customHeight="false" outlineLevel="0" collapsed="false">
      <c r="B18" s="9" t="str">
        <f aca="false">HYPERLINK("#'Cash_Flow'!A1","Cash_Flow")</f>
        <v>Cash_Flow</v>
      </c>
      <c r="C18" s="6" t="s">
        <v>19</v>
      </c>
    </row>
    <row r="19" customFormat="false" ht="15" hidden="false" customHeight="false" outlineLevel="0" collapsed="false">
      <c r="B19" s="9" t="str">
        <f aca="false">HYPERLINK("#'Key_Metrics'!A1","Key_Metrics")</f>
        <v>Key_Metrics</v>
      </c>
      <c r="C19" s="6" t="s">
        <v>20</v>
      </c>
    </row>
    <row r="20" customFormat="false" ht="15" hidden="false" customHeight="false" outlineLevel="0" collapsed="false">
      <c r="B20" s="9" t="str">
        <f aca="false">HYPERLINK("#'Checks'!A1","Checks")</f>
        <v>Checks</v>
      </c>
      <c r="C20" s="6" t="s">
        <v>21</v>
      </c>
    </row>
    <row r="22" customFormat="false" ht="15" hidden="false" customHeight="false" outlineLevel="0" collapsed="false">
      <c r="B22" s="7" t="s">
        <v>22</v>
      </c>
      <c r="C22" s="8"/>
      <c r="D22" s="8"/>
    </row>
    <row r="23" customFormat="false" ht="15" hidden="false" customHeight="false" outlineLevel="0" collapsed="false">
      <c r="B23" s="5" t="s">
        <v>23</v>
      </c>
      <c r="C23" s="6" t="s">
        <v>24</v>
      </c>
      <c r="D23" s="10"/>
    </row>
    <row r="24" customFormat="false" ht="15" hidden="false" customHeight="false" outlineLevel="0" collapsed="false">
      <c r="B24" s="5" t="s">
        <v>25</v>
      </c>
      <c r="C24" s="6" t="s">
        <v>26</v>
      </c>
      <c r="D24" s="11"/>
    </row>
    <row r="25" customFormat="false" ht="15" hidden="false" customHeight="false" outlineLevel="0" collapsed="false">
      <c r="B25" s="5" t="s">
        <v>27</v>
      </c>
      <c r="C25" s="6" t="s">
        <v>28</v>
      </c>
      <c r="D25" s="12"/>
    </row>
    <row r="26" customFormat="false" ht="15" hidden="false" customHeight="false" outlineLevel="0" collapsed="false">
      <c r="B26" s="5" t="s">
        <v>29</v>
      </c>
      <c r="C26" s="6" t="s">
        <v>30</v>
      </c>
      <c r="D26" s="13"/>
    </row>
    <row r="27" customFormat="false" ht="15" hidden="false" customHeight="false" outlineLevel="0" collapsed="false">
      <c r="B27" s="5" t="s">
        <v>31</v>
      </c>
      <c r="C27" s="6" t="s">
        <v>32</v>
      </c>
      <c r="D27" s="14"/>
    </row>
    <row r="28" customFormat="false" ht="15" hidden="false" customHeight="false" outlineLevel="0" collapsed="false">
      <c r="B28" s="5" t="s">
        <v>33</v>
      </c>
      <c r="C28" s="6" t="s">
        <v>34</v>
      </c>
      <c r="D28" s="15"/>
    </row>
    <row r="31" customFormat="false" ht="19.5" hidden="false" customHeight="true" outlineLevel="0" collapsed="false">
      <c r="B31" s="16" t="s">
        <v>35</v>
      </c>
      <c r="C31" s="17"/>
      <c r="D31" s="17"/>
      <c r="E31" s="17"/>
      <c r="F31" s="17"/>
      <c r="G31" s="17"/>
    </row>
    <row r="32" customFormat="false" ht="233.25" hidden="false" customHeight="true" outlineLevel="0" collapsed="false">
      <c r="B32" s="18" t="s">
        <v>36</v>
      </c>
      <c r="C32" s="18"/>
      <c r="D32" s="18"/>
      <c r="E32" s="18"/>
      <c r="F32" s="18"/>
      <c r="G32" s="18"/>
    </row>
    <row r="34" customFormat="false" ht="19.5" hidden="false" customHeight="true" outlineLevel="0" collapsed="false">
      <c r="B34" s="16" t="s">
        <v>37</v>
      </c>
      <c r="C34" s="17"/>
      <c r="D34" s="17"/>
      <c r="E34" s="17"/>
      <c r="F34" s="17"/>
      <c r="G34" s="17"/>
    </row>
    <row r="35" customFormat="false" ht="57" hidden="false" customHeight="true" outlineLevel="0" collapsed="false">
      <c r="B35" s="18" t="s">
        <v>38</v>
      </c>
      <c r="C35" s="18"/>
      <c r="D35" s="18"/>
      <c r="E35" s="18"/>
      <c r="F35" s="18"/>
      <c r="G35" s="18"/>
    </row>
    <row r="36" customFormat="false" ht="15" hidden="false" customHeight="false" outlineLevel="0" collapsed="false">
      <c r="B36" s="19" t="s">
        <v>39</v>
      </c>
      <c r="C36" s="19"/>
      <c r="D36" s="19"/>
      <c r="E36" s="19"/>
      <c r="F36" s="19"/>
      <c r="G36" s="19"/>
    </row>
    <row r="37" customFormat="false" ht="15" hidden="false" customHeight="false" outlineLevel="0" collapsed="false">
      <c r="B37" s="20" t="s">
        <v>40</v>
      </c>
    </row>
  </sheetData>
  <mergeCells count="3">
    <mergeCell ref="B32:G32"/>
    <mergeCell ref="B35:G35"/>
    <mergeCell ref="B36:G36"/>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B2:G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2" customFormat="false" ht="25.5" hidden="false" customHeight="true" outlineLevel="0" collapsed="false">
      <c r="B2" s="36" t="s">
        <v>340</v>
      </c>
      <c r="C2" s="37"/>
      <c r="D2" s="37"/>
      <c r="E2" s="37"/>
      <c r="F2" s="37"/>
      <c r="G2" s="37"/>
    </row>
    <row r="3" customFormat="false" ht="15" hidden="false" customHeight="false" outlineLevel="0" collapsed="false">
      <c r="B3" s="24" t="s">
        <v>19</v>
      </c>
    </row>
    <row r="6" customFormat="false" ht="15" hidden="false" customHeight="false" outlineLevel="0" collapsed="false">
      <c r="B6" s="38"/>
      <c r="C6" s="39" t="n">
        <f aca="false">Model_Start_Year+0</f>
        <v>2026</v>
      </c>
      <c r="D6" s="39" t="n">
        <f aca="false">Model_Start_Year+1</f>
        <v>2027</v>
      </c>
      <c r="E6" s="39" t="n">
        <f aca="false">Model_Start_Year+2</f>
        <v>2028</v>
      </c>
      <c r="F6" s="39" t="n">
        <f aca="false">Model_Start_Year+3</f>
        <v>2029</v>
      </c>
      <c r="G6" s="39" t="n">
        <f aca="false">Model_Start_Year+4</f>
        <v>2030</v>
      </c>
    </row>
    <row r="7" customFormat="false" ht="15" hidden="false" customHeight="false" outlineLevel="0" collapsed="false">
      <c r="B7" s="24" t="s">
        <v>238</v>
      </c>
      <c r="C7" s="40" t="n">
        <f aca="false">COLUMN()-2</f>
        <v>1</v>
      </c>
      <c r="D7" s="40" t="n">
        <f aca="false">COLUMN()-2</f>
        <v>2</v>
      </c>
      <c r="E7" s="40" t="n">
        <f aca="false">COLUMN()-2</f>
        <v>3</v>
      </c>
      <c r="F7" s="40" t="n">
        <f aca="false">COLUMN()-2</f>
        <v>4</v>
      </c>
      <c r="G7" s="40" t="n">
        <f aca="false">COLUMN()-2</f>
        <v>5</v>
      </c>
    </row>
    <row r="9" customFormat="false" ht="15" hidden="false" customHeight="false" outlineLevel="0" collapsed="false">
      <c r="B9" s="41" t="s">
        <v>341</v>
      </c>
      <c r="C9" s="17"/>
      <c r="D9" s="17"/>
      <c r="E9" s="17"/>
      <c r="F9" s="17"/>
      <c r="G9" s="17"/>
    </row>
    <row r="10" customFormat="false" ht="15" hidden="false" customHeight="false" outlineLevel="0" collapsed="false">
      <c r="B10" s="42" t="s">
        <v>342</v>
      </c>
      <c r="C10" s="43" t="n">
        <f aca="false">IS_Net_Income</f>
        <v>1707095.2</v>
      </c>
      <c r="D10" s="43" t="n">
        <f aca="false">IS_Net_Income</f>
        <v>6675813.472</v>
      </c>
      <c r="E10" s="43" t="n">
        <f aca="false">IS_Net_Income</f>
        <v>-19802099.692</v>
      </c>
      <c r="F10" s="43" t="n">
        <f aca="false">IS_Net_Income</f>
        <v>14215876.3868192</v>
      </c>
      <c r="G10" s="43" t="n">
        <f aca="false">IS_Net_Income</f>
        <v>-1014394.99283119</v>
      </c>
    </row>
    <row r="11" customFormat="false" ht="15" hidden="false" customHeight="false" outlineLevel="0" collapsed="false">
      <c r="B11" s="42" t="s">
        <v>305</v>
      </c>
      <c r="C11" s="43" t="n">
        <f aca="false">IS_Depr</f>
        <v>1523520</v>
      </c>
      <c r="D11" s="43" t="n">
        <f aca="false">IS_Depr</f>
        <v>1921667.2</v>
      </c>
      <c r="E11" s="43" t="n">
        <f aca="false">IS_Depr</f>
        <v>2132756.032</v>
      </c>
      <c r="F11" s="43" t="n">
        <f aca="false">IS_Depr</f>
        <v>2396152.43392</v>
      </c>
      <c r="G11" s="43" t="n">
        <f aca="false">IS_Depr</f>
        <v>2763466.4119552</v>
      </c>
    </row>
    <row r="12" customFormat="false" ht="15" hidden="false" customHeight="false" outlineLevel="0" collapsed="false">
      <c r="B12" s="42" t="s">
        <v>343</v>
      </c>
      <c r="C12" s="43" t="n">
        <f aca="false">-(Balance_Sheet!C11-Open_Trading_Assets)</f>
        <v>-30000000</v>
      </c>
      <c r="D12" s="43" t="n">
        <f aca="false">-(Balance_Sheet!D11-Balance_Sheet!C11)</f>
        <v>-31800000.0000001</v>
      </c>
      <c r="E12" s="43" t="n">
        <f aca="false">-(Balance_Sheet!E11-Balance_Sheet!D11)</f>
        <v>-33707999.9999999</v>
      </c>
      <c r="F12" s="43" t="n">
        <f aca="false">-(Balance_Sheet!F11-Balance_Sheet!E11)</f>
        <v>-35730480.0000001</v>
      </c>
      <c r="G12" s="43" t="n">
        <f aca="false">-(Balance_Sheet!G11-Balance_Sheet!F11)</f>
        <v>-37874308.8000001</v>
      </c>
    </row>
    <row r="13" customFormat="false" ht="15" hidden="false" customHeight="false" outlineLevel="0" collapsed="false">
      <c r="B13" s="42" t="s">
        <v>344</v>
      </c>
      <c r="C13" s="43" t="n">
        <f aca="false">-(Balance_Sheet!C12-Open_Reverse_Repo)</f>
        <v>-1800000</v>
      </c>
      <c r="D13" s="43" t="n">
        <f aca="false">-(Balance_Sheet!D12-Balance_Sheet!C12)</f>
        <v>-1908000.00000001</v>
      </c>
      <c r="E13" s="43" t="n">
        <f aca="false">-(Balance_Sheet!E12-Balance_Sheet!D12)</f>
        <v>-2022479.99999999</v>
      </c>
      <c r="F13" s="43" t="n">
        <f aca="false">-(Balance_Sheet!F12-Balance_Sheet!E12)</f>
        <v>-2143828.80000001</v>
      </c>
      <c r="G13" s="43" t="n">
        <f aca="false">-(Balance_Sheet!G12-Balance_Sheet!F12)</f>
        <v>-2272458.528</v>
      </c>
    </row>
    <row r="14" customFormat="false" ht="15" hidden="false" customHeight="false" outlineLevel="0" collapsed="false">
      <c r="B14" s="42" t="s">
        <v>345</v>
      </c>
      <c r="C14" s="43" t="n">
        <f aca="false">-(Balance_Sheet!C13-Open_Receivables)</f>
        <v>-238095.238095239</v>
      </c>
      <c r="D14" s="43" t="n">
        <f aca="false">-(Balance_Sheet!D13-Balance_Sheet!C13)</f>
        <v>-5714285.71428572</v>
      </c>
      <c r="E14" s="43" t="n">
        <f aca="false">-(Balance_Sheet!E13-Balance_Sheet!D13)</f>
        <v>-6057142.85714287</v>
      </c>
      <c r="F14" s="43" t="n">
        <f aca="false">-(Balance_Sheet!F13-Balance_Sheet!E13)</f>
        <v>-6420571.42857142</v>
      </c>
      <c r="G14" s="43" t="n">
        <f aca="false">-(Balance_Sheet!G13-Balance_Sheet!F13)</f>
        <v>-6805805.71428575</v>
      </c>
    </row>
    <row r="15" customFormat="false" ht="15" hidden="false" customHeight="false" outlineLevel="0" collapsed="false">
      <c r="B15" s="42" t="s">
        <v>346</v>
      </c>
      <c r="C15" s="43" t="n">
        <f aca="false">Balance_Sheet!C23-Open_Repo_Payable</f>
        <v>29004999.9999999</v>
      </c>
      <c r="D15" s="43" t="n">
        <f aca="false">Balance_Sheet!D23-Balance_Sheet!C23</f>
        <v>30480300.0000002</v>
      </c>
      <c r="E15" s="43" t="n">
        <f aca="false">Balance_Sheet!E23-Balance_Sheet!D23</f>
        <v>32309117.9999999</v>
      </c>
      <c r="F15" s="43" t="n">
        <f aca="false">Balance_Sheet!F23-Balance_Sheet!E23</f>
        <v>34247665.08</v>
      </c>
      <c r="G15" s="43" t="n">
        <f aca="false">Balance_Sheet!G23-Balance_Sheet!F23</f>
        <v>36302524.9848001</v>
      </c>
    </row>
    <row r="16" customFormat="false" ht="15" hidden="false" customHeight="false" outlineLevel="0" collapsed="false">
      <c r="B16" s="42" t="s">
        <v>347</v>
      </c>
      <c r="C16" s="43" t="n">
        <f aca="false">Balance_Sheet!C24-Open_Payables</f>
        <v>-1869895.89041096</v>
      </c>
      <c r="D16" s="43" t="n">
        <f aca="false">Balance_Sheet!D24-Balance_Sheet!C24</f>
        <v>194956.931506849</v>
      </c>
      <c r="E16" s="43" t="n">
        <f aca="false">Balance_Sheet!E24-Balance_Sheet!D24</f>
        <v>-570222.364931507</v>
      </c>
      <c r="F16" s="43" t="n">
        <f aca="false">Balance_Sheet!F24-Balance_Sheet!E24</f>
        <v>900413.608241096</v>
      </c>
      <c r="G16" s="43" t="n">
        <f aca="false">Balance_Sheet!G24-Balance_Sheet!F24</f>
        <v>-353397.191702794</v>
      </c>
    </row>
    <row r="17" customFormat="false" ht="15" hidden="false" customHeight="false" outlineLevel="0" collapsed="false">
      <c r="B17" s="42" t="s">
        <v>348</v>
      </c>
      <c r="C17" s="43" t="n">
        <f aca="false">Balance_Sheet!C25-Open_Bonus_Accrual</f>
        <v>88000</v>
      </c>
      <c r="D17" s="43" t="n">
        <f aca="false">Balance_Sheet!D25-Balance_Sheet!C25</f>
        <v>1395280</v>
      </c>
      <c r="E17" s="43" t="n">
        <f aca="false">Balance_Sheet!E25-Balance_Sheet!D25</f>
        <v>-4081003.2</v>
      </c>
      <c r="F17" s="43" t="n">
        <f aca="false">Balance_Sheet!F25-Balance_Sheet!E25</f>
        <v>6444136.608</v>
      </c>
      <c r="G17" s="43" t="n">
        <f aca="false">Balance_Sheet!G25-Balance_Sheet!F25</f>
        <v>-2529215.19552</v>
      </c>
    </row>
    <row r="18" customFormat="false" ht="15" hidden="false" customHeight="false" outlineLevel="0" collapsed="false">
      <c r="B18" s="48" t="s">
        <v>349</v>
      </c>
      <c r="C18" s="49" t="n">
        <f aca="false">C10+C11+C12+C13+C14+C15+C16+C17</f>
        <v>-1584375.92850626</v>
      </c>
      <c r="D18" s="49" t="n">
        <f aca="false">D10+D11+D12+D13+D14+D15+D16+D17</f>
        <v>1245731.88922118</v>
      </c>
      <c r="E18" s="49" t="n">
        <f aca="false">E10+E11+E12+E13+E14+E15+E16+E17</f>
        <v>-31799074.0820744</v>
      </c>
      <c r="F18" s="49" t="n">
        <f aca="false">F10+F11+F12+F13+F14+F15+F16+F17</f>
        <v>13909363.8884088</v>
      </c>
      <c r="G18" s="49" t="n">
        <f aca="false">G10+G11+G12+G13+G14+G15+G16+G17</f>
        <v>-11783589.0255845</v>
      </c>
    </row>
    <row r="20" customFormat="false" ht="15" hidden="false" customHeight="false" outlineLevel="0" collapsed="false">
      <c r="B20" s="41" t="s">
        <v>350</v>
      </c>
      <c r="C20" s="17"/>
      <c r="D20" s="17"/>
      <c r="E20" s="17"/>
      <c r="F20" s="17"/>
      <c r="G20" s="17"/>
    </row>
    <row r="21" customFormat="false" ht="15" hidden="false" customHeight="false" outlineLevel="0" collapsed="false">
      <c r="B21" s="42" t="s">
        <v>185</v>
      </c>
      <c r="C21" s="43" t="n">
        <f aca="false">-IS_Net_Trading_Rev*Capex_Pct</f>
        <v>-3235200</v>
      </c>
      <c r="D21" s="43" t="n">
        <f aca="false">-IS_Net_Trading_Rev*Capex_Pct</f>
        <v>-3793312</v>
      </c>
      <c r="E21" s="43" t="n">
        <f aca="false">-IS_Net_Trading_Rev*Capex_Pct</f>
        <v>-2160910.72</v>
      </c>
      <c r="F21" s="43" t="n">
        <f aca="false">-IS_Net_Trading_Rev*Capex_Pct</f>
        <v>-4738565.3632</v>
      </c>
      <c r="G21" s="43" t="n">
        <f aca="false">-IS_Net_Trading_Rev*Capex_Pct</f>
        <v>-3726879.284992</v>
      </c>
    </row>
    <row r="22" customFormat="false" ht="15" hidden="false" customHeight="false" outlineLevel="0" collapsed="false">
      <c r="B22" s="48" t="s">
        <v>351</v>
      </c>
      <c r="C22" s="49" t="n">
        <f aca="false">C21</f>
        <v>-3235200</v>
      </c>
      <c r="D22" s="49" t="n">
        <f aca="false">D21</f>
        <v>-3793312</v>
      </c>
      <c r="E22" s="49" t="n">
        <f aca="false">E21</f>
        <v>-2160910.72</v>
      </c>
      <c r="F22" s="49" t="n">
        <f aca="false">F21</f>
        <v>-4738565.3632</v>
      </c>
      <c r="G22" s="49" t="n">
        <f aca="false">G21</f>
        <v>-3726879.284992</v>
      </c>
    </row>
    <row r="24" customFormat="false" ht="15" hidden="false" customHeight="false" outlineLevel="0" collapsed="false">
      <c r="B24" s="41" t="s">
        <v>352</v>
      </c>
      <c r="C24" s="17"/>
      <c r="D24" s="17"/>
      <c r="E24" s="17"/>
      <c r="F24" s="17"/>
      <c r="G24" s="17"/>
    </row>
    <row r="25" customFormat="false" ht="15" hidden="false" customHeight="false" outlineLevel="0" collapsed="false">
      <c r="B25" s="42" t="s">
        <v>353</v>
      </c>
      <c r="C25" s="43" t="n">
        <f aca="false">Debt_New_Issuance</f>
        <v>0</v>
      </c>
      <c r="D25" s="43" t="n">
        <f aca="false">0</f>
        <v>0</v>
      </c>
      <c r="E25" s="43" t="n">
        <f aca="false">0</f>
        <v>0</v>
      </c>
      <c r="F25" s="43" t="n">
        <f aca="false">0</f>
        <v>0</v>
      </c>
      <c r="G25" s="43" t="n">
        <f aca="false">0</f>
        <v>0</v>
      </c>
    </row>
    <row r="26" customFormat="false" ht="15" hidden="false" customHeight="false" outlineLevel="0" collapsed="false">
      <c r="B26" s="42" t="s">
        <v>354</v>
      </c>
      <c r="C26" s="43" t="n">
        <f aca="false">-IF(C7=Debt_Term_Years,Open_Corp_Debt+Debt_New_Issuance,0)</f>
        <v>-0</v>
      </c>
      <c r="D26" s="43" t="n">
        <f aca="false">-IF(D7=Debt_Term_Years,Balance_Sheet!C28,0)</f>
        <v>-0</v>
      </c>
      <c r="E26" s="43" t="n">
        <f aca="false">-IF(E7=Debt_Term_Years,Balance_Sheet!D28,0)</f>
        <v>-0</v>
      </c>
      <c r="F26" s="43" t="n">
        <f aca="false">-IF(F7=Debt_Term_Years,Balance_Sheet!E28,0)</f>
        <v>-0</v>
      </c>
      <c r="G26" s="43" t="n">
        <f aca="false">-IF(G7=Debt_Term_Years,Balance_Sheet!F28,0)</f>
        <v>-0</v>
      </c>
    </row>
    <row r="27" customFormat="false" ht="15" hidden="false" customHeight="false" outlineLevel="0" collapsed="false">
      <c r="B27" s="42" t="s">
        <v>355</v>
      </c>
      <c r="C27" s="43" t="n">
        <f aca="false">-IS_Dividends</f>
        <v>-597483.32</v>
      </c>
      <c r="D27" s="43" t="n">
        <f aca="false">-IS_Dividends</f>
        <v>-2336534.7152</v>
      </c>
      <c r="E27" s="43" t="n">
        <f aca="false">-IS_Dividends</f>
        <v>-0</v>
      </c>
      <c r="F27" s="43" t="n">
        <f aca="false">-IS_Dividends</f>
        <v>-4975556.73538672</v>
      </c>
      <c r="G27" s="43" t="n">
        <f aca="false">-IS_Dividends</f>
        <v>-0</v>
      </c>
    </row>
    <row r="28" customFormat="false" ht="15" hidden="false" customHeight="false" outlineLevel="0" collapsed="false">
      <c r="B28" s="48" t="s">
        <v>356</v>
      </c>
      <c r="C28" s="49" t="n">
        <f aca="false">C25+C26+C27</f>
        <v>-597483.32</v>
      </c>
      <c r="D28" s="49" t="n">
        <f aca="false">D25+D26+D27</f>
        <v>-2336534.7152</v>
      </c>
      <c r="E28" s="49" t="n">
        <f aca="false">E25+E26+E27</f>
        <v>0</v>
      </c>
      <c r="F28" s="49" t="n">
        <f aca="false">F25+F26+F27</f>
        <v>-4975556.73538672</v>
      </c>
      <c r="G28" s="49" t="n">
        <f aca="false">G25+G26+G27</f>
        <v>0</v>
      </c>
    </row>
    <row r="30" customFormat="false" ht="15" hidden="false" customHeight="false" outlineLevel="0" collapsed="false">
      <c r="B30" s="48" t="s">
        <v>357</v>
      </c>
      <c r="C30" s="47" t="n">
        <f aca="false">C18+C22+C28</f>
        <v>-5417059.24850626</v>
      </c>
      <c r="D30" s="47" t="n">
        <f aca="false">D18+D22+D28</f>
        <v>-4884114.82597882</v>
      </c>
      <c r="E30" s="47" t="n">
        <f aca="false">E18+E22+E28</f>
        <v>-33959984.8020744</v>
      </c>
      <c r="F30" s="47" t="n">
        <f aca="false">F18+F22+F28</f>
        <v>4195241.78982207</v>
      </c>
      <c r="G30" s="47" t="n">
        <f aca="false">G18+G22+G28</f>
        <v>-15510468.3105765</v>
      </c>
    </row>
    <row r="32" customFormat="false" ht="15" hidden="false" customHeight="false" outlineLevel="0" collapsed="false">
      <c r="B32" s="22" t="s">
        <v>192</v>
      </c>
      <c r="C32" s="43" t="n">
        <f aca="false">Open_Cash</f>
        <v>75000000</v>
      </c>
      <c r="D32" s="43" t="n">
        <f aca="false">C33</f>
        <v>69582940.7514937</v>
      </c>
      <c r="E32" s="43" t="n">
        <f aca="false">D33</f>
        <v>64698825.9255149</v>
      </c>
      <c r="F32" s="43" t="n">
        <f aca="false">E33</f>
        <v>30738841.1234406</v>
      </c>
      <c r="G32" s="43" t="n">
        <f aca="false">F33</f>
        <v>34934082.9132626</v>
      </c>
    </row>
    <row r="33" customFormat="false" ht="15" hidden="false" customHeight="false" outlineLevel="0" collapsed="false">
      <c r="B33" s="48" t="s">
        <v>358</v>
      </c>
      <c r="C33" s="47" t="n">
        <f aca="false">C32+C30</f>
        <v>69582940.7514937</v>
      </c>
      <c r="D33" s="47" t="n">
        <f aca="false">D32+D30</f>
        <v>64698825.9255149</v>
      </c>
      <c r="E33" s="47" t="n">
        <f aca="false">E32+E30</f>
        <v>30738841.1234406</v>
      </c>
      <c r="F33" s="47" t="n">
        <f aca="false">F32+F30</f>
        <v>34934082.9132626</v>
      </c>
      <c r="G33" s="47" t="n">
        <f aca="false">G32+G30</f>
        <v>19423614.6026861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B2:G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2" customFormat="false" ht="25.5" hidden="false" customHeight="true" outlineLevel="0" collapsed="false">
      <c r="B2" s="36" t="s">
        <v>359</v>
      </c>
      <c r="C2" s="37"/>
      <c r="D2" s="37"/>
      <c r="E2" s="37"/>
      <c r="F2" s="37"/>
      <c r="G2" s="37"/>
    </row>
    <row r="3" customFormat="false" ht="15" hidden="false" customHeight="false" outlineLevel="0" collapsed="false">
      <c r="B3" s="24" t="s">
        <v>360</v>
      </c>
    </row>
    <row r="6" customFormat="false" ht="15" hidden="false" customHeight="false" outlineLevel="0" collapsed="false">
      <c r="B6" s="38"/>
      <c r="C6" s="39" t="n">
        <f aca="false">Model_Start_Year+0</f>
        <v>2026</v>
      </c>
      <c r="D6" s="39" t="n">
        <f aca="false">Model_Start_Year+1</f>
        <v>2027</v>
      </c>
      <c r="E6" s="39" t="n">
        <f aca="false">Model_Start_Year+2</f>
        <v>2028</v>
      </c>
      <c r="F6" s="39" t="n">
        <f aca="false">Model_Start_Year+3</f>
        <v>2029</v>
      </c>
      <c r="G6" s="39" t="n">
        <f aca="false">Model_Start_Year+4</f>
        <v>2030</v>
      </c>
    </row>
    <row r="7" customFormat="false" ht="15" hidden="false" customHeight="false" outlineLevel="0" collapsed="false">
      <c r="B7" s="24" t="s">
        <v>238</v>
      </c>
      <c r="C7" s="40" t="n">
        <f aca="false">COLUMN()-2</f>
        <v>1</v>
      </c>
      <c r="D7" s="40" t="n">
        <f aca="false">COLUMN()-2</f>
        <v>2</v>
      </c>
      <c r="E7" s="40" t="n">
        <f aca="false">COLUMN()-2</f>
        <v>3</v>
      </c>
      <c r="F7" s="40" t="n">
        <f aca="false">COLUMN()-2</f>
        <v>4</v>
      </c>
      <c r="G7" s="40" t="n">
        <f aca="false">COLUMN()-2</f>
        <v>5</v>
      </c>
    </row>
    <row r="9" customFormat="false" ht="15" hidden="false" customHeight="false" outlineLevel="0" collapsed="false">
      <c r="B9" s="41" t="s">
        <v>361</v>
      </c>
      <c r="C9" s="17"/>
      <c r="D9" s="17"/>
      <c r="E9" s="17"/>
      <c r="F9" s="17"/>
      <c r="G9" s="17"/>
    </row>
    <row r="10" customFormat="false" ht="15" hidden="false" customHeight="false" outlineLevel="0" collapsed="false">
      <c r="B10" s="42" t="s">
        <v>362</v>
      </c>
      <c r="C10" s="45" t="n">
        <f aca="false">IF(BS_Total_Equity&lt;=0,"N/A",IS_Net_Income/((Open_Share_Capital+Open_Ret_Earnings+BS_Total_Equity)/2))</f>
        <v>0.0160208184411809</v>
      </c>
      <c r="D10" s="45" t="n">
        <f aca="false">IF(BS_Total_Equity&lt;=0,"N/A",IS_Net_Income/((Balance_Sheet!C34+BS_Total_Equity)/2))</f>
        <v>0.0610894876669175</v>
      </c>
      <c r="E10" s="45" t="n">
        <f aca="false">IF(BS_Total_Equity&lt;=0,"N/A",IS_Net_Income/((Balance_Sheet!D34+BS_Total_Equity)/2))</f>
        <v>-0.19500266611079</v>
      </c>
      <c r="F10" s="45" t="n">
        <f aca="false">IF(BS_Total_Equity&lt;=0,"N/A",IS_Net_Income/((Balance_Sheet!E34+BS_Total_Equity)/2))</f>
        <v>0.147671410313051</v>
      </c>
      <c r="G10" s="45" t="n">
        <f aca="false">IF(BS_Total_Equity&lt;=0,"N/A",IS_Net_Income/((Balance_Sheet!F34+BS_Total_Equity)/2))</f>
        <v>-0.0101055575912134</v>
      </c>
    </row>
    <row r="11" customFormat="false" ht="15" hidden="false" customHeight="false" outlineLevel="0" collapsed="false">
      <c r="B11" s="42" t="s">
        <v>363</v>
      </c>
      <c r="C11" s="45" t="n">
        <f aca="false">IF(BS_Total_Assets=0,0,IS_Net_Income/BS_Total_Assets)</f>
        <v>0.00232468901742926</v>
      </c>
      <c r="D11" s="45" t="n">
        <f aca="false">IF(BS_Total_Assets=0,0,IS_Net_Income/BS_Total_Assets)</f>
        <v>0.00866153507510069</v>
      </c>
      <c r="E11" s="45" t="n">
        <f aca="false">IF(BS_Total_Assets=0,0,IS_Net_Income/BS_Total_Assets)</f>
        <v>-0.0254330109260466</v>
      </c>
      <c r="F11" s="45" t="n">
        <f aca="false">IF(BS_Total_Assets=0,0,IS_Net_Income/BS_Total_Assets)</f>
        <v>0.017139314538695</v>
      </c>
      <c r="G11" s="45" t="n">
        <f aca="false">IF(BS_Total_Assets=0,0,IS_Net_Income/BS_Total_Assets)</f>
        <v>-0.00117701575372528</v>
      </c>
    </row>
    <row r="12" customFormat="false" ht="15" hidden="false" customHeight="false" outlineLevel="0" collapsed="false">
      <c r="B12" s="42" t="s">
        <v>364</v>
      </c>
      <c r="C12" s="45" t="n">
        <f aca="false">IF(IS_Gross_Revenue=0,0,IS_EBT/IS_Gross_Revenue)</f>
        <v>0.0429769291964996</v>
      </c>
      <c r="D12" s="45" t="n">
        <f aca="false">IF(IS_Gross_Revenue=0,0,IS_EBT/IS_Gross_Revenue)</f>
        <v>0.13457588768139</v>
      </c>
      <c r="E12" s="45" t="n">
        <f aca="false">IF(IS_Gross_Revenue=0,0,IS_EBT/IS_Gross_Revenue)</f>
        <v>-0.968016399196572</v>
      </c>
      <c r="F12" s="45" t="n">
        <f aca="false">IF(IS_Gross_Revenue=0,0,IS_EBT/IS_Gross_Revenue)</f>
        <v>0.216076299691028</v>
      </c>
      <c r="G12" s="45" t="n">
        <f aca="false">IF(IS_Gross_Revenue=0,0,IS_EBT/IS_Gross_Revenue)</f>
        <v>-0.0180264669310268</v>
      </c>
    </row>
    <row r="13" customFormat="false" ht="15" hidden="false" customHeight="false" outlineLevel="0" collapsed="false">
      <c r="B13" s="42" t="s">
        <v>365</v>
      </c>
      <c r="C13" s="45" t="n">
        <f aca="false">IF(IS_Gross_Revenue=0,0,IS_Net_Income/IS_Gross_Revenue)</f>
        <v>0.0339517740652347</v>
      </c>
      <c r="D13" s="45" t="n">
        <f aca="false">IF(IS_Gross_Revenue=0,0,IS_Net_Income/IS_Gross_Revenue)</f>
        <v>0.106314951268298</v>
      </c>
      <c r="E13" s="45" t="n">
        <f aca="false">IF(IS_Gross_Revenue=0,0,IS_Net_Income/IS_Gross_Revenue)</f>
        <v>-0.968016399196572</v>
      </c>
      <c r="F13" s="45" t="n">
        <f aca="false">IF(IS_Gross_Revenue=0,0,IS_Net_Income/IS_Gross_Revenue)</f>
        <v>0.170700276755912</v>
      </c>
      <c r="G13" s="45" t="n">
        <f aca="false">IF(IS_Gross_Revenue=0,0,IS_Net_Income/IS_Gross_Revenue)</f>
        <v>-0.0180264669310268</v>
      </c>
    </row>
    <row r="14" customFormat="false" ht="15" hidden="false" customHeight="false" outlineLevel="0" collapsed="false">
      <c r="B14" s="42" t="s">
        <v>177</v>
      </c>
      <c r="C14" s="45" t="n">
        <f aca="false">IF(IS_EBT&lt;=0,0,IS_Tax/IS_EBT)</f>
        <v>0.21</v>
      </c>
      <c r="D14" s="45" t="n">
        <f aca="false">IF(IS_EBT&lt;=0,0,IS_Tax/IS_EBT)</f>
        <v>0.21</v>
      </c>
      <c r="E14" s="45" t="n">
        <f aca="false">IF(IS_EBT&lt;=0,0,IS_Tax/IS_EBT)</f>
        <v>0</v>
      </c>
      <c r="F14" s="45" t="n">
        <f aca="false">IF(IS_EBT&lt;=0,0,IS_Tax/IS_EBT)</f>
        <v>0.21</v>
      </c>
      <c r="G14" s="45" t="n">
        <f aca="false">IF(IS_EBT&lt;=0,0,IS_Tax/IS_EBT)</f>
        <v>0</v>
      </c>
    </row>
    <row r="16" customFormat="false" ht="15" hidden="false" customHeight="false" outlineLevel="0" collapsed="false">
      <c r="B16" s="41" t="s">
        <v>366</v>
      </c>
      <c r="C16" s="17"/>
      <c r="D16" s="17"/>
      <c r="E16" s="17"/>
      <c r="F16" s="17"/>
      <c r="G16" s="17"/>
    </row>
    <row r="17" customFormat="false" ht="15" hidden="false" customHeight="false" outlineLevel="0" collapsed="false">
      <c r="B17" s="42" t="s">
        <v>367</v>
      </c>
      <c r="C17" s="43" t="n">
        <f aca="false">IF(OC_Traders=0,0,RB_Net_Trading_Rev/OC_Traders)</f>
        <v>5392000</v>
      </c>
      <c r="D17" s="43" t="n">
        <f aca="false">IF(OC_Traders=0,0,RB_Net_Trading_Rev/OC_Traders)</f>
        <v>5927050</v>
      </c>
      <c r="E17" s="43" t="n">
        <f aca="false">IF(OC_Traders=0,0,RB_Net_Trading_Rev/OC_Traders)</f>
        <v>3376423</v>
      </c>
      <c r="F17" s="43" t="n">
        <f aca="false">IF(OC_Traders=0,0,RB_Net_Trading_Rev/OC_Traders)</f>
        <v>6968478.47529412</v>
      </c>
      <c r="G17" s="43" t="n">
        <f aca="false">IF(OC_Traders=0,0,RB_Net_Trading_Rev/OC_Traders)</f>
        <v>5176221.22915556</v>
      </c>
    </row>
    <row r="18" customFormat="false" ht="15" hidden="false" customHeight="false" outlineLevel="0" collapsed="false">
      <c r="B18" s="42" t="s">
        <v>368</v>
      </c>
      <c r="C18" s="43" t="n">
        <f aca="false">IF((OC_Traders+OC_Sales+OC_Risk+OC_Tech+OC_Operations)=0,0,RB_Net_Trading_Rev/(OC_Traders+OC_Sales+OC_Risk+OC_Tech+OC_Operations))</f>
        <v>1797333.33333333</v>
      </c>
      <c r="D18" s="43" t="n">
        <f aca="false">IF((OC_Traders+OC_Sales+OC_Risk+OC_Tech+OC_Operations)=0,0,RB_Net_Trading_Rev/(OC_Traders+OC_Sales+OC_Risk+OC_Tech+OC_Operations))</f>
        <v>2061582.60869565</v>
      </c>
      <c r="E18" s="43" t="n">
        <f aca="false">IF((OC_Traders+OC_Sales+OC_Risk+OC_Tech+OC_Operations)=0,0,RB_Net_Trading_Rev/(OC_Traders+OC_Sales+OC_Risk+OC_Tech+OC_Operations))</f>
        <v>1102505.46938776</v>
      </c>
      <c r="F18" s="43" t="n">
        <f aca="false">IF((OC_Traders+OC_Sales+OC_Risk+OC_Tech+OC_Operations)=0,0,RB_Net_Trading_Rev/(OC_Traders+OC_Sales+OC_Risk+OC_Tech+OC_Operations))</f>
        <v>2322826.15843137</v>
      </c>
      <c r="G18" s="43" t="n">
        <f aca="false">IF((OC_Traders+OC_Sales+OC_Risk+OC_Tech+OC_Operations)=0,0,RB_Net_Trading_Rev/(OC_Traders+OC_Sales+OC_Risk+OC_Tech+OC_Operations))</f>
        <v>1757961.92688302</v>
      </c>
    </row>
    <row r="19" customFormat="false" ht="15" hidden="false" customHeight="false" outlineLevel="0" collapsed="false">
      <c r="B19" s="42" t="s">
        <v>369</v>
      </c>
      <c r="C19" s="43" t="n">
        <f aca="false">IF(OC_Traders=0,0,IS_Net_Income/OC_Traders)</f>
        <v>113806.346666667</v>
      </c>
      <c r="D19" s="43" t="n">
        <f aca="false">IF(OC_Traders=0,0,IS_Net_Income/OC_Traders)</f>
        <v>417238.342</v>
      </c>
      <c r="E19" s="43" t="n">
        <f aca="false">IF(OC_Traders=0,0,IS_Net_Income/OC_Traders)</f>
        <v>-1237631.23075</v>
      </c>
      <c r="F19" s="43" t="n">
        <f aca="false">IF(OC_Traders=0,0,IS_Net_Income/OC_Traders)</f>
        <v>836228.022754071</v>
      </c>
      <c r="G19" s="43" t="n">
        <f aca="false">IF(OC_Traders=0,0,IS_Net_Income/OC_Traders)</f>
        <v>-56355.2773795107</v>
      </c>
    </row>
    <row r="20" customFormat="false" ht="15" hidden="false" customHeight="false" outlineLevel="0" collapsed="false">
      <c r="B20" s="42" t="s">
        <v>370</v>
      </c>
      <c r="C20" s="45" t="n">
        <f aca="false">OC_Comp_Ratio</f>
        <v>0.324505440158259</v>
      </c>
      <c r="D20" s="45" t="n">
        <f aca="false">OC_Comp_Ratio</f>
        <v>0.313173922946491</v>
      </c>
      <c r="E20" s="45" t="n">
        <f aca="false">OC_Comp_Ratio</f>
        <v>0.41356342755336</v>
      </c>
      <c r="F20" s="45" t="n">
        <f aca="false">OC_Comp_Ratio</f>
        <v>0.305154930618812</v>
      </c>
      <c r="G20" s="45" t="n">
        <f aca="false">OC_Comp_Ratio</f>
        <v>0.344354879790842</v>
      </c>
    </row>
    <row r="21" customFormat="false" ht="15" hidden="false" customHeight="false" outlineLevel="0" collapsed="false">
      <c r="B21" s="42" t="s">
        <v>371</v>
      </c>
      <c r="C21" s="45" t="n">
        <f aca="false">IF(IS_Gross_Revenue=0,0,OC_Total_Opex/IS_Gross_Revenue)</f>
        <v>0.795457438345267</v>
      </c>
      <c r="D21" s="45" t="n">
        <f aca="false">IF(IS_Gross_Revenue=0,0,OC_Total_Opex/IS_Gross_Revenue)</f>
        <v>0.729713215527895</v>
      </c>
      <c r="E21" s="45" t="n">
        <f aca="false">IF(IS_Gross_Revenue=0,0,OC_Total_Opex/IS_Gross_Revenue)</f>
        <v>1.54111969729915</v>
      </c>
      <c r="F21" s="45" t="n">
        <f aca="false">IF(IS_Gross_Revenue=0,0,OC_Total_Opex/IS_Gross_Revenue)</f>
        <v>0.6759004122314</v>
      </c>
      <c r="G21" s="45" t="n">
        <f aca="false">IF(IS_Gross_Revenue=0,0,OC_Total_Opex/IS_Gross_Revenue)</f>
        <v>0.851631503600427</v>
      </c>
    </row>
    <row r="23" customFormat="false" ht="15" hidden="false" customHeight="false" outlineLevel="0" collapsed="false">
      <c r="B23" s="41" t="s">
        <v>372</v>
      </c>
      <c r="C23" s="17"/>
      <c r="D23" s="17"/>
      <c r="E23" s="17"/>
      <c r="F23" s="17"/>
      <c r="G23" s="17"/>
    </row>
    <row r="24" customFormat="false" ht="15" hidden="false" customHeight="false" outlineLevel="0" collapsed="false">
      <c r="B24" s="42" t="s">
        <v>373</v>
      </c>
      <c r="C24" s="52" t="n">
        <f aca="false">IF(BS_Total_Equity=0,0,BS_Total_Assets/BS_Total_Equity)</f>
        <v>6.85589932687177</v>
      </c>
      <c r="D24" s="52" t="n">
        <f aca="false">IF(BS_Total_Equity=0,0,BS_Total_Assets/BS_Total_Equity)</f>
        <v>6.91565907272835</v>
      </c>
      <c r="E24" s="52" t="n">
        <f aca="false">IF(BS_Total_Equity=0,0,BS_Total_Assets/BS_Total_Equity)</f>
        <v>8.4956419793239</v>
      </c>
      <c r="F24" s="52" t="n">
        <f aca="false">IF(BS_Total_Equity=0,0,BS_Total_Assets/BS_Total_Equity)</f>
        <v>8.22137589694845</v>
      </c>
      <c r="G24" s="52" t="n">
        <f aca="false">IF(BS_Total_Equity=0,0,BS_Total_Assets/BS_Total_Equity)</f>
        <v>8.62934758273493</v>
      </c>
    </row>
    <row r="25" customFormat="false" ht="15" hidden="false" customHeight="false" outlineLevel="0" collapsed="false">
      <c r="B25" s="42" t="s">
        <v>336</v>
      </c>
      <c r="C25" s="45" t="n">
        <f aca="false">CA_CET1_Ratio</f>
        <v>0.185919211887163</v>
      </c>
      <c r="D25" s="45" t="n">
        <f aca="false">CA_CET1_Ratio</f>
        <v>0.183221470237286</v>
      </c>
      <c r="E25" s="45" t="n">
        <f aca="false">CA_CET1_Ratio</f>
        <v>0.148137415636553</v>
      </c>
      <c r="F25" s="45" t="n">
        <f aca="false">CA_CET1_Ratio</f>
        <v>0.151237349138667</v>
      </c>
      <c r="G25" s="45" t="n">
        <f aca="false">CA_CET1_Ratio</f>
        <v>0.143987252277809</v>
      </c>
    </row>
    <row r="26" customFormat="false" ht="15" hidden="false" customHeight="false" outlineLevel="0" collapsed="false">
      <c r="B26" s="42" t="s">
        <v>374</v>
      </c>
      <c r="C26" s="52" t="n">
        <f aca="false">IF(RB_Avg_Inventory=0,0,RB_Client_Volume/RB_Avg_Inventory)</f>
        <v>24</v>
      </c>
      <c r="D26" s="52" t="n">
        <f aca="false">IF(RB_Avg_Inventory=0,0,RB_Client_Volume/RB_Avg_Inventory)</f>
        <v>24</v>
      </c>
      <c r="E26" s="52" t="n">
        <f aca="false">IF(RB_Avg_Inventory=0,0,RB_Client_Volume/RB_Avg_Inventory)</f>
        <v>24</v>
      </c>
      <c r="F26" s="52" t="n">
        <f aca="false">IF(RB_Avg_Inventory=0,0,RB_Client_Volume/RB_Avg_Inventory)</f>
        <v>24</v>
      </c>
      <c r="G26" s="52" t="n">
        <f aca="false">IF(RB_Avg_Inventory=0,0,RB_Client_Volume/RB_Avg_Inventory)</f>
        <v>24</v>
      </c>
    </row>
    <row r="27" customFormat="false" ht="15" hidden="false" customHeight="false" outlineLevel="0" collapsed="false">
      <c r="B27" s="42" t="s">
        <v>375</v>
      </c>
      <c r="C27" s="45" t="n">
        <f aca="false">IF(VaR_Limit=0,0,(DV01*100)/VaR_Limit)</f>
        <v>1</v>
      </c>
      <c r="D27" s="45" t="n">
        <f aca="false">IF(VaR_Limit=0,0,(DV01*100)/VaR_Limit)</f>
        <v>1</v>
      </c>
      <c r="E27" s="45" t="n">
        <f aca="false">IF(VaR_Limit=0,0,(DV01*100)/VaR_Limit)</f>
        <v>1</v>
      </c>
      <c r="F27" s="45" t="n">
        <f aca="false">IF(VaR_Limit=0,0,(DV01*100)/VaR_Limit)</f>
        <v>1</v>
      </c>
      <c r="G27" s="45" t="n">
        <f aca="false">IF(VaR_Limit=0,0,(DV01*100)/VaR_Limit)</f>
        <v>1</v>
      </c>
    </row>
    <row r="29" customFormat="false" ht="15" hidden="false" customHeight="false" outlineLevel="0" collapsed="false">
      <c r="B29" s="41" t="s">
        <v>376</v>
      </c>
      <c r="C29" s="17"/>
      <c r="D29" s="17"/>
      <c r="E29" s="17"/>
      <c r="F29" s="17"/>
      <c r="G29" s="17"/>
    </row>
    <row r="30" customFormat="false" ht="15" hidden="false" customHeight="false" outlineLevel="0" collapsed="false">
      <c r="B30" s="42" t="s">
        <v>67</v>
      </c>
      <c r="C30" s="53" t="n">
        <f aca="false">MOVE_Index</f>
        <v>110</v>
      </c>
      <c r="D30" s="53" t="n">
        <f aca="false">MOVE_Index</f>
        <v>110</v>
      </c>
      <c r="E30" s="53" t="n">
        <f aca="false">MOVE_Index</f>
        <v>110</v>
      </c>
      <c r="F30" s="53" t="n">
        <f aca="false">MOVE_Index</f>
        <v>110</v>
      </c>
      <c r="G30" s="53" t="n">
        <f aca="false">MOVE_Index</f>
        <v>110</v>
      </c>
    </row>
    <row r="31" customFormat="false" ht="15" hidden="false" customHeight="false" outlineLevel="0" collapsed="false">
      <c r="B31" s="42" t="s">
        <v>377</v>
      </c>
      <c r="C31" s="54" t="n">
        <f aca="false">MOVE_Index/100</f>
        <v>1.1</v>
      </c>
      <c r="D31" s="54" t="n">
        <f aca="false">MOVE_Index/100</f>
        <v>1.1</v>
      </c>
      <c r="E31" s="54" t="n">
        <f aca="false">MOVE_Index/100</f>
        <v>1.1</v>
      </c>
      <c r="F31" s="54" t="n">
        <f aca="false">MOVE_Index/100</f>
        <v>1.1</v>
      </c>
      <c r="G31" s="54" t="n">
        <f aca="false">MOVE_Index/100</f>
        <v>1.1</v>
      </c>
    </row>
    <row r="32" customFormat="false" ht="15" hidden="false" customHeight="false" outlineLevel="0" collapsed="false">
      <c r="B32" s="42" t="s">
        <v>378</v>
      </c>
      <c r="C32" s="45" t="n">
        <f aca="false">0.15*CSprd_BBB+0.5*CSprd_BB+0.3*CSprd_B+0.05*CSprd_CCC</f>
        <v>0.03675</v>
      </c>
      <c r="D32" s="45" t="n">
        <f aca="false">0.15*CSprd_BBB+0.5*CSprd_BB+0.3*CSprd_B+0.05*CSprd_CCC</f>
        <v>0.03675</v>
      </c>
      <c r="E32" s="45" t="n">
        <f aca="false">0.15*CSprd_BBB+0.5*CSprd_BB+0.3*CSprd_B+0.05*CSprd_CCC</f>
        <v>0.03675</v>
      </c>
      <c r="F32" s="45" t="n">
        <f aca="false">0.15*CSprd_BBB+0.5*CSprd_BB+0.3*CSprd_B+0.05*CSprd_CCC</f>
        <v>0.03675</v>
      </c>
      <c r="G32" s="45" t="n">
        <f aca="false">0.15*CSprd_BBB+0.5*CSprd_BB+0.3*CSprd_B+0.05*CSprd_CCC</f>
        <v>0.03675</v>
      </c>
    </row>
    <row r="33" customFormat="false" ht="15" hidden="false" customHeight="false" outlineLevel="0" collapsed="false">
      <c r="B33" s="42" t="s">
        <v>379</v>
      </c>
      <c r="C33" s="45" t="n">
        <f aca="false">SOFR_Rate+C32</f>
        <v>0.08175</v>
      </c>
      <c r="D33" s="45" t="n">
        <f aca="false">SOFR_Rate+D32</f>
        <v>0.08175</v>
      </c>
      <c r="E33" s="45" t="n">
        <f aca="false">SOFR_Rate+E32</f>
        <v>0.08175</v>
      </c>
      <c r="F33" s="45" t="n">
        <f aca="false">SOFR_Rate+F32</f>
        <v>0.08175</v>
      </c>
      <c r="G33" s="45" t="n">
        <f aca="false">SOFR_Rate+G32</f>
        <v>0.08175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B2:G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2" customFormat="false" ht="25.5" hidden="false" customHeight="true" outlineLevel="0" collapsed="false">
      <c r="B2" s="36" t="s">
        <v>380</v>
      </c>
      <c r="C2" s="37"/>
      <c r="D2" s="37"/>
      <c r="E2" s="37"/>
      <c r="F2" s="37"/>
      <c r="G2" s="37"/>
    </row>
    <row r="3" customFormat="false" ht="15" hidden="false" customHeight="false" outlineLevel="0" collapsed="false">
      <c r="B3" s="24" t="s">
        <v>381</v>
      </c>
    </row>
    <row r="6" customFormat="false" ht="15" hidden="false" customHeight="false" outlineLevel="0" collapsed="false">
      <c r="B6" s="38"/>
      <c r="C6" s="39" t="n">
        <f aca="false">Model_Start_Year+0</f>
        <v>2026</v>
      </c>
      <c r="D6" s="39" t="n">
        <f aca="false">Model_Start_Year+1</f>
        <v>2027</v>
      </c>
      <c r="E6" s="39" t="n">
        <f aca="false">Model_Start_Year+2</f>
        <v>2028</v>
      </c>
      <c r="F6" s="39" t="n">
        <f aca="false">Model_Start_Year+3</f>
        <v>2029</v>
      </c>
      <c r="G6" s="39" t="n">
        <f aca="false">Model_Start_Year+4</f>
        <v>2030</v>
      </c>
    </row>
    <row r="7" customFormat="false" ht="15" hidden="false" customHeight="false" outlineLevel="0" collapsed="false">
      <c r="B7" s="24" t="s">
        <v>238</v>
      </c>
      <c r="C7" s="40" t="n">
        <f aca="false">COLUMN()-2</f>
        <v>1</v>
      </c>
      <c r="D7" s="40" t="n">
        <f aca="false">COLUMN()-2</f>
        <v>2</v>
      </c>
      <c r="E7" s="40" t="n">
        <f aca="false">COLUMN()-2</f>
        <v>3</v>
      </c>
      <c r="F7" s="40" t="n">
        <f aca="false">COLUMN()-2</f>
        <v>4</v>
      </c>
      <c r="G7" s="40" t="n">
        <f aca="false">COLUMN()-2</f>
        <v>5</v>
      </c>
    </row>
    <row r="9" customFormat="false" ht="15" hidden="false" customHeight="false" outlineLevel="0" collapsed="false">
      <c r="B9" s="22" t="s">
        <v>382</v>
      </c>
      <c r="C9" s="55" t="str">
        <f aca="false">IF(ABS(Balance_Sheet!C38)&lt;1,"PASS","FAIL")</f>
        <v>PASS</v>
      </c>
      <c r="D9" s="55" t="str">
        <f aca="false">IF(ABS(Balance_Sheet!D38)&lt;1,"PASS","FAIL")</f>
        <v>PASS</v>
      </c>
      <c r="E9" s="55" t="str">
        <f aca="false">IF(ABS(Balance_Sheet!E38)&lt;1,"PASS","FAIL")</f>
        <v>PASS</v>
      </c>
      <c r="F9" s="55" t="str">
        <f aca="false">IF(ABS(Balance_Sheet!F38)&lt;1,"PASS","FAIL")</f>
        <v>PASS</v>
      </c>
      <c r="G9" s="55" t="str">
        <f aca="false">IF(ABS(Balance_Sheet!G38)&lt;1,"PASS","FAIL")</f>
        <v>PASS</v>
      </c>
    </row>
    <row r="10" customFormat="false" ht="15" hidden="false" customHeight="false" outlineLevel="0" collapsed="false">
      <c r="B10" s="22" t="s">
        <v>383</v>
      </c>
      <c r="C10" s="55" t="str">
        <f aca="false">IF(CA_CET1_Ratio&gt;=0.1,"PASS","FAIL")</f>
        <v>PASS</v>
      </c>
      <c r="D10" s="55" t="str">
        <f aca="false">IF(CA_CET1_Ratio&gt;=0.1,"PASS","FAIL")</f>
        <v>PASS</v>
      </c>
      <c r="E10" s="55" t="str">
        <f aca="false">IF(CA_CET1_Ratio&gt;=0.1,"PASS","FAIL")</f>
        <v>PASS</v>
      </c>
      <c r="F10" s="55" t="str">
        <f aca="false">IF(CA_CET1_Ratio&gt;=0.1,"PASS","FAIL")</f>
        <v>PASS</v>
      </c>
      <c r="G10" s="55" t="str">
        <f aca="false">IF(CA_CET1_Ratio&gt;=0.1,"PASS","FAIL")</f>
        <v>PASS</v>
      </c>
    </row>
    <row r="11" customFormat="false" ht="15" hidden="false" customHeight="false" outlineLevel="0" collapsed="false">
      <c r="B11" s="22" t="s">
        <v>384</v>
      </c>
      <c r="C11" s="55" t="str">
        <f aca="false">IF(AND(OC_Comp_Ratio&gt;=0.35,OC_Comp_Ratio&lt;=0.65),"PASS","WARN")</f>
        <v>WARN</v>
      </c>
      <c r="D11" s="55" t="str">
        <f aca="false">IF(AND(OC_Comp_Ratio&gt;=0.35,OC_Comp_Ratio&lt;=0.65),"PASS","WARN")</f>
        <v>WARN</v>
      </c>
      <c r="E11" s="55" t="str">
        <f aca="false">IF(AND(OC_Comp_Ratio&gt;=0.35,OC_Comp_Ratio&lt;=0.65),"PASS","WARN")</f>
        <v>PASS</v>
      </c>
      <c r="F11" s="55" t="str">
        <f aca="false">IF(AND(OC_Comp_Ratio&gt;=0.35,OC_Comp_Ratio&lt;=0.65),"PASS","WARN")</f>
        <v>WARN</v>
      </c>
      <c r="G11" s="55" t="str">
        <f aca="false">IF(AND(OC_Comp_Ratio&gt;=0.35,OC_Comp_Ratio&lt;=0.65),"PASS","WARN")</f>
        <v>WARN</v>
      </c>
    </row>
    <row r="12" customFormat="false" ht="15" hidden="false" customHeight="false" outlineLevel="0" collapsed="false">
      <c r="B12" s="22" t="s">
        <v>385</v>
      </c>
      <c r="C12" s="55" t="str">
        <f aca="false">IF(BS_Total_Equity&lt;=0,"N/A",IF(AND(BS_Total_Assets/BS_Total_Equity&gt;=5,BS_Total_Assets/BS_Total_Equity&lt;=20),"PASS","FAIL"))</f>
        <v>PASS</v>
      </c>
      <c r="D12" s="55" t="str">
        <f aca="false">IF(BS_Total_Equity&lt;=0,"N/A",IF(AND(BS_Total_Assets/BS_Total_Equity&gt;=5,BS_Total_Assets/BS_Total_Equity&lt;=20),"PASS","FAIL"))</f>
        <v>PASS</v>
      </c>
      <c r="E12" s="55" t="str">
        <f aca="false">IF(BS_Total_Equity&lt;=0,"N/A",IF(AND(BS_Total_Assets/BS_Total_Equity&gt;=5,BS_Total_Assets/BS_Total_Equity&lt;=20),"PASS","FAIL"))</f>
        <v>PASS</v>
      </c>
      <c r="F12" s="55" t="str">
        <f aca="false">IF(BS_Total_Equity&lt;=0,"N/A",IF(AND(BS_Total_Assets/BS_Total_Equity&gt;=5,BS_Total_Assets/BS_Total_Equity&lt;=20),"PASS","FAIL"))</f>
        <v>PASS</v>
      </c>
      <c r="G12" s="55" t="str">
        <f aca="false">IF(BS_Total_Equity&lt;=0,"N/A",IF(AND(BS_Total_Assets/BS_Total_Equity&gt;=5,BS_Total_Assets/BS_Total_Equity&lt;=20),"PASS","FAIL"))</f>
        <v>PASS</v>
      </c>
    </row>
    <row r="13" customFormat="false" ht="15" hidden="false" customHeight="false" outlineLevel="0" collapsed="false">
      <c r="B13" s="22" t="s">
        <v>386</v>
      </c>
      <c r="C13" s="55" t="str">
        <f aca="false">IF(CF_Closing_Cash&gt;=0,"PASS","FAIL")</f>
        <v>PASS</v>
      </c>
      <c r="D13" s="55" t="str">
        <f aca="false">IF(CF_Closing_Cash&gt;=0,"PASS","FAIL")</f>
        <v>PASS</v>
      </c>
      <c r="E13" s="55" t="str">
        <f aca="false">IF(CF_Closing_Cash&gt;=0,"PASS","FAIL")</f>
        <v>PASS</v>
      </c>
      <c r="F13" s="55" t="str">
        <f aca="false">IF(CF_Closing_Cash&gt;=0,"PASS","FAIL")</f>
        <v>PASS</v>
      </c>
      <c r="G13" s="55" t="str">
        <f aca="false">IF(CF_Closing_Cash&gt;=0,"PASS","FAIL")</f>
        <v>PASS</v>
      </c>
    </row>
    <row r="14" customFormat="false" ht="15" hidden="false" customHeight="false" outlineLevel="0" collapsed="false">
      <c r="B14" s="22" t="s">
        <v>387</v>
      </c>
      <c r="C14" s="55" t="str">
        <f aca="false">IF(BS_Total_Equity&lt;=0,"N/A",IF(AND(IS_Net_Income/BS_Total_Equity&gt;=0.08,IS_Net_Income/BS_Total_Equity&lt;=0.25),"PASS","WARN"))</f>
        <v>WARN</v>
      </c>
      <c r="D14" s="55" t="str">
        <f aca="false">IF(BS_Total_Equity&lt;=0,"N/A",IF(AND(IS_Net_Income/BS_Total_Equity&gt;=0.08,IS_Net_Income/BS_Total_Equity&lt;=0.25),"PASS","WARN"))</f>
        <v>WARN</v>
      </c>
      <c r="E14" s="55" t="str">
        <f aca="false">IF(BS_Total_Equity&lt;=0,"N/A",IF(AND(IS_Net_Income/BS_Total_Equity&gt;=0.08,IS_Net_Income/BS_Total_Equity&lt;=0.25),"PASS","WARN"))</f>
        <v>WARN</v>
      </c>
      <c r="F14" s="55" t="str">
        <f aca="false">IF(BS_Total_Equity&lt;=0,"N/A",IF(AND(IS_Net_Income/BS_Total_Equity&gt;=0.08,IS_Net_Income/BS_Total_Equity&lt;=0.25),"PASS","WARN"))</f>
        <v>PASS</v>
      </c>
      <c r="G14" s="55" t="str">
        <f aca="false">IF(BS_Total_Equity&lt;=0,"N/A",IF(AND(IS_Net_Income/BS_Total_Equity&gt;=0.08,IS_Net_Income/BS_Total_Equity&lt;=0.25),"PASS","WARN"))</f>
        <v>WARN</v>
      </c>
    </row>
    <row r="15" customFormat="false" ht="15" hidden="false" customHeight="false" outlineLevel="0" collapsed="false">
      <c r="B15" s="22" t="s">
        <v>388</v>
      </c>
      <c r="C15" s="55" t="str">
        <f aca="false">IF(IS_Dividends&lt;=MAX(0,CA_Excess_Capital)+1,"PASS","FAIL")</f>
        <v>PASS</v>
      </c>
      <c r="D15" s="55" t="str">
        <f aca="false">IF(IS_Dividends&lt;=MAX(0,CA_Excess_Capital)+1,"PASS","FAIL")</f>
        <v>PASS</v>
      </c>
      <c r="E15" s="55" t="str">
        <f aca="false">IF(IS_Dividends&lt;=MAX(0,CA_Excess_Capital)+1,"PASS","FAIL")</f>
        <v>PASS</v>
      </c>
      <c r="F15" s="55" t="str">
        <f aca="false">IF(IS_Dividends&lt;=MAX(0,CA_Excess_Capital)+1,"PASS","FAIL")</f>
        <v>PASS</v>
      </c>
      <c r="G15" s="55" t="str">
        <f aca="false">IF(IS_Dividends&lt;=MAX(0,CA_Excess_Capital)+1,"PASS","FAIL")</f>
        <v>PASS</v>
      </c>
    </row>
    <row r="16" customFormat="false" ht="15" hidden="false" customHeight="false" outlineLevel="0" collapsed="false">
      <c r="B16" s="22" t="s">
        <v>389</v>
      </c>
      <c r="C16" s="55" t="str">
        <f aca="false">IF(IS_EBT&lt;=0,"N/A",IF(AND(IS_Tax/IS_EBT&gt;=0.18,IS_Tax/IS_EBT&lt;=0.25),"PASS","WARN"))</f>
        <v>PASS</v>
      </c>
      <c r="D16" s="55" t="str">
        <f aca="false">IF(IS_EBT&lt;=0,"N/A",IF(AND(IS_Tax/IS_EBT&gt;=0.18,IS_Tax/IS_EBT&lt;=0.25),"PASS","WARN"))</f>
        <v>PASS</v>
      </c>
      <c r="E16" s="55" t="str">
        <f aca="false">IF(IS_EBT&lt;=0,"N/A",IF(AND(IS_Tax/IS_EBT&gt;=0.18,IS_Tax/IS_EBT&lt;=0.25),"PASS","WARN"))</f>
        <v>N/A</v>
      </c>
      <c r="F16" s="55" t="str">
        <f aca="false">IF(IS_EBT&lt;=0,"N/A",IF(AND(IS_Tax/IS_EBT&gt;=0.18,IS_Tax/IS_EBT&lt;=0.25),"PASS","WARN"))</f>
        <v>PASS</v>
      </c>
      <c r="G16" s="55" t="str">
        <f aca="false">IF(IS_EBT&lt;=0,"N/A",IF(AND(IS_Tax/IS_EBT&gt;=0.18,IS_Tax/IS_EBT&lt;=0.25),"PASS","WARN"))</f>
        <v>N/A</v>
      </c>
    </row>
    <row r="17" customFormat="false" ht="15" hidden="false" customHeight="false" outlineLevel="0" collapsed="false">
      <c r="B17" s="22" t="s">
        <v>390</v>
      </c>
      <c r="C17" s="55" t="str">
        <f aca="false">IF(AND(RB_Net_Trading_Rev/OC_Traders&gt;=1000000,RB_Net_Trading_Rev/OC_Traders&lt;=10000000),"PASS","WARN")</f>
        <v>PASS</v>
      </c>
      <c r="D17" s="55" t="str">
        <f aca="false">IF(AND(RB_Net_Trading_Rev/OC_Traders&gt;=1000000,RB_Net_Trading_Rev/OC_Traders&lt;=10000000),"PASS","WARN")</f>
        <v>PASS</v>
      </c>
      <c r="E17" s="55" t="str">
        <f aca="false">IF(AND(RB_Net_Trading_Rev/OC_Traders&gt;=1000000,RB_Net_Trading_Rev/OC_Traders&lt;=10000000),"PASS","WARN")</f>
        <v>PASS</v>
      </c>
      <c r="F17" s="55" t="str">
        <f aca="false">IF(AND(RB_Net_Trading_Rev/OC_Traders&gt;=1000000,RB_Net_Trading_Rev/OC_Traders&lt;=10000000),"PASS","WARN")</f>
        <v>PASS</v>
      </c>
      <c r="G17" s="55" t="str">
        <f aca="false">IF(AND(RB_Net_Trading_Rev/OC_Traders&gt;=1000000,RB_Net_Trading_Rev/OC_Traders&lt;=10000000),"PASS","WARN")</f>
        <v>PASS</v>
      </c>
    </row>
    <row r="18" customFormat="false" ht="15" hidden="false" customHeight="false" outlineLevel="0" collapsed="false">
      <c r="B18" s="22" t="s">
        <v>391</v>
      </c>
      <c r="C18" s="55" t="str">
        <f aca="false">IF(ABS(CF_Closing_Cash-BS_Cash)&lt;1,"PASS","FAIL")</f>
        <v>PASS</v>
      </c>
      <c r="D18" s="55" t="str">
        <f aca="false">IF(ABS(CF_Closing_Cash-BS_Cash)&lt;1,"PASS","FAIL")</f>
        <v>PASS</v>
      </c>
      <c r="E18" s="55" t="str">
        <f aca="false">IF(ABS(CF_Closing_Cash-BS_Cash)&lt;1,"PASS","FAIL")</f>
        <v>PASS</v>
      </c>
      <c r="F18" s="55" t="str">
        <f aca="false">IF(ABS(CF_Closing_Cash-BS_Cash)&lt;1,"PASS","FAIL")</f>
        <v>PASS</v>
      </c>
      <c r="G18" s="55" t="str">
        <f aca="false">IF(ABS(CF_Closing_Cash-BS_Cash)&lt;1,"PASS","FAIL")</f>
        <v>PASS</v>
      </c>
    </row>
    <row r="19" customFormat="false" ht="15" hidden="false" customHeight="false" outlineLevel="0" collapsed="false">
      <c r="B19" s="22" t="s">
        <v>392</v>
      </c>
      <c r="C19" s="55" t="str">
        <f aca="false">IF(ABS(Mix_UST_Pct+Mix_IG_Pct+Mix_HY_Pct+Mix_MBS_Pct-1)&lt;0.001,"PASS","FAIL")</f>
        <v>PASS</v>
      </c>
      <c r="D19" s="55" t="str">
        <f aca="false">IF(ABS(Mix_UST_Pct+Mix_IG_Pct+Mix_HY_Pct+Mix_MBS_Pct-1)&lt;0.001,"PASS","FAIL")</f>
        <v>PASS</v>
      </c>
      <c r="E19" s="55" t="str">
        <f aca="false">IF(ABS(Mix_UST_Pct+Mix_IG_Pct+Mix_HY_Pct+Mix_MBS_Pct-1)&lt;0.001,"PASS","FAIL")</f>
        <v>PASS</v>
      </c>
      <c r="F19" s="55" t="str">
        <f aca="false">IF(ABS(Mix_UST_Pct+Mix_IG_Pct+Mix_HY_Pct+Mix_MBS_Pct-1)&lt;0.001,"PASS","FAIL")</f>
        <v>PASS</v>
      </c>
      <c r="G19" s="55" t="str">
        <f aca="false">IF(ABS(Mix_UST_Pct+Mix_IG_Pct+Mix_HY_Pct+Mix_MBS_Pct-1)&lt;0.001,"PASS","FAIL")</f>
        <v>PASS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1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6"/>
    <col collapsed="false" customWidth="true" hidden="false" outlineLevel="0" max="3" min="3" style="0" width="18"/>
    <col collapsed="false" customWidth="true" hidden="false" outlineLevel="0" max="4" min="4" style="0" width="12"/>
    <col collapsed="false" customWidth="true" hidden="false" outlineLevel="0" max="5" min="5"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2" t="s">
        <v>41</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4" t="s">
        <v>42</v>
      </c>
      <c r="C3" s="1"/>
      <c r="D3" s="1"/>
      <c r="E3" s="1"/>
      <c r="F3" s="1"/>
      <c r="G3" s="1"/>
      <c r="H3" s="1"/>
      <c r="I3" s="1"/>
      <c r="J3" s="1"/>
      <c r="K3" s="1"/>
      <c r="L3" s="1"/>
      <c r="M3" s="1"/>
      <c r="N3" s="1"/>
      <c r="O3" s="1"/>
      <c r="P3" s="1"/>
      <c r="Q3" s="1"/>
      <c r="R3" s="1"/>
      <c r="S3" s="1"/>
      <c r="T3" s="1"/>
      <c r="U3" s="1"/>
      <c r="V3" s="1"/>
      <c r="W3" s="1"/>
      <c r="X3" s="1"/>
      <c r="Y3" s="1"/>
      <c r="Z3" s="1"/>
      <c r="AA3" s="1"/>
      <c r="AB3" s="1"/>
      <c r="AC3" s="1"/>
      <c r="AD3" s="1"/>
    </row>
    <row r="5" customFormat="false" ht="15" hidden="false" customHeight="false" outlineLevel="0" collapsed="false">
      <c r="B5" s="21" t="s">
        <v>43</v>
      </c>
      <c r="C5" s="21" t="s">
        <v>44</v>
      </c>
      <c r="D5" s="21" t="s">
        <v>45</v>
      </c>
      <c r="E5" s="21" t="s">
        <v>46</v>
      </c>
    </row>
    <row r="7" customFormat="false" ht="15" hidden="false" customHeight="false" outlineLevel="0" collapsed="false">
      <c r="B7" s="7" t="s">
        <v>47</v>
      </c>
      <c r="C7" s="8"/>
      <c r="D7" s="8"/>
      <c r="E7" s="8"/>
    </row>
    <row r="8" customFormat="false" ht="15" hidden="false" customHeight="false" outlineLevel="0" collapsed="false">
      <c r="B8" s="22" t="s">
        <v>48</v>
      </c>
      <c r="C8" s="23" t="n">
        <v>2026</v>
      </c>
      <c r="D8" s="24"/>
      <c r="E8" s="24" t="s">
        <v>49</v>
      </c>
    </row>
    <row r="9" customFormat="false" ht="15" hidden="false" customHeight="false" outlineLevel="0" collapsed="false">
      <c r="B9" s="22" t="s">
        <v>50</v>
      </c>
      <c r="C9" s="23" t="n">
        <v>15</v>
      </c>
      <c r="D9" s="24" t="s">
        <v>51</v>
      </c>
      <c r="E9" s="24" t="s">
        <v>52</v>
      </c>
    </row>
    <row r="10" customFormat="false" ht="15" hidden="false" customHeight="false" outlineLevel="0" collapsed="false">
      <c r="B10" s="22" t="s">
        <v>53</v>
      </c>
      <c r="C10" s="23" t="n">
        <v>10</v>
      </c>
      <c r="D10" s="24" t="s">
        <v>51</v>
      </c>
      <c r="E10" s="24" t="s">
        <v>54</v>
      </c>
    </row>
    <row r="11" customFormat="false" ht="15" hidden="false" customHeight="false" outlineLevel="0" collapsed="false">
      <c r="B11" s="22" t="s">
        <v>55</v>
      </c>
      <c r="C11" s="23" t="n">
        <v>5</v>
      </c>
      <c r="D11" s="24" t="s">
        <v>51</v>
      </c>
      <c r="E11" s="24" t="s">
        <v>56</v>
      </c>
    </row>
    <row r="12" customFormat="false" ht="15" hidden="false" customHeight="false" outlineLevel="0" collapsed="false">
      <c r="B12" s="22" t="s">
        <v>57</v>
      </c>
      <c r="C12" s="23" t="n">
        <v>8</v>
      </c>
      <c r="D12" s="24" t="s">
        <v>51</v>
      </c>
      <c r="E12" s="24" t="s">
        <v>58</v>
      </c>
    </row>
    <row r="13" customFormat="false" ht="15" hidden="false" customHeight="false" outlineLevel="0" collapsed="false">
      <c r="B13" s="22" t="s">
        <v>59</v>
      </c>
      <c r="C13" s="23" t="n">
        <v>7</v>
      </c>
      <c r="D13" s="24" t="s">
        <v>51</v>
      </c>
      <c r="E13" s="24" t="s">
        <v>60</v>
      </c>
    </row>
    <row r="14" customFormat="false" ht="15" hidden="false" customHeight="false" outlineLevel="0" collapsed="false">
      <c r="B14" s="22" t="s">
        <v>61</v>
      </c>
      <c r="C14" s="25" t="n">
        <v>0.04</v>
      </c>
      <c r="D14" s="24" t="s">
        <v>62</v>
      </c>
      <c r="E14" s="24" t="s">
        <v>63</v>
      </c>
    </row>
    <row r="16" customFormat="false" ht="15" hidden="false" customHeight="false" outlineLevel="0" collapsed="false">
      <c r="B16" s="7" t="s">
        <v>64</v>
      </c>
      <c r="C16" s="8"/>
      <c r="D16" s="8"/>
      <c r="E16" s="8"/>
    </row>
    <row r="17" customFormat="false" ht="15" hidden="false" customHeight="false" outlineLevel="0" collapsed="false">
      <c r="B17" s="22" t="s">
        <v>65</v>
      </c>
      <c r="C17" s="25" t="n">
        <v>0.045</v>
      </c>
      <c r="D17" s="24" t="s">
        <v>62</v>
      </c>
      <c r="E17" s="24" t="s">
        <v>66</v>
      </c>
    </row>
    <row r="18" customFormat="false" ht="15" hidden="false" customHeight="false" outlineLevel="0" collapsed="false">
      <c r="B18" s="22" t="s">
        <v>67</v>
      </c>
      <c r="C18" s="23" t="n">
        <v>110</v>
      </c>
      <c r="D18" s="24" t="s">
        <v>68</v>
      </c>
      <c r="E18" s="24" t="s">
        <v>69</v>
      </c>
    </row>
    <row r="19" customFormat="false" ht="15" hidden="false" customHeight="false" outlineLevel="0" collapsed="false">
      <c r="B19" s="22" t="s">
        <v>70</v>
      </c>
      <c r="C19" s="25" t="n">
        <v>0.06</v>
      </c>
      <c r="D19" s="24" t="s">
        <v>62</v>
      </c>
      <c r="E19" s="24" t="s">
        <v>71</v>
      </c>
    </row>
    <row r="21" customFormat="false" ht="15" hidden="false" customHeight="false" outlineLevel="0" collapsed="false">
      <c r="B21" s="7" t="s">
        <v>72</v>
      </c>
      <c r="C21" s="8"/>
      <c r="D21" s="8"/>
      <c r="E21" s="8"/>
    </row>
    <row r="22" customFormat="false" ht="15" hidden="false" customHeight="false" outlineLevel="0" collapsed="false">
      <c r="B22" s="22" t="s">
        <v>73</v>
      </c>
      <c r="C22" s="25" t="n">
        <v>0.45</v>
      </c>
      <c r="D22" s="24" t="s">
        <v>62</v>
      </c>
      <c r="E22" s="24" t="s">
        <v>74</v>
      </c>
    </row>
    <row r="23" customFormat="false" ht="15" hidden="false" customHeight="false" outlineLevel="0" collapsed="false">
      <c r="B23" s="22" t="s">
        <v>75</v>
      </c>
      <c r="C23" s="25" t="n">
        <v>0.3</v>
      </c>
      <c r="D23" s="24" t="s">
        <v>62</v>
      </c>
      <c r="E23" s="24" t="s">
        <v>76</v>
      </c>
    </row>
    <row r="24" customFormat="false" ht="15" hidden="false" customHeight="false" outlineLevel="0" collapsed="false">
      <c r="B24" s="22" t="s">
        <v>77</v>
      </c>
      <c r="C24" s="25" t="n">
        <v>0.1</v>
      </c>
      <c r="D24" s="24" t="s">
        <v>62</v>
      </c>
      <c r="E24" s="24" t="s">
        <v>78</v>
      </c>
    </row>
    <row r="25" customFormat="false" ht="15" hidden="false" customHeight="false" outlineLevel="0" collapsed="false">
      <c r="B25" s="22" t="s">
        <v>79</v>
      </c>
      <c r="C25" s="25" t="n">
        <v>0.15</v>
      </c>
      <c r="D25" s="24" t="s">
        <v>62</v>
      </c>
      <c r="E25" s="24" t="s">
        <v>80</v>
      </c>
    </row>
    <row r="26" customFormat="false" ht="15" hidden="false" customHeight="false" outlineLevel="0" collapsed="false">
      <c r="B26" s="26" t="s">
        <v>81</v>
      </c>
      <c r="C26" s="27" t="n">
        <f aca="false">C22+C23+C24+C25</f>
        <v>1</v>
      </c>
      <c r="E26" s="26" t="s">
        <v>82</v>
      </c>
    </row>
    <row r="28" customFormat="false" ht="15" hidden="false" customHeight="false" outlineLevel="0" collapsed="false">
      <c r="B28" s="7" t="s">
        <v>83</v>
      </c>
      <c r="C28" s="8"/>
      <c r="D28" s="8"/>
      <c r="E28" s="8"/>
    </row>
    <row r="29" customFormat="false" ht="15" hidden="false" customHeight="false" outlineLevel="0" collapsed="false">
      <c r="B29" s="22" t="s">
        <v>84</v>
      </c>
      <c r="C29" s="25" t="n">
        <v>0.0002</v>
      </c>
      <c r="D29" s="24" t="s">
        <v>62</v>
      </c>
      <c r="E29" s="24" t="s">
        <v>85</v>
      </c>
    </row>
    <row r="30" customFormat="false" ht="15" hidden="false" customHeight="false" outlineLevel="0" collapsed="false">
      <c r="B30" s="22" t="s">
        <v>86</v>
      </c>
      <c r="C30" s="25" t="n">
        <v>0.001</v>
      </c>
      <c r="D30" s="24" t="s">
        <v>62</v>
      </c>
      <c r="E30" s="24" t="s">
        <v>87</v>
      </c>
    </row>
    <row r="31" customFormat="false" ht="15" hidden="false" customHeight="false" outlineLevel="0" collapsed="false">
      <c r="B31" s="22" t="s">
        <v>88</v>
      </c>
      <c r="C31" s="25" t="n">
        <v>0.005</v>
      </c>
      <c r="D31" s="24" t="s">
        <v>62</v>
      </c>
      <c r="E31" s="24" t="s">
        <v>89</v>
      </c>
    </row>
    <row r="32" customFormat="false" ht="15" hidden="false" customHeight="false" outlineLevel="0" collapsed="false">
      <c r="B32" s="22" t="s">
        <v>90</v>
      </c>
      <c r="C32" s="25" t="n">
        <v>0.0015</v>
      </c>
      <c r="D32" s="24" t="s">
        <v>62</v>
      </c>
      <c r="E32" s="24" t="s">
        <v>91</v>
      </c>
    </row>
    <row r="34" customFormat="false" ht="15" hidden="false" customHeight="false" outlineLevel="0" collapsed="false">
      <c r="B34" s="7" t="s">
        <v>92</v>
      </c>
      <c r="C34" s="8"/>
      <c r="D34" s="8"/>
      <c r="E34" s="8"/>
    </row>
    <row r="35" customFormat="false" ht="15" hidden="false" customHeight="false" outlineLevel="0" collapsed="false">
      <c r="B35" s="22" t="s">
        <v>93</v>
      </c>
      <c r="C35" s="25" t="n">
        <v>0.015</v>
      </c>
      <c r="D35" s="24" t="s">
        <v>62</v>
      </c>
      <c r="E35" s="24" t="s">
        <v>94</v>
      </c>
    </row>
    <row r="36" customFormat="false" ht="15" hidden="false" customHeight="false" outlineLevel="0" collapsed="false">
      <c r="B36" s="22" t="s">
        <v>95</v>
      </c>
      <c r="C36" s="25" t="n">
        <v>0.03</v>
      </c>
      <c r="D36" s="24" t="s">
        <v>62</v>
      </c>
      <c r="E36" s="24" t="s">
        <v>96</v>
      </c>
    </row>
    <row r="37" customFormat="false" ht="15" hidden="false" customHeight="false" outlineLevel="0" collapsed="false">
      <c r="B37" s="22" t="s">
        <v>97</v>
      </c>
      <c r="C37" s="25" t="n">
        <v>0.05</v>
      </c>
      <c r="D37" s="24" t="s">
        <v>62</v>
      </c>
      <c r="E37" s="24" t="s">
        <v>98</v>
      </c>
    </row>
    <row r="38" customFormat="false" ht="15" hidden="false" customHeight="false" outlineLevel="0" collapsed="false">
      <c r="B38" s="22" t="s">
        <v>99</v>
      </c>
      <c r="C38" s="25" t="n">
        <v>0.09</v>
      </c>
      <c r="D38" s="24" t="s">
        <v>62</v>
      </c>
      <c r="E38" s="24" t="s">
        <v>100</v>
      </c>
    </row>
    <row r="40" customFormat="false" ht="15" hidden="false" customHeight="false" outlineLevel="0" collapsed="false">
      <c r="B40" s="7" t="s">
        <v>101</v>
      </c>
      <c r="C40" s="8"/>
      <c r="D40" s="8"/>
      <c r="E40" s="8"/>
    </row>
    <row r="41" customFormat="false" ht="15" hidden="false" customHeight="false" outlineLevel="0" collapsed="false">
      <c r="B41" s="22" t="s">
        <v>102</v>
      </c>
      <c r="C41" s="25" t="n">
        <v>0.01</v>
      </c>
      <c r="D41" s="24" t="s">
        <v>62</v>
      </c>
      <c r="E41" s="24" t="s">
        <v>103</v>
      </c>
    </row>
    <row r="42" customFormat="false" ht="15" hidden="false" customHeight="false" outlineLevel="0" collapsed="false">
      <c r="B42" s="22" t="s">
        <v>104</v>
      </c>
      <c r="C42" s="25" t="n">
        <v>0.05</v>
      </c>
      <c r="D42" s="24" t="s">
        <v>62</v>
      </c>
      <c r="E42" s="24" t="s">
        <v>105</v>
      </c>
    </row>
    <row r="43" customFormat="false" ht="15" hidden="false" customHeight="false" outlineLevel="0" collapsed="false">
      <c r="B43" s="22" t="s">
        <v>106</v>
      </c>
      <c r="C43" s="25" t="n">
        <v>0.1</v>
      </c>
      <c r="D43" s="24" t="s">
        <v>62</v>
      </c>
      <c r="E43" s="24" t="s">
        <v>107</v>
      </c>
    </row>
    <row r="44" customFormat="false" ht="15" hidden="false" customHeight="false" outlineLevel="0" collapsed="false">
      <c r="B44" s="22" t="s">
        <v>108</v>
      </c>
      <c r="C44" s="25" t="n">
        <v>0.08</v>
      </c>
      <c r="D44" s="24" t="s">
        <v>62</v>
      </c>
      <c r="E44" s="24" t="s">
        <v>109</v>
      </c>
    </row>
    <row r="46" customFormat="false" ht="15" hidden="false" customHeight="false" outlineLevel="0" collapsed="false">
      <c r="B46" s="7" t="s">
        <v>110</v>
      </c>
      <c r="C46" s="8"/>
      <c r="D46" s="8"/>
      <c r="E46" s="8"/>
    </row>
    <row r="47" customFormat="false" ht="15" hidden="false" customHeight="false" outlineLevel="0" collapsed="false">
      <c r="B47" s="22" t="s">
        <v>111</v>
      </c>
      <c r="C47" s="25" t="n">
        <v>0</v>
      </c>
      <c r="D47" s="24" t="s">
        <v>62</v>
      </c>
      <c r="E47" s="24" t="s">
        <v>112</v>
      </c>
    </row>
    <row r="48" customFormat="false" ht="15" hidden="false" customHeight="false" outlineLevel="0" collapsed="false">
      <c r="B48" s="22" t="s">
        <v>113</v>
      </c>
      <c r="C48" s="25" t="n">
        <v>0.04</v>
      </c>
      <c r="D48" s="24" t="s">
        <v>62</v>
      </c>
      <c r="E48" s="24" t="s">
        <v>114</v>
      </c>
    </row>
    <row r="49" customFormat="false" ht="15" hidden="false" customHeight="false" outlineLevel="0" collapsed="false">
      <c r="B49" s="22" t="s">
        <v>115</v>
      </c>
      <c r="C49" s="25" t="n">
        <v>0.16</v>
      </c>
      <c r="D49" s="24" t="s">
        <v>62</v>
      </c>
      <c r="E49" s="24" t="s">
        <v>116</v>
      </c>
    </row>
    <row r="50" customFormat="false" ht="15" hidden="false" customHeight="false" outlineLevel="0" collapsed="false">
      <c r="B50" s="22" t="s">
        <v>117</v>
      </c>
      <c r="C50" s="25" t="n">
        <v>0.08</v>
      </c>
      <c r="D50" s="24" t="s">
        <v>62</v>
      </c>
      <c r="E50" s="24" t="s">
        <v>118</v>
      </c>
    </row>
    <row r="52" customFormat="false" ht="15" hidden="false" customHeight="false" outlineLevel="0" collapsed="false">
      <c r="B52" s="7" t="s">
        <v>119</v>
      </c>
      <c r="C52" s="8"/>
      <c r="D52" s="8"/>
      <c r="E52" s="8"/>
    </row>
    <row r="53" customFormat="false" ht="15" hidden="false" customHeight="false" outlineLevel="0" collapsed="false">
      <c r="B53" s="22" t="s">
        <v>120</v>
      </c>
      <c r="C53" s="23" t="n">
        <v>12000000000</v>
      </c>
      <c r="D53" s="24" t="s">
        <v>121</v>
      </c>
      <c r="E53" s="24" t="s">
        <v>122</v>
      </c>
    </row>
    <row r="54" customFormat="false" ht="15" hidden="false" customHeight="false" outlineLevel="0" collapsed="false">
      <c r="B54" s="22" t="s">
        <v>123</v>
      </c>
      <c r="C54" s="23" t="n">
        <v>252</v>
      </c>
      <c r="D54" s="24" t="s">
        <v>124</v>
      </c>
      <c r="E54" s="24" t="s">
        <v>125</v>
      </c>
    </row>
    <row r="55" customFormat="false" ht="15" hidden="false" customHeight="false" outlineLevel="0" collapsed="false">
      <c r="B55" s="22" t="s">
        <v>126</v>
      </c>
      <c r="C55" s="23" t="n">
        <v>2</v>
      </c>
      <c r="D55" s="24" t="s">
        <v>124</v>
      </c>
      <c r="E55" s="24" t="s">
        <v>127</v>
      </c>
    </row>
    <row r="56" customFormat="false" ht="15" hidden="false" customHeight="false" outlineLevel="0" collapsed="false">
      <c r="B56" s="22" t="s">
        <v>128</v>
      </c>
      <c r="C56" s="23" t="n">
        <v>500000000</v>
      </c>
      <c r="D56" s="24" t="s">
        <v>121</v>
      </c>
      <c r="E56" s="24" t="s">
        <v>129</v>
      </c>
    </row>
    <row r="57" customFormat="false" ht="15" hidden="false" customHeight="false" outlineLevel="0" collapsed="false">
      <c r="B57" s="22" t="s">
        <v>130</v>
      </c>
      <c r="C57" s="25" t="n">
        <v>0.055</v>
      </c>
      <c r="D57" s="24" t="s">
        <v>62</v>
      </c>
      <c r="E57" s="24" t="s">
        <v>131</v>
      </c>
    </row>
    <row r="58" customFormat="false" ht="15" hidden="false" customHeight="false" outlineLevel="0" collapsed="false">
      <c r="B58" s="22" t="s">
        <v>132</v>
      </c>
      <c r="C58" s="25" t="n">
        <v>0.003</v>
      </c>
      <c r="D58" s="24" t="s">
        <v>62</v>
      </c>
      <c r="E58" s="24" t="s">
        <v>133</v>
      </c>
    </row>
    <row r="59" customFormat="false" ht="15" hidden="false" customHeight="false" outlineLevel="0" collapsed="false">
      <c r="B59" s="22" t="s">
        <v>134</v>
      </c>
      <c r="C59" s="23" t="n">
        <v>250000</v>
      </c>
      <c r="D59" s="24" t="s">
        <v>121</v>
      </c>
      <c r="E59" s="24" t="s">
        <v>135</v>
      </c>
    </row>
    <row r="60" customFormat="false" ht="15" hidden="false" customHeight="false" outlineLevel="0" collapsed="false">
      <c r="B60" s="22" t="s">
        <v>136</v>
      </c>
      <c r="C60" s="23" t="n">
        <v>25000000</v>
      </c>
      <c r="D60" s="24" t="s">
        <v>121</v>
      </c>
      <c r="E60" s="24" t="s">
        <v>137</v>
      </c>
    </row>
    <row r="61" customFormat="false" ht="15" hidden="false" customHeight="false" outlineLevel="0" collapsed="false">
      <c r="B61" s="22" t="s">
        <v>138</v>
      </c>
      <c r="C61" s="23" t="n">
        <v>5000000000</v>
      </c>
      <c r="D61" s="24" t="s">
        <v>121</v>
      </c>
      <c r="E61" s="24" t="s">
        <v>139</v>
      </c>
    </row>
    <row r="62" customFormat="false" ht="15" hidden="false" customHeight="false" outlineLevel="0" collapsed="false">
      <c r="B62" s="22" t="s">
        <v>140</v>
      </c>
      <c r="C62" s="25" t="n">
        <v>0.005</v>
      </c>
      <c r="D62" s="24" t="s">
        <v>62</v>
      </c>
      <c r="E62" s="24" t="s">
        <v>141</v>
      </c>
    </row>
    <row r="64" customFormat="false" ht="15" hidden="false" customHeight="false" outlineLevel="0" collapsed="false">
      <c r="B64" s="7" t="s">
        <v>142</v>
      </c>
      <c r="C64" s="8"/>
      <c r="D64" s="8"/>
      <c r="E64" s="8"/>
    </row>
    <row r="65" customFormat="false" ht="15" hidden="false" customHeight="false" outlineLevel="0" collapsed="false">
      <c r="B65" s="22" t="s">
        <v>143</v>
      </c>
      <c r="C65" s="23" t="n">
        <v>15000000</v>
      </c>
      <c r="D65" s="24" t="s">
        <v>121</v>
      </c>
      <c r="E65" s="24" t="s">
        <v>144</v>
      </c>
    </row>
    <row r="66" customFormat="false" ht="15" hidden="false" customHeight="false" outlineLevel="0" collapsed="false">
      <c r="B66" s="22" t="s">
        <v>145</v>
      </c>
      <c r="C66" s="23" t="n">
        <v>25000000</v>
      </c>
      <c r="D66" s="24" t="s">
        <v>121</v>
      </c>
      <c r="E66" s="24" t="s">
        <v>125</v>
      </c>
    </row>
    <row r="67" customFormat="false" ht="15" hidden="false" customHeight="false" outlineLevel="0" collapsed="false">
      <c r="B67" s="22" t="s">
        <v>146</v>
      </c>
      <c r="C67" s="23" t="n">
        <v>-20000000</v>
      </c>
      <c r="D67" s="24" t="s">
        <v>121</v>
      </c>
      <c r="E67" s="24" t="s">
        <v>147</v>
      </c>
    </row>
    <row r="68" customFormat="false" ht="15" hidden="false" customHeight="false" outlineLevel="0" collapsed="false">
      <c r="B68" s="22" t="s">
        <v>148</v>
      </c>
      <c r="C68" s="23" t="n">
        <v>40000000</v>
      </c>
      <c r="D68" s="24" t="s">
        <v>121</v>
      </c>
      <c r="E68" s="24" t="s">
        <v>125</v>
      </c>
    </row>
    <row r="69" customFormat="false" ht="15" hidden="false" customHeight="false" outlineLevel="0" collapsed="false">
      <c r="B69" s="22" t="s">
        <v>149</v>
      </c>
      <c r="C69" s="23" t="n">
        <v>10000000</v>
      </c>
      <c r="D69" s="24" t="s">
        <v>121</v>
      </c>
      <c r="E69" s="24" t="s">
        <v>125</v>
      </c>
    </row>
    <row r="71" customFormat="false" ht="15" hidden="false" customHeight="false" outlineLevel="0" collapsed="false">
      <c r="B71" s="7" t="s">
        <v>150</v>
      </c>
      <c r="C71" s="8"/>
      <c r="D71" s="8"/>
      <c r="E71" s="8"/>
    </row>
    <row r="72" customFormat="false" ht="15" hidden="false" customHeight="false" outlineLevel="0" collapsed="false">
      <c r="B72" s="22" t="s">
        <v>151</v>
      </c>
      <c r="C72" s="23" t="n">
        <v>350000</v>
      </c>
      <c r="D72" s="24" t="s">
        <v>121</v>
      </c>
      <c r="E72" s="24" t="s">
        <v>152</v>
      </c>
    </row>
    <row r="73" customFormat="false" ht="15" hidden="false" customHeight="false" outlineLevel="0" collapsed="false">
      <c r="B73" s="22" t="s">
        <v>153</v>
      </c>
      <c r="C73" s="23" t="n">
        <v>200000</v>
      </c>
      <c r="D73" s="24" t="s">
        <v>121</v>
      </c>
      <c r="E73" s="24" t="s">
        <v>125</v>
      </c>
    </row>
    <row r="74" customFormat="false" ht="15" hidden="false" customHeight="false" outlineLevel="0" collapsed="false">
      <c r="B74" s="22" t="s">
        <v>154</v>
      </c>
      <c r="C74" s="23" t="n">
        <v>175000</v>
      </c>
      <c r="D74" s="24" t="s">
        <v>121</v>
      </c>
      <c r="E74" s="24" t="s">
        <v>125</v>
      </c>
    </row>
    <row r="75" customFormat="false" ht="15" hidden="false" customHeight="false" outlineLevel="0" collapsed="false">
      <c r="B75" s="22" t="s">
        <v>155</v>
      </c>
      <c r="C75" s="23" t="n">
        <v>160000</v>
      </c>
      <c r="D75" s="24" t="s">
        <v>121</v>
      </c>
      <c r="E75" s="24" t="s">
        <v>125</v>
      </c>
    </row>
    <row r="76" customFormat="false" ht="15" hidden="false" customHeight="false" outlineLevel="0" collapsed="false">
      <c r="B76" s="22" t="s">
        <v>156</v>
      </c>
      <c r="C76" s="23" t="n">
        <v>95000</v>
      </c>
      <c r="D76" s="24" t="s">
        <v>121</v>
      </c>
      <c r="E76" s="24" t="s">
        <v>125</v>
      </c>
    </row>
    <row r="77" customFormat="false" ht="15" hidden="false" customHeight="false" outlineLevel="0" collapsed="false">
      <c r="B77" s="22" t="s">
        <v>157</v>
      </c>
      <c r="C77" s="25" t="n">
        <v>0.03</v>
      </c>
      <c r="D77" s="24" t="s">
        <v>62</v>
      </c>
      <c r="E77" s="24" t="s">
        <v>158</v>
      </c>
    </row>
    <row r="78" customFormat="false" ht="15" hidden="false" customHeight="false" outlineLevel="0" collapsed="false">
      <c r="B78" s="22" t="s">
        <v>159</v>
      </c>
      <c r="C78" s="25" t="n">
        <v>0.5</v>
      </c>
      <c r="D78" s="24" t="s">
        <v>62</v>
      </c>
      <c r="E78" s="24" t="s">
        <v>160</v>
      </c>
    </row>
    <row r="79" customFormat="false" ht="15" hidden="false" customHeight="false" outlineLevel="0" collapsed="false">
      <c r="B79" s="22" t="s">
        <v>161</v>
      </c>
      <c r="C79" s="25" t="n">
        <v>0.4</v>
      </c>
      <c r="D79" s="24" t="s">
        <v>62</v>
      </c>
      <c r="E79" s="24" t="s">
        <v>162</v>
      </c>
    </row>
    <row r="80" customFormat="false" ht="15" hidden="false" customHeight="false" outlineLevel="0" collapsed="false">
      <c r="B80" s="22" t="s">
        <v>163</v>
      </c>
      <c r="C80" s="25" t="n">
        <v>0.35</v>
      </c>
      <c r="D80" s="24" t="s">
        <v>62</v>
      </c>
      <c r="E80" s="24" t="s">
        <v>164</v>
      </c>
    </row>
    <row r="82" customFormat="false" ht="15" hidden="false" customHeight="false" outlineLevel="0" collapsed="false">
      <c r="B82" s="7" t="s">
        <v>165</v>
      </c>
      <c r="C82" s="8"/>
      <c r="D82" s="8"/>
      <c r="E82" s="8"/>
    </row>
    <row r="83" customFormat="false" ht="15" hidden="false" customHeight="false" outlineLevel="0" collapsed="false">
      <c r="B83" s="22" t="s">
        <v>166</v>
      </c>
      <c r="C83" s="25" t="n">
        <v>0.08</v>
      </c>
      <c r="D83" s="24" t="s">
        <v>62</v>
      </c>
      <c r="E83" s="24" t="s">
        <v>167</v>
      </c>
    </row>
    <row r="84" customFormat="false" ht="15" hidden="false" customHeight="false" outlineLevel="0" collapsed="false">
      <c r="B84" s="22" t="s">
        <v>168</v>
      </c>
      <c r="C84" s="25" t="n">
        <v>0.03</v>
      </c>
      <c r="D84" s="24" t="s">
        <v>62</v>
      </c>
      <c r="E84" s="24" t="s">
        <v>125</v>
      </c>
    </row>
    <row r="85" customFormat="false" ht="15" hidden="false" customHeight="false" outlineLevel="0" collapsed="false">
      <c r="B85" s="22" t="s">
        <v>169</v>
      </c>
      <c r="C85" s="25" t="n">
        <v>0.04</v>
      </c>
      <c r="D85" s="24" t="s">
        <v>62</v>
      </c>
      <c r="E85" s="24" t="s">
        <v>125</v>
      </c>
    </row>
    <row r="86" customFormat="false" ht="15" hidden="false" customHeight="false" outlineLevel="0" collapsed="false">
      <c r="B86" s="22" t="s">
        <v>170</v>
      </c>
      <c r="C86" s="25" t="n">
        <v>0.02</v>
      </c>
      <c r="D86" s="24" t="s">
        <v>62</v>
      </c>
      <c r="E86" s="24" t="s">
        <v>125</v>
      </c>
    </row>
    <row r="88" customFormat="false" ht="15" hidden="false" customHeight="false" outlineLevel="0" collapsed="false">
      <c r="B88" s="7" t="s">
        <v>171</v>
      </c>
      <c r="C88" s="8"/>
      <c r="D88" s="8"/>
      <c r="E88" s="8"/>
    </row>
    <row r="89" customFormat="false" ht="15" hidden="false" customHeight="false" outlineLevel="0" collapsed="false">
      <c r="B89" s="22" t="s">
        <v>172</v>
      </c>
      <c r="C89" s="25" t="n">
        <v>0.5</v>
      </c>
      <c r="D89" s="24" t="s">
        <v>62</v>
      </c>
      <c r="E89" s="24" t="s">
        <v>173</v>
      </c>
    </row>
    <row r="90" customFormat="false" ht="15" hidden="false" customHeight="false" outlineLevel="0" collapsed="false">
      <c r="B90" s="22" t="s">
        <v>174</v>
      </c>
      <c r="C90" s="25" t="n">
        <v>0.15</v>
      </c>
      <c r="D90" s="24" t="s">
        <v>62</v>
      </c>
      <c r="E90" s="24" t="s">
        <v>175</v>
      </c>
    </row>
    <row r="91" customFormat="false" ht="15" hidden="false" customHeight="false" outlineLevel="0" collapsed="false">
      <c r="B91" s="22" t="s">
        <v>176</v>
      </c>
      <c r="C91" s="25" t="n">
        <v>0.12</v>
      </c>
      <c r="D91" s="24" t="s">
        <v>62</v>
      </c>
      <c r="E91" s="24" t="s">
        <v>125</v>
      </c>
    </row>
    <row r="92" customFormat="false" ht="15" hidden="false" customHeight="false" outlineLevel="0" collapsed="false">
      <c r="B92" s="22" t="s">
        <v>177</v>
      </c>
      <c r="C92" s="25" t="n">
        <v>0.21</v>
      </c>
      <c r="D92" s="24" t="s">
        <v>62</v>
      </c>
      <c r="E92" s="24" t="s">
        <v>125</v>
      </c>
    </row>
    <row r="93" customFormat="false" ht="15" hidden="false" customHeight="false" outlineLevel="0" collapsed="false">
      <c r="B93" s="22" t="s">
        <v>178</v>
      </c>
      <c r="C93" s="25" t="n">
        <v>0.35</v>
      </c>
      <c r="D93" s="24" t="s">
        <v>62</v>
      </c>
      <c r="E93" s="24" t="s">
        <v>179</v>
      </c>
    </row>
    <row r="94" customFormat="false" ht="15" hidden="false" customHeight="false" outlineLevel="0" collapsed="false">
      <c r="B94" s="22" t="s">
        <v>180</v>
      </c>
      <c r="C94" s="25" t="n">
        <v>0.015</v>
      </c>
      <c r="D94" s="24" t="s">
        <v>62</v>
      </c>
      <c r="E94" s="24" t="s">
        <v>181</v>
      </c>
    </row>
    <row r="95" customFormat="false" ht="15" hidden="false" customHeight="false" outlineLevel="0" collapsed="false">
      <c r="B95" s="22" t="s">
        <v>182</v>
      </c>
      <c r="C95" s="23" t="n">
        <v>22</v>
      </c>
      <c r="D95" s="24" t="s">
        <v>183</v>
      </c>
      <c r="E95" s="24" t="s">
        <v>184</v>
      </c>
    </row>
    <row r="96" customFormat="false" ht="15" hidden="false" customHeight="false" outlineLevel="0" collapsed="false">
      <c r="B96" s="7" t="s">
        <v>185</v>
      </c>
      <c r="C96" s="8"/>
      <c r="D96" s="8"/>
      <c r="E96" s="8"/>
    </row>
    <row r="97" customFormat="false" ht="15" hidden="false" customHeight="false" outlineLevel="0" collapsed="false">
      <c r="B97" s="22" t="s">
        <v>186</v>
      </c>
      <c r="C97" s="25" t="n">
        <v>0.04</v>
      </c>
      <c r="D97" s="24" t="s">
        <v>62</v>
      </c>
      <c r="E97" s="24" t="s">
        <v>187</v>
      </c>
    </row>
    <row r="98" customFormat="false" ht="15" hidden="false" customHeight="false" outlineLevel="0" collapsed="false">
      <c r="B98" s="22" t="s">
        <v>188</v>
      </c>
      <c r="C98" s="23" t="n">
        <v>5</v>
      </c>
      <c r="D98" s="24" t="s">
        <v>189</v>
      </c>
      <c r="E98" s="24" t="s">
        <v>190</v>
      </c>
    </row>
    <row r="100" customFormat="false" ht="15" hidden="false" customHeight="false" outlineLevel="0" collapsed="false">
      <c r="B100" s="7" t="s">
        <v>191</v>
      </c>
      <c r="C100" s="8"/>
      <c r="D100" s="8"/>
      <c r="E100" s="8"/>
    </row>
    <row r="101" customFormat="false" ht="15" hidden="false" customHeight="false" outlineLevel="0" collapsed="false">
      <c r="B101" s="22" t="s">
        <v>192</v>
      </c>
      <c r="C101" s="23" t="n">
        <v>75000000</v>
      </c>
      <c r="D101" s="24" t="s">
        <v>121</v>
      </c>
      <c r="E101" s="24" t="s">
        <v>193</v>
      </c>
    </row>
    <row r="102" customFormat="false" ht="15" hidden="false" customHeight="false" outlineLevel="0" collapsed="false">
      <c r="B102" s="22" t="s">
        <v>194</v>
      </c>
      <c r="C102" s="23" t="n">
        <v>500000000</v>
      </c>
      <c r="D102" s="24" t="s">
        <v>121</v>
      </c>
      <c r="E102" s="24" t="s">
        <v>195</v>
      </c>
    </row>
    <row r="103" customFormat="false" ht="15" hidden="false" customHeight="false" outlineLevel="0" collapsed="false">
      <c r="B103" s="22" t="s">
        <v>196</v>
      </c>
      <c r="C103" s="23" t="n">
        <v>30000000</v>
      </c>
      <c r="D103" s="24" t="s">
        <v>121</v>
      </c>
      <c r="E103" s="24" t="s">
        <v>197</v>
      </c>
    </row>
    <row r="104" customFormat="false" ht="15" hidden="false" customHeight="false" outlineLevel="0" collapsed="false">
      <c r="B104" s="22" t="s">
        <v>198</v>
      </c>
      <c r="C104" s="23" t="n">
        <v>95000000</v>
      </c>
      <c r="D104" s="24" t="s">
        <v>121</v>
      </c>
      <c r="E104" s="24" t="s">
        <v>199</v>
      </c>
    </row>
    <row r="105" customFormat="false" ht="15" hidden="false" customHeight="false" outlineLevel="0" collapsed="false">
      <c r="B105" s="22" t="s">
        <v>200</v>
      </c>
      <c r="C105" s="23" t="n">
        <v>10000000</v>
      </c>
      <c r="D105" s="24" t="s">
        <v>121</v>
      </c>
      <c r="E105" s="24" t="s">
        <v>201</v>
      </c>
    </row>
    <row r="106" customFormat="false" ht="15" hidden="false" customHeight="false" outlineLevel="0" collapsed="false">
      <c r="B106" s="22" t="s">
        <v>202</v>
      </c>
      <c r="C106" s="23" t="n">
        <v>4000000</v>
      </c>
      <c r="D106" s="24" t="s">
        <v>121</v>
      </c>
      <c r="E106" s="24" t="s">
        <v>125</v>
      </c>
    </row>
    <row r="107" customFormat="false" ht="15" hidden="false" customHeight="false" outlineLevel="0" collapsed="false">
      <c r="B107" s="22" t="s">
        <v>203</v>
      </c>
      <c r="C107" s="23" t="n">
        <v>479000000</v>
      </c>
      <c r="D107" s="24" t="s">
        <v>121</v>
      </c>
      <c r="E107" s="24" t="s">
        <v>204</v>
      </c>
    </row>
    <row r="108" customFormat="false" ht="15" hidden="false" customHeight="false" outlineLevel="0" collapsed="false">
      <c r="B108" s="22" t="s">
        <v>205</v>
      </c>
      <c r="C108" s="23" t="n">
        <v>3000000</v>
      </c>
      <c r="D108" s="24" t="s">
        <v>121</v>
      </c>
      <c r="E108" s="24" t="s">
        <v>125</v>
      </c>
    </row>
    <row r="109" customFormat="false" ht="15" hidden="false" customHeight="false" outlineLevel="0" collapsed="false">
      <c r="B109" s="22" t="s">
        <v>206</v>
      </c>
      <c r="C109" s="23" t="n">
        <v>8000000</v>
      </c>
      <c r="D109" s="24" t="s">
        <v>121</v>
      </c>
      <c r="E109" s="24" t="s">
        <v>207</v>
      </c>
    </row>
    <row r="110" customFormat="false" ht="15" hidden="false" customHeight="false" outlineLevel="0" collapsed="false">
      <c r="B110" s="22" t="s">
        <v>208</v>
      </c>
      <c r="C110" s="23" t="n">
        <v>110000000</v>
      </c>
      <c r="D110" s="24" t="s">
        <v>121</v>
      </c>
      <c r="E110" s="24" t="s">
        <v>209</v>
      </c>
    </row>
    <row r="111" customFormat="false" ht="15" hidden="false" customHeight="false" outlineLevel="0" collapsed="false">
      <c r="B111" s="22" t="s">
        <v>210</v>
      </c>
      <c r="C111" s="23" t="n">
        <v>40000000</v>
      </c>
      <c r="D111" s="24" t="s">
        <v>121</v>
      </c>
      <c r="E111" s="24" t="s">
        <v>211</v>
      </c>
    </row>
    <row r="112" customFormat="false" ht="15" hidden="false" customHeight="false" outlineLevel="0" collapsed="false">
      <c r="B112" s="22" t="s">
        <v>212</v>
      </c>
      <c r="C112" s="23" t="n">
        <v>66000000</v>
      </c>
      <c r="D112" s="24" t="s">
        <v>121</v>
      </c>
      <c r="E112" s="24" t="s">
        <v>213</v>
      </c>
    </row>
    <row r="114" customFormat="false" ht="15" hidden="false" customHeight="false" outlineLevel="0" collapsed="false">
      <c r="B114" s="7" t="s">
        <v>214</v>
      </c>
      <c r="C114" s="8"/>
      <c r="D114" s="8"/>
      <c r="E114" s="8"/>
    </row>
    <row r="115" customFormat="false" ht="15" hidden="false" customHeight="false" outlineLevel="0" collapsed="false">
      <c r="B115" s="22" t="s">
        <v>215</v>
      </c>
      <c r="C115" s="23" t="n">
        <v>10</v>
      </c>
      <c r="D115" s="24" t="s">
        <v>189</v>
      </c>
      <c r="E115" s="24" t="s">
        <v>216</v>
      </c>
    </row>
    <row r="116" customFormat="false" ht="15" hidden="false" customHeight="false" outlineLevel="0" collapsed="false">
      <c r="B116" s="22" t="s">
        <v>217</v>
      </c>
      <c r="C116" s="23" t="n">
        <v>0</v>
      </c>
      <c r="D116" s="24" t="s">
        <v>121</v>
      </c>
      <c r="E116" s="24" t="s">
        <v>218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28" t="s">
        <v>219</v>
      </c>
    </row>
    <row r="3" customFormat="false" ht="3.75" hidden="false" customHeight="true" outlineLevel="0" collapsed="false">
      <c r="B3" s="29"/>
    </row>
    <row r="5" customFormat="false" ht="19.5" hidden="false" customHeight="true" outlineLevel="0" collapsed="false">
      <c r="B5" s="30" t="s">
        <v>220</v>
      </c>
    </row>
    <row r="6" customFormat="false" ht="48" hidden="false" customHeight="true" outlineLevel="0" collapsed="false">
      <c r="B6" s="31" t="s">
        <v>221</v>
      </c>
    </row>
    <row r="8" customFormat="false" ht="19.5" hidden="false" customHeight="true" outlineLevel="0" collapsed="false">
      <c r="B8" s="30" t="s">
        <v>222</v>
      </c>
    </row>
    <row r="9" customFormat="false" ht="61.5" hidden="false" customHeight="true" outlineLevel="0" collapsed="false">
      <c r="B9" s="31" t="s">
        <v>223</v>
      </c>
    </row>
    <row r="11" customFormat="false" ht="19.5" hidden="false" customHeight="true" outlineLevel="0" collapsed="false">
      <c r="B11" s="30" t="s">
        <v>224</v>
      </c>
    </row>
    <row r="12" customFormat="false" ht="75.75" hidden="false" customHeight="true" outlineLevel="0" collapsed="false">
      <c r="B12" s="31" t="s">
        <v>225</v>
      </c>
    </row>
    <row r="14" customFormat="false" ht="19.5" hidden="false" customHeight="true" outlineLevel="0" collapsed="false">
      <c r="B14" s="30" t="s">
        <v>226</v>
      </c>
    </row>
    <row r="15" customFormat="false" ht="61.5" hidden="false" customHeight="true" outlineLevel="0" collapsed="false">
      <c r="B15" s="31" t="s">
        <v>227</v>
      </c>
    </row>
    <row r="17" customFormat="false" ht="19.5" hidden="false" customHeight="true" outlineLevel="0" collapsed="false">
      <c r="B17" s="30" t="s">
        <v>228</v>
      </c>
    </row>
    <row r="18" customFormat="false" ht="33.75" hidden="false" customHeight="true" outlineLevel="0" collapsed="false">
      <c r="B18" s="31" t="s">
        <v>229</v>
      </c>
    </row>
    <row r="20" customFormat="false" ht="19.5" hidden="false" customHeight="true" outlineLevel="0" collapsed="false">
      <c r="B20" s="30" t="s">
        <v>230</v>
      </c>
    </row>
    <row r="21" customFormat="false" ht="33.75" hidden="false" customHeight="true" outlineLevel="0" collapsed="false">
      <c r="B21" s="31" t="s">
        <v>231</v>
      </c>
    </row>
    <row r="23" customFormat="false" ht="21.75" hidden="false" customHeight="true" outlineLevel="0" collapsed="false">
      <c r="B23" s="32" t="s">
        <v>232</v>
      </c>
    </row>
    <row r="25" customFormat="false" ht="18" hidden="false" customHeight="true" outlineLevel="0" collapsed="false">
      <c r="B25" s="33" t="s">
        <v>233</v>
      </c>
    </row>
    <row r="26" customFormat="false" ht="201.75" hidden="false" customHeight="true" outlineLevel="0" collapsed="false">
      <c r="B26" s="34" t="s">
        <v>234</v>
      </c>
    </row>
    <row r="28" customFormat="false" ht="18" hidden="false" customHeight="true" outlineLevel="0" collapsed="false">
      <c r="B28" s="35" t="s">
        <v>235</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B2:G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2" customFormat="false" ht="25.5" hidden="false" customHeight="true" outlineLevel="0" collapsed="false">
      <c r="B2" s="36" t="s">
        <v>236</v>
      </c>
      <c r="C2" s="37"/>
      <c r="D2" s="37"/>
      <c r="E2" s="37"/>
      <c r="F2" s="37"/>
      <c r="G2" s="37"/>
    </row>
    <row r="3" customFormat="false" ht="15" hidden="false" customHeight="false" outlineLevel="0" collapsed="false">
      <c r="B3" s="24" t="s">
        <v>237</v>
      </c>
    </row>
    <row r="6" customFormat="false" ht="15" hidden="false" customHeight="false" outlineLevel="0" collapsed="false">
      <c r="B6" s="38"/>
      <c r="C6" s="39" t="n">
        <f aca="false">Model_Start_Year+0</f>
        <v>2026</v>
      </c>
      <c r="D6" s="39" t="n">
        <f aca="false">Model_Start_Year+1</f>
        <v>2027</v>
      </c>
      <c r="E6" s="39" t="n">
        <f aca="false">Model_Start_Year+2</f>
        <v>2028</v>
      </c>
      <c r="F6" s="39" t="n">
        <f aca="false">Model_Start_Year+3</f>
        <v>2029</v>
      </c>
      <c r="G6" s="39" t="n">
        <f aca="false">Model_Start_Year+4</f>
        <v>2030</v>
      </c>
    </row>
    <row r="7" customFormat="false" ht="15" hidden="false" customHeight="false" outlineLevel="0" collapsed="false">
      <c r="B7" s="24" t="s">
        <v>238</v>
      </c>
      <c r="C7" s="40" t="n">
        <f aca="false">COLUMN()-2</f>
        <v>1</v>
      </c>
      <c r="D7" s="40" t="n">
        <f aca="false">COLUMN()-2</f>
        <v>2</v>
      </c>
      <c r="E7" s="40" t="n">
        <f aca="false">COLUMN()-2</f>
        <v>3</v>
      </c>
      <c r="F7" s="40" t="n">
        <f aca="false">COLUMN()-2</f>
        <v>4</v>
      </c>
      <c r="G7" s="40" t="n">
        <f aca="false">COLUMN()-2</f>
        <v>5</v>
      </c>
    </row>
    <row r="9" customFormat="false" ht="15" hidden="false" customHeight="false" outlineLevel="0" collapsed="false">
      <c r="B9" s="41" t="s">
        <v>239</v>
      </c>
      <c r="C9" s="17"/>
      <c r="D9" s="17"/>
      <c r="E9" s="17"/>
      <c r="F9" s="17"/>
      <c r="G9" s="17"/>
    </row>
    <row r="10" customFormat="false" ht="15" hidden="false" customHeight="false" outlineLevel="0" collapsed="false">
      <c r="B10" s="42" t="s">
        <v>240</v>
      </c>
      <c r="C10" s="43" t="n">
        <f aca="false">Client_Volume_Base*(1+Volume_Growth)^(C7-1)</f>
        <v>12000000000</v>
      </c>
      <c r="D10" s="43" t="n">
        <f aca="false">Client_Volume_Base*(1+Volume_Growth)^(D7-1)</f>
        <v>12720000000</v>
      </c>
      <c r="E10" s="43" t="n">
        <f aca="false">Client_Volume_Base*(1+Volume_Growth)^(E7-1)</f>
        <v>13483200000</v>
      </c>
      <c r="F10" s="43" t="n">
        <f aca="false">Client_Volume_Base*(1+Volume_Growth)^(F7-1)</f>
        <v>14292192000</v>
      </c>
      <c r="G10" s="43" t="n">
        <f aca="false">Client_Volume_Base*(1+Volume_Growth)^(G7-1)</f>
        <v>15149723520</v>
      </c>
    </row>
    <row r="11" customFormat="false" ht="15" hidden="false" customHeight="false" outlineLevel="0" collapsed="false">
      <c r="B11" s="44" t="s">
        <v>241</v>
      </c>
      <c r="C11" s="45" t="n">
        <f aca="false">Mix_UST_Pct</f>
        <v>0.45</v>
      </c>
      <c r="D11" s="45" t="n">
        <f aca="false">Mix_UST_Pct</f>
        <v>0.45</v>
      </c>
      <c r="E11" s="45" t="n">
        <f aca="false">Mix_UST_Pct</f>
        <v>0.45</v>
      </c>
      <c r="F11" s="45" t="n">
        <f aca="false">Mix_UST_Pct</f>
        <v>0.45</v>
      </c>
      <c r="G11" s="45" t="n">
        <f aca="false">Mix_UST_Pct</f>
        <v>0.45</v>
      </c>
    </row>
    <row r="12" customFormat="false" ht="15" hidden="false" customHeight="false" outlineLevel="0" collapsed="false">
      <c r="B12" s="44" t="s">
        <v>242</v>
      </c>
      <c r="C12" s="45" t="n">
        <f aca="false">Mix_IG_Pct</f>
        <v>0.3</v>
      </c>
      <c r="D12" s="45" t="n">
        <f aca="false">Mix_IG_Pct</f>
        <v>0.3</v>
      </c>
      <c r="E12" s="45" t="n">
        <f aca="false">Mix_IG_Pct</f>
        <v>0.3</v>
      </c>
      <c r="F12" s="45" t="n">
        <f aca="false">Mix_IG_Pct</f>
        <v>0.3</v>
      </c>
      <c r="G12" s="45" t="n">
        <f aca="false">Mix_IG_Pct</f>
        <v>0.3</v>
      </c>
    </row>
    <row r="13" customFormat="false" ht="15" hidden="false" customHeight="false" outlineLevel="0" collapsed="false">
      <c r="B13" s="44" t="s">
        <v>243</v>
      </c>
      <c r="C13" s="45" t="n">
        <f aca="false">Mix_HY_Pct</f>
        <v>0.1</v>
      </c>
      <c r="D13" s="45" t="n">
        <f aca="false">Mix_HY_Pct</f>
        <v>0.1</v>
      </c>
      <c r="E13" s="45" t="n">
        <f aca="false">Mix_HY_Pct</f>
        <v>0.1</v>
      </c>
      <c r="F13" s="45" t="n">
        <f aca="false">Mix_HY_Pct</f>
        <v>0.1</v>
      </c>
      <c r="G13" s="45" t="n">
        <f aca="false">Mix_HY_Pct</f>
        <v>0.1</v>
      </c>
    </row>
    <row r="14" customFormat="false" ht="15" hidden="false" customHeight="false" outlineLevel="0" collapsed="false">
      <c r="B14" s="44" t="s">
        <v>244</v>
      </c>
      <c r="C14" s="45" t="n">
        <f aca="false">Mix_MBS_Pct</f>
        <v>0.15</v>
      </c>
      <c r="D14" s="45" t="n">
        <f aca="false">Mix_MBS_Pct</f>
        <v>0.15</v>
      </c>
      <c r="E14" s="45" t="n">
        <f aca="false">Mix_MBS_Pct</f>
        <v>0.15</v>
      </c>
      <c r="F14" s="45" t="n">
        <f aca="false">Mix_MBS_Pct</f>
        <v>0.15</v>
      </c>
      <c r="G14" s="45" t="n">
        <f aca="false">Mix_MBS_Pct</f>
        <v>0.15</v>
      </c>
    </row>
    <row r="15" customFormat="false" ht="15" hidden="false" customHeight="false" outlineLevel="0" collapsed="false">
      <c r="B15" s="42" t="s">
        <v>245</v>
      </c>
      <c r="C15" s="45" t="n">
        <f aca="false">Mix_UST_Pct*Spread_UST+Mix_IG_Pct*Spread_IG+Mix_HY_Pct*Spread_HY+Mix_MBS_Pct*Spread_MBS</f>
        <v>0.001115</v>
      </c>
      <c r="D15" s="45" t="n">
        <f aca="false">Mix_UST_Pct*Spread_UST+Mix_IG_Pct*Spread_IG+Mix_HY_Pct*Spread_HY+Mix_MBS_Pct*Spread_MBS</f>
        <v>0.001115</v>
      </c>
      <c r="E15" s="45" t="n">
        <f aca="false">Mix_UST_Pct*Spread_UST+Mix_IG_Pct*Spread_IG+Mix_HY_Pct*Spread_HY+Mix_MBS_Pct*Spread_MBS</f>
        <v>0.001115</v>
      </c>
      <c r="F15" s="45" t="n">
        <f aca="false">Mix_UST_Pct*Spread_UST+Mix_IG_Pct*Spread_IG+Mix_HY_Pct*Spread_HY+Mix_MBS_Pct*Spread_MBS</f>
        <v>0.001115</v>
      </c>
      <c r="G15" s="45" t="n">
        <f aca="false">Mix_UST_Pct*Spread_UST+Mix_IG_Pct*Spread_IG+Mix_HY_Pct*Spread_HY+Mix_MBS_Pct*Spread_MBS</f>
        <v>0.001115</v>
      </c>
    </row>
    <row r="16" customFormat="false" ht="15" hidden="false" customHeight="false" outlineLevel="0" collapsed="false">
      <c r="B16" s="46" t="s">
        <v>246</v>
      </c>
      <c r="C16" s="47" t="n">
        <f aca="false">C10*C15</f>
        <v>13380000</v>
      </c>
      <c r="D16" s="47" t="n">
        <f aca="false">D10*D15</f>
        <v>14182800</v>
      </c>
      <c r="E16" s="47" t="n">
        <f aca="false">E10*E15</f>
        <v>15033768</v>
      </c>
      <c r="F16" s="47" t="n">
        <f aca="false">F10*F15</f>
        <v>15935794.08</v>
      </c>
      <c r="G16" s="47" t="n">
        <f aca="false">G10*G15</f>
        <v>16891941.7248</v>
      </c>
    </row>
    <row r="18" customFormat="false" ht="15" hidden="false" customHeight="false" outlineLevel="0" collapsed="false">
      <c r="B18" s="41" t="s">
        <v>247</v>
      </c>
      <c r="C18" s="17"/>
      <c r="D18" s="17"/>
      <c r="E18" s="17"/>
      <c r="F18" s="17"/>
      <c r="G18" s="17"/>
    </row>
    <row r="19" customFormat="false" ht="15" hidden="false" customHeight="false" outlineLevel="0" collapsed="false">
      <c r="B19" s="42" t="s">
        <v>248</v>
      </c>
      <c r="C19" s="43" t="n">
        <f aca="false">Inventory_Base*(1+Volume_Growth)^(C7-1)</f>
        <v>500000000</v>
      </c>
      <c r="D19" s="43" t="n">
        <f aca="false">Inventory_Base*(1+Volume_Growth)^(D7-1)</f>
        <v>530000000</v>
      </c>
      <c r="E19" s="43" t="n">
        <f aca="false">Inventory_Base*(1+Volume_Growth)^(E7-1)</f>
        <v>561800000</v>
      </c>
      <c r="F19" s="43" t="n">
        <f aca="false">Inventory_Base*(1+Volume_Growth)^(F7-1)</f>
        <v>595508000</v>
      </c>
      <c r="G19" s="43" t="n">
        <f aca="false">Inventory_Base*(1+Volume_Growth)^(G7-1)</f>
        <v>631238480</v>
      </c>
    </row>
    <row r="20" customFormat="false" ht="15" hidden="false" customHeight="false" outlineLevel="0" collapsed="false">
      <c r="B20" s="42" t="s">
        <v>130</v>
      </c>
      <c r="C20" s="45" t="n">
        <f aca="false">Avg_Bond_Yield</f>
        <v>0.055</v>
      </c>
      <c r="D20" s="45" t="n">
        <f aca="false">Avg_Bond_Yield</f>
        <v>0.055</v>
      </c>
      <c r="E20" s="45" t="n">
        <f aca="false">Avg_Bond_Yield</f>
        <v>0.055</v>
      </c>
      <c r="F20" s="45" t="n">
        <f aca="false">Avg_Bond_Yield</f>
        <v>0.055</v>
      </c>
      <c r="G20" s="45" t="n">
        <f aca="false">Avg_Bond_Yield</f>
        <v>0.055</v>
      </c>
    </row>
    <row r="21" customFormat="false" ht="15" hidden="false" customHeight="false" outlineLevel="0" collapsed="false">
      <c r="B21" s="42" t="s">
        <v>249</v>
      </c>
      <c r="C21" s="45" t="n">
        <f aca="false">SOFR_Rate+Repo_Spread</f>
        <v>0.048</v>
      </c>
      <c r="D21" s="45" t="n">
        <f aca="false">SOFR_Rate+Repo_Spread</f>
        <v>0.048</v>
      </c>
      <c r="E21" s="45" t="n">
        <f aca="false">SOFR_Rate+Repo_Spread</f>
        <v>0.048</v>
      </c>
      <c r="F21" s="45" t="n">
        <f aca="false">SOFR_Rate+Repo_Spread</f>
        <v>0.048</v>
      </c>
      <c r="G21" s="45" t="n">
        <f aca="false">SOFR_Rate+Repo_Spread</f>
        <v>0.048</v>
      </c>
    </row>
    <row r="22" customFormat="false" ht="15" hidden="false" customHeight="false" outlineLevel="0" collapsed="false">
      <c r="B22" s="42" t="s">
        <v>250</v>
      </c>
      <c r="C22" s="45" t="n">
        <f aca="false">C20-C21</f>
        <v>0.007</v>
      </c>
      <c r="D22" s="45" t="n">
        <f aca="false">D20-D21</f>
        <v>0.007</v>
      </c>
      <c r="E22" s="45" t="n">
        <f aca="false">E20-E21</f>
        <v>0.007</v>
      </c>
      <c r="F22" s="45" t="n">
        <f aca="false">F20-F21</f>
        <v>0.007</v>
      </c>
      <c r="G22" s="45" t="n">
        <f aca="false">G20-G21</f>
        <v>0.007</v>
      </c>
    </row>
    <row r="23" customFormat="false" ht="15" hidden="false" customHeight="false" outlineLevel="0" collapsed="false">
      <c r="B23" s="46" t="s">
        <v>251</v>
      </c>
      <c r="C23" s="47" t="n">
        <f aca="false">C19*C20</f>
        <v>27500000</v>
      </c>
      <c r="D23" s="47" t="n">
        <f aca="false">D19*D20</f>
        <v>29150000</v>
      </c>
      <c r="E23" s="47" t="n">
        <f aca="false">E19*E20</f>
        <v>30899000</v>
      </c>
      <c r="F23" s="47" t="n">
        <f aca="false">F19*F20</f>
        <v>32752940</v>
      </c>
      <c r="G23" s="47" t="n">
        <f aca="false">G19*G20</f>
        <v>34718116.4</v>
      </c>
    </row>
    <row r="25" customFormat="false" ht="15" hidden="false" customHeight="false" outlineLevel="0" collapsed="false">
      <c r="B25" s="41" t="s">
        <v>252</v>
      </c>
      <c r="C25" s="17"/>
      <c r="D25" s="17"/>
      <c r="E25" s="17"/>
      <c r="F25" s="17"/>
      <c r="G25" s="17"/>
    </row>
    <row r="26" customFormat="false" ht="15" hidden="false" customHeight="false" outlineLevel="0" collapsed="false">
      <c r="B26" s="42" t="s">
        <v>253</v>
      </c>
      <c r="C26" s="43" t="n">
        <f aca="false">MTM_Y1</f>
        <v>15000000</v>
      </c>
      <c r="D26" s="43" t="n">
        <f aca="false">MTM_Y2</f>
        <v>25000000</v>
      </c>
      <c r="E26" s="43" t="n">
        <f aca="false">MTM_Y3</f>
        <v>-20000000</v>
      </c>
      <c r="F26" s="43" t="n">
        <f aca="false">MTM_Y4</f>
        <v>40000000</v>
      </c>
      <c r="G26" s="43" t="n">
        <f aca="false">MTM_Y5</f>
        <v>10000000</v>
      </c>
    </row>
    <row r="28" customFormat="false" ht="15" hidden="false" customHeight="false" outlineLevel="0" collapsed="false">
      <c r="B28" s="41" t="s">
        <v>254</v>
      </c>
      <c r="C28" s="17"/>
      <c r="D28" s="17"/>
      <c r="E28" s="17"/>
      <c r="F28" s="17"/>
      <c r="G28" s="17"/>
    </row>
    <row r="29" customFormat="false" ht="15" hidden="false" customHeight="false" outlineLevel="0" collapsed="false">
      <c r="B29" s="42" t="s">
        <v>138</v>
      </c>
      <c r="C29" s="43" t="n">
        <f aca="false">NI_Fee_Volume*(1+Volume_Growth)^(C7-1)</f>
        <v>5000000000</v>
      </c>
      <c r="D29" s="43" t="n">
        <f aca="false">NI_Fee_Volume*(1+Volume_Growth)^(D7-1)</f>
        <v>5300000000</v>
      </c>
      <c r="E29" s="43" t="n">
        <f aca="false">NI_Fee_Volume*(1+Volume_Growth)^(E7-1)</f>
        <v>5618000000</v>
      </c>
      <c r="F29" s="43" t="n">
        <f aca="false">NI_Fee_Volume*(1+Volume_Growth)^(F7-1)</f>
        <v>5955080000</v>
      </c>
      <c r="G29" s="43" t="n">
        <f aca="false">NI_Fee_Volume*(1+Volume_Growth)^(G7-1)</f>
        <v>6312384800</v>
      </c>
    </row>
    <row r="30" customFormat="false" ht="15" hidden="false" customHeight="false" outlineLevel="0" collapsed="false">
      <c r="B30" s="42" t="s">
        <v>255</v>
      </c>
      <c r="C30" s="45" t="n">
        <f aca="false">NI_Fee_Rate</f>
        <v>0.005</v>
      </c>
      <c r="D30" s="45" t="n">
        <f aca="false">NI_Fee_Rate</f>
        <v>0.005</v>
      </c>
      <c r="E30" s="45" t="n">
        <f aca="false">NI_Fee_Rate</f>
        <v>0.005</v>
      </c>
      <c r="F30" s="45" t="n">
        <f aca="false">NI_Fee_Rate</f>
        <v>0.005</v>
      </c>
      <c r="G30" s="45" t="n">
        <f aca="false">NI_Fee_Rate</f>
        <v>0.005</v>
      </c>
    </row>
    <row r="31" customFormat="false" ht="15" hidden="false" customHeight="false" outlineLevel="0" collapsed="false">
      <c r="B31" s="46" t="s">
        <v>256</v>
      </c>
      <c r="C31" s="47" t="n">
        <f aca="false">C29*C30</f>
        <v>25000000</v>
      </c>
      <c r="D31" s="47" t="n">
        <f aca="false">D29*D30</f>
        <v>26500000</v>
      </c>
      <c r="E31" s="47" t="n">
        <f aca="false">E29*E30</f>
        <v>28090000</v>
      </c>
      <c r="F31" s="47" t="n">
        <f aca="false">F29*F30</f>
        <v>29775400</v>
      </c>
      <c r="G31" s="47" t="n">
        <f aca="false">G29*G30</f>
        <v>31561924</v>
      </c>
    </row>
    <row r="33" customFormat="false" ht="15" hidden="false" customHeight="false" outlineLevel="0" collapsed="false">
      <c r="B33" s="48" t="s">
        <v>257</v>
      </c>
      <c r="C33" s="49" t="n">
        <f aca="false">C16+C23+C26+C31</f>
        <v>80880000</v>
      </c>
      <c r="D33" s="49" t="n">
        <f aca="false">D16+D23+D26+D31</f>
        <v>94832800</v>
      </c>
      <c r="E33" s="49" t="n">
        <f aca="false">E16+E23+E26+E31</f>
        <v>54022768</v>
      </c>
      <c r="F33" s="49" t="n">
        <f aca="false">F16+F23+F26+F31</f>
        <v>118464134.08</v>
      </c>
      <c r="G33" s="49" t="n">
        <f aca="false">G16+G23+G26+G31</f>
        <v>93171982.1248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B2:G1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2" customFormat="false" ht="25.5" hidden="false" customHeight="true" outlineLevel="0" collapsed="false">
      <c r="B2" s="36" t="s">
        <v>258</v>
      </c>
      <c r="C2" s="37"/>
      <c r="D2" s="37"/>
      <c r="E2" s="37"/>
      <c r="F2" s="37"/>
      <c r="G2" s="37"/>
    </row>
    <row r="3" customFormat="false" ht="15" hidden="false" customHeight="false" outlineLevel="0" collapsed="false">
      <c r="B3" s="24" t="s">
        <v>259</v>
      </c>
    </row>
    <row r="6" customFormat="false" ht="15" hidden="false" customHeight="false" outlineLevel="0" collapsed="false">
      <c r="B6" s="38"/>
      <c r="C6" s="39" t="n">
        <f aca="false">Model_Start_Year+0</f>
        <v>2026</v>
      </c>
      <c r="D6" s="39" t="n">
        <f aca="false">Model_Start_Year+1</f>
        <v>2027</v>
      </c>
      <c r="E6" s="39" t="n">
        <f aca="false">Model_Start_Year+2</f>
        <v>2028</v>
      </c>
      <c r="F6" s="39" t="n">
        <f aca="false">Model_Start_Year+3</f>
        <v>2029</v>
      </c>
      <c r="G6" s="39" t="n">
        <f aca="false">Model_Start_Year+4</f>
        <v>2030</v>
      </c>
    </row>
    <row r="7" customFormat="false" ht="15" hidden="false" customHeight="false" outlineLevel="0" collapsed="false">
      <c r="B7" s="24" t="s">
        <v>238</v>
      </c>
      <c r="C7" s="40" t="n">
        <f aca="false">COLUMN()-2</f>
        <v>1</v>
      </c>
      <c r="D7" s="40" t="n">
        <f aca="false">COLUMN()-2</f>
        <v>2</v>
      </c>
      <c r="E7" s="40" t="n">
        <f aca="false">COLUMN()-2</f>
        <v>3</v>
      </c>
      <c r="F7" s="40" t="n">
        <f aca="false">COLUMN()-2</f>
        <v>4</v>
      </c>
      <c r="G7" s="40" t="n">
        <f aca="false">COLUMN()-2</f>
        <v>5</v>
      </c>
    </row>
    <row r="9" customFormat="false" ht="15" hidden="false" customHeight="false" outlineLevel="0" collapsed="false">
      <c r="B9" s="41" t="s">
        <v>260</v>
      </c>
      <c r="C9" s="17"/>
      <c r="D9" s="17"/>
      <c r="E9" s="17"/>
      <c r="F9" s="17"/>
      <c r="G9" s="17"/>
    </row>
    <row r="10" customFormat="false" ht="15" hidden="false" customHeight="false" outlineLevel="0" collapsed="false">
      <c r="B10" s="42" t="s">
        <v>261</v>
      </c>
      <c r="C10" s="43" t="n">
        <f aca="false">RB_Avg_Inventory</f>
        <v>500000000</v>
      </c>
      <c r="D10" s="43" t="n">
        <f aca="false">RB_Avg_Inventory</f>
        <v>530000000</v>
      </c>
      <c r="E10" s="43" t="n">
        <f aca="false">RB_Avg_Inventory</f>
        <v>561800000</v>
      </c>
      <c r="F10" s="43" t="n">
        <f aca="false">RB_Avg_Inventory</f>
        <v>595508000</v>
      </c>
      <c r="G10" s="43" t="n">
        <f aca="false">RB_Avg_Inventory</f>
        <v>631238480</v>
      </c>
    </row>
    <row r="11" customFormat="false" ht="15" hidden="false" customHeight="false" outlineLevel="0" collapsed="false">
      <c r="B11" s="42" t="s">
        <v>262</v>
      </c>
      <c r="C11" s="45" t="n">
        <f aca="false">SOFR_Rate+Repo_Spread</f>
        <v>0.048</v>
      </c>
      <c r="D11" s="45" t="n">
        <f aca="false">SOFR_Rate+Repo_Spread</f>
        <v>0.048</v>
      </c>
      <c r="E11" s="45" t="n">
        <f aca="false">SOFR_Rate+Repo_Spread</f>
        <v>0.048</v>
      </c>
      <c r="F11" s="45" t="n">
        <f aca="false">SOFR_Rate+Repo_Spread</f>
        <v>0.048</v>
      </c>
      <c r="G11" s="45" t="n">
        <f aca="false">SOFR_Rate+Repo_Spread</f>
        <v>0.048</v>
      </c>
    </row>
    <row r="12" customFormat="false" ht="15" hidden="false" customHeight="false" outlineLevel="0" collapsed="false">
      <c r="B12" s="46" t="s">
        <v>263</v>
      </c>
      <c r="C12" s="47" t="n">
        <f aca="false">C10*C11</f>
        <v>24000000</v>
      </c>
      <c r="D12" s="47" t="n">
        <f aca="false">D10*D11</f>
        <v>25440000</v>
      </c>
      <c r="E12" s="47" t="n">
        <f aca="false">E10*E11</f>
        <v>26966400</v>
      </c>
      <c r="F12" s="47" t="n">
        <f aca="false">F10*F11</f>
        <v>28584384</v>
      </c>
      <c r="G12" s="47" t="n">
        <f aca="false">G10*G11</f>
        <v>30299447.04</v>
      </c>
    </row>
    <row r="14" customFormat="false" ht="15" hidden="false" customHeight="false" outlineLevel="0" collapsed="false">
      <c r="B14" s="41" t="s">
        <v>264</v>
      </c>
      <c r="C14" s="17"/>
      <c r="D14" s="17"/>
      <c r="E14" s="17"/>
      <c r="F14" s="17"/>
      <c r="G14" s="17"/>
    </row>
    <row r="15" customFormat="false" ht="15" hidden="false" customHeight="false" outlineLevel="0" collapsed="false">
      <c r="B15" s="42" t="s">
        <v>265</v>
      </c>
      <c r="C15" s="43" t="n">
        <f aca="false">Open_Corp_Debt</f>
        <v>110000000</v>
      </c>
      <c r="D15" s="43" t="n">
        <f aca="false">Balance_Sheet!C28</f>
        <v>110000000</v>
      </c>
      <c r="E15" s="43" t="n">
        <f aca="false">Balance_Sheet!D28</f>
        <v>110000000</v>
      </c>
      <c r="F15" s="43" t="n">
        <f aca="false">Balance_Sheet!E28</f>
        <v>110000000</v>
      </c>
      <c r="G15" s="43" t="n">
        <f aca="false">Balance_Sheet!F28</f>
        <v>110000000</v>
      </c>
    </row>
    <row r="16" customFormat="false" ht="15" hidden="false" customHeight="false" outlineLevel="0" collapsed="false">
      <c r="B16" s="42" t="s">
        <v>266</v>
      </c>
      <c r="C16" s="45" t="n">
        <f aca="false">SOFR_Rate+Corp_Debt_Spread</f>
        <v>0.06</v>
      </c>
      <c r="D16" s="45" t="n">
        <f aca="false">SOFR_Rate+Corp_Debt_Spread</f>
        <v>0.06</v>
      </c>
      <c r="E16" s="45" t="n">
        <f aca="false">SOFR_Rate+Corp_Debt_Spread</f>
        <v>0.06</v>
      </c>
      <c r="F16" s="45" t="n">
        <f aca="false">SOFR_Rate+Corp_Debt_Spread</f>
        <v>0.06</v>
      </c>
      <c r="G16" s="45" t="n">
        <f aca="false">SOFR_Rate+Corp_Debt_Spread</f>
        <v>0.06</v>
      </c>
    </row>
    <row r="17" customFormat="false" ht="15" hidden="false" customHeight="false" outlineLevel="0" collapsed="false">
      <c r="B17" s="46" t="s">
        <v>267</v>
      </c>
      <c r="C17" s="47" t="n">
        <f aca="false">C15*C16</f>
        <v>6600000</v>
      </c>
      <c r="D17" s="47" t="n">
        <f aca="false">D15*D16</f>
        <v>6600000</v>
      </c>
      <c r="E17" s="47" t="n">
        <f aca="false">E15*E16</f>
        <v>6600000</v>
      </c>
      <c r="F17" s="47" t="n">
        <f aca="false">F15*F16</f>
        <v>6600000</v>
      </c>
      <c r="G17" s="47" t="n">
        <f aca="false">G15*G16</f>
        <v>6600000</v>
      </c>
    </row>
    <row r="19" customFormat="false" ht="15" hidden="false" customHeight="false" outlineLevel="0" collapsed="false">
      <c r="B19" s="48" t="s">
        <v>268</v>
      </c>
      <c r="C19" s="49" t="n">
        <f aca="false">C12+C17</f>
        <v>30600000</v>
      </c>
      <c r="D19" s="49" t="n">
        <f aca="false">D12+D17</f>
        <v>32040000</v>
      </c>
      <c r="E19" s="49" t="n">
        <f aca="false">E12+E17</f>
        <v>33566400</v>
      </c>
      <c r="F19" s="49" t="n">
        <f aca="false">F12+F17</f>
        <v>35184384</v>
      </c>
      <c r="G19" s="49" t="n">
        <f aca="false">G12+G17</f>
        <v>36899447.04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B2:G3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2" customFormat="false" ht="25.5" hidden="false" customHeight="true" outlineLevel="0" collapsed="false">
      <c r="B2" s="36" t="s">
        <v>269</v>
      </c>
      <c r="C2" s="37"/>
      <c r="D2" s="37"/>
      <c r="E2" s="37"/>
      <c r="F2" s="37"/>
      <c r="G2" s="37"/>
    </row>
    <row r="3" customFormat="false" ht="15" hidden="false" customHeight="false" outlineLevel="0" collapsed="false">
      <c r="B3" s="24" t="s">
        <v>270</v>
      </c>
    </row>
    <row r="6" customFormat="false" ht="15" hidden="false" customHeight="false" outlineLevel="0" collapsed="false">
      <c r="B6" s="38"/>
      <c r="C6" s="39" t="n">
        <f aca="false">Model_Start_Year+0</f>
        <v>2026</v>
      </c>
      <c r="D6" s="39" t="n">
        <f aca="false">Model_Start_Year+1</f>
        <v>2027</v>
      </c>
      <c r="E6" s="39" t="n">
        <f aca="false">Model_Start_Year+2</f>
        <v>2028</v>
      </c>
      <c r="F6" s="39" t="n">
        <f aca="false">Model_Start_Year+3</f>
        <v>2029</v>
      </c>
      <c r="G6" s="39" t="n">
        <f aca="false">Model_Start_Year+4</f>
        <v>2030</v>
      </c>
    </row>
    <row r="7" customFormat="false" ht="15" hidden="false" customHeight="false" outlineLevel="0" collapsed="false">
      <c r="B7" s="24" t="s">
        <v>238</v>
      </c>
      <c r="C7" s="40" t="n">
        <f aca="false">COLUMN()-2</f>
        <v>1</v>
      </c>
      <c r="D7" s="40" t="n">
        <f aca="false">COLUMN()-2</f>
        <v>2</v>
      </c>
      <c r="E7" s="40" t="n">
        <f aca="false">COLUMN()-2</f>
        <v>3</v>
      </c>
      <c r="F7" s="40" t="n">
        <f aca="false">COLUMN()-2</f>
        <v>4</v>
      </c>
      <c r="G7" s="40" t="n">
        <f aca="false">COLUMN()-2</f>
        <v>5</v>
      </c>
    </row>
    <row r="9" customFormat="false" ht="15" hidden="false" customHeight="false" outlineLevel="0" collapsed="false">
      <c r="B9" s="41" t="s">
        <v>150</v>
      </c>
      <c r="C9" s="17"/>
      <c r="D9" s="17"/>
      <c r="E9" s="17"/>
      <c r="F9" s="17"/>
      <c r="G9" s="17"/>
    </row>
    <row r="10" customFormat="false" ht="15" hidden="false" customHeight="false" outlineLevel="0" collapsed="false">
      <c r="B10" s="42" t="s">
        <v>271</v>
      </c>
      <c r="C10" s="50" t="n">
        <f aca="false">ROUND(Num_Traders_Y0*(1+Headcount_Growth)^(C7-1),0)</f>
        <v>15</v>
      </c>
      <c r="D10" s="50" t="n">
        <f aca="false">ROUND(Num_Traders_Y0*(1+Headcount_Growth)^(D7-1),0)</f>
        <v>16</v>
      </c>
      <c r="E10" s="50" t="n">
        <f aca="false">ROUND(Num_Traders_Y0*(1+Headcount_Growth)^(E7-1),0)</f>
        <v>16</v>
      </c>
      <c r="F10" s="50" t="n">
        <f aca="false">ROUND(Num_Traders_Y0*(1+Headcount_Growth)^(F7-1),0)</f>
        <v>17</v>
      </c>
      <c r="G10" s="50" t="n">
        <f aca="false">ROUND(Num_Traders_Y0*(1+Headcount_Growth)^(G7-1),0)</f>
        <v>18</v>
      </c>
    </row>
    <row r="11" customFormat="false" ht="15" hidden="false" customHeight="false" outlineLevel="0" collapsed="false">
      <c r="B11" s="42" t="s">
        <v>272</v>
      </c>
      <c r="C11" s="43" t="n">
        <f aca="false">C10*Trader_Comp*(1+Comp_Escalation)^(C7-1)</f>
        <v>5250000</v>
      </c>
      <c r="D11" s="43" t="n">
        <f aca="false">D10*Trader_Comp*(1+Comp_Escalation)^(D7-1)</f>
        <v>5768000</v>
      </c>
      <c r="E11" s="43" t="n">
        <f aca="false">E10*Trader_Comp*(1+Comp_Escalation)^(E7-1)</f>
        <v>5941040</v>
      </c>
      <c r="F11" s="43" t="n">
        <f aca="false">F10*Trader_Comp*(1+Comp_Escalation)^(F7-1)</f>
        <v>6501725.65</v>
      </c>
      <c r="G11" s="43" t="n">
        <f aca="false">G10*Trader_Comp*(1+Comp_Escalation)^(G7-1)</f>
        <v>7090705.503</v>
      </c>
    </row>
    <row r="12" customFormat="false" ht="15" hidden="false" customHeight="false" outlineLevel="0" collapsed="false">
      <c r="B12" s="42" t="s">
        <v>273</v>
      </c>
      <c r="C12" s="50" t="n">
        <f aca="false">ROUND(Num_Sales_Y0*(1+Headcount_Growth)^(C7-1),0)</f>
        <v>10</v>
      </c>
      <c r="D12" s="50" t="n">
        <f aca="false">ROUND(Num_Sales_Y0*(1+Headcount_Growth)^(D7-1),0)</f>
        <v>10</v>
      </c>
      <c r="E12" s="50" t="n">
        <f aca="false">ROUND(Num_Sales_Y0*(1+Headcount_Growth)^(E7-1),0)</f>
        <v>11</v>
      </c>
      <c r="F12" s="50" t="n">
        <f aca="false">ROUND(Num_Sales_Y0*(1+Headcount_Growth)^(F7-1),0)</f>
        <v>11</v>
      </c>
      <c r="G12" s="50" t="n">
        <f aca="false">ROUND(Num_Sales_Y0*(1+Headcount_Growth)^(G7-1),0)</f>
        <v>12</v>
      </c>
    </row>
    <row r="13" customFormat="false" ht="15" hidden="false" customHeight="false" outlineLevel="0" collapsed="false">
      <c r="B13" s="42" t="s">
        <v>274</v>
      </c>
      <c r="C13" s="43" t="n">
        <f aca="false">C12*Sales_Comp*(1+Comp_Escalation)^(C7-1)</f>
        <v>2000000</v>
      </c>
      <c r="D13" s="43" t="n">
        <f aca="false">D12*Sales_Comp*(1+Comp_Escalation)^(D7-1)</f>
        <v>2060000</v>
      </c>
      <c r="E13" s="43" t="n">
        <f aca="false">E12*Sales_Comp*(1+Comp_Escalation)^(E7-1)</f>
        <v>2333980</v>
      </c>
      <c r="F13" s="43" t="n">
        <f aca="false">F12*Sales_Comp*(1+Comp_Escalation)^(F7-1)</f>
        <v>2403999.4</v>
      </c>
      <c r="G13" s="43" t="n">
        <f aca="false">G12*Sales_Comp*(1+Comp_Escalation)^(G7-1)</f>
        <v>2701221.144</v>
      </c>
    </row>
    <row r="14" customFormat="false" ht="15" hidden="false" customHeight="false" outlineLevel="0" collapsed="false">
      <c r="B14" s="42" t="s">
        <v>275</v>
      </c>
      <c r="C14" s="50" t="n">
        <f aca="false">ROUND(Num_Risk_Y0*(1+Headcount_Growth)^(C7-1),0)</f>
        <v>5</v>
      </c>
      <c r="D14" s="50" t="n">
        <f aca="false">ROUND(Num_Risk_Y0*(1+Headcount_Growth)^(D7-1),0)</f>
        <v>5</v>
      </c>
      <c r="E14" s="50" t="n">
        <f aca="false">ROUND(Num_Risk_Y0*(1+Headcount_Growth)^(E7-1),0)</f>
        <v>5</v>
      </c>
      <c r="F14" s="50" t="n">
        <f aca="false">ROUND(Num_Risk_Y0*(1+Headcount_Growth)^(F7-1),0)</f>
        <v>6</v>
      </c>
      <c r="G14" s="50" t="n">
        <f aca="false">ROUND(Num_Risk_Y0*(1+Headcount_Growth)^(G7-1),0)</f>
        <v>6</v>
      </c>
    </row>
    <row r="15" customFormat="false" ht="15" hidden="false" customHeight="false" outlineLevel="0" collapsed="false">
      <c r="B15" s="42" t="s">
        <v>276</v>
      </c>
      <c r="C15" s="43" t="n">
        <f aca="false">C14*Risk_Comp*(1+Comp_Escalation)^(C7-1)</f>
        <v>875000</v>
      </c>
      <c r="D15" s="43" t="n">
        <f aca="false">D14*Risk_Comp*(1+Comp_Escalation)^(D7-1)</f>
        <v>901250</v>
      </c>
      <c r="E15" s="43" t="n">
        <f aca="false">E14*Risk_Comp*(1+Comp_Escalation)^(E7-1)</f>
        <v>928287.5</v>
      </c>
      <c r="F15" s="43" t="n">
        <f aca="false">F14*Risk_Comp*(1+Comp_Escalation)^(F7-1)</f>
        <v>1147363.35</v>
      </c>
      <c r="G15" s="43" t="n">
        <f aca="false">G14*Risk_Comp*(1+Comp_Escalation)^(G7-1)</f>
        <v>1181784.2505</v>
      </c>
    </row>
    <row r="16" customFormat="false" ht="15" hidden="false" customHeight="false" outlineLevel="0" collapsed="false">
      <c r="B16" s="42" t="s">
        <v>277</v>
      </c>
      <c r="C16" s="50" t="n">
        <f aca="false">ROUND(Num_Tech_Y0*(1+Headcount_Growth)^(C7-1),0)</f>
        <v>8</v>
      </c>
      <c r="D16" s="50" t="n">
        <f aca="false">ROUND(Num_Tech_Y0*(1+Headcount_Growth)^(D7-1),0)</f>
        <v>8</v>
      </c>
      <c r="E16" s="50" t="n">
        <f aca="false">ROUND(Num_Tech_Y0*(1+Headcount_Growth)^(E7-1),0)</f>
        <v>9</v>
      </c>
      <c r="F16" s="50" t="n">
        <f aca="false">ROUND(Num_Tech_Y0*(1+Headcount_Growth)^(F7-1),0)</f>
        <v>9</v>
      </c>
      <c r="G16" s="50" t="n">
        <f aca="false">ROUND(Num_Tech_Y0*(1+Headcount_Growth)^(G7-1),0)</f>
        <v>9</v>
      </c>
    </row>
    <row r="17" customFormat="false" ht="15" hidden="false" customHeight="false" outlineLevel="0" collapsed="false">
      <c r="B17" s="42" t="s">
        <v>278</v>
      </c>
      <c r="C17" s="43" t="n">
        <f aca="false">C16*Tech_Comp*(1+Comp_Escalation)^(C7-1)</f>
        <v>1280000</v>
      </c>
      <c r="D17" s="43" t="n">
        <f aca="false">D16*Tech_Comp*(1+Comp_Escalation)^(D7-1)</f>
        <v>1318400</v>
      </c>
      <c r="E17" s="43" t="n">
        <f aca="false">E16*Tech_Comp*(1+Comp_Escalation)^(E7-1)</f>
        <v>1527696</v>
      </c>
      <c r="F17" s="43" t="n">
        <f aca="false">F16*Tech_Comp*(1+Comp_Escalation)^(F7-1)</f>
        <v>1573526.88</v>
      </c>
      <c r="G17" s="43" t="n">
        <f aca="false">G16*Tech_Comp*(1+Comp_Escalation)^(G7-1)</f>
        <v>1620732.6864</v>
      </c>
    </row>
    <row r="18" customFormat="false" ht="15" hidden="false" customHeight="false" outlineLevel="0" collapsed="false">
      <c r="B18" s="42" t="s">
        <v>279</v>
      </c>
      <c r="C18" s="50" t="n">
        <f aca="false">ROUND(Num_Ops_Y0*(1+Headcount_Growth)^(C7-1),0)</f>
        <v>7</v>
      </c>
      <c r="D18" s="50" t="n">
        <f aca="false">ROUND(Num_Ops_Y0*(1+Headcount_Growth)^(D7-1),0)</f>
        <v>7</v>
      </c>
      <c r="E18" s="50" t="n">
        <f aca="false">ROUND(Num_Ops_Y0*(1+Headcount_Growth)^(E7-1),0)</f>
        <v>8</v>
      </c>
      <c r="F18" s="50" t="n">
        <f aca="false">ROUND(Num_Ops_Y0*(1+Headcount_Growth)^(F7-1),0)</f>
        <v>8</v>
      </c>
      <c r="G18" s="50" t="n">
        <f aca="false">ROUND(Num_Ops_Y0*(1+Headcount_Growth)^(G7-1),0)</f>
        <v>8</v>
      </c>
    </row>
    <row r="19" customFormat="false" ht="15" hidden="false" customHeight="false" outlineLevel="0" collapsed="false">
      <c r="B19" s="42" t="s">
        <v>280</v>
      </c>
      <c r="C19" s="43" t="n">
        <f aca="false">C18*Ops_Comp*(1+Comp_Escalation)^(C7-1)</f>
        <v>665000</v>
      </c>
      <c r="D19" s="43" t="n">
        <f aca="false">D18*Ops_Comp*(1+Comp_Escalation)^(D7-1)</f>
        <v>684950</v>
      </c>
      <c r="E19" s="43" t="n">
        <f aca="false">E18*Ops_Comp*(1+Comp_Escalation)^(E7-1)</f>
        <v>806284</v>
      </c>
      <c r="F19" s="43" t="n">
        <f aca="false">F18*Ops_Comp*(1+Comp_Escalation)^(F7-1)</f>
        <v>830472.52</v>
      </c>
      <c r="G19" s="43" t="n">
        <f aca="false">G18*Ops_Comp*(1+Comp_Escalation)^(G7-1)</f>
        <v>855386.6956</v>
      </c>
    </row>
    <row r="20" customFormat="false" ht="15" hidden="false" customHeight="false" outlineLevel="0" collapsed="false">
      <c r="B20" s="48" t="s">
        <v>281</v>
      </c>
      <c r="C20" s="47" t="n">
        <f aca="false">C11+C13+C15+C17+C19</f>
        <v>10070000</v>
      </c>
      <c r="D20" s="47" t="n">
        <f aca="false">D11+D13+D15+D17+D19</f>
        <v>10732600</v>
      </c>
      <c r="E20" s="47" t="n">
        <f aca="false">E11+E13+E15+E17+E19</f>
        <v>11537287.5</v>
      </c>
      <c r="F20" s="47" t="n">
        <f aca="false">F11+F13+F15+F17+F19</f>
        <v>12457087.8</v>
      </c>
      <c r="G20" s="47" t="n">
        <f aca="false">G11+G13+G15+G17+G19</f>
        <v>13449830.2795</v>
      </c>
    </row>
    <row r="21" customFormat="false" ht="15" hidden="false" customHeight="false" outlineLevel="0" collapsed="false">
      <c r="B21" s="42" t="s">
        <v>282</v>
      </c>
      <c r="C21" s="43" t="n">
        <f aca="false">MAX(0,(RB_Net_Trading_Rev-Bonus_Hurdle_Pct*RB_Net_Trading_Rev))*Bonus_Share_Pct</f>
        <v>16176000</v>
      </c>
      <c r="D21" s="43" t="n">
        <f aca="false">MAX(0,(RB_Net_Trading_Rev-Bonus_Hurdle_Pct*RB_Net_Trading_Rev))*Bonus_Share_Pct</f>
        <v>18966560</v>
      </c>
      <c r="E21" s="43" t="n">
        <f aca="false">MAX(0,(RB_Net_Trading_Rev-Bonus_Hurdle_Pct*RB_Net_Trading_Rev))*Bonus_Share_Pct</f>
        <v>10804553.6</v>
      </c>
      <c r="F21" s="43" t="n">
        <f aca="false">MAX(0,(RB_Net_Trading_Rev-Bonus_Hurdle_Pct*RB_Net_Trading_Rev))*Bonus_Share_Pct</f>
        <v>23692826.816</v>
      </c>
      <c r="G21" s="43" t="n">
        <f aca="false">MAX(0,(RB_Net_Trading_Rev-Bonus_Hurdle_Pct*RB_Net_Trading_Rev))*Bonus_Share_Pct</f>
        <v>18634396.42496</v>
      </c>
    </row>
    <row r="22" customFormat="false" ht="15" hidden="false" customHeight="false" outlineLevel="0" collapsed="false">
      <c r="B22" s="42" t="s">
        <v>283</v>
      </c>
      <c r="C22" s="43" t="n">
        <f aca="false">Bonus_Cap_Pct*RB_Net_Trading_Rev</f>
        <v>28308000</v>
      </c>
      <c r="D22" s="43" t="n">
        <f aca="false">Bonus_Cap_Pct*RB_Net_Trading_Rev</f>
        <v>33191480</v>
      </c>
      <c r="E22" s="43" t="n">
        <f aca="false">Bonus_Cap_Pct*RB_Net_Trading_Rev</f>
        <v>18907968.8</v>
      </c>
      <c r="F22" s="43" t="n">
        <f aca="false">Bonus_Cap_Pct*RB_Net_Trading_Rev</f>
        <v>41462446.928</v>
      </c>
      <c r="G22" s="43" t="n">
        <f aca="false">Bonus_Cap_Pct*RB_Net_Trading_Rev</f>
        <v>32610193.74368</v>
      </c>
    </row>
    <row r="23" customFormat="false" ht="15" hidden="false" customHeight="false" outlineLevel="0" collapsed="false">
      <c r="B23" s="42" t="s">
        <v>284</v>
      </c>
      <c r="C23" s="43" t="n">
        <f aca="false">MAX(0,MIN(C22,C21))</f>
        <v>16176000</v>
      </c>
      <c r="D23" s="43" t="n">
        <f aca="false">MAX(0,MIN(D22,D21))</f>
        <v>18966560</v>
      </c>
      <c r="E23" s="43" t="n">
        <f aca="false">MAX(0,MIN(E22,E21))</f>
        <v>10804553.6</v>
      </c>
      <c r="F23" s="43" t="n">
        <f aca="false">MAX(0,MIN(F22,F21))</f>
        <v>23692826.816</v>
      </c>
      <c r="G23" s="43" t="n">
        <f aca="false">MAX(0,MIN(G22,G21))</f>
        <v>18634396.42496</v>
      </c>
    </row>
    <row r="24" customFormat="false" ht="15" hidden="false" customHeight="false" outlineLevel="0" collapsed="false">
      <c r="B24" s="48" t="s">
        <v>285</v>
      </c>
      <c r="C24" s="49" t="n">
        <f aca="false">C20+C23</f>
        <v>26246000</v>
      </c>
      <c r="D24" s="49" t="n">
        <f aca="false">D20+D23</f>
        <v>29699160</v>
      </c>
      <c r="E24" s="49" t="n">
        <f aca="false">E20+E23</f>
        <v>22341841.1</v>
      </c>
      <c r="F24" s="49" t="n">
        <f aca="false">F20+F23</f>
        <v>36149914.616</v>
      </c>
      <c r="G24" s="49" t="n">
        <f aca="false">G20+G23</f>
        <v>32084226.70446</v>
      </c>
    </row>
    <row r="25" customFormat="false" ht="15" hidden="false" customHeight="false" outlineLevel="0" collapsed="false">
      <c r="B25" s="22" t="s">
        <v>286</v>
      </c>
      <c r="C25" s="45" t="n">
        <f aca="false">IF(RB_Net_Trading_Rev&lt;=0,0,C24/RB_Net_Trading_Rev)</f>
        <v>0.324505440158259</v>
      </c>
      <c r="D25" s="45" t="n">
        <f aca="false">IF(RB_Net_Trading_Rev&lt;=0,0,D24/RB_Net_Trading_Rev)</f>
        <v>0.313173922946491</v>
      </c>
      <c r="E25" s="45" t="n">
        <f aca="false">IF(RB_Net_Trading_Rev&lt;=0,0,E24/RB_Net_Trading_Rev)</f>
        <v>0.41356342755336</v>
      </c>
      <c r="F25" s="45" t="n">
        <f aca="false">IF(RB_Net_Trading_Rev&lt;=0,0,F24/RB_Net_Trading_Rev)</f>
        <v>0.305154930618812</v>
      </c>
      <c r="G25" s="45" t="n">
        <f aca="false">IF(RB_Net_Trading_Rev&lt;=0,0,G24/RB_Net_Trading_Rev)</f>
        <v>0.344354879790842</v>
      </c>
    </row>
    <row r="27" customFormat="false" ht="15" hidden="false" customHeight="false" outlineLevel="0" collapsed="false">
      <c r="B27" s="41" t="s">
        <v>287</v>
      </c>
      <c r="C27" s="17"/>
      <c r="D27" s="17"/>
      <c r="E27" s="17"/>
      <c r="F27" s="17"/>
      <c r="G27" s="17"/>
    </row>
    <row r="28" customFormat="false" ht="15" hidden="false" customHeight="false" outlineLevel="0" collapsed="false">
      <c r="B28" s="42" t="s">
        <v>288</v>
      </c>
      <c r="C28" s="43" t="n">
        <f aca="false">RB_Net_Trading_Rev*Tech_Cost_Pct</f>
        <v>6470400</v>
      </c>
      <c r="D28" s="43" t="n">
        <f aca="false">RB_Net_Trading_Rev*Tech_Cost_Pct</f>
        <v>7586624</v>
      </c>
      <c r="E28" s="43" t="n">
        <f aca="false">RB_Net_Trading_Rev*Tech_Cost_Pct</f>
        <v>4321821.44</v>
      </c>
      <c r="F28" s="43" t="n">
        <f aca="false">RB_Net_Trading_Rev*Tech_Cost_Pct</f>
        <v>9477130.7264</v>
      </c>
      <c r="G28" s="43" t="n">
        <f aca="false">RB_Net_Trading_Rev*Tech_Cost_Pct</f>
        <v>7453758.569984</v>
      </c>
    </row>
    <row r="29" customFormat="false" ht="15" hidden="false" customHeight="false" outlineLevel="0" collapsed="false">
      <c r="B29" s="42" t="s">
        <v>289</v>
      </c>
      <c r="C29" s="43" t="n">
        <f aca="false">RB_Net_Trading_Rev*Occupancy_Pct</f>
        <v>2426400</v>
      </c>
      <c r="D29" s="43" t="n">
        <f aca="false">RB_Net_Trading_Rev*Occupancy_Pct</f>
        <v>2844984</v>
      </c>
      <c r="E29" s="43" t="n">
        <f aca="false">RB_Net_Trading_Rev*Occupancy_Pct</f>
        <v>1620683.04</v>
      </c>
      <c r="F29" s="43" t="n">
        <f aca="false">RB_Net_Trading_Rev*Occupancy_Pct</f>
        <v>3553924.0224</v>
      </c>
      <c r="G29" s="43" t="n">
        <f aca="false">RB_Net_Trading_Rev*Occupancy_Pct</f>
        <v>2795159.463744</v>
      </c>
    </row>
    <row r="30" customFormat="false" ht="15" hidden="false" customHeight="false" outlineLevel="0" collapsed="false">
      <c r="B30" s="42" t="s">
        <v>290</v>
      </c>
      <c r="C30" s="43" t="n">
        <f aca="false">RB_Net_Trading_Rev*Compliance_Pct</f>
        <v>3235200</v>
      </c>
      <c r="D30" s="43" t="n">
        <f aca="false">RB_Net_Trading_Rev*Compliance_Pct</f>
        <v>3793312</v>
      </c>
      <c r="E30" s="43" t="n">
        <f aca="false">RB_Net_Trading_Rev*Compliance_Pct</f>
        <v>2160910.72</v>
      </c>
      <c r="F30" s="43" t="n">
        <f aca="false">RB_Net_Trading_Rev*Compliance_Pct</f>
        <v>4738565.3632</v>
      </c>
      <c r="G30" s="43" t="n">
        <f aca="false">RB_Net_Trading_Rev*Compliance_Pct</f>
        <v>3726879.284992</v>
      </c>
    </row>
    <row r="31" customFormat="false" ht="15" hidden="false" customHeight="false" outlineLevel="0" collapsed="false">
      <c r="B31" s="42" t="s">
        <v>291</v>
      </c>
      <c r="C31" s="43" t="n">
        <f aca="false">RB_Net_Trading_Rev*Other_Opex_Pct</f>
        <v>1617600</v>
      </c>
      <c r="D31" s="43" t="n">
        <f aca="false">RB_Net_Trading_Rev*Other_Opex_Pct</f>
        <v>1896656</v>
      </c>
      <c r="E31" s="43" t="n">
        <f aca="false">RB_Net_Trading_Rev*Other_Opex_Pct</f>
        <v>1080455.36</v>
      </c>
      <c r="F31" s="43" t="n">
        <f aca="false">RB_Net_Trading_Rev*Other_Opex_Pct</f>
        <v>2369282.6816</v>
      </c>
      <c r="G31" s="43" t="n">
        <f aca="false">RB_Net_Trading_Rev*Other_Opex_Pct</f>
        <v>1863439.642496</v>
      </c>
    </row>
    <row r="32" customFormat="false" ht="15" hidden="false" customHeight="false" outlineLevel="0" collapsed="false">
      <c r="B32" s="48" t="s">
        <v>292</v>
      </c>
      <c r="C32" s="47" t="n">
        <f aca="false">C28+C29+C30+C31</f>
        <v>13749600</v>
      </c>
      <c r="D32" s="47" t="n">
        <f aca="false">D28+D29+D30+D31</f>
        <v>16121576</v>
      </c>
      <c r="E32" s="47" t="n">
        <f aca="false">E28+E29+E30+E31</f>
        <v>9183870.56</v>
      </c>
      <c r="F32" s="47" t="n">
        <f aca="false">F28+F29+F30+F31</f>
        <v>20138902.7936</v>
      </c>
      <c r="G32" s="47" t="n">
        <f aca="false">G28+G29+G30+G31</f>
        <v>15839236.961216</v>
      </c>
    </row>
    <row r="34" customFormat="false" ht="15" hidden="false" customHeight="false" outlineLevel="0" collapsed="false">
      <c r="B34" s="48" t="s">
        <v>293</v>
      </c>
      <c r="C34" s="49" t="n">
        <f aca="false">C24+C32</f>
        <v>39995600</v>
      </c>
      <c r="D34" s="49" t="n">
        <f aca="false">D24+D32</f>
        <v>45820736</v>
      </c>
      <c r="E34" s="49" t="n">
        <f aca="false">E24+E32</f>
        <v>31525711.66</v>
      </c>
      <c r="F34" s="49" t="n">
        <f aca="false">F24+F32</f>
        <v>56288817.4096</v>
      </c>
      <c r="G34" s="49" t="n">
        <f aca="false">G24+G32</f>
        <v>47923463.665676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B2:G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2" customFormat="false" ht="25.5" hidden="false" customHeight="true" outlineLevel="0" collapsed="false">
      <c r="B2" s="36" t="s">
        <v>294</v>
      </c>
      <c r="C2" s="37"/>
      <c r="D2" s="37"/>
      <c r="E2" s="37"/>
      <c r="F2" s="37"/>
      <c r="G2" s="37"/>
    </row>
    <row r="3" customFormat="false" ht="15" hidden="false" customHeight="false" outlineLevel="0" collapsed="false">
      <c r="B3" s="24" t="s">
        <v>295</v>
      </c>
    </row>
    <row r="6" customFormat="false" ht="15" hidden="false" customHeight="false" outlineLevel="0" collapsed="false">
      <c r="B6" s="38"/>
      <c r="C6" s="39" t="n">
        <f aca="false">Model_Start_Year+0</f>
        <v>2026</v>
      </c>
      <c r="D6" s="39" t="n">
        <f aca="false">Model_Start_Year+1</f>
        <v>2027</v>
      </c>
      <c r="E6" s="39" t="n">
        <f aca="false">Model_Start_Year+2</f>
        <v>2028</v>
      </c>
      <c r="F6" s="39" t="n">
        <f aca="false">Model_Start_Year+3</f>
        <v>2029</v>
      </c>
      <c r="G6" s="39" t="n">
        <f aca="false">Model_Start_Year+4</f>
        <v>2030</v>
      </c>
    </row>
    <row r="7" customFormat="false" ht="15" hidden="false" customHeight="false" outlineLevel="0" collapsed="false">
      <c r="B7" s="24" t="s">
        <v>238</v>
      </c>
      <c r="C7" s="40" t="n">
        <f aca="false">COLUMN()-2</f>
        <v>1</v>
      </c>
      <c r="D7" s="40" t="n">
        <f aca="false">COLUMN()-2</f>
        <v>2</v>
      </c>
      <c r="E7" s="40" t="n">
        <f aca="false">COLUMN()-2</f>
        <v>3</v>
      </c>
      <c r="F7" s="40" t="n">
        <f aca="false">COLUMN()-2</f>
        <v>4</v>
      </c>
      <c r="G7" s="40" t="n">
        <f aca="false">COLUMN()-2</f>
        <v>5</v>
      </c>
    </row>
    <row r="9" customFormat="false" ht="15" hidden="false" customHeight="false" outlineLevel="0" collapsed="false">
      <c r="B9" s="41" t="s">
        <v>237</v>
      </c>
      <c r="C9" s="17"/>
      <c r="D9" s="17"/>
      <c r="E9" s="17"/>
      <c r="F9" s="17"/>
      <c r="G9" s="17"/>
    </row>
    <row r="10" customFormat="false" ht="15" hidden="false" customHeight="false" outlineLevel="0" collapsed="false">
      <c r="B10" s="42" t="s">
        <v>296</v>
      </c>
      <c r="C10" s="43" t="n">
        <f aca="false">RB_BidAsk_Rev</f>
        <v>13380000</v>
      </c>
      <c r="D10" s="43" t="n">
        <f aca="false">RB_BidAsk_Rev</f>
        <v>14182800</v>
      </c>
      <c r="E10" s="43" t="n">
        <f aca="false">RB_BidAsk_Rev</f>
        <v>15033768</v>
      </c>
      <c r="F10" s="43" t="n">
        <f aca="false">RB_BidAsk_Rev</f>
        <v>15935794.08</v>
      </c>
      <c r="G10" s="43" t="n">
        <f aca="false">RB_BidAsk_Rev</f>
        <v>16891941.7248</v>
      </c>
    </row>
    <row r="11" customFormat="false" ht="15" hidden="false" customHeight="false" outlineLevel="0" collapsed="false">
      <c r="B11" s="42" t="s">
        <v>297</v>
      </c>
      <c r="C11" s="43" t="n">
        <f aca="false">RB_Carry_Income</f>
        <v>27500000</v>
      </c>
      <c r="D11" s="43" t="n">
        <f aca="false">RB_Carry_Income</f>
        <v>29150000</v>
      </c>
      <c r="E11" s="43" t="n">
        <f aca="false">RB_Carry_Income</f>
        <v>30899000</v>
      </c>
      <c r="F11" s="43" t="n">
        <f aca="false">RB_Carry_Income</f>
        <v>32752940</v>
      </c>
      <c r="G11" s="43" t="n">
        <f aca="false">RB_Carry_Income</f>
        <v>34718116.4</v>
      </c>
    </row>
    <row r="12" customFormat="false" ht="15" hidden="false" customHeight="false" outlineLevel="0" collapsed="false">
      <c r="B12" s="42" t="s">
        <v>253</v>
      </c>
      <c r="C12" s="43" t="n">
        <f aca="false">RB_MTM_PnL</f>
        <v>15000000</v>
      </c>
      <c r="D12" s="43" t="n">
        <f aca="false">RB_MTM_PnL</f>
        <v>25000000</v>
      </c>
      <c r="E12" s="43" t="n">
        <f aca="false">RB_MTM_PnL</f>
        <v>-20000000</v>
      </c>
      <c r="F12" s="43" t="n">
        <f aca="false">RB_MTM_PnL</f>
        <v>40000000</v>
      </c>
      <c r="G12" s="43" t="n">
        <f aca="false">RB_MTM_PnL</f>
        <v>10000000</v>
      </c>
    </row>
    <row r="13" customFormat="false" ht="15" hidden="false" customHeight="false" outlineLevel="0" collapsed="false">
      <c r="B13" s="42" t="s">
        <v>254</v>
      </c>
      <c r="C13" s="43" t="n">
        <f aca="false">RB_NI_Fee_Rev</f>
        <v>25000000</v>
      </c>
      <c r="D13" s="43" t="n">
        <f aca="false">RB_NI_Fee_Rev</f>
        <v>26500000</v>
      </c>
      <c r="E13" s="43" t="n">
        <f aca="false">RB_NI_Fee_Rev</f>
        <v>28090000</v>
      </c>
      <c r="F13" s="43" t="n">
        <f aca="false">RB_NI_Fee_Rev</f>
        <v>29775400</v>
      </c>
      <c r="G13" s="43" t="n">
        <f aca="false">RB_NI_Fee_Rev</f>
        <v>31561924</v>
      </c>
    </row>
    <row r="14" customFormat="false" ht="15" hidden="false" customHeight="false" outlineLevel="0" collapsed="false">
      <c r="B14" s="48" t="s">
        <v>298</v>
      </c>
      <c r="C14" s="47" t="n">
        <f aca="false">RB_Net_Trading_Rev</f>
        <v>80880000</v>
      </c>
      <c r="D14" s="47" t="n">
        <f aca="false">RB_Net_Trading_Rev</f>
        <v>94832800</v>
      </c>
      <c r="E14" s="47" t="n">
        <f aca="false">RB_Net_Trading_Rev</f>
        <v>54022768</v>
      </c>
      <c r="F14" s="47" t="n">
        <f aca="false">RB_Net_Trading_Rev</f>
        <v>118464134.08</v>
      </c>
      <c r="G14" s="47" t="n">
        <f aca="false">RB_Net_Trading_Rev</f>
        <v>93171982.1248</v>
      </c>
    </row>
    <row r="16" customFormat="false" ht="15" hidden="false" customHeight="false" outlineLevel="0" collapsed="false">
      <c r="B16" s="41" t="s">
        <v>258</v>
      </c>
      <c r="C16" s="17"/>
      <c r="D16" s="17"/>
      <c r="E16" s="17"/>
      <c r="F16" s="17"/>
      <c r="G16" s="17"/>
    </row>
    <row r="17" customFormat="false" ht="15" hidden="false" customHeight="false" outlineLevel="0" collapsed="false">
      <c r="B17" s="42" t="s">
        <v>260</v>
      </c>
      <c r="C17" s="43" t="n">
        <f aca="false">FC_Repo_Cost</f>
        <v>24000000</v>
      </c>
      <c r="D17" s="43" t="n">
        <f aca="false">FC_Repo_Cost</f>
        <v>25440000</v>
      </c>
      <c r="E17" s="43" t="n">
        <f aca="false">FC_Repo_Cost</f>
        <v>26966400</v>
      </c>
      <c r="F17" s="43" t="n">
        <f aca="false">FC_Repo_Cost</f>
        <v>28584384</v>
      </c>
      <c r="G17" s="43" t="n">
        <f aca="false">FC_Repo_Cost</f>
        <v>30299447.04</v>
      </c>
    </row>
    <row r="18" customFormat="false" ht="15" hidden="false" customHeight="false" outlineLevel="0" collapsed="false">
      <c r="B18" s="48" t="s">
        <v>299</v>
      </c>
      <c r="C18" s="47" t="n">
        <f aca="false">FC_Total_Funding</f>
        <v>30600000</v>
      </c>
      <c r="D18" s="47" t="n">
        <f aca="false">FC_Total_Funding</f>
        <v>32040000</v>
      </c>
      <c r="E18" s="47" t="n">
        <f aca="false">FC_Total_Funding</f>
        <v>33566400</v>
      </c>
      <c r="F18" s="47" t="n">
        <f aca="false">FC_Total_Funding</f>
        <v>35184384</v>
      </c>
      <c r="G18" s="47" t="n">
        <f aca="false">FC_Total_Funding</f>
        <v>36899447.04</v>
      </c>
    </row>
    <row r="20" customFormat="false" ht="15" hidden="false" customHeight="false" outlineLevel="0" collapsed="false">
      <c r="B20" s="48" t="s">
        <v>300</v>
      </c>
      <c r="C20" s="47" t="n">
        <f aca="false">C14-C18</f>
        <v>50280000</v>
      </c>
      <c r="D20" s="47" t="n">
        <f aca="false">D14-D18</f>
        <v>62792800</v>
      </c>
      <c r="E20" s="47" t="n">
        <f aca="false">E14-E18</f>
        <v>20456368</v>
      </c>
      <c r="F20" s="47" t="n">
        <f aca="false">F14-F18</f>
        <v>83279750.08</v>
      </c>
      <c r="G20" s="47" t="n">
        <f aca="false">G14-G18</f>
        <v>56272535.0848</v>
      </c>
    </row>
    <row r="22" customFormat="false" ht="15" hidden="false" customHeight="false" outlineLevel="0" collapsed="false">
      <c r="B22" s="41" t="s">
        <v>301</v>
      </c>
      <c r="C22" s="17"/>
      <c r="D22" s="17"/>
      <c r="E22" s="17"/>
      <c r="F22" s="17"/>
      <c r="G22" s="17"/>
    </row>
    <row r="23" customFormat="false" ht="15" hidden="false" customHeight="false" outlineLevel="0" collapsed="false">
      <c r="B23" s="42" t="s">
        <v>150</v>
      </c>
      <c r="C23" s="43" t="n">
        <f aca="false">OC_Total_Comp</f>
        <v>26246000</v>
      </c>
      <c r="D23" s="43" t="n">
        <f aca="false">OC_Total_Comp</f>
        <v>29699160</v>
      </c>
      <c r="E23" s="43" t="n">
        <f aca="false">OC_Total_Comp</f>
        <v>22341841.1</v>
      </c>
      <c r="F23" s="43" t="n">
        <f aca="false">OC_Total_Comp</f>
        <v>36149914.616</v>
      </c>
      <c r="G23" s="43" t="n">
        <f aca="false">OC_Total_Comp</f>
        <v>32084226.70446</v>
      </c>
    </row>
    <row r="24" customFormat="false" ht="15" hidden="false" customHeight="false" outlineLevel="0" collapsed="false">
      <c r="B24" s="42" t="s">
        <v>302</v>
      </c>
      <c r="C24" s="43" t="n">
        <f aca="false">OC_Total_Noncomp</f>
        <v>13749600</v>
      </c>
      <c r="D24" s="43" t="n">
        <f aca="false">OC_Total_Noncomp</f>
        <v>16121576</v>
      </c>
      <c r="E24" s="43" t="n">
        <f aca="false">OC_Total_Noncomp</f>
        <v>9183870.56</v>
      </c>
      <c r="F24" s="43" t="n">
        <f aca="false">OC_Total_Noncomp</f>
        <v>20138902.7936</v>
      </c>
      <c r="G24" s="43" t="n">
        <f aca="false">OC_Total_Noncomp</f>
        <v>15839236.961216</v>
      </c>
    </row>
    <row r="25" customFormat="false" ht="15" hidden="false" customHeight="false" outlineLevel="0" collapsed="false">
      <c r="B25" s="48" t="s">
        <v>303</v>
      </c>
      <c r="C25" s="47" t="n">
        <f aca="false">C23+C24</f>
        <v>39995600</v>
      </c>
      <c r="D25" s="47" t="n">
        <f aca="false">D23+D24</f>
        <v>45820736</v>
      </c>
      <c r="E25" s="47" t="n">
        <f aca="false">E23+E24</f>
        <v>31525711.66</v>
      </c>
      <c r="F25" s="47" t="n">
        <f aca="false">F23+F24</f>
        <v>56288817.4096</v>
      </c>
      <c r="G25" s="47" t="n">
        <f aca="false">G23+G24</f>
        <v>47923463.665676</v>
      </c>
    </row>
    <row r="27" customFormat="false" ht="15" hidden="false" customHeight="false" outlineLevel="0" collapsed="false">
      <c r="B27" s="48" t="s">
        <v>304</v>
      </c>
      <c r="C27" s="47" t="n">
        <f aca="false">C20-C25</f>
        <v>10284400</v>
      </c>
      <c r="D27" s="47" t="n">
        <f aca="false">D20-D25</f>
        <v>16972064</v>
      </c>
      <c r="E27" s="47" t="n">
        <f aca="false">E20-E25</f>
        <v>-11069343.66</v>
      </c>
      <c r="F27" s="47" t="n">
        <f aca="false">F20-F25</f>
        <v>26990932.6704</v>
      </c>
      <c r="G27" s="47" t="n">
        <f aca="false">G20-G25</f>
        <v>8349071.41912401</v>
      </c>
    </row>
    <row r="28" customFormat="false" ht="15" hidden="false" customHeight="false" outlineLevel="0" collapsed="false">
      <c r="B28" s="42" t="s">
        <v>305</v>
      </c>
      <c r="C28" s="43" t="n">
        <f aca="false">IF(Useful_Life=0,0,(Open_PPE-Open_Accum_Depr)/Useful_Life+(C14*Capex_Pct)/Useful_Life*0.5)</f>
        <v>1523520</v>
      </c>
      <c r="D28" s="43" t="n">
        <f aca="false">IF(Useful_Life=0,0,Balance_Sheet!C18/Useful_Life+(D14*Capex_Pct)/Useful_Life*0.5)</f>
        <v>1921667.2</v>
      </c>
      <c r="E28" s="43" t="n">
        <f aca="false">IF(Useful_Life=0,0,Balance_Sheet!D18/Useful_Life+(E14*Capex_Pct)/Useful_Life*0.5)</f>
        <v>2132756.032</v>
      </c>
      <c r="F28" s="43" t="n">
        <f aca="false">IF(Useful_Life=0,0,Balance_Sheet!E18/Useful_Life+(F14*Capex_Pct)/Useful_Life*0.5)</f>
        <v>2396152.43392</v>
      </c>
      <c r="G28" s="43" t="n">
        <f aca="false">IF(Useful_Life=0,0,Balance_Sheet!F18/Useful_Life+(G14*Capex_Pct)/Useful_Life*0.5)</f>
        <v>2763466.4119552</v>
      </c>
    </row>
    <row r="29" customFormat="false" ht="15" hidden="false" customHeight="false" outlineLevel="0" collapsed="false">
      <c r="B29" s="48" t="s">
        <v>306</v>
      </c>
      <c r="C29" s="47" t="n">
        <f aca="false">C27-C28</f>
        <v>8760880</v>
      </c>
      <c r="D29" s="47" t="n">
        <f aca="false">D27-D28</f>
        <v>15050396.8</v>
      </c>
      <c r="E29" s="47" t="n">
        <f aca="false">E27-E28</f>
        <v>-13202099.692</v>
      </c>
      <c r="F29" s="47" t="n">
        <f aca="false">F27-F28</f>
        <v>24594780.23648</v>
      </c>
      <c r="G29" s="47" t="n">
        <f aca="false">G27-G28</f>
        <v>5585605.00716881</v>
      </c>
    </row>
    <row r="31" customFormat="false" ht="15" hidden="false" customHeight="false" outlineLevel="0" collapsed="false">
      <c r="B31" s="42" t="s">
        <v>267</v>
      </c>
      <c r="C31" s="43" t="n">
        <f aca="false">FC_Corp_Interest</f>
        <v>6600000</v>
      </c>
      <c r="D31" s="43" t="n">
        <f aca="false">FC_Corp_Interest</f>
        <v>6600000</v>
      </c>
      <c r="E31" s="43" t="n">
        <f aca="false">FC_Corp_Interest</f>
        <v>6600000</v>
      </c>
      <c r="F31" s="43" t="n">
        <f aca="false">FC_Corp_Interest</f>
        <v>6600000</v>
      </c>
      <c r="G31" s="43" t="n">
        <f aca="false">FC_Corp_Interest</f>
        <v>6600000</v>
      </c>
    </row>
    <row r="32" customFormat="false" ht="15" hidden="false" customHeight="false" outlineLevel="0" collapsed="false">
      <c r="B32" s="48" t="s">
        <v>307</v>
      </c>
      <c r="C32" s="47" t="n">
        <f aca="false">C29-C31</f>
        <v>2160880</v>
      </c>
      <c r="D32" s="47" t="n">
        <f aca="false">D29-D31</f>
        <v>8450396.8</v>
      </c>
      <c r="E32" s="47" t="n">
        <f aca="false">E29-E31</f>
        <v>-19802099.692</v>
      </c>
      <c r="F32" s="47" t="n">
        <f aca="false">F29-F31</f>
        <v>17994780.23648</v>
      </c>
      <c r="G32" s="47" t="n">
        <f aca="false">G29-G31</f>
        <v>-1014394.99283119</v>
      </c>
    </row>
    <row r="33" customFormat="false" ht="15" hidden="false" customHeight="false" outlineLevel="0" collapsed="false">
      <c r="B33" s="42" t="s">
        <v>308</v>
      </c>
      <c r="C33" s="43" t="n">
        <f aca="false">MAX(0,C32*Tax_Rate)</f>
        <v>453784.8</v>
      </c>
      <c r="D33" s="43" t="n">
        <f aca="false">MAX(0,D32*Tax_Rate)</f>
        <v>1774583.328</v>
      </c>
      <c r="E33" s="43" t="n">
        <f aca="false">MAX(0,E32*Tax_Rate)</f>
        <v>0</v>
      </c>
      <c r="F33" s="43" t="n">
        <f aca="false">MAX(0,F32*Tax_Rate)</f>
        <v>3778903.8496608</v>
      </c>
      <c r="G33" s="43" t="n">
        <f aca="false">MAX(0,G32*Tax_Rate)</f>
        <v>0</v>
      </c>
    </row>
    <row r="35" customFormat="false" ht="15" hidden="false" customHeight="false" outlineLevel="0" collapsed="false">
      <c r="B35" s="48" t="s">
        <v>309</v>
      </c>
      <c r="C35" s="49" t="n">
        <f aca="false">C32-C33</f>
        <v>1707095.2</v>
      </c>
      <c r="D35" s="49" t="n">
        <f aca="false">D32-D33</f>
        <v>6675813.472</v>
      </c>
      <c r="E35" s="49" t="n">
        <f aca="false">E32-E33</f>
        <v>-19802099.692</v>
      </c>
      <c r="F35" s="49" t="n">
        <f aca="false">F32-F33</f>
        <v>14215876.3868192</v>
      </c>
      <c r="G35" s="49" t="n">
        <f aca="false">G32-G33</f>
        <v>-1014394.99283119</v>
      </c>
    </row>
    <row r="37" customFormat="false" ht="15" hidden="false" customHeight="false" outlineLevel="0" collapsed="false">
      <c r="B37" s="42" t="s">
        <v>310</v>
      </c>
      <c r="C37" s="43" t="n">
        <f aca="false">MAX(0,MIN(C35*Dividend_Payout,MAX(0,((Open_Share_Capital+Open_Ret_Earnings)-(Open_Trading_Assets*(Mix_UST_Pct*RWT_UST+Mix_IG_Pct*RWT_IG+Mix_HY_Pct*RWT_HY+Mix_MBS_Pct*RWT_MBS)*FRTB_Multiplier+(Open_Cash+Open_Reverse_Repo+Open_Receivables+Open_PPE-Open_Accum_Depr)*Credit_Risk_Weight)*Target_CET1))))</f>
        <v>597483.32</v>
      </c>
      <c r="D37" s="43" t="n">
        <f aca="false">MAX(0,MIN(D35*Dividend_Payout,MAX(0,Capital_Adequacy!C27)))</f>
        <v>2336534.7152</v>
      </c>
      <c r="E37" s="43" t="n">
        <f aca="false">MAX(0,MIN(E35*Dividend_Payout,MAX(0,Capital_Adequacy!D27)))</f>
        <v>0</v>
      </c>
      <c r="F37" s="43" t="n">
        <f aca="false">MAX(0,MIN(F35*Dividend_Payout,MAX(0,Capital_Adequacy!E27)))</f>
        <v>4975556.73538672</v>
      </c>
      <c r="G37" s="43" t="n">
        <f aca="false">MAX(0,MIN(G35*Dividend_Payout,MAX(0,Capital_Adequacy!F27)))</f>
        <v>0</v>
      </c>
    </row>
    <row r="38" customFormat="false" ht="15" hidden="false" customHeight="false" outlineLevel="0" collapsed="false">
      <c r="B38" s="22" t="s">
        <v>311</v>
      </c>
      <c r="C38" s="43" t="n">
        <f aca="false">C35-C37</f>
        <v>1109611.88</v>
      </c>
      <c r="D38" s="43" t="n">
        <f aca="false">D35-D37</f>
        <v>4339278.7568</v>
      </c>
      <c r="E38" s="43" t="n">
        <f aca="false">E35-E37</f>
        <v>-19802099.692</v>
      </c>
      <c r="F38" s="43" t="n">
        <f aca="false">F35-F37</f>
        <v>9240319.65143248</v>
      </c>
      <c r="G38" s="43" t="n">
        <f aca="false">G35-G37</f>
        <v>-1014394.99283119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B2:G3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2" customFormat="false" ht="25.5" hidden="false" customHeight="true" outlineLevel="0" collapsed="false">
      <c r="B2" s="36" t="s">
        <v>312</v>
      </c>
      <c r="C2" s="37"/>
      <c r="D2" s="37"/>
      <c r="E2" s="37"/>
      <c r="F2" s="37"/>
      <c r="G2" s="37"/>
    </row>
    <row r="3" customFormat="false" ht="15" hidden="false" customHeight="false" outlineLevel="0" collapsed="false">
      <c r="B3" s="24" t="s">
        <v>17</v>
      </c>
    </row>
    <row r="6" customFormat="false" ht="15" hidden="false" customHeight="false" outlineLevel="0" collapsed="false">
      <c r="B6" s="38"/>
      <c r="C6" s="39" t="n">
        <f aca="false">Model_Start_Year+0</f>
        <v>2026</v>
      </c>
      <c r="D6" s="39" t="n">
        <f aca="false">Model_Start_Year+1</f>
        <v>2027</v>
      </c>
      <c r="E6" s="39" t="n">
        <f aca="false">Model_Start_Year+2</f>
        <v>2028</v>
      </c>
      <c r="F6" s="39" t="n">
        <f aca="false">Model_Start_Year+3</f>
        <v>2029</v>
      </c>
      <c r="G6" s="39" t="n">
        <f aca="false">Model_Start_Year+4</f>
        <v>2030</v>
      </c>
    </row>
    <row r="7" customFormat="false" ht="15" hidden="false" customHeight="false" outlineLevel="0" collapsed="false">
      <c r="B7" s="24" t="s">
        <v>238</v>
      </c>
      <c r="C7" s="40" t="n">
        <f aca="false">COLUMN()-2</f>
        <v>1</v>
      </c>
      <c r="D7" s="40" t="n">
        <f aca="false">COLUMN()-2</f>
        <v>2</v>
      </c>
      <c r="E7" s="40" t="n">
        <f aca="false">COLUMN()-2</f>
        <v>3</v>
      </c>
      <c r="F7" s="40" t="n">
        <f aca="false">COLUMN()-2</f>
        <v>4</v>
      </c>
      <c r="G7" s="40" t="n">
        <f aca="false">COLUMN()-2</f>
        <v>5</v>
      </c>
    </row>
    <row r="9" customFormat="false" ht="15" hidden="false" customHeight="false" outlineLevel="0" collapsed="false">
      <c r="B9" s="41" t="s">
        <v>313</v>
      </c>
      <c r="C9" s="17"/>
      <c r="D9" s="17"/>
      <c r="E9" s="17"/>
      <c r="F9" s="17"/>
      <c r="G9" s="17"/>
    </row>
    <row r="10" customFormat="false" ht="15" hidden="false" customHeight="false" outlineLevel="0" collapsed="false">
      <c r="B10" s="42" t="s">
        <v>314</v>
      </c>
      <c r="C10" s="43" t="n">
        <f aca="false">CF_Closing_Cash</f>
        <v>69582940.7514937</v>
      </c>
      <c r="D10" s="43" t="n">
        <f aca="false">CF_Closing_Cash</f>
        <v>64698825.9255149</v>
      </c>
      <c r="E10" s="43" t="n">
        <f aca="false">CF_Closing_Cash</f>
        <v>30738841.1234406</v>
      </c>
      <c r="F10" s="43" t="n">
        <f aca="false">CF_Closing_Cash</f>
        <v>34934082.9132626</v>
      </c>
      <c r="G10" s="43" t="n">
        <f aca="false">CF_Closing_Cash</f>
        <v>19423614.6026861</v>
      </c>
    </row>
    <row r="11" customFormat="false" ht="15" hidden="false" customHeight="false" outlineLevel="0" collapsed="false">
      <c r="B11" s="42" t="s">
        <v>194</v>
      </c>
      <c r="C11" s="43" t="n">
        <f aca="false">Open_Trading_Assets*(1+Volume_Growth)^C7</f>
        <v>530000000</v>
      </c>
      <c r="D11" s="43" t="n">
        <f aca="false">Open_Trading_Assets*(1+Volume_Growth)^D7</f>
        <v>561800000</v>
      </c>
      <c r="E11" s="43" t="n">
        <f aca="false">Open_Trading_Assets*(1+Volume_Growth)^E7</f>
        <v>595508000</v>
      </c>
      <c r="F11" s="43" t="n">
        <f aca="false">Open_Trading_Assets*(1+Volume_Growth)^F7</f>
        <v>631238480</v>
      </c>
      <c r="G11" s="43" t="n">
        <f aca="false">Open_Trading_Assets*(1+Volume_Growth)^G7</f>
        <v>669112788.8</v>
      </c>
    </row>
    <row r="12" customFormat="false" ht="15" hidden="false" customHeight="false" outlineLevel="0" collapsed="false">
      <c r="B12" s="42" t="s">
        <v>196</v>
      </c>
      <c r="C12" s="43" t="n">
        <f aca="false">Open_Reverse_Repo*(1+Volume_Growth)^C7</f>
        <v>31800000</v>
      </c>
      <c r="D12" s="43" t="n">
        <f aca="false">Open_Reverse_Repo*(1+Volume_Growth)^D7</f>
        <v>33708000</v>
      </c>
      <c r="E12" s="43" t="n">
        <f aca="false">Open_Reverse_Repo*(1+Volume_Growth)^E7</f>
        <v>35730480</v>
      </c>
      <c r="F12" s="43" t="n">
        <f aca="false">Open_Reverse_Repo*(1+Volume_Growth)^F7</f>
        <v>37874308.8</v>
      </c>
      <c r="G12" s="43" t="n">
        <f aca="false">Open_Reverse_Repo*(1+Volume_Growth)^G7</f>
        <v>40146767.328</v>
      </c>
    </row>
    <row r="13" customFormat="false" ht="15" hidden="false" customHeight="false" outlineLevel="0" collapsed="false">
      <c r="B13" s="42" t="s">
        <v>198</v>
      </c>
      <c r="C13" s="43" t="n">
        <f aca="false">(RB_Client_Volume/Trading_Days)*T_Plus_Days</f>
        <v>95238095.2380952</v>
      </c>
      <c r="D13" s="43" t="n">
        <f aca="false">(RB_Client_Volume/Trading_Days)*T_Plus_Days</f>
        <v>100952380.952381</v>
      </c>
      <c r="E13" s="43" t="n">
        <f aca="false">(RB_Client_Volume/Trading_Days)*T_Plus_Days</f>
        <v>107009523.809524</v>
      </c>
      <c r="F13" s="43" t="n">
        <f aca="false">(RB_Client_Volume/Trading_Days)*T_Plus_Days</f>
        <v>113430095.238095</v>
      </c>
      <c r="G13" s="43" t="n">
        <f aca="false">(RB_Client_Volume/Trading_Days)*T_Plus_Days</f>
        <v>120235900.952381</v>
      </c>
    </row>
    <row r="14" customFormat="false" ht="15" hidden="false" customHeight="false" outlineLevel="0" collapsed="false">
      <c r="B14" s="48" t="s">
        <v>315</v>
      </c>
      <c r="C14" s="47" t="n">
        <f aca="false">SUM(C10:C13)</f>
        <v>726621035.989589</v>
      </c>
      <c r="D14" s="47" t="n">
        <f aca="false">SUM(D10:D13)</f>
        <v>761159206.877896</v>
      </c>
      <c r="E14" s="47" t="n">
        <f aca="false">SUM(E10:E13)</f>
        <v>768986844.932964</v>
      </c>
      <c r="F14" s="47" t="n">
        <f aca="false">SUM(F10:F13)</f>
        <v>817476966.951358</v>
      </c>
      <c r="G14" s="47" t="n">
        <f aca="false">SUM(G10:G13)</f>
        <v>848919071.683067</v>
      </c>
    </row>
    <row r="16" customFormat="false" ht="15" hidden="false" customHeight="false" outlineLevel="0" collapsed="false">
      <c r="B16" s="42" t="s">
        <v>200</v>
      </c>
      <c r="C16" s="43" t="n">
        <f aca="false">Open_PPE+(IS_Net_Trading_Rev*Capex_Pct)</f>
        <v>13235200</v>
      </c>
      <c r="D16" s="43" t="n">
        <f aca="false">C16+(IS_Net_Trading_Rev*Capex_Pct)</f>
        <v>17028512</v>
      </c>
      <c r="E16" s="43" t="n">
        <f aca="false">D16+(IS_Net_Trading_Rev*Capex_Pct)</f>
        <v>19189422.72</v>
      </c>
      <c r="F16" s="43" t="n">
        <f aca="false">E16+(IS_Net_Trading_Rev*Capex_Pct)</f>
        <v>23927988.0832</v>
      </c>
      <c r="G16" s="43" t="n">
        <f aca="false">F16+(IS_Net_Trading_Rev*Capex_Pct)</f>
        <v>27654867.368192</v>
      </c>
    </row>
    <row r="17" customFormat="false" ht="15" hidden="false" customHeight="false" outlineLevel="0" collapsed="false">
      <c r="B17" s="42" t="s">
        <v>202</v>
      </c>
      <c r="C17" s="43" t="n">
        <f aca="false">Open_Accum_Depr+IS_Depr</f>
        <v>5523520</v>
      </c>
      <c r="D17" s="43" t="n">
        <f aca="false">C17+IS_Depr</f>
        <v>7445187.2</v>
      </c>
      <c r="E17" s="43" t="n">
        <f aca="false">D17+IS_Depr</f>
        <v>9577943.232</v>
      </c>
      <c r="F17" s="43" t="n">
        <f aca="false">E17+IS_Depr</f>
        <v>11974095.66592</v>
      </c>
      <c r="G17" s="43" t="n">
        <f aca="false">F17+IS_Depr</f>
        <v>14737562.0778752</v>
      </c>
    </row>
    <row r="18" customFormat="false" ht="15" hidden="false" customHeight="false" outlineLevel="0" collapsed="false">
      <c r="B18" s="42" t="s">
        <v>316</v>
      </c>
      <c r="C18" s="43" t="n">
        <f aca="false">C16-C17</f>
        <v>7711680</v>
      </c>
      <c r="D18" s="43" t="n">
        <f aca="false">D16-D17</f>
        <v>9583324.8</v>
      </c>
      <c r="E18" s="43" t="n">
        <f aca="false">E16-E17</f>
        <v>9611479.488</v>
      </c>
      <c r="F18" s="43" t="n">
        <f aca="false">F16-F17</f>
        <v>11953892.41728</v>
      </c>
      <c r="G18" s="43" t="n">
        <f aca="false">G16-G17</f>
        <v>12917305.2903168</v>
      </c>
    </row>
    <row r="20" customFormat="false" ht="15" hidden="false" customHeight="false" outlineLevel="0" collapsed="false">
      <c r="B20" s="48" t="s">
        <v>317</v>
      </c>
      <c r="C20" s="49" t="n">
        <f aca="false">C14+C18</f>
        <v>734332715.989589</v>
      </c>
      <c r="D20" s="49" t="n">
        <f aca="false">D14+D18</f>
        <v>770742531.677896</v>
      </c>
      <c r="E20" s="49" t="n">
        <f aca="false">E14+E18</f>
        <v>778598324.420964</v>
      </c>
      <c r="F20" s="49" t="n">
        <f aca="false">F14+F18</f>
        <v>829430859.368638</v>
      </c>
      <c r="G20" s="49" t="n">
        <f aca="false">G14+G18</f>
        <v>861836376.973384</v>
      </c>
    </row>
    <row r="22" customFormat="false" ht="15" hidden="false" customHeight="false" outlineLevel="0" collapsed="false">
      <c r="B22" s="41" t="s">
        <v>318</v>
      </c>
      <c r="C22" s="17"/>
      <c r="D22" s="17"/>
      <c r="E22" s="17"/>
      <c r="F22" s="17"/>
      <c r="G22" s="17"/>
    </row>
    <row r="23" customFormat="false" ht="15" hidden="false" customHeight="false" outlineLevel="0" collapsed="false">
      <c r="B23" s="42" t="s">
        <v>203</v>
      </c>
      <c r="C23" s="43" t="n">
        <f aca="false">C11*(Mix_UST_Pct*(1-Haircut_UST)+Mix_IG_Pct*(1-Haircut_IG)+Mix_HY_Pct*(1-Haircut_HY)+Mix_MBS_Pct*(1-Haircut_MBS))</f>
        <v>508005000</v>
      </c>
      <c r="D23" s="43" t="n">
        <f aca="false">D11*(Mix_UST_Pct*(1-Haircut_UST)+Mix_IG_Pct*(1-Haircut_IG)+Mix_HY_Pct*(1-Haircut_HY)+Mix_MBS_Pct*(1-Haircut_MBS))</f>
        <v>538485300</v>
      </c>
      <c r="E23" s="43" t="n">
        <f aca="false">E11*(Mix_UST_Pct*(1-Haircut_UST)+Mix_IG_Pct*(1-Haircut_IG)+Mix_HY_Pct*(1-Haircut_HY)+Mix_MBS_Pct*(1-Haircut_MBS))</f>
        <v>570794418</v>
      </c>
      <c r="F23" s="43" t="n">
        <f aca="false">F11*(Mix_UST_Pct*(1-Haircut_UST)+Mix_IG_Pct*(1-Haircut_IG)+Mix_HY_Pct*(1-Haircut_HY)+Mix_MBS_Pct*(1-Haircut_MBS))</f>
        <v>605042083.08</v>
      </c>
      <c r="G23" s="43" t="n">
        <f aca="false">G11*(Mix_UST_Pct*(1-Haircut_UST)+Mix_IG_Pct*(1-Haircut_IG)+Mix_HY_Pct*(1-Haircut_HY)+Mix_MBS_Pct*(1-Haircut_MBS))</f>
        <v>641344608.0648</v>
      </c>
    </row>
    <row r="24" customFormat="false" ht="15" hidden="false" customHeight="false" outlineLevel="0" collapsed="false">
      <c r="B24" s="42" t="s">
        <v>205</v>
      </c>
      <c r="C24" s="43" t="n">
        <f aca="false">OC_Total_Noncomp*30/365</f>
        <v>1130104.10958904</v>
      </c>
      <c r="D24" s="43" t="n">
        <f aca="false">OC_Total_Noncomp*30/365</f>
        <v>1325061.04109589</v>
      </c>
      <c r="E24" s="43" t="n">
        <f aca="false">OC_Total_Noncomp*30/365</f>
        <v>754838.676164384</v>
      </c>
      <c r="F24" s="43" t="n">
        <f aca="false">OC_Total_Noncomp*30/365</f>
        <v>1655252.28440548</v>
      </c>
      <c r="G24" s="43" t="n">
        <f aca="false">OC_Total_Noncomp*30/365</f>
        <v>1301855.09270269</v>
      </c>
    </row>
    <row r="25" customFormat="false" ht="15" hidden="false" customHeight="false" outlineLevel="0" collapsed="false">
      <c r="B25" s="42" t="s">
        <v>206</v>
      </c>
      <c r="C25" s="43" t="n">
        <f aca="false">OC_Bonus_Pool*0.5</f>
        <v>8088000</v>
      </c>
      <c r="D25" s="43" t="n">
        <f aca="false">OC_Bonus_Pool*0.5</f>
        <v>9483280</v>
      </c>
      <c r="E25" s="43" t="n">
        <f aca="false">OC_Bonus_Pool*0.5</f>
        <v>5402276.8</v>
      </c>
      <c r="F25" s="43" t="n">
        <f aca="false">OC_Bonus_Pool*0.5</f>
        <v>11846413.408</v>
      </c>
      <c r="G25" s="43" t="n">
        <f aca="false">OC_Bonus_Pool*0.5</f>
        <v>9317198.21248</v>
      </c>
    </row>
    <row r="26" customFormat="false" ht="15" hidden="false" customHeight="false" outlineLevel="0" collapsed="false">
      <c r="B26" s="48" t="s">
        <v>319</v>
      </c>
      <c r="C26" s="47" t="n">
        <f aca="false">C23+C24+C25</f>
        <v>517223104.109589</v>
      </c>
      <c r="D26" s="47" t="n">
        <f aca="false">D23+D24+D25</f>
        <v>549293641.041096</v>
      </c>
      <c r="E26" s="47" t="n">
        <f aca="false">E23+E24+E25</f>
        <v>576951533.476164</v>
      </c>
      <c r="F26" s="47" t="n">
        <f aca="false">F23+F24+F25</f>
        <v>618543748.772406</v>
      </c>
      <c r="G26" s="47" t="n">
        <f aca="false">G23+G24+G25</f>
        <v>651963661.369983</v>
      </c>
    </row>
    <row r="28" customFormat="false" ht="15" hidden="false" customHeight="false" outlineLevel="0" collapsed="false">
      <c r="B28" s="42" t="s">
        <v>208</v>
      </c>
      <c r="C28" s="43" t="n">
        <f aca="false">Open_Corp_Debt+Debt_New_Issuance-IF(C7=Debt_Term_Years,Open_Corp_Debt+Debt_New_Issuance,0)</f>
        <v>110000000</v>
      </c>
      <c r="D28" s="43" t="n">
        <f aca="false">C28-IF(D7=Debt_Term_Years,C28,0)</f>
        <v>110000000</v>
      </c>
      <c r="E28" s="43" t="n">
        <f aca="false">D28-IF(E7=Debt_Term_Years,D28,0)</f>
        <v>110000000</v>
      </c>
      <c r="F28" s="43" t="n">
        <f aca="false">E28-IF(F7=Debt_Term_Years,E28,0)</f>
        <v>110000000</v>
      </c>
      <c r="G28" s="43" t="n">
        <f aca="false">F28-IF(G7=Debt_Term_Years,F28,0)</f>
        <v>110000000</v>
      </c>
    </row>
    <row r="29" customFormat="false" ht="15" hidden="false" customHeight="false" outlineLevel="0" collapsed="false">
      <c r="B29" s="48" t="s">
        <v>320</v>
      </c>
      <c r="C29" s="47" t="n">
        <f aca="false">C26+C28</f>
        <v>627223104.109589</v>
      </c>
      <c r="D29" s="47" t="n">
        <f aca="false">D26+D28</f>
        <v>659293641.041096</v>
      </c>
      <c r="E29" s="47" t="n">
        <f aca="false">E26+E28</f>
        <v>686951533.476164</v>
      </c>
      <c r="F29" s="47" t="n">
        <f aca="false">F26+F28</f>
        <v>728543748.772406</v>
      </c>
      <c r="G29" s="47" t="n">
        <f aca="false">G26+G28</f>
        <v>761963661.369983</v>
      </c>
    </row>
    <row r="31" customFormat="false" ht="15" hidden="false" customHeight="false" outlineLevel="0" collapsed="false">
      <c r="B31" s="41" t="s">
        <v>321</v>
      </c>
      <c r="C31" s="17"/>
      <c r="D31" s="17"/>
      <c r="E31" s="17"/>
      <c r="F31" s="17"/>
      <c r="G31" s="17"/>
    </row>
    <row r="32" customFormat="false" ht="15" hidden="false" customHeight="false" outlineLevel="0" collapsed="false">
      <c r="B32" s="42" t="s">
        <v>210</v>
      </c>
      <c r="C32" s="43" t="n">
        <f aca="false">Open_Share_Capital</f>
        <v>40000000</v>
      </c>
      <c r="D32" s="43" t="n">
        <f aca="false">Open_Share_Capital</f>
        <v>40000000</v>
      </c>
      <c r="E32" s="43" t="n">
        <f aca="false">Open_Share_Capital</f>
        <v>40000000</v>
      </c>
      <c r="F32" s="43" t="n">
        <f aca="false">Open_Share_Capital</f>
        <v>40000000</v>
      </c>
      <c r="G32" s="43" t="n">
        <f aca="false">Open_Share_Capital</f>
        <v>40000000</v>
      </c>
    </row>
    <row r="33" customFormat="false" ht="15" hidden="false" customHeight="false" outlineLevel="0" collapsed="false">
      <c r="B33" s="42" t="s">
        <v>212</v>
      </c>
      <c r="C33" s="43" t="n">
        <f aca="false">Open_Ret_Earnings+IS_Retained</f>
        <v>67109611.88</v>
      </c>
      <c r="D33" s="43" t="n">
        <f aca="false">C33+IS_Retained</f>
        <v>71448890.6368</v>
      </c>
      <c r="E33" s="43" t="n">
        <f aca="false">D33+IS_Retained</f>
        <v>51646790.9448</v>
      </c>
      <c r="F33" s="43" t="n">
        <f aca="false">E33+IS_Retained</f>
        <v>60887110.5962325</v>
      </c>
      <c r="G33" s="43" t="n">
        <f aca="false">F33+IS_Retained</f>
        <v>59872715.6034013</v>
      </c>
    </row>
    <row r="34" customFormat="false" ht="15" hidden="false" customHeight="false" outlineLevel="0" collapsed="false">
      <c r="B34" s="48" t="s">
        <v>322</v>
      </c>
      <c r="C34" s="47" t="n">
        <f aca="false">C32+C33</f>
        <v>107109611.88</v>
      </c>
      <c r="D34" s="47" t="n">
        <f aca="false">D32+D33</f>
        <v>111448890.6368</v>
      </c>
      <c r="E34" s="47" t="n">
        <f aca="false">E32+E33</f>
        <v>91646790.9448</v>
      </c>
      <c r="F34" s="47" t="n">
        <f aca="false">F32+F33</f>
        <v>100887110.596232</v>
      </c>
      <c r="G34" s="47" t="n">
        <f aca="false">G32+G33</f>
        <v>99872715.6034013</v>
      </c>
    </row>
    <row r="36" customFormat="false" ht="15" hidden="false" customHeight="false" outlineLevel="0" collapsed="false">
      <c r="B36" s="48" t="s">
        <v>323</v>
      </c>
      <c r="C36" s="49" t="n">
        <f aca="false">C29+C34</f>
        <v>734332715.989589</v>
      </c>
      <c r="D36" s="49" t="n">
        <f aca="false">D29+D34</f>
        <v>770742531.677896</v>
      </c>
      <c r="E36" s="49" t="n">
        <f aca="false">E29+E34</f>
        <v>778598324.420964</v>
      </c>
      <c r="F36" s="49" t="n">
        <f aca="false">F29+F34</f>
        <v>829430859.368638</v>
      </c>
      <c r="G36" s="49" t="n">
        <f aca="false">G29+G34</f>
        <v>861836376.973384</v>
      </c>
    </row>
    <row r="38" customFormat="false" ht="15" hidden="false" customHeight="false" outlineLevel="0" collapsed="false">
      <c r="B38" s="22" t="s">
        <v>324</v>
      </c>
      <c r="C38" s="51" t="n">
        <f aca="false">C20-C36</f>
        <v>0</v>
      </c>
      <c r="D38" s="51" t="n">
        <f aca="false">D20-D36</f>
        <v>0</v>
      </c>
      <c r="E38" s="51" t="n">
        <f aca="false">E20-E36</f>
        <v>0</v>
      </c>
      <c r="F38" s="51" t="n">
        <f aca="false">F20-F36</f>
        <v>0</v>
      </c>
      <c r="G38" s="51" t="n">
        <f aca="false">G20-G36</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00000"/>
    <pageSetUpPr fitToPage="false"/>
  </sheetPr>
  <dimension ref="B2:G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2"/>
    <col collapsed="false" customWidth="true" hidden="false" outlineLevel="0" max="7" min="3" style="0" width="18"/>
  </cols>
  <sheetData>
    <row r="2" customFormat="false" ht="25.5" hidden="false" customHeight="true" outlineLevel="0" collapsed="false">
      <c r="B2" s="36" t="s">
        <v>325</v>
      </c>
      <c r="C2" s="37"/>
      <c r="D2" s="37"/>
      <c r="E2" s="37"/>
      <c r="F2" s="37"/>
      <c r="G2" s="37"/>
    </row>
    <row r="3" customFormat="false" ht="15" hidden="false" customHeight="false" outlineLevel="0" collapsed="false">
      <c r="B3" s="24" t="s">
        <v>326</v>
      </c>
    </row>
    <row r="6" customFormat="false" ht="15" hidden="false" customHeight="false" outlineLevel="0" collapsed="false">
      <c r="B6" s="38"/>
      <c r="C6" s="39" t="n">
        <f aca="false">Model_Start_Year+0</f>
        <v>2026</v>
      </c>
      <c r="D6" s="39" t="n">
        <f aca="false">Model_Start_Year+1</f>
        <v>2027</v>
      </c>
      <c r="E6" s="39" t="n">
        <f aca="false">Model_Start_Year+2</f>
        <v>2028</v>
      </c>
      <c r="F6" s="39" t="n">
        <f aca="false">Model_Start_Year+3</f>
        <v>2029</v>
      </c>
      <c r="G6" s="39" t="n">
        <f aca="false">Model_Start_Year+4</f>
        <v>2030</v>
      </c>
    </row>
    <row r="7" customFormat="false" ht="15" hidden="false" customHeight="false" outlineLevel="0" collapsed="false">
      <c r="B7" s="24" t="s">
        <v>238</v>
      </c>
      <c r="C7" s="40" t="n">
        <f aca="false">COLUMN()-2</f>
        <v>1</v>
      </c>
      <c r="D7" s="40" t="n">
        <f aca="false">COLUMN()-2</f>
        <v>2</v>
      </c>
      <c r="E7" s="40" t="n">
        <f aca="false">COLUMN()-2</f>
        <v>3</v>
      </c>
      <c r="F7" s="40" t="n">
        <f aca="false">COLUMN()-2</f>
        <v>4</v>
      </c>
      <c r="G7" s="40" t="n">
        <f aca="false">COLUMN()-2</f>
        <v>5</v>
      </c>
    </row>
    <row r="9" customFormat="false" ht="15" hidden="false" customHeight="false" outlineLevel="0" collapsed="false">
      <c r="B9" s="41" t="s">
        <v>327</v>
      </c>
      <c r="C9" s="17"/>
      <c r="D9" s="17"/>
      <c r="E9" s="17"/>
      <c r="F9" s="17"/>
      <c r="G9" s="17"/>
    </row>
    <row r="10" customFormat="false" ht="15" hidden="false" customHeight="false" outlineLevel="0" collapsed="false">
      <c r="B10" s="42" t="s">
        <v>194</v>
      </c>
      <c r="C10" s="43" t="n">
        <f aca="false">BS_Trading_Assets</f>
        <v>530000000</v>
      </c>
      <c r="D10" s="43" t="n">
        <f aca="false">BS_Trading_Assets</f>
        <v>561800000</v>
      </c>
      <c r="E10" s="43" t="n">
        <f aca="false">BS_Trading_Assets</f>
        <v>595508000</v>
      </c>
      <c r="F10" s="43" t="n">
        <f aca="false">BS_Trading_Assets</f>
        <v>631238480</v>
      </c>
      <c r="G10" s="43" t="n">
        <f aca="false">BS_Trading_Assets</f>
        <v>669112788.8</v>
      </c>
    </row>
    <row r="11" customFormat="false" ht="15" hidden="false" customHeight="false" outlineLevel="0" collapsed="false">
      <c r="B11" s="42" t="s">
        <v>328</v>
      </c>
      <c r="C11" s="45" t="n">
        <f aca="false">Mix_UST_Pct*RWT_UST+Mix_IG_Pct*RWT_IG+Mix_HY_Pct*RWT_HY+Mix_MBS_Pct*RWT_MBS</f>
        <v>0.04</v>
      </c>
      <c r="D11" s="45" t="n">
        <f aca="false">Mix_UST_Pct*RWT_UST+Mix_IG_Pct*RWT_IG+Mix_HY_Pct*RWT_HY+Mix_MBS_Pct*RWT_MBS</f>
        <v>0.04</v>
      </c>
      <c r="E11" s="45" t="n">
        <f aca="false">Mix_UST_Pct*RWT_UST+Mix_IG_Pct*RWT_IG+Mix_HY_Pct*RWT_HY+Mix_MBS_Pct*RWT_MBS</f>
        <v>0.04</v>
      </c>
      <c r="F11" s="45" t="n">
        <f aca="false">Mix_UST_Pct*RWT_UST+Mix_IG_Pct*RWT_IG+Mix_HY_Pct*RWT_HY+Mix_MBS_Pct*RWT_MBS</f>
        <v>0.04</v>
      </c>
      <c r="G11" s="45" t="n">
        <f aca="false">Mix_UST_Pct*RWT_UST+Mix_IG_Pct*RWT_IG+Mix_HY_Pct*RWT_HY+Mix_MBS_Pct*RWT_MBS</f>
        <v>0.04</v>
      </c>
    </row>
    <row r="12" customFormat="false" ht="15" hidden="false" customHeight="false" outlineLevel="0" collapsed="false">
      <c r="B12" s="42" t="s">
        <v>329</v>
      </c>
      <c r="C12" s="43" t="n">
        <f aca="false">C10*C11*FRTB_Multiplier</f>
        <v>466400000</v>
      </c>
      <c r="D12" s="43" t="n">
        <f aca="false">D10*D11*FRTB_Multiplier</f>
        <v>494384000</v>
      </c>
      <c r="E12" s="43" t="n">
        <f aca="false">E10*E11*FRTB_Multiplier</f>
        <v>524047040</v>
      </c>
      <c r="F12" s="43" t="n">
        <f aca="false">F10*F11*FRTB_Multiplier</f>
        <v>555489862.4</v>
      </c>
      <c r="G12" s="43" t="n">
        <f aca="false">G10*G11*FRTB_Multiplier</f>
        <v>588819254.144</v>
      </c>
    </row>
    <row r="13" customFormat="false" ht="15" hidden="false" customHeight="false" outlineLevel="0" collapsed="false">
      <c r="B13" s="42" t="s">
        <v>330</v>
      </c>
      <c r="C13" s="43" t="n">
        <f aca="false">BS_Total_Assets-BS_Trading_Assets</f>
        <v>204332715.989589</v>
      </c>
      <c r="D13" s="43" t="n">
        <f aca="false">BS_Total_Assets-BS_Trading_Assets</f>
        <v>208942531.677896</v>
      </c>
      <c r="E13" s="43" t="n">
        <f aca="false">BS_Total_Assets-BS_Trading_Assets</f>
        <v>183090324.420964</v>
      </c>
      <c r="F13" s="43" t="n">
        <f aca="false">BS_Total_Assets-BS_Trading_Assets</f>
        <v>198192379.368638</v>
      </c>
      <c r="G13" s="43" t="n">
        <f aca="false">BS_Total_Assets-BS_Trading_Assets</f>
        <v>192723588.173384</v>
      </c>
    </row>
    <row r="14" customFormat="false" ht="15" hidden="false" customHeight="false" outlineLevel="0" collapsed="false">
      <c r="B14" s="42" t="s">
        <v>172</v>
      </c>
      <c r="C14" s="45" t="n">
        <f aca="false">Credit_Risk_Weight</f>
        <v>0.5</v>
      </c>
      <c r="D14" s="45" t="n">
        <f aca="false">Credit_Risk_Weight</f>
        <v>0.5</v>
      </c>
      <c r="E14" s="45" t="n">
        <f aca="false">Credit_Risk_Weight</f>
        <v>0.5</v>
      </c>
      <c r="F14" s="45" t="n">
        <f aca="false">Credit_Risk_Weight</f>
        <v>0.5</v>
      </c>
      <c r="G14" s="45" t="n">
        <f aca="false">Credit_Risk_Weight</f>
        <v>0.5</v>
      </c>
    </row>
    <row r="15" customFormat="false" ht="15" hidden="false" customHeight="false" outlineLevel="0" collapsed="false">
      <c r="B15" s="42" t="s">
        <v>331</v>
      </c>
      <c r="C15" s="43" t="n">
        <f aca="false">C13*C14</f>
        <v>102166357.994794</v>
      </c>
      <c r="D15" s="43" t="n">
        <f aca="false">D13*D14</f>
        <v>104471265.838948</v>
      </c>
      <c r="E15" s="43" t="n">
        <f aca="false">E13*E14</f>
        <v>91545162.2104822</v>
      </c>
      <c r="F15" s="43" t="n">
        <f aca="false">F13*F14</f>
        <v>99096189.6843189</v>
      </c>
      <c r="G15" s="43" t="n">
        <f aca="false">G13*G14</f>
        <v>96361794.086692</v>
      </c>
    </row>
    <row r="16" customFormat="false" ht="15" hidden="false" customHeight="false" outlineLevel="0" collapsed="false">
      <c r="B16" s="42" t="s">
        <v>300</v>
      </c>
      <c r="C16" s="43" t="n">
        <f aca="false">IS_Gross_Revenue</f>
        <v>50280000</v>
      </c>
      <c r="D16" s="43" t="n">
        <f aca="false">IS_Gross_Revenue</f>
        <v>62792800</v>
      </c>
      <c r="E16" s="43" t="n">
        <f aca="false">IS_Gross_Revenue</f>
        <v>20456368</v>
      </c>
      <c r="F16" s="43" t="n">
        <f aca="false">IS_Gross_Revenue</f>
        <v>83279750.08</v>
      </c>
      <c r="G16" s="43" t="n">
        <f aca="false">IS_Gross_Revenue</f>
        <v>56272535.0848</v>
      </c>
    </row>
    <row r="17" customFormat="false" ht="15" hidden="false" customHeight="false" outlineLevel="0" collapsed="false">
      <c r="B17" s="42" t="s">
        <v>174</v>
      </c>
      <c r="C17" s="45" t="n">
        <f aca="false">OpRisk_Factor</f>
        <v>0.15</v>
      </c>
      <c r="D17" s="45" t="n">
        <f aca="false">OpRisk_Factor</f>
        <v>0.15</v>
      </c>
      <c r="E17" s="45" t="n">
        <f aca="false">OpRisk_Factor</f>
        <v>0.15</v>
      </c>
      <c r="F17" s="45" t="n">
        <f aca="false">OpRisk_Factor</f>
        <v>0.15</v>
      </c>
      <c r="G17" s="45" t="n">
        <f aca="false">OpRisk_Factor</f>
        <v>0.15</v>
      </c>
    </row>
    <row r="18" customFormat="false" ht="15" hidden="false" customHeight="false" outlineLevel="0" collapsed="false">
      <c r="B18" s="42" t="s">
        <v>332</v>
      </c>
      <c r="C18" s="43" t="n">
        <f aca="false">MAX(0,C16)*C17</f>
        <v>7542000</v>
      </c>
      <c r="D18" s="43" t="n">
        <f aca="false">MAX(0,D16)*D17</f>
        <v>9418920</v>
      </c>
      <c r="E18" s="43" t="n">
        <f aca="false">MAX(0,E16)*E17</f>
        <v>3068455.2</v>
      </c>
      <c r="F18" s="43" t="n">
        <f aca="false">MAX(0,F16)*F17</f>
        <v>12491962.512</v>
      </c>
      <c r="G18" s="43" t="n">
        <f aca="false">MAX(0,G16)*G17</f>
        <v>8440880.26272</v>
      </c>
    </row>
    <row r="19" customFormat="false" ht="15" hidden="false" customHeight="false" outlineLevel="0" collapsed="false">
      <c r="B19" s="48" t="s">
        <v>333</v>
      </c>
      <c r="C19" s="49" t="n">
        <f aca="false">C12+C15+C18</f>
        <v>576108357.994795</v>
      </c>
      <c r="D19" s="49" t="n">
        <f aca="false">D12+D15+D18</f>
        <v>608274185.838948</v>
      </c>
      <c r="E19" s="49" t="n">
        <f aca="false">E12+E15+E18</f>
        <v>618660657.410482</v>
      </c>
      <c r="F19" s="49" t="n">
        <f aca="false">F12+F15+F18</f>
        <v>667078014.596319</v>
      </c>
      <c r="G19" s="49" t="n">
        <f aca="false">G12+G15+G18</f>
        <v>693621928.493412</v>
      </c>
    </row>
    <row r="21" customFormat="false" ht="15" hidden="false" customHeight="false" outlineLevel="0" collapsed="false">
      <c r="B21" s="41" t="s">
        <v>334</v>
      </c>
      <c r="C21" s="17"/>
      <c r="D21" s="17"/>
      <c r="E21" s="17"/>
      <c r="F21" s="17"/>
      <c r="G21" s="17"/>
    </row>
    <row r="22" customFormat="false" ht="15" hidden="false" customHeight="false" outlineLevel="0" collapsed="false">
      <c r="B22" s="42" t="s">
        <v>322</v>
      </c>
      <c r="C22" s="43" t="n">
        <f aca="false">BS_Total_Equity</f>
        <v>107109611.88</v>
      </c>
      <c r="D22" s="43" t="n">
        <f aca="false">BS_Total_Equity</f>
        <v>111448890.6368</v>
      </c>
      <c r="E22" s="43" t="n">
        <f aca="false">BS_Total_Equity</f>
        <v>91646790.9448</v>
      </c>
      <c r="F22" s="43" t="n">
        <f aca="false">BS_Total_Equity</f>
        <v>100887110.596232</v>
      </c>
      <c r="G22" s="43" t="n">
        <f aca="false">BS_Total_Equity</f>
        <v>99872715.6034013</v>
      </c>
    </row>
    <row r="23" customFormat="false" ht="15" hidden="false" customHeight="false" outlineLevel="0" collapsed="false">
      <c r="B23" s="42" t="s">
        <v>335</v>
      </c>
      <c r="C23" s="43" t="n">
        <f aca="false">C22</f>
        <v>107109611.88</v>
      </c>
      <c r="D23" s="43" t="n">
        <f aca="false">D22</f>
        <v>111448890.6368</v>
      </c>
      <c r="E23" s="43" t="n">
        <f aca="false">E22</f>
        <v>91646790.9448</v>
      </c>
      <c r="F23" s="43" t="n">
        <f aca="false">F22</f>
        <v>100887110.596232</v>
      </c>
      <c r="G23" s="43" t="n">
        <f aca="false">G22</f>
        <v>99872715.6034013</v>
      </c>
    </row>
    <row r="24" customFormat="false" ht="15" hidden="false" customHeight="false" outlineLevel="0" collapsed="false">
      <c r="B24" s="42" t="s">
        <v>336</v>
      </c>
      <c r="C24" s="45" t="n">
        <f aca="false">IF(C19=0,0,C23/C19)</f>
        <v>0.185919211887163</v>
      </c>
      <c r="D24" s="45" t="n">
        <f aca="false">IF(D19=0,0,D23/D19)</f>
        <v>0.183221470237286</v>
      </c>
      <c r="E24" s="45" t="n">
        <f aca="false">IF(E19=0,0,E23/E19)</f>
        <v>0.148137415636553</v>
      </c>
      <c r="F24" s="45" t="n">
        <f aca="false">IF(F19=0,0,F23/F19)</f>
        <v>0.151237349138667</v>
      </c>
      <c r="G24" s="45" t="n">
        <f aca="false">IF(G19=0,0,G23/G19)</f>
        <v>0.143987252277809</v>
      </c>
    </row>
    <row r="25" customFormat="false" ht="15" hidden="false" customHeight="false" outlineLevel="0" collapsed="false">
      <c r="B25" s="42" t="s">
        <v>337</v>
      </c>
      <c r="C25" s="45" t="n">
        <f aca="false">Target_CET1</f>
        <v>0.12</v>
      </c>
      <c r="D25" s="45" t="n">
        <f aca="false">Target_CET1</f>
        <v>0.12</v>
      </c>
      <c r="E25" s="45" t="n">
        <f aca="false">Target_CET1</f>
        <v>0.12</v>
      </c>
      <c r="F25" s="45" t="n">
        <f aca="false">Target_CET1</f>
        <v>0.12</v>
      </c>
      <c r="G25" s="45" t="n">
        <f aca="false">Target_CET1</f>
        <v>0.12</v>
      </c>
    </row>
    <row r="26" customFormat="false" ht="15" hidden="false" customHeight="false" outlineLevel="0" collapsed="false">
      <c r="B26" s="42" t="s">
        <v>338</v>
      </c>
      <c r="C26" s="43" t="n">
        <f aca="false">C19*C25</f>
        <v>69133002.9593753</v>
      </c>
      <c r="D26" s="43" t="n">
        <f aca="false">D19*D25</f>
        <v>72992902.3006738</v>
      </c>
      <c r="E26" s="43" t="n">
        <f aca="false">E19*E25</f>
        <v>74239278.8892579</v>
      </c>
      <c r="F26" s="43" t="n">
        <f aca="false">F19*F25</f>
        <v>80049361.7515583</v>
      </c>
      <c r="G26" s="43" t="n">
        <f aca="false">G19*G25</f>
        <v>83234631.4192095</v>
      </c>
    </row>
    <row r="27" customFormat="false" ht="15" hidden="false" customHeight="false" outlineLevel="0" collapsed="false">
      <c r="B27" s="48" t="s">
        <v>339</v>
      </c>
      <c r="C27" s="47" t="n">
        <f aca="false">C23-C26</f>
        <v>37976608.9206247</v>
      </c>
      <c r="D27" s="47" t="n">
        <f aca="false">D23-D26</f>
        <v>38455988.3361262</v>
      </c>
      <c r="E27" s="47" t="n">
        <f aca="false">E23-E26</f>
        <v>17407512.0555421</v>
      </c>
      <c r="F27" s="47" t="n">
        <f aca="false">F23-F26</f>
        <v>20837748.8446742</v>
      </c>
      <c r="G27" s="47" t="n">
        <f aca="false">G23-G26</f>
        <v>16638084.1841918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2026-05-15T18:52:49Z</dcterms:created>
  <dc:creator>openpyxl</dc:creator>
  <dc:description/>
  <dc:language>en-GB</dc:language>
  <cp:lastModifiedBy/>
  <dcterms:modified xsi:type="dcterms:W3CDTF">2026-05-15T18:52:50Z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