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Investors" sheetId="3" state="visible" r:id="rId5"/>
    <sheet name="Monthly_Forecast" sheetId="4" state="visible" r:id="rId6"/>
    <sheet name="Bridge_Terms" sheetId="5" state="visible" r:id="rId7"/>
    <sheet name="Cap_Table" sheetId="6" state="visible" r:id="rId8"/>
    <sheet name="Balance_Sheet" sheetId="7" state="visible" r:id="rId9"/>
    <sheet name="Runway_Analysis" sheetId="8" state="visible" r:id="rId10"/>
    <sheet name="Checks" sheetId="9" state="visible" r:id="rId11"/>
    <sheet name="Disclaimer" sheetId="10" state="visible" r:id="rId12"/>
  </sheets>
  <definedNames>
    <definedName function="false" hidden="false" name="Avg_Salary" vbProcedure="false">Assumptions!$C$28</definedName>
    <definedName function="false" hidden="false" name="Benefits_Pct" vbProcedure="false">Assumptions!$C$29</definedName>
    <definedName function="false" hidden="false" name="Bridge_Discount" vbProcedure="false">Assumptions!$C$42</definedName>
    <definedName function="false" hidden="false" name="Bridge_Interest" vbProcedure="false">Assumptions!$C$40</definedName>
    <definedName function="false" hidden="false" name="Bridge_IRR_Base" vbProcedure="false">Cap_Table!$C$29</definedName>
    <definedName function="false" hidden="false" name="Bridge_Maturity" vbProcedure="false">Assumptions!$C$41</definedName>
    <definedName function="false" hidden="false" name="Bridge_Total_Amount" vbProcedure="false">Investors!$C$19</definedName>
    <definedName function="false" hidden="false" name="Bridge_Total_ConvShares" vbProcedure="false">Investors!$G$19</definedName>
    <definedName function="false" hidden="false" name="Bridge_Total_MatVal" vbProcedure="false">Investors!$E$19</definedName>
    <definedName function="false" hidden="false" name="Bridge_Val_Cap" vbProcedure="false">Assumptions!$C$43</definedName>
    <definedName function="false" hidden="false" name="Cash_Gap" vbProcedure="false">Runway_Analysis!$AC$8</definedName>
    <definedName function="false" hidden="false" name="Churn_Rate" vbProcedure="false">Assumptions!$C$24</definedName>
    <definedName function="false" hidden="false" name="Convert_Toggle" vbProcedure="false">Assumptions!$C$39</definedName>
    <definedName function="false" hidden="false" name="Currency" vbProcedure="false">Assumptions!$C$11</definedName>
    <definedName function="false" hidden="false" name="Current_ARR" vbProcedure="false">Assumptions!$C$16</definedName>
    <definedName function="false" hidden="false" name="Current_Cash" vbProcedure="false">Assumptions!$C$14</definedName>
    <definedName function="false" hidden="false" name="Current_Headcount" vbProcedure="false">Assumptions!$C$17</definedName>
    <definedName function="false" hidden="false" name="Current_MRR" vbProcedure="false">Assumptions!$C$15</definedName>
    <definedName function="false" hidden="false" name="ESOP_Shares" vbProcedure="false">Assumptions!$C$47</definedName>
    <definedName function="false" hidden="false" name="ESOP_Topup_Target_Pct" vbProcedure="false">Assumptions!$C$50</definedName>
    <definedName function="false" hidden="false" name="Founders_Shares" vbProcedure="false">Assumptions!$C$46</definedName>
    <definedName function="false" hidden="false" name="Founder_Dil_Bridge_Only_PP" vbProcedure="false">Cap_Table!$G$25</definedName>
    <definedName function="false" hidden="false" name="Founder_Pct_Post" vbProcedure="false">Cap_Table!$D$15</definedName>
    <definedName function="false" hidden="false" name="GA_Monthly" vbProcedure="false">Assumptions!$C$35</definedName>
    <definedName function="false" hidden="false" name="Hire_Pace" vbProcedure="false">Assumptions!$C$30</definedName>
    <definedName function="false" hidden="false" name="Hosting_Base" vbProcedure="false">Assumptions!$C$32</definedName>
    <definedName function="false" hidden="false" name="Hosting_Var_Pct" vbProcedure="false">Assumptions!$C$33</definedName>
    <definedName function="false" hidden="false" name="Instrument_Type" vbProcedure="false">Assumptions!$C$38</definedName>
    <definedName function="false" hidden="false" name="Inv_Amounts" vbProcedure="false">Investors!$C$7:$C$10</definedName>
    <definedName function="false" hidden="false" name="Inv_CloseMonths" vbProcedure="false">Investors!$F$7:$F$10</definedName>
    <definedName function="false" hidden="false" name="Inv_Repay_Vals" vbProcedure="false">Investors!$H$15:$H$18</definedName>
    <definedName function="false" hidden="false" name="Live_Conv_Shares_Tot" vbProcedure="false">Bridge_Terms!$D$31</definedName>
    <definedName function="false" hidden="false" name="Live_Effective_PPS" vbProcedure="false">Bridge_Terms!$D$29</definedName>
    <definedName function="false" hidden="false" name="Marketing_Pct" vbProcedure="false">Assumptions!$C$34</definedName>
    <definedName function="false" hidden="false" name="Min_Cash_Threshold" vbProcedure="false">Assumptions!$C$56</definedName>
    <definedName function="false" hidden="false" name="Model_Start" vbProcedure="false">Assumptions!$C$9</definedName>
    <definedName function="false" hidden="false" name="MRR_Growth_M13_18" vbProcedure="false">Assumptions!$C$22</definedName>
    <definedName function="false" hidden="false" name="MRR_Growth_M19_24" vbProcedure="false">Assumptions!$C$23</definedName>
    <definedName function="false" hidden="false" name="MRR_Growth_M1_6" vbProcedure="false">Assumptions!$C$20</definedName>
    <definedName function="false" hidden="false" name="MRR_Growth_M7_12" vbProcedure="false">Assumptions!$C$21</definedName>
    <definedName function="false" hidden="false" name="Next_Round_Month" vbProcedure="false">Assumptions!$C$55</definedName>
    <definedName function="false" hidden="false" name="Next_Round_Premoney" vbProcedure="false">Assumptions!$C$53</definedName>
    <definedName function="false" hidden="false" name="Next_Round_Raise" vbProcedure="false">Assumptions!$C$54</definedName>
    <definedName function="false" hidden="false" name="Other_Rev_Pct" vbProcedure="false">Assumptions!$C$25</definedName>
    <definedName function="false" hidden="false" name="Projection_Months" vbProcedure="false">Assumptions!$C$10</definedName>
    <definedName function="false" hidden="false" name="Runway_Cap_Months" vbProcedure="false">Runway_Analysis!$AB$6</definedName>
    <definedName function="false" hidden="false" name="Runway_No_Bridge" vbProcedure="false">Runway_Analysis!$AC$7</definedName>
    <definedName function="false" hidden="false" name="Runway_With_Bridge" vbProcedure="false">Runway_Analysis!$AC$6</definedName>
    <definedName function="false" hidden="false" name="Salary_Escalation" vbProcedure="false">Assumptions!$C$31</definedName>
    <definedName function="false" hidden="false" name="Seed_Shares" vbProcedure="false">Assumptions!$C$48</definedName>
    <definedName function="false" hidden="false" name="Total_Pre_Shares" vbProcedure="false">Assumptions!$C$49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<sst xmlns="http://schemas.openxmlformats.org/spreadsheetml/2006/main" count="356" uniqueCount="296">
  <si>
    <t xml:space="preserve">Bridge Round Model</t>
  </si>
  <si>
    <t xml:space="preserve">FINAMODEL.com</t>
  </si>
  <si>
    <t xml:space="preserve">Convertible Note / SAFE Analysis</t>
  </si>
  <si>
    <t xml:space="preserve">Sheet Guide</t>
  </si>
  <si>
    <t xml:space="preserve">Cover</t>
  </si>
  <si>
    <t xml:space="preserve">Title and headline outputs</t>
  </si>
  <si>
    <t xml:space="preserve">Assumptions</t>
  </si>
  <si>
    <t xml:space="preserve">All model parameters</t>
  </si>
  <si>
    <t xml:space="preserve">Investors</t>
  </si>
  <si>
    <t xml:space="preserve">Per-investor bridge tranches</t>
  </si>
  <si>
    <t xml:space="preserve">Monthly_Forecast</t>
  </si>
  <si>
    <t xml:space="preserve">24-month P&amp;L and cash flow</t>
  </si>
  <si>
    <t xml:space="preserve">Bridge_Terms</t>
  </si>
  <si>
    <t xml:space="preserve">Conversion mechanics + scenarios</t>
  </si>
  <si>
    <t xml:space="preserve">Cap_Table</t>
  </si>
  <si>
    <t xml:space="preserve">Ownership &amp; dilution analysis</t>
  </si>
  <si>
    <t xml:space="preserve">Balance_Sheet</t>
  </si>
  <si>
    <t xml:space="preserve">Bridge debt roll-forward</t>
  </si>
  <si>
    <t xml:space="preserve">Runway_Analysis</t>
  </si>
  <si>
    <t xml:space="preserve">Burn, runway, with vs without bridge</t>
  </si>
  <si>
    <t xml:space="preserve">Checks</t>
  </si>
  <si>
    <t xml:space="preserve">Validation checks</t>
  </si>
  <si>
    <t xml:space="preserve">Headline Outputs</t>
  </si>
  <si>
    <t xml:space="preserve">Currency</t>
  </si>
  <si>
    <t xml:space="preserve">Current ARR</t>
  </si>
  <si>
    <t xml:space="preserve">Founder Ownership Post-Series A</t>
  </si>
  <si>
    <t xml:space="preserve">Founder Dilution from Bridge</t>
  </si>
  <si>
    <t xml:space="preserve">percentage points</t>
  </si>
  <si>
    <t xml:space="preserve">Runway with Bridge</t>
  </si>
  <si>
    <t xml:space="preserve">months</t>
  </si>
  <si>
    <t xml:space="preserve">Runway without Bridge</t>
  </si>
  <si>
    <t xml:space="preserve">Cash Gap to Next Round</t>
  </si>
  <si>
    <t xml:space="preserve">Bridge IRR (Base Case)</t>
  </si>
  <si>
    <t xml:space="preserve">Projection Period</t>
  </si>
  <si>
    <t xml:space="preserve">About this model</t>
  </si>
  <si>
    <t xml:space="preserve">A bridge financing model evaluates convertible notes and SAFE instruments by projecting conversion scenarios at different Series A post-money valuations, calculating resulting ownership percentages for founders, bridge investors, and new series investors, and showing dilution impact on each holder. The model answers how much the bridge round is worth to the convertible investors (in terms of discount and valuation cap), what the pro-forma cap table looks like at multiple Series A price points, and how founder ownership evolves through conversion.
Convertible instrument terms (discount, valuation cap, interest rate) define the conversion mechanics: at Series A, the note converts at either the post-money valuation times the discount (e.g. 80% of price per share) or the valuation cap divided by the fully-diluted share count, whichever is more favourable to the investor. Each conversion scenario is modelled by varying the Series A post-money valuation (e.g. $10M, $15M, $20M, $25M), calculating the resulting price per share, then determining how many shares the convertible investor receives. The cap table projection shows pre-financing fully-diluted shares (including employee option pool), each instrument's conversion result, new Series A investment, and pro-forma ownership percentages.
Startup founders, venture investors, and company counsel use bridge models to negotiate terms, understand dilution sensitivity, compare the value of different bridge terms (higher discount vs. lower valuation cap), and ensure the bridge structure doesn't create unexpected outcomes if Series A pricing comes in hotter or colder than expected.</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</si>
  <si>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</si>
  <si>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</si>
  <si>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</si>
  <si>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</si>
  <si>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t>
  </si>
  <si>
    <t xml:space="preserve">Parameter</t>
  </si>
  <si>
    <t xml:space="preserve">Value</t>
  </si>
  <si>
    <t xml:space="preserve">Unit</t>
  </si>
  <si>
    <t xml:space="preserve">Notes</t>
  </si>
  <si>
    <t xml:space="preserve">General</t>
  </si>
  <si>
    <t xml:space="preserve">Model Start Date</t>
  </si>
  <si>
    <t xml:space="preserve">First projection month</t>
  </si>
  <si>
    <t xml:space="preserve">Monthly forecast horizon</t>
  </si>
  <si>
    <t xml:space="preserve">USD</t>
  </si>
  <si>
    <t xml:space="preserve">Reporting currency</t>
  </si>
  <si>
    <t xml:space="preserve">Current Financials</t>
  </si>
  <si>
    <t xml:space="preserve">Current Cash</t>
  </si>
  <si>
    <t xml:space="preserve">$</t>
  </si>
  <si>
    <t xml:space="preserve">Cash on hand at model start</t>
  </si>
  <si>
    <t xml:space="preserve">Current MRR</t>
  </si>
  <si>
    <t xml:space="preserve">Monthly recurring revenue</t>
  </si>
  <si>
    <t xml:space="preserve">Annualised MRR (calculated)</t>
  </si>
  <si>
    <t xml:space="preserve">Current Headcount</t>
  </si>
  <si>
    <t xml:space="preserve">FTEs</t>
  </si>
  <si>
    <t xml:space="preserve">Full-time employees</t>
  </si>
  <si>
    <t xml:space="preserve">Revenue Projections</t>
  </si>
  <si>
    <t xml:space="preserve">MRR Growth M1-6</t>
  </si>
  <si>
    <t xml:space="preserve">Monthly MRR growth rate</t>
  </si>
  <si>
    <t xml:space="preserve">MRR Growth M7-12</t>
  </si>
  <si>
    <t xml:space="preserve">MRR Growth M13-18</t>
  </si>
  <si>
    <t xml:space="preserve">MRR Growth M19-24</t>
  </si>
  <si>
    <t xml:space="preserve">Monthly Churn</t>
  </si>
  <si>
    <t xml:space="preserve">Gross revenue churn</t>
  </si>
  <si>
    <t xml:space="preserve">Other Rev (% MRR)</t>
  </si>
  <si>
    <t xml:space="preserve">Services, one-time fees</t>
  </si>
  <si>
    <t xml:space="preserve">Cost Structure</t>
  </si>
  <si>
    <t xml:space="preserve">Avg Monthly Salary</t>
  </si>
  <si>
    <t xml:space="preserve">Fully loaded average</t>
  </si>
  <si>
    <t xml:space="preserve">Benefits (% Salary)</t>
  </si>
  <si>
    <t xml:space="preserve">Health, 401k, etc.</t>
  </si>
  <si>
    <t xml:space="preserve">Hires per Quarter</t>
  </si>
  <si>
    <t xml:space="preserve">Net new hires</t>
  </si>
  <si>
    <t xml:space="preserve">Annual Salary Increase</t>
  </si>
  <si>
    <t xml:space="preserve">Annual escalation</t>
  </si>
  <si>
    <t xml:space="preserve">Hosting Base Cost</t>
  </si>
  <si>
    <t xml:space="preserve">$/mo</t>
  </si>
  <si>
    <t xml:space="preserve">Fixed infrastructure</t>
  </si>
  <si>
    <t xml:space="preserve">Hosting Variable</t>
  </si>
  <si>
    <t xml:space="preserve">% of MRR</t>
  </si>
  <si>
    <t xml:space="preserve">Marketing (% Rev)</t>
  </si>
  <si>
    <t xml:space="preserve">Paid acquisition + content</t>
  </si>
  <si>
    <t xml:space="preserve">G&amp;A Monthly</t>
  </si>
  <si>
    <t xml:space="preserve">Rent, legal, insurance</t>
  </si>
  <si>
    <t xml:space="preserve">Bridge Round Terms</t>
  </si>
  <si>
    <t xml:space="preserve">Instrument Type</t>
  </si>
  <si>
    <t xml:space="preserve">Note</t>
  </si>
  <si>
    <t xml:space="preserve">Note or SAFE; SAFE zeros interest &amp; maturity</t>
  </si>
  <si>
    <t xml:space="preserve">Convert at Next Round?</t>
  </si>
  <si>
    <t xml:space="preserve">TRUE/FALSE</t>
  </si>
  <si>
    <t xml:space="preserve">FALSE = no priced round (Note repays at maturity)</t>
  </si>
  <si>
    <t xml:space="preserve">Annual Interest Rate</t>
  </si>
  <si>
    <t xml:space="preserve">Simple interest (Note only; ignored if SAFE)</t>
  </si>
  <si>
    <t xml:space="preserve">Maturity (Months)</t>
  </si>
  <si>
    <t xml:space="preserve">Months from close to maturity (Note only)</t>
  </si>
  <si>
    <t xml:space="preserve">Conversion Discount</t>
  </si>
  <si>
    <t xml:space="preserve">Discount to next round PPS</t>
  </si>
  <si>
    <t xml:space="preserve">Valuation Cap</t>
  </si>
  <si>
    <t xml:space="preserve">Maximum conversion valuation</t>
  </si>
  <si>
    <t xml:space="preserve">Cap Table (Pre-Bridge)</t>
  </si>
  <si>
    <t xml:space="preserve">Founders Shares</t>
  </si>
  <si>
    <t xml:space="preserve">shares</t>
  </si>
  <si>
    <t xml:space="preserve">Common stock</t>
  </si>
  <si>
    <t xml:space="preserve">ESOP Pool</t>
  </si>
  <si>
    <t xml:space="preserve">Options allocated</t>
  </si>
  <si>
    <t xml:space="preserve">Seed Investor Shares</t>
  </si>
  <si>
    <t xml:space="preserve">Preferred stock</t>
  </si>
  <si>
    <t xml:space="preserve">Total Pre-Bridge Shares</t>
  </si>
  <si>
    <t xml:space="preserve">Sum (formula, recalculates)</t>
  </si>
  <si>
    <t xml:space="preserve">ESOP Top-up Target %</t>
  </si>
  <si>
    <t xml:space="preserve">Target ESOP share of fully-diluted post-Series A</t>
  </si>
  <si>
    <t xml:space="preserve">Next Round Parameters</t>
  </si>
  <si>
    <t xml:space="preserve">Next Round Pre-Money</t>
  </si>
  <si>
    <t xml:space="preserve">Target Series A pre-money valuation</t>
  </si>
  <si>
    <t xml:space="preserve">Next Round Raise</t>
  </si>
  <si>
    <t xml:space="preserve">Target equity raise</t>
  </si>
  <si>
    <t xml:space="preserve">Target Close Month</t>
  </si>
  <si>
    <t xml:space="preserve">month #</t>
  </si>
  <si>
    <t xml:space="preserve">Month index when next round closes</t>
  </si>
  <si>
    <t xml:space="preserve">Min Cash Threshold</t>
  </si>
  <si>
    <t xml:space="preserve">Minimum cash before raise</t>
  </si>
  <si>
    <t xml:space="preserve">Bridge Tranche Detail</t>
  </si>
  <si>
    <t xml:space="preserve">Investor</t>
  </si>
  <si>
    <t xml:space="preserve">Amount</t>
  </si>
  <si>
    <t xml:space="preserve">Cap Override</t>
  </si>
  <si>
    <t xml:space="preserve">Discount</t>
  </si>
  <si>
    <t xml:space="preserve">Close Month</t>
  </si>
  <si>
    <t xml:space="preserve">Instrument</t>
  </si>
  <si>
    <t xml:space="preserve">Lead Fund</t>
  </si>
  <si>
    <t xml:space="preserve">Strategic Angel</t>
  </si>
  <si>
    <t xml:space="preserve">Existing Seed</t>
  </si>
  <si>
    <t xml:space="preserve">Friends &amp; Fam</t>
  </si>
  <si>
    <t xml:space="preserve">TOTAL</t>
  </si>
  <si>
    <t xml:space="preserve">Per-Investor Conversion Math</t>
  </si>
  <si>
    <t xml:space="preserve">Months Outstanding</t>
  </si>
  <si>
    <t xml:space="preserve">Maturity Value</t>
  </si>
  <si>
    <t xml:space="preserve">Effective PPS</t>
  </si>
  <si>
    <t xml:space="preserve">Conv. Shares</t>
  </si>
  <si>
    <t xml:space="preserve">Repay if No-Conv</t>
  </si>
  <si>
    <t xml:space="preserve">Monthly Forecast</t>
  </si>
  <si>
    <t xml:space="preserve">24-Month P&amp;L and Cash Flow</t>
  </si>
  <si>
    <t xml:space="preserve">Month #</t>
  </si>
  <si>
    <t xml:space="preserve">Date</t>
  </si>
  <si>
    <t xml:space="preserve">REVENUE</t>
  </si>
  <si>
    <t xml:space="preserve">MRR Growth Rate</t>
  </si>
  <si>
    <t xml:space="preserve">MRR</t>
  </si>
  <si>
    <t xml:space="preserve">Other Revenue</t>
  </si>
  <si>
    <t xml:space="preserve">TOTAL REVENUE</t>
  </si>
  <si>
    <t xml:space="preserve">Delta MRR (memo)</t>
  </si>
  <si>
    <t xml:space="preserve">TEAM COSTS</t>
  </si>
  <si>
    <t xml:space="preserve">Headcount</t>
  </si>
  <si>
    <t xml:space="preserve">Gross Salaries</t>
  </si>
  <si>
    <t xml:space="preserve">Benefits</t>
  </si>
  <si>
    <t xml:space="preserve">Total Team Costs</t>
  </si>
  <si>
    <t xml:space="preserve">INFRASTRUCTURE</t>
  </si>
  <si>
    <t xml:space="preserve">Hosting (Fixed)</t>
  </si>
  <si>
    <t xml:space="preserve">Hosting (Variable)</t>
  </si>
  <si>
    <t xml:space="preserve">Total Infrastructure</t>
  </si>
  <si>
    <t xml:space="preserve">MARKETING</t>
  </si>
  <si>
    <t xml:space="preserve">Marketing Spend</t>
  </si>
  <si>
    <t xml:space="preserve">Total S&amp;M</t>
  </si>
  <si>
    <t xml:space="preserve">G&amp;A</t>
  </si>
  <si>
    <t xml:space="preserve">G&amp;A Costs</t>
  </si>
  <si>
    <t xml:space="preserve">Total G&amp;A</t>
  </si>
  <si>
    <t xml:space="preserve">TOTAL OPEX</t>
  </si>
  <si>
    <t xml:space="preserve">EBITDA</t>
  </si>
  <si>
    <t xml:space="preserve">Net Income</t>
  </si>
  <si>
    <t xml:space="preserve">CASH FLOW</t>
  </si>
  <si>
    <t xml:space="preserve">Opening Cash</t>
  </si>
  <si>
    <t xml:space="preserve">Operating Cash Flow</t>
  </si>
  <si>
    <t xml:space="preserve">Bridge Inflow</t>
  </si>
  <si>
    <t xml:space="preserve">Bridge Repayment</t>
  </si>
  <si>
    <t xml:space="preserve">Next Round Inflow</t>
  </si>
  <si>
    <t xml:space="preserve">Net Cash Flow</t>
  </si>
  <si>
    <t xml:space="preserve">CLOSING CASH</t>
  </si>
  <si>
    <t xml:space="preserve">NO-BRIDGE CASH</t>
  </si>
  <si>
    <t xml:space="preserve">Opening Cash (no bridge)</t>
  </si>
  <si>
    <t xml:space="preserve">Closing Cash (no bridge)</t>
  </si>
  <si>
    <t xml:space="preserve">Bridge Terms</t>
  </si>
  <si>
    <t xml:space="preserve">Conversion Mechanics</t>
  </si>
  <si>
    <t xml:space="preserve">Term</t>
  </si>
  <si>
    <t xml:space="preserve">Bridge Summary</t>
  </si>
  <si>
    <t xml:space="preserve">Principal (sum of investors)</t>
  </si>
  <si>
    <t xml:space="preserve">Number of Investors</t>
  </si>
  <si>
    <t xml:space="preserve">Maturity (months)</t>
  </si>
  <si>
    <t xml:space="preserve">Next Round Close Month</t>
  </si>
  <si>
    <t xml:space="preserve">Current ARR (context)</t>
  </si>
  <si>
    <t xml:space="preserve">Conversion Scenarios</t>
  </si>
  <si>
    <t xml:space="preserve">Scenario</t>
  </si>
  <si>
    <t xml:space="preserve">Live</t>
  </si>
  <si>
    <t xml:space="preserve">$6M</t>
  </si>
  <si>
    <t xml:space="preserve">$8M</t>
  </si>
  <si>
    <t xml:space="preserve">$10M</t>
  </si>
  <si>
    <t xml:space="preserve">$12M</t>
  </si>
  <si>
    <t xml:space="preserve">$15M</t>
  </si>
  <si>
    <t xml:space="preserve">$20M</t>
  </si>
  <si>
    <t xml:space="preserve">Pre-Money Valuation</t>
  </si>
  <si>
    <t xml:space="preserve">Next Round PPS</t>
  </si>
  <si>
    <t xml:space="preserve">Cap PPS</t>
  </si>
  <si>
    <t xml:space="preserve">Discount PPS</t>
  </si>
  <si>
    <t xml:space="preserve">Maturity Value at Conv</t>
  </si>
  <si>
    <t xml:space="preserve">Conversion Shares (Total)</t>
  </si>
  <si>
    <t xml:space="preserve">Founder % (post-Series A)</t>
  </si>
  <si>
    <t xml:space="preserve">Cap Table</t>
  </si>
  <si>
    <t xml:space="preserve">Ownership and Dilution</t>
  </si>
  <si>
    <t xml:space="preserve">Shareholder</t>
  </si>
  <si>
    <t xml:space="preserve">Shares</t>
  </si>
  <si>
    <t xml:space="preserve">Ownership %</t>
  </si>
  <si>
    <t xml:space="preserve">Investment</t>
  </si>
  <si>
    <t xml:space="preserve">Value at Next</t>
  </si>
  <si>
    <t xml:space="preserve">Pre-Bridge</t>
  </si>
  <si>
    <t xml:space="preserve">Founders</t>
  </si>
  <si>
    <t xml:space="preserve">Seed Investors</t>
  </si>
  <si>
    <t xml:space="preserve">Post-Conversion (Series A)</t>
  </si>
  <si>
    <t xml:space="preserve">ESOP Pool (existing)</t>
  </si>
  <si>
    <t xml:space="preserve">ESOP Top-up</t>
  </si>
  <si>
    <t xml:space="preserve">Bridge Note Holders</t>
  </si>
  <si>
    <t xml:space="preserve">Series A Investors</t>
  </si>
  <si>
    <t xml:space="preserve">Dilution Analysis</t>
  </si>
  <si>
    <t xml:space="preserve">Founder Dilution (Total)</t>
  </si>
  <si>
    <t xml:space="preserve">in % points</t>
  </si>
  <si>
    <t xml:space="preserve">Seed Dilution</t>
  </si>
  <si>
    <t xml:space="preserve">Bridge Effective PPS</t>
  </si>
  <si>
    <t xml:space="preserve">Bridge Return (x)</t>
  </si>
  <si>
    <t xml:space="preserve">Bridge IRR (Annualised)</t>
  </si>
  <si>
    <t xml:space="preserve">No-Conversion Scenario</t>
  </si>
  <si>
    <t xml:space="preserve">Dilution Sensitivity (Founder %)</t>
  </si>
  <si>
    <t xml:space="preserve">Pre-Money \ Bridge Size</t>
  </si>
  <si>
    <t xml:space="preserve">Low ($375K)</t>
  </si>
  <si>
    <t xml:space="preserve">Base ($750K)</t>
  </si>
  <si>
    <t xml:space="preserve">High ($1.5M)</t>
  </si>
  <si>
    <t xml:space="preserve">Balance Sheet — Bridge Debt</t>
  </si>
  <si>
    <t xml:space="preserve">Bridge Liability Roll-Forward</t>
  </si>
  <si>
    <t xml:space="preserve">BRIDGE LIABILITY</t>
  </si>
  <si>
    <t xml:space="preserve">Opening Balance</t>
  </si>
  <si>
    <t xml:space="preserve">Drawdown (+)</t>
  </si>
  <si>
    <t xml:space="preserve">Interest Accrual (+)</t>
  </si>
  <si>
    <t xml:space="preserve">Conversion to Equity (-)</t>
  </si>
  <si>
    <t xml:space="preserve">Repayment at Maturity (-)</t>
  </si>
  <si>
    <t xml:space="preserve">Closing Balance</t>
  </si>
  <si>
    <t xml:space="preserve">Runway Analysis</t>
  </si>
  <si>
    <t xml:space="preserve">Burn, Runway, Counterfactual</t>
  </si>
  <si>
    <t xml:space="preserve">BURN RATE</t>
  </si>
  <si>
    <t xml:space="preserve">Gross Burn (= OpEx)</t>
  </si>
  <si>
    <t xml:space="preserve">Net Burn (OpEx-Rev)</t>
  </si>
  <si>
    <t xml:space="preserve">3M Avg Net Burn</t>
  </si>
  <si>
    <t xml:space="preserve">CASH POSITION</t>
  </si>
  <si>
    <t xml:space="preserve">Cash (with bridge)</t>
  </si>
  <si>
    <t xml:space="preserve">Runway (Months)</t>
  </si>
  <si>
    <t xml:space="preserve">Below Min Threshold?</t>
  </si>
  <si>
    <t xml:space="preserve">Cash (no bridge)</t>
  </si>
  <si>
    <t xml:space="preserve">Runway no-bridge (M)</t>
  </si>
  <si>
    <t xml:space="preserve">EFFICIENCY METRICS</t>
  </si>
  <si>
    <t xml:space="preserve">Rev per Employee</t>
  </si>
  <si>
    <t xml:space="preserve">Burn Multiple</t>
  </si>
  <si>
    <t xml:space="preserve">EBITDA Margin</t>
  </si>
  <si>
    <t xml:space="preserve">BREAKEVEN</t>
  </si>
  <si>
    <t xml:space="preserve">Cumulative P&amp;L</t>
  </si>
  <si>
    <t xml:space="preserve">Months to Breakeven</t>
  </si>
  <si>
    <t xml:space="preserve">Validation Checks</t>
  </si>
  <si>
    <t xml:space="preserve">Model Integrity</t>
  </si>
  <si>
    <t xml:space="preserve">Check</t>
  </si>
  <si>
    <t xml:space="preserve">Result</t>
  </si>
  <si>
    <t xml:space="preserve">Detail</t>
  </si>
  <si>
    <t xml:space="preserve">Pre-Bridge Cap = 100%</t>
  </si>
  <si>
    <t xml:space="preserve">Post-Conversion Cap = 100%</t>
  </si>
  <si>
    <t xml:space="preserve">Min Closing Cash &gt;= 0</t>
  </si>
  <si>
    <t xml:space="preserve">M1 Cash &gt; Min Threshold</t>
  </si>
  <si>
    <t xml:space="preserve">Revenue &gt; 0 All Months</t>
  </si>
  <si>
    <t xml:space="preserve">M1 OpEx = Components Sum</t>
  </si>
  <si>
    <t xml:space="preserve">Bridge Liability Closes Out</t>
  </si>
  <si>
    <t xml:space="preserve">Bridge Amount &gt; 0</t>
  </si>
  <si>
    <t xml:space="preserve">Founders Diluted by Bridge</t>
  </si>
  <si>
    <t xml:space="preserve">Conversion Math Reconciles</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</si>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</sst>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10">
    <numFmt numFmtId="164" formatCode="General"/>
    <numFmt numFmtId="165" formatCode="@"/>
    <numFmt numFmtId="166" formatCode="\$#,##0"/>
    <numFmt numFmtId="167" formatCode="0.00%"/>
    <numFmt numFmtId="168" formatCode="#,##0.00"/>
    <numFmt numFmtId="169" formatCode="#,##0"/>
    <numFmt numFmtId="170" formatCode="yyyy\-mm\-dd"/>
    <numFmt numFmtId="171" formatCode="\$#,##0.0000"/>
    <numFmt numFmtId="172" formatCode="mmm\-yyyy"/>
    <numFmt numFmtId="173" formatCode="0.00\x"/>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rgb="FF000000"/>
      <name val="Arial"/>
      <family val="0"/>
      <charset val="1"/>
    </font>
    <font>
      <b val="true"/>
      <sz val="11"/>
      <color theme="0"/>
      <name val="Arial"/>
      <family val="0"/>
      <charset val="1"/>
    </font>
    <font>
      <sz val="11"/>
      <color rgb="FF70AD47"/>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sz val="11"/>
      <color theme="3"/>
      <name val="Arial"/>
      <family val="0"/>
      <charset val="1"/>
    </font>
    <font>
      <sz val="11"/>
      <color rgb="FF000000"/>
      <name val="Arial"/>
      <family val="0"/>
      <charset val="1"/>
    </font>
    <font>
      <b val="true"/>
      <sz val="11"/>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808080"/>
      </patternFill>
    </fill>
    <fill>
      <patternFill patternType="solid">
        <fgColor rgb="FFED7D31"/>
        <bgColor rgb="FFFF8080"/>
      </patternFill>
    </fill>
    <fill>
      <patternFill patternType="solid">
        <fgColor rgb="FFC00000"/>
        <bgColor rgb="FFFF0000"/>
      </patternFill>
    </fill>
    <fill>
      <patternFill patternType="solid">
        <fgColor rgb="FFA5A5A5"/>
        <bgColor rgb="FFC0C0C0"/>
      </patternFill>
    </fill>
    <fill>
      <patternFill patternType="solid">
        <fgColor rgb="FFD6E4F0"/>
        <bgColor rgb="FFC6D9F1"/>
      </patternFill>
    </fill>
    <fill>
      <patternFill patternType="solid">
        <fgColor rgb="FFF2F2F2"/>
        <bgColor rgb="FFE8F0FE"/>
      </patternFill>
    </fill>
    <fill>
      <patternFill patternType="solid">
        <fgColor rgb="FFE8F0FE"/>
        <bgColor rgb="FFF2F2F2"/>
      </patternFill>
    </fill>
    <fill>
      <patternFill patternType="solid">
        <fgColor theme="3" tint="0.8"/>
        <bgColor rgb="FFD6E4F0"/>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1" fillId="6"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5" fontId="12" fillId="0" borderId="0" xfId="0" applyFont="true" applyBorder="false" applyAlignment="true" applyProtection="false">
      <alignment horizontal="right" vertical="center" textRotation="0" wrapText="false" indent="0" shrinkToFit="false"/>
      <protection locked="true" hidden="false"/>
    </xf>
    <xf numFmtId="166" fontId="12" fillId="0" borderId="0" xfId="0" applyFont="true" applyBorder="false" applyAlignment="true" applyProtection="false">
      <alignment horizontal="right" vertical="center" textRotation="0" wrapText="false" indent="0" shrinkToFit="false"/>
      <protection locked="true" hidden="false"/>
    </xf>
    <xf numFmtId="167" fontId="12" fillId="0" borderId="0" xfId="0" applyFont="true" applyBorder="false" applyAlignment="true" applyProtection="false">
      <alignment horizontal="right" vertical="center" textRotation="0" wrapText="false" indent="0" shrinkToFit="false"/>
      <protection locked="true" hidden="false"/>
    </xf>
    <xf numFmtId="168" fontId="12"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9" fontId="12" fillId="0" borderId="0" xfId="0" applyFont="true" applyBorder="false" applyAlignment="true" applyProtection="false">
      <alignment horizontal="right" vertical="center" textRotation="0" wrapText="false" indent="0" shrinkToFit="false"/>
      <protection locked="true" hidden="false"/>
    </xf>
    <xf numFmtId="164" fontId="14" fillId="8" borderId="0" xfId="0" applyFont="true" applyBorder="false" applyAlignment="true" applyProtection="false">
      <alignment horizontal="left" vertical="center" textRotation="0" wrapText="false" indent="0" shrinkToFit="false"/>
      <protection locked="true" hidden="false"/>
    </xf>
    <xf numFmtId="164" fontId="15" fillId="8"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4" fontId="17"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4" fontId="10" fillId="9" borderId="0" xfId="0" applyFont="true" applyBorder="false" applyAlignment="true" applyProtection="false">
      <alignment horizontal="left" vertical="center"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70" fontId="19" fillId="1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9" fontId="19" fillId="10" borderId="0" xfId="0" applyFont="true" applyBorder="false" applyAlignment="true" applyProtection="false">
      <alignment horizontal="right" vertical="center" textRotation="0" wrapText="false" indent="0" shrinkToFit="false"/>
      <protection locked="true" hidden="false"/>
    </xf>
    <xf numFmtId="164" fontId="19" fillId="10" borderId="0" xfId="0" applyFont="true" applyBorder="false" applyAlignment="true" applyProtection="false">
      <alignment horizontal="right" vertical="center" textRotation="0" wrapText="false" indent="0" shrinkToFit="false"/>
      <protection locked="true" hidden="false"/>
    </xf>
    <xf numFmtId="166" fontId="19" fillId="10" borderId="0" xfId="0" applyFont="true" applyBorder="false" applyAlignment="true" applyProtection="false">
      <alignment horizontal="right" vertical="center" textRotation="0" wrapText="false" indent="0" shrinkToFit="false"/>
      <protection locked="true" hidden="false"/>
    </xf>
    <xf numFmtId="166" fontId="20" fillId="0" borderId="0" xfId="0" applyFont="true" applyBorder="false" applyAlignment="true" applyProtection="false">
      <alignment horizontal="right" vertical="center" textRotation="0" wrapText="false" indent="0" shrinkToFit="false"/>
      <protection locked="true" hidden="false"/>
    </xf>
    <xf numFmtId="167" fontId="19" fillId="10" borderId="0" xfId="0" applyFont="true" applyBorder="false" applyAlignment="true" applyProtection="false">
      <alignment horizontal="right" vertical="center" textRotation="0" wrapText="false" indent="0" shrinkToFit="false"/>
      <protection locked="true" hidden="false"/>
    </xf>
    <xf numFmtId="164" fontId="19" fillId="10" borderId="0" xfId="0" applyFont="true" applyBorder="false" applyAlignment="true" applyProtection="false">
      <alignment horizontal="right" vertical="center" textRotation="0" wrapText="false" indent="0" shrinkToFit="false"/>
      <protection locked="true" hidden="false"/>
    </xf>
    <xf numFmtId="169" fontId="21" fillId="0" borderId="1" xfId="0" applyFont="true" applyBorder="true" applyAlignment="true" applyProtection="false">
      <alignment horizontal="right" vertical="center" textRotation="0" wrapText="false" indent="0" shrinkToFit="false"/>
      <protection locked="true" hidden="false"/>
    </xf>
    <xf numFmtId="164" fontId="19" fillId="10" borderId="0" xfId="0" applyFont="true" applyBorder="false" applyAlignment="true" applyProtection="false">
      <alignment horizontal="left" vertical="center" textRotation="0" wrapText="false" indent="0" shrinkToFit="false"/>
      <protection locked="true" hidden="false"/>
    </xf>
    <xf numFmtId="164" fontId="19" fillId="10" borderId="0" xfId="0" applyFont="true" applyBorder="fals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6" fontId="21" fillId="0" borderId="2" xfId="0" applyFont="true" applyBorder="tru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9" fontId="20" fillId="0" borderId="0" xfId="0" applyFont="true" applyBorder="false" applyAlignment="true" applyProtection="false">
      <alignment horizontal="right" vertical="center" textRotation="0" wrapText="false" indent="0" shrinkToFit="false"/>
      <protection locked="true" hidden="false"/>
    </xf>
    <xf numFmtId="171" fontId="20" fillId="0" borderId="0" xfId="0" applyFont="true" applyBorder="false" applyAlignment="true" applyProtection="false">
      <alignment horizontal="right" vertical="center" textRotation="0" wrapText="false" indent="0" shrinkToFit="false"/>
      <protection locked="true" hidden="false"/>
    </xf>
    <xf numFmtId="169" fontId="21" fillId="0" borderId="2" xfId="0" applyFont="true" applyBorder="true" applyAlignment="true" applyProtection="false">
      <alignment horizontal="right" vertical="center" textRotation="0" wrapText="false" indent="0" shrinkToFit="false"/>
      <protection locked="true" hidden="false"/>
    </xf>
    <xf numFmtId="169" fontId="11" fillId="2" borderId="0" xfId="0" applyFont="true" applyBorder="false" applyAlignment="true" applyProtection="false">
      <alignment horizontal="center" vertical="center" textRotation="0" wrapText="false" indent="0" shrinkToFit="false"/>
      <protection locked="true" hidden="false"/>
    </xf>
    <xf numFmtId="172" fontId="13"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7" fontId="20" fillId="0"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6" fontId="13" fillId="0" borderId="0" xfId="0" applyFont="true" applyBorder="false" applyAlignment="true" applyProtection="false">
      <alignment horizontal="right" vertical="center" textRotation="0" wrapText="false" indent="0" shrinkToFit="false"/>
      <protection locked="true" hidden="false"/>
    </xf>
    <xf numFmtId="166" fontId="21" fillId="0" borderId="1" xfId="0" applyFont="true" applyBorder="true" applyAlignment="true" applyProtection="false">
      <alignment horizontal="right" vertical="center" textRotation="0" wrapText="false" indent="0" shrinkToFit="false"/>
      <protection locked="true" hidden="false"/>
    </xf>
    <xf numFmtId="166" fontId="21" fillId="0" borderId="0" xfId="0" applyFont="true" applyBorder="false" applyAlignment="true" applyProtection="false">
      <alignment horizontal="right" vertical="center" textRotation="0" wrapText="false" indent="0" shrinkToFit="false"/>
      <protection locked="true" hidden="false"/>
    </xf>
    <xf numFmtId="165" fontId="20" fillId="0" borderId="0" xfId="0" applyFont="true" applyBorder="false" applyAlignment="true" applyProtection="false">
      <alignment horizontal="right" vertical="center" textRotation="0" wrapText="false" indent="0" shrinkToFit="false"/>
      <protection locked="true" hidden="false"/>
    </xf>
    <xf numFmtId="167" fontId="21" fillId="0" borderId="2" xfId="0" applyFont="true" applyBorder="true" applyAlignment="true" applyProtection="false">
      <alignment horizontal="right" vertical="center" textRotation="0" wrapText="false" indent="0" shrinkToFit="false"/>
      <protection locked="true" hidden="false"/>
    </xf>
    <xf numFmtId="168" fontId="20" fillId="0" borderId="0" xfId="0" applyFont="true" applyBorder="false" applyAlignment="true" applyProtection="false">
      <alignment horizontal="right" vertical="center" textRotation="0" wrapText="false" indent="0" shrinkToFit="false"/>
      <protection locked="true" hidden="false"/>
    </xf>
    <xf numFmtId="171" fontId="12" fillId="0" borderId="0" xfId="0" applyFont="true" applyBorder="false" applyAlignment="true" applyProtection="false">
      <alignment horizontal="right" vertical="center" textRotation="0" wrapText="false" indent="0" shrinkToFit="false"/>
      <protection locked="true" hidden="false"/>
    </xf>
    <xf numFmtId="173" fontId="20" fillId="0" borderId="0" xfId="0" applyFont="true" applyBorder="false" applyAlignment="true" applyProtection="false">
      <alignment horizontal="right" vertical="center" textRotation="0" wrapText="false" indent="0" shrinkToFit="false"/>
      <protection locked="true" hidden="false"/>
    </xf>
    <xf numFmtId="164" fontId="0" fillId="11"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right" vertical="center" textRotation="0" wrapText="false" indent="0" shrinkToFit="false"/>
      <protection locked="true" hidden="false"/>
    </xf>
    <xf numFmtId="168" fontId="20" fillId="0" borderId="0" xfId="0" applyFont="true" applyBorder="false" applyAlignment="false" applyProtection="false">
      <alignment horizontal="general" vertical="bottom" textRotation="0" wrapText="false" indent="0" shrinkToFit="false"/>
      <protection locked="true" hidden="false"/>
    </xf>
    <xf numFmtId="166" fontId="2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73" fontId="12" fillId="0" borderId="0" xfId="0" applyFont="true" applyBorder="fals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7" fontId="13" fillId="0" borderId="0" xfId="0" applyFont="true" applyBorder="false" applyAlignment="true" applyProtection="false">
      <alignment horizontal="right"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15" fillId="0" borderId="3" xfId="0" applyFont="true" applyBorder="true" applyAlignment="false" applyProtection="false">
      <alignment horizontal="general" vertical="bottom" textRotation="0" wrapText="false" indent="0" shrinkToFit="false"/>
      <protection locked="true" hidden="false"/>
    </xf>
    <xf numFmtId="164" fontId="23" fillId="12"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4" fillId="0" borderId="0" xfId="0" applyFont="true" applyBorder="false" applyAlignment="true" applyProtection="false">
      <alignment horizontal="left" vertical="center" textRotation="0" wrapText="false" indent="1" shrinkToFit="false"/>
      <protection locked="true" hidden="false"/>
    </xf>
    <xf numFmtId="164" fontId="26" fillId="9" borderId="0" xfId="0" applyFont="true" applyBorder="false" applyAlignment="true" applyProtection="false">
      <alignment horizontal="left" vertical="top" textRotation="0" wrapText="true" indent="1" shrinkToFit="false"/>
      <protection locked="true" hidden="false"/>
    </xf>
    <xf numFmtId="164" fontId="27"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charset val="1"/>
        <family val="0"/>
        <b val="1"/>
        <color rgb="FF00B050"/>
        <sz val="11"/>
      </font>
    </dxf>
    <dxf>
      <font>
        <name val="Arial"/>
        <charset val="1"/>
        <family val="0"/>
        <b val="1"/>
        <color rgb="FFFF0000"/>
        <sz val="11"/>
      </font>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70AD47"/>
      <rgbColor rgb="FFFFCC00"/>
      <rgbColor rgb="FFFF9900"/>
      <rgbColor rgb="FFED7D31"/>
      <rgbColor rgb="FF595959"/>
      <rgbColor rgb="FFA5A5A5"/>
      <rgbColor rgb="FF1F4E79"/>
      <rgbColor rgb="FF00B050"/>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38"/>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6"/>
      <c r="C5" s="6"/>
      <c r="D5" s="6"/>
    </row>
    <row r="6" customFormat="false" ht="15" hidden="false" customHeight="false" outlineLevel="0" collapsed="false">
      <c r="A6" s="6"/>
      <c r="B6" s="7" t="s">
        <v>3</v>
      </c>
      <c r="C6" s="6"/>
      <c r="D6" s="6"/>
    </row>
    <row r="7" customFormat="false" ht="15" hidden="false" customHeight="false" outlineLevel="0" collapsed="false">
      <c r="A7" s="6"/>
      <c r="B7" s="6"/>
      <c r="C7" s="6"/>
      <c r="D7" s="6"/>
    </row>
    <row r="8" customFormat="false" ht="15" hidden="false" customHeight="false" outlineLevel="0" collapsed="false">
      <c r="A8" s="6"/>
      <c r="B8" s="8" t="s">
        <v>4</v>
      </c>
      <c r="C8" s="6"/>
      <c r="D8" s="9" t="s">
        <v>5</v>
      </c>
    </row>
    <row r="9" customFormat="false" ht="15" hidden="false" customHeight="false" outlineLevel="0" collapsed="false">
      <c r="A9" s="6"/>
      <c r="B9" s="10" t="s">
        <v>6</v>
      </c>
      <c r="C9" s="6"/>
      <c r="D9" s="9" t="s">
        <v>7</v>
      </c>
    </row>
    <row r="10" customFormat="false" ht="15" hidden="false" customHeight="false" outlineLevel="0" collapsed="false">
      <c r="A10" s="6"/>
      <c r="B10" s="10" t="s">
        <v>8</v>
      </c>
      <c r="C10" s="6"/>
      <c r="D10" s="9" t="s">
        <v>9</v>
      </c>
    </row>
    <row r="11" customFormat="false" ht="15" hidden="false" customHeight="false" outlineLevel="0" collapsed="false">
      <c r="A11" s="6"/>
      <c r="B11" s="11" t="s">
        <v>10</v>
      </c>
      <c r="C11" s="6"/>
      <c r="D11" s="9" t="s">
        <v>11</v>
      </c>
    </row>
    <row r="12" customFormat="false" ht="15" hidden="false" customHeight="false" outlineLevel="0" collapsed="false">
      <c r="A12" s="6"/>
      <c r="B12" s="12" t="s">
        <v>12</v>
      </c>
      <c r="C12" s="6"/>
      <c r="D12" s="9" t="s">
        <v>13</v>
      </c>
    </row>
    <row r="13" customFormat="false" ht="15" hidden="false" customHeight="false" outlineLevel="0" collapsed="false">
      <c r="A13" s="6"/>
      <c r="B13" s="13" t="s">
        <v>14</v>
      </c>
      <c r="C13" s="6"/>
      <c r="D13" s="9" t="s">
        <v>15</v>
      </c>
    </row>
    <row r="14" customFormat="false" ht="15" hidden="false" customHeight="false" outlineLevel="0" collapsed="false">
      <c r="A14" s="6"/>
      <c r="B14" s="14" t="s">
        <v>16</v>
      </c>
      <c r="C14" s="6"/>
      <c r="D14" s="9" t="s">
        <v>17</v>
      </c>
    </row>
    <row r="15" customFormat="false" ht="15" hidden="false" customHeight="false" outlineLevel="0" collapsed="false">
      <c r="A15" s="6"/>
      <c r="B15" s="14" t="s">
        <v>18</v>
      </c>
      <c r="C15" s="6"/>
      <c r="D15" s="9" t="s">
        <v>19</v>
      </c>
    </row>
    <row r="16" customFormat="false" ht="15" hidden="false" customHeight="false" outlineLevel="0" collapsed="false">
      <c r="A16" s="6"/>
      <c r="B16" s="8" t="s">
        <v>20</v>
      </c>
      <c r="C16" s="6"/>
      <c r="D16" s="9" t="s">
        <v>21</v>
      </c>
    </row>
    <row r="17" customFormat="false" ht="15" hidden="false" customHeight="false" outlineLevel="0" collapsed="false">
      <c r="A17" s="6"/>
      <c r="B17" s="6"/>
      <c r="C17" s="6"/>
      <c r="D17" s="6"/>
    </row>
    <row r="18" customFormat="false" ht="15" hidden="false" customHeight="false" outlineLevel="0" collapsed="false">
      <c r="A18" s="6"/>
      <c r="B18" s="6"/>
      <c r="C18" s="6"/>
      <c r="D18" s="6"/>
    </row>
    <row r="19" customFormat="false" ht="15" hidden="false" customHeight="false" outlineLevel="0" collapsed="false">
      <c r="A19" s="6"/>
      <c r="B19" s="7" t="s">
        <v>22</v>
      </c>
      <c r="C19" s="6"/>
      <c r="D19" s="6"/>
    </row>
    <row r="20" customFormat="false" ht="15" hidden="false" customHeight="false" outlineLevel="0" collapsed="false">
      <c r="A20" s="6"/>
      <c r="B20" s="15" t="s">
        <v>23</v>
      </c>
      <c r="C20" s="16" t="str">
        <f aca="false">Currency</f>
        <v>USD</v>
      </c>
      <c r="D20" s="6"/>
    </row>
    <row r="21" customFormat="false" ht="15" hidden="false" customHeight="false" outlineLevel="0" collapsed="false">
      <c r="A21" s="6"/>
      <c r="B21" s="15" t="s">
        <v>24</v>
      </c>
      <c r="C21" s="17" t="n">
        <f aca="false">Current_ARR</f>
        <v>420000</v>
      </c>
      <c r="D21" s="6"/>
    </row>
    <row r="22" customFormat="false" ht="15" hidden="false" customHeight="false" outlineLevel="0" collapsed="false">
      <c r="A22" s="6"/>
      <c r="B22" s="15" t="s">
        <v>25</v>
      </c>
      <c r="C22" s="18" t="n">
        <f aca="false">Founder_Pct_Post</f>
        <v>0.484993156102436</v>
      </c>
      <c r="D22" s="6"/>
    </row>
    <row r="23" customFormat="false" ht="15" hidden="false" customHeight="false" outlineLevel="0" collapsed="false">
      <c r="A23" s="6"/>
      <c r="B23" s="15" t="s">
        <v>26</v>
      </c>
      <c r="C23" s="19" t="n">
        <f aca="false">Founder_Dil_Bridge_Only_PP</f>
        <v>4.83401772308975</v>
      </c>
      <c r="D23" s="20" t="s">
        <v>27</v>
      </c>
    </row>
    <row r="24" customFormat="false" ht="15" hidden="false" customHeight="false" outlineLevel="0" collapsed="false">
      <c r="A24" s="6"/>
      <c r="B24" s="15" t="s">
        <v>28</v>
      </c>
      <c r="C24" s="19" t="n">
        <f aca="false">Runway_With_Bridge</f>
        <v>-5.86444316252832</v>
      </c>
      <c r="D24" s="20" t="s">
        <v>29</v>
      </c>
    </row>
    <row r="25" customFormat="false" ht="15" hidden="false" customHeight="false" outlineLevel="0" collapsed="false">
      <c r="A25" s="6"/>
      <c r="B25" s="15" t="s">
        <v>30</v>
      </c>
      <c r="C25" s="19" t="n">
        <f aca="false">Runway_No_Bridge</f>
        <v>-10.5100269566074</v>
      </c>
      <c r="D25" s="20" t="s">
        <v>29</v>
      </c>
    </row>
    <row r="26" customFormat="false" ht="15" hidden="false" customHeight="false" outlineLevel="0" collapsed="false">
      <c r="A26" s="6"/>
      <c r="B26" s="15" t="s">
        <v>31</v>
      </c>
      <c r="C26" s="17" t="n">
        <f aca="false">Cash_Gap</f>
        <v>3180499.15547016</v>
      </c>
      <c r="D26" s="6"/>
    </row>
    <row r="27" customFormat="false" ht="15" hidden="false" customHeight="false" outlineLevel="0" collapsed="false">
      <c r="A27" s="6"/>
      <c r="B27" s="15" t="s">
        <v>32</v>
      </c>
      <c r="C27" s="18" t="n">
        <f aca="false">Bridge_IRR_Base</f>
        <v>0.409327219013619</v>
      </c>
      <c r="D27" s="6"/>
    </row>
    <row r="28" customFormat="false" ht="15" hidden="false" customHeight="false" outlineLevel="0" collapsed="false">
      <c r="A28" s="6"/>
      <c r="B28" s="15" t="s">
        <v>33</v>
      </c>
      <c r="C28" s="21" t="n">
        <f aca="false">Projection_Months</f>
        <v>24</v>
      </c>
      <c r="D28" s="6"/>
    </row>
    <row r="31" customFormat="false" ht="19.5" hidden="false" customHeight="true" outlineLevel="0" collapsed="false">
      <c r="B31" s="22" t="s">
        <v>34</v>
      </c>
      <c r="C31" s="23"/>
      <c r="D31" s="23"/>
      <c r="E31" s="23"/>
      <c r="F31" s="23"/>
      <c r="G31" s="23"/>
    </row>
    <row r="32" customFormat="false" ht="246" hidden="false" customHeight="true" outlineLevel="0" collapsed="false">
      <c r="B32" s="24" t="s">
        <v>35</v>
      </c>
      <c r="C32" s="24"/>
      <c r="D32" s="24"/>
      <c r="E32" s="24"/>
      <c r="F32" s="24"/>
      <c r="G32" s="24"/>
    </row>
    <row r="34" customFormat="false" ht="19.5" hidden="false" customHeight="true" outlineLevel="0" collapsed="false">
      <c r="B34" s="22" t="s">
        <v>36</v>
      </c>
      <c r="C34" s="23"/>
      <c r="D34" s="23"/>
      <c r="E34" s="23"/>
      <c r="F34" s="23"/>
      <c r="G34" s="23"/>
    </row>
    <row r="35" customFormat="false" ht="57" hidden="false" customHeight="true" outlineLevel="0" collapsed="false">
      <c r="B35" s="24" t="s">
        <v>37</v>
      </c>
      <c r="C35" s="24"/>
      <c r="D35" s="24"/>
      <c r="E35" s="24"/>
      <c r="F35" s="24"/>
      <c r="G35" s="24"/>
    </row>
    <row r="36" customFormat="false" ht="15" hidden="false" customHeight="false" outlineLevel="0" collapsed="false">
      <c r="B36" s="25" t="s">
        <v>38</v>
      </c>
      <c r="C36" s="25"/>
      <c r="D36" s="25"/>
      <c r="E36" s="25"/>
      <c r="F36" s="25"/>
      <c r="G36" s="25"/>
    </row>
    <row r="37" customFormat="false" ht="15" hidden="false" customHeight="false" outlineLevel="0" collapsed="false">
      <c r="B37" s="26" t="s">
        <v>39</v>
      </c>
    </row>
  </sheetData>
  <mergeCells count="3">
    <mergeCell ref="B32:G32"/>
    <mergeCell ref="B35:G35"/>
    <mergeCell ref="B36:G3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68" t="s">
        <v>279</v>
      </c>
    </row>
    <row r="3" customFormat="false" ht="3.75" hidden="false" customHeight="true" outlineLevel="0" collapsed="false">
      <c r="B3" s="69"/>
    </row>
    <row r="5" customFormat="false" ht="19.5" hidden="false" customHeight="true" outlineLevel="0" collapsed="false">
      <c r="B5" s="70" t="s">
        <v>280</v>
      </c>
    </row>
    <row r="6" customFormat="false" ht="48" hidden="false" customHeight="true" outlineLevel="0" collapsed="false">
      <c r="B6" s="71" t="s">
        <v>281</v>
      </c>
    </row>
    <row r="8" customFormat="false" ht="19.5" hidden="false" customHeight="true" outlineLevel="0" collapsed="false">
      <c r="B8" s="70" t="s">
        <v>282</v>
      </c>
    </row>
    <row r="9" customFormat="false" ht="61.5" hidden="false" customHeight="true" outlineLevel="0" collapsed="false">
      <c r="B9" s="71" t="s">
        <v>283</v>
      </c>
    </row>
    <row r="11" customFormat="false" ht="19.5" hidden="false" customHeight="true" outlineLevel="0" collapsed="false">
      <c r="B11" s="70" t="s">
        <v>284</v>
      </c>
    </row>
    <row r="12" customFormat="false" ht="75.75" hidden="false" customHeight="true" outlineLevel="0" collapsed="false">
      <c r="B12" s="71" t="s">
        <v>285</v>
      </c>
    </row>
    <row r="14" customFormat="false" ht="19.5" hidden="false" customHeight="true" outlineLevel="0" collapsed="false">
      <c r="B14" s="70" t="s">
        <v>286</v>
      </c>
    </row>
    <row r="15" customFormat="false" ht="61.5" hidden="false" customHeight="true" outlineLevel="0" collapsed="false">
      <c r="B15" s="71" t="s">
        <v>287</v>
      </c>
    </row>
    <row r="17" customFormat="false" ht="19.5" hidden="false" customHeight="true" outlineLevel="0" collapsed="false">
      <c r="B17" s="70" t="s">
        <v>288</v>
      </c>
    </row>
    <row r="18" customFormat="false" ht="33.75" hidden="false" customHeight="true" outlineLevel="0" collapsed="false">
      <c r="B18" s="71" t="s">
        <v>289</v>
      </c>
    </row>
    <row r="20" customFormat="false" ht="19.5" hidden="false" customHeight="true" outlineLevel="0" collapsed="false">
      <c r="B20" s="70" t="s">
        <v>290</v>
      </c>
    </row>
    <row r="21" customFormat="false" ht="33.75" hidden="false" customHeight="true" outlineLevel="0" collapsed="false">
      <c r="B21" s="71" t="s">
        <v>291</v>
      </c>
    </row>
    <row r="23" customFormat="false" ht="21.75" hidden="false" customHeight="true" outlineLevel="0" collapsed="false">
      <c r="B23" s="72" t="s">
        <v>292</v>
      </c>
    </row>
    <row r="25" customFormat="false" ht="18" hidden="false" customHeight="true" outlineLevel="0" collapsed="false">
      <c r="B25" s="73" t="s">
        <v>293</v>
      </c>
    </row>
    <row r="26" customFormat="false" ht="201.75" hidden="false" customHeight="true" outlineLevel="0" collapsed="false">
      <c r="B26" s="74" t="s">
        <v>294</v>
      </c>
    </row>
    <row r="28" customFormat="false" ht="18" hidden="false" customHeight="true" outlineLevel="0" collapsed="false">
      <c r="B28" s="75" t="s">
        <v>295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8"/>
    <col collapsed="false" customWidth="true" hidden="false" outlineLevel="0" max="4" min="4" style="0" width="12"/>
    <col collapsed="false" customWidth="true" hidden="false" outlineLevel="0" max="5" min="5" style="0" width="38"/>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6</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40</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6"/>
      <c r="C5" s="6"/>
      <c r="D5" s="6"/>
      <c r="E5" s="6"/>
    </row>
    <row r="6" customFormat="false" ht="15" hidden="false" customHeight="false" outlineLevel="0" collapsed="false">
      <c r="A6" s="6"/>
      <c r="B6" s="27" t="s">
        <v>41</v>
      </c>
      <c r="C6" s="27" t="s">
        <v>42</v>
      </c>
      <c r="D6" s="27" t="s">
        <v>43</v>
      </c>
      <c r="E6" s="27" t="s">
        <v>44</v>
      </c>
    </row>
    <row r="7" customFormat="false" ht="15" hidden="false" customHeight="false" outlineLevel="0" collapsed="false">
      <c r="A7" s="6"/>
      <c r="B7" s="6"/>
      <c r="C7" s="6"/>
      <c r="D7" s="6"/>
      <c r="E7" s="6"/>
    </row>
    <row r="8" customFormat="false" ht="15" hidden="false" customHeight="false" outlineLevel="0" collapsed="false">
      <c r="A8" s="6"/>
      <c r="B8" s="28" t="s">
        <v>45</v>
      </c>
      <c r="C8" s="29"/>
      <c r="D8" s="29"/>
      <c r="E8" s="29"/>
    </row>
    <row r="9" customFormat="false" ht="15" hidden="false" customHeight="false" outlineLevel="0" collapsed="false">
      <c r="A9" s="6"/>
      <c r="B9" s="15" t="s">
        <v>46</v>
      </c>
      <c r="C9" s="30" t="n">
        <v>46023</v>
      </c>
      <c r="D9" s="31"/>
      <c r="E9" s="31" t="s">
        <v>47</v>
      </c>
    </row>
    <row r="10" customFormat="false" ht="15" hidden="false" customHeight="false" outlineLevel="0" collapsed="false">
      <c r="A10" s="6"/>
      <c r="B10" s="15" t="s">
        <v>33</v>
      </c>
      <c r="C10" s="32" t="n">
        <v>24</v>
      </c>
      <c r="D10" s="31" t="s">
        <v>29</v>
      </c>
      <c r="E10" s="31" t="s">
        <v>48</v>
      </c>
    </row>
    <row r="11" customFormat="false" ht="15" hidden="false" customHeight="false" outlineLevel="0" collapsed="false">
      <c r="A11" s="6"/>
      <c r="B11" s="15" t="s">
        <v>23</v>
      </c>
      <c r="C11" s="33" t="s">
        <v>49</v>
      </c>
      <c r="D11" s="31"/>
      <c r="E11" s="31" t="s">
        <v>50</v>
      </c>
    </row>
    <row r="12" customFormat="false" ht="15" hidden="false" customHeight="false" outlineLevel="0" collapsed="false">
      <c r="A12" s="6"/>
      <c r="B12" s="6"/>
      <c r="C12" s="6"/>
      <c r="D12" s="6"/>
      <c r="E12" s="6"/>
    </row>
    <row r="13" customFormat="false" ht="15" hidden="false" customHeight="false" outlineLevel="0" collapsed="false">
      <c r="A13" s="6"/>
      <c r="B13" s="28" t="s">
        <v>51</v>
      </c>
      <c r="C13" s="29"/>
      <c r="D13" s="29"/>
      <c r="E13" s="29"/>
    </row>
    <row r="14" customFormat="false" ht="15" hidden="false" customHeight="false" outlineLevel="0" collapsed="false">
      <c r="A14" s="6"/>
      <c r="B14" s="15" t="s">
        <v>52</v>
      </c>
      <c r="C14" s="34" t="n">
        <v>250000</v>
      </c>
      <c r="D14" s="31" t="s">
        <v>53</v>
      </c>
      <c r="E14" s="31" t="s">
        <v>54</v>
      </c>
    </row>
    <row r="15" customFormat="false" ht="15" hidden="false" customHeight="false" outlineLevel="0" collapsed="false">
      <c r="A15" s="6"/>
      <c r="B15" s="15" t="s">
        <v>55</v>
      </c>
      <c r="C15" s="34" t="n">
        <v>35000</v>
      </c>
      <c r="D15" s="31" t="s">
        <v>53</v>
      </c>
      <c r="E15" s="31" t="s">
        <v>56</v>
      </c>
    </row>
    <row r="16" customFormat="false" ht="15" hidden="false" customHeight="false" outlineLevel="0" collapsed="false">
      <c r="A16" s="6"/>
      <c r="B16" s="15" t="s">
        <v>24</v>
      </c>
      <c r="C16" s="35" t="n">
        <f aca="false">Current_MRR*12</f>
        <v>420000</v>
      </c>
      <c r="D16" s="31" t="s">
        <v>53</v>
      </c>
      <c r="E16" s="31" t="s">
        <v>57</v>
      </c>
    </row>
    <row r="17" customFormat="false" ht="15" hidden="false" customHeight="false" outlineLevel="0" collapsed="false">
      <c r="A17" s="6"/>
      <c r="B17" s="15" t="s">
        <v>58</v>
      </c>
      <c r="C17" s="32" t="n">
        <v>12</v>
      </c>
      <c r="D17" s="31" t="s">
        <v>59</v>
      </c>
      <c r="E17" s="31" t="s">
        <v>60</v>
      </c>
    </row>
    <row r="18" customFormat="false" ht="15" hidden="false" customHeight="false" outlineLevel="0" collapsed="false">
      <c r="A18" s="6"/>
      <c r="B18" s="6"/>
      <c r="C18" s="6"/>
      <c r="D18" s="6"/>
      <c r="E18" s="6"/>
    </row>
    <row r="19" customFormat="false" ht="15" hidden="false" customHeight="false" outlineLevel="0" collapsed="false">
      <c r="A19" s="6"/>
      <c r="B19" s="28" t="s">
        <v>61</v>
      </c>
      <c r="C19" s="29"/>
      <c r="D19" s="29"/>
      <c r="E19" s="29"/>
    </row>
    <row r="20" customFormat="false" ht="15" hidden="false" customHeight="false" outlineLevel="0" collapsed="false">
      <c r="A20" s="6"/>
      <c r="B20" s="15" t="s">
        <v>62</v>
      </c>
      <c r="C20" s="36" t="n">
        <v>0.08</v>
      </c>
      <c r="D20" s="31"/>
      <c r="E20" s="31" t="s">
        <v>63</v>
      </c>
    </row>
    <row r="21" customFormat="false" ht="15" hidden="false" customHeight="false" outlineLevel="0" collapsed="false">
      <c r="A21" s="6"/>
      <c r="B21" s="15" t="s">
        <v>64</v>
      </c>
      <c r="C21" s="36" t="n">
        <v>0.1</v>
      </c>
      <c r="D21" s="31"/>
      <c r="E21" s="31" t="s">
        <v>63</v>
      </c>
    </row>
    <row r="22" customFormat="false" ht="15" hidden="false" customHeight="false" outlineLevel="0" collapsed="false">
      <c r="A22" s="6"/>
      <c r="B22" s="15" t="s">
        <v>65</v>
      </c>
      <c r="C22" s="36" t="n">
        <v>0.12</v>
      </c>
      <c r="D22" s="31"/>
      <c r="E22" s="31" t="s">
        <v>63</v>
      </c>
    </row>
    <row r="23" customFormat="false" ht="15" hidden="false" customHeight="false" outlineLevel="0" collapsed="false">
      <c r="A23" s="6"/>
      <c r="B23" s="15" t="s">
        <v>66</v>
      </c>
      <c r="C23" s="36" t="n">
        <v>0.15</v>
      </c>
      <c r="D23" s="31"/>
      <c r="E23" s="31" t="s">
        <v>63</v>
      </c>
    </row>
    <row r="24" customFormat="false" ht="15" hidden="false" customHeight="false" outlineLevel="0" collapsed="false">
      <c r="A24" s="6"/>
      <c r="B24" s="15" t="s">
        <v>67</v>
      </c>
      <c r="C24" s="36" t="n">
        <v>0.03</v>
      </c>
      <c r="D24" s="31"/>
      <c r="E24" s="31" t="s">
        <v>68</v>
      </c>
    </row>
    <row r="25" customFormat="false" ht="15" hidden="false" customHeight="false" outlineLevel="0" collapsed="false">
      <c r="A25" s="6"/>
      <c r="B25" s="15" t="s">
        <v>69</v>
      </c>
      <c r="C25" s="36" t="n">
        <v>0.05</v>
      </c>
      <c r="D25" s="31"/>
      <c r="E25" s="31" t="s">
        <v>70</v>
      </c>
    </row>
    <row r="26" customFormat="false" ht="15" hidden="false" customHeight="false" outlineLevel="0" collapsed="false">
      <c r="A26" s="6"/>
      <c r="B26" s="6"/>
      <c r="C26" s="6"/>
      <c r="D26" s="6"/>
      <c r="E26" s="6"/>
    </row>
    <row r="27" customFormat="false" ht="15" hidden="false" customHeight="false" outlineLevel="0" collapsed="false">
      <c r="A27" s="6"/>
      <c r="B27" s="28" t="s">
        <v>71</v>
      </c>
      <c r="C27" s="29"/>
      <c r="D27" s="29"/>
      <c r="E27" s="29"/>
    </row>
    <row r="28" customFormat="false" ht="15" hidden="false" customHeight="false" outlineLevel="0" collapsed="false">
      <c r="A28" s="6"/>
      <c r="B28" s="15" t="s">
        <v>72</v>
      </c>
      <c r="C28" s="34" t="n">
        <v>8500</v>
      </c>
      <c r="D28" s="31" t="s">
        <v>53</v>
      </c>
      <c r="E28" s="31" t="s">
        <v>73</v>
      </c>
    </row>
    <row r="29" customFormat="false" ht="15" hidden="false" customHeight="false" outlineLevel="0" collapsed="false">
      <c r="A29" s="6"/>
      <c r="B29" s="15" t="s">
        <v>74</v>
      </c>
      <c r="C29" s="36" t="n">
        <v>0.2</v>
      </c>
      <c r="D29" s="31"/>
      <c r="E29" s="31" t="s">
        <v>75</v>
      </c>
    </row>
    <row r="30" customFormat="false" ht="15" hidden="false" customHeight="false" outlineLevel="0" collapsed="false">
      <c r="A30" s="6"/>
      <c r="B30" s="15" t="s">
        <v>76</v>
      </c>
      <c r="C30" s="32" t="n">
        <v>2</v>
      </c>
      <c r="D30" s="31" t="s">
        <v>59</v>
      </c>
      <c r="E30" s="31" t="s">
        <v>77</v>
      </c>
    </row>
    <row r="31" customFormat="false" ht="15" hidden="false" customHeight="false" outlineLevel="0" collapsed="false">
      <c r="A31" s="6"/>
      <c r="B31" s="15" t="s">
        <v>78</v>
      </c>
      <c r="C31" s="36" t="n">
        <v>0.03</v>
      </c>
      <c r="D31" s="31"/>
      <c r="E31" s="31" t="s">
        <v>79</v>
      </c>
    </row>
    <row r="32" customFormat="false" ht="15" hidden="false" customHeight="false" outlineLevel="0" collapsed="false">
      <c r="A32" s="6"/>
      <c r="B32" s="15" t="s">
        <v>80</v>
      </c>
      <c r="C32" s="34" t="n">
        <v>3000</v>
      </c>
      <c r="D32" s="31" t="s">
        <v>81</v>
      </c>
      <c r="E32" s="31" t="s">
        <v>82</v>
      </c>
    </row>
    <row r="33" customFormat="false" ht="15" hidden="false" customHeight="false" outlineLevel="0" collapsed="false">
      <c r="A33" s="6"/>
      <c r="B33" s="15" t="s">
        <v>83</v>
      </c>
      <c r="C33" s="36" t="n">
        <v>0.05</v>
      </c>
      <c r="D33" s="31"/>
      <c r="E33" s="31" t="s">
        <v>84</v>
      </c>
    </row>
    <row r="34" customFormat="false" ht="15" hidden="false" customHeight="false" outlineLevel="0" collapsed="false">
      <c r="A34" s="6"/>
      <c r="B34" s="15" t="s">
        <v>85</v>
      </c>
      <c r="C34" s="36" t="n">
        <v>0.15</v>
      </c>
      <c r="D34" s="31"/>
      <c r="E34" s="31" t="s">
        <v>86</v>
      </c>
    </row>
    <row r="35" customFormat="false" ht="15" hidden="false" customHeight="false" outlineLevel="0" collapsed="false">
      <c r="A35" s="6"/>
      <c r="B35" s="15" t="s">
        <v>87</v>
      </c>
      <c r="C35" s="34" t="n">
        <v>8000</v>
      </c>
      <c r="D35" s="31" t="s">
        <v>81</v>
      </c>
      <c r="E35" s="31" t="s">
        <v>88</v>
      </c>
    </row>
    <row r="36" customFormat="false" ht="15" hidden="false" customHeight="false" outlineLevel="0" collapsed="false">
      <c r="A36" s="6"/>
      <c r="B36" s="6"/>
      <c r="C36" s="6"/>
      <c r="D36" s="6"/>
      <c r="E36" s="6"/>
    </row>
    <row r="37" customFormat="false" ht="15" hidden="false" customHeight="false" outlineLevel="0" collapsed="false">
      <c r="A37" s="6"/>
      <c r="B37" s="28" t="s">
        <v>89</v>
      </c>
      <c r="C37" s="29"/>
      <c r="D37" s="29"/>
      <c r="E37" s="29"/>
    </row>
    <row r="38" customFormat="false" ht="15" hidden="false" customHeight="false" outlineLevel="0" collapsed="false">
      <c r="A38" s="6"/>
      <c r="B38" s="15" t="s">
        <v>90</v>
      </c>
      <c r="C38" s="33" t="s">
        <v>91</v>
      </c>
      <c r="D38" s="31"/>
      <c r="E38" s="31" t="s">
        <v>92</v>
      </c>
    </row>
    <row r="39" customFormat="false" ht="15" hidden="false" customHeight="false" outlineLevel="0" collapsed="false">
      <c r="A39" s="6"/>
      <c r="B39" s="15" t="s">
        <v>93</v>
      </c>
      <c r="C39" s="37" t="b">
        <f aca="false">TRUE()</f>
        <v>1</v>
      </c>
      <c r="D39" s="31" t="s">
        <v>94</v>
      </c>
      <c r="E39" s="31" t="s">
        <v>95</v>
      </c>
    </row>
    <row r="40" customFormat="false" ht="15" hidden="false" customHeight="false" outlineLevel="0" collapsed="false">
      <c r="A40" s="6"/>
      <c r="B40" s="15" t="s">
        <v>96</v>
      </c>
      <c r="C40" s="36" t="n">
        <v>0.06</v>
      </c>
      <c r="D40" s="31"/>
      <c r="E40" s="31" t="s">
        <v>97</v>
      </c>
    </row>
    <row r="41" customFormat="false" ht="15" hidden="false" customHeight="false" outlineLevel="0" collapsed="false">
      <c r="A41" s="6"/>
      <c r="B41" s="15" t="s">
        <v>98</v>
      </c>
      <c r="C41" s="32" t="n">
        <v>18</v>
      </c>
      <c r="D41" s="31" t="s">
        <v>29</v>
      </c>
      <c r="E41" s="31" t="s">
        <v>99</v>
      </c>
    </row>
    <row r="42" customFormat="false" ht="15" hidden="false" customHeight="false" outlineLevel="0" collapsed="false">
      <c r="A42" s="6"/>
      <c r="B42" s="15" t="s">
        <v>100</v>
      </c>
      <c r="C42" s="36" t="n">
        <v>0.2</v>
      </c>
      <c r="D42" s="31"/>
      <c r="E42" s="31" t="s">
        <v>101</v>
      </c>
    </row>
    <row r="43" customFormat="false" ht="15" hidden="false" customHeight="false" outlineLevel="0" collapsed="false">
      <c r="A43" s="6"/>
      <c r="B43" s="15" t="s">
        <v>102</v>
      </c>
      <c r="C43" s="34" t="n">
        <v>8000000</v>
      </c>
      <c r="D43" s="31" t="s">
        <v>53</v>
      </c>
      <c r="E43" s="31" t="s">
        <v>103</v>
      </c>
    </row>
    <row r="44" customFormat="false" ht="15" hidden="false" customHeight="false" outlineLevel="0" collapsed="false">
      <c r="A44" s="6"/>
      <c r="B44" s="6"/>
      <c r="C44" s="6"/>
      <c r="D44" s="6"/>
      <c r="E44" s="6"/>
    </row>
    <row r="45" customFormat="false" ht="15" hidden="false" customHeight="false" outlineLevel="0" collapsed="false">
      <c r="A45" s="6"/>
      <c r="B45" s="28" t="s">
        <v>104</v>
      </c>
      <c r="C45" s="29"/>
      <c r="D45" s="29"/>
      <c r="E45" s="29"/>
    </row>
    <row r="46" customFormat="false" ht="15" hidden="false" customHeight="false" outlineLevel="0" collapsed="false">
      <c r="A46" s="6"/>
      <c r="B46" s="15" t="s">
        <v>105</v>
      </c>
      <c r="C46" s="32" t="n">
        <v>6000000</v>
      </c>
      <c r="D46" s="31" t="s">
        <v>106</v>
      </c>
      <c r="E46" s="31" t="s">
        <v>107</v>
      </c>
    </row>
    <row r="47" customFormat="false" ht="15" hidden="false" customHeight="false" outlineLevel="0" collapsed="false">
      <c r="A47" s="6"/>
      <c r="B47" s="15" t="s">
        <v>108</v>
      </c>
      <c r="C47" s="32" t="n">
        <v>1000000</v>
      </c>
      <c r="D47" s="31" t="s">
        <v>106</v>
      </c>
      <c r="E47" s="31" t="s">
        <v>109</v>
      </c>
    </row>
    <row r="48" customFormat="false" ht="15" hidden="false" customHeight="false" outlineLevel="0" collapsed="false">
      <c r="A48" s="6"/>
      <c r="B48" s="15" t="s">
        <v>110</v>
      </c>
      <c r="C48" s="32" t="n">
        <v>2000000</v>
      </c>
      <c r="D48" s="31" t="s">
        <v>106</v>
      </c>
      <c r="E48" s="31" t="s">
        <v>111</v>
      </c>
    </row>
    <row r="49" customFormat="false" ht="15" hidden="false" customHeight="false" outlineLevel="0" collapsed="false">
      <c r="A49" s="6"/>
      <c r="B49" s="15" t="s">
        <v>112</v>
      </c>
      <c r="C49" s="38" t="n">
        <f aca="false">C46+C47+C48</f>
        <v>9000000</v>
      </c>
      <c r="D49" s="31" t="s">
        <v>106</v>
      </c>
      <c r="E49" s="31" t="s">
        <v>113</v>
      </c>
    </row>
    <row r="50" customFormat="false" ht="15" hidden="false" customHeight="false" outlineLevel="0" collapsed="false">
      <c r="A50" s="6"/>
      <c r="B50" s="15" t="s">
        <v>114</v>
      </c>
      <c r="C50" s="36" t="n">
        <v>0.1</v>
      </c>
      <c r="D50" s="31"/>
      <c r="E50" s="31" t="s">
        <v>115</v>
      </c>
    </row>
    <row r="51" customFormat="false" ht="15" hidden="false" customHeight="false" outlineLevel="0" collapsed="false">
      <c r="A51" s="6"/>
      <c r="B51" s="6"/>
      <c r="C51" s="6"/>
      <c r="D51" s="6"/>
      <c r="E51" s="6"/>
    </row>
    <row r="52" customFormat="false" ht="15" hidden="false" customHeight="false" outlineLevel="0" collapsed="false">
      <c r="A52" s="6"/>
      <c r="B52" s="28" t="s">
        <v>116</v>
      </c>
      <c r="C52" s="29"/>
      <c r="D52" s="29"/>
      <c r="E52" s="29"/>
    </row>
    <row r="53" customFormat="false" ht="15" hidden="false" customHeight="false" outlineLevel="0" collapsed="false">
      <c r="A53" s="6"/>
      <c r="B53" s="15" t="s">
        <v>117</v>
      </c>
      <c r="C53" s="34" t="n">
        <v>12000000</v>
      </c>
      <c r="D53" s="31" t="s">
        <v>53</v>
      </c>
      <c r="E53" s="31" t="s">
        <v>118</v>
      </c>
    </row>
    <row r="54" customFormat="false" ht="15" hidden="false" customHeight="false" outlineLevel="0" collapsed="false">
      <c r="A54" s="6"/>
      <c r="B54" s="15" t="s">
        <v>119</v>
      </c>
      <c r="C54" s="34" t="n">
        <v>3000000</v>
      </c>
      <c r="D54" s="31" t="s">
        <v>53</v>
      </c>
      <c r="E54" s="31" t="s">
        <v>120</v>
      </c>
    </row>
    <row r="55" customFormat="false" ht="15" hidden="false" customHeight="false" outlineLevel="0" collapsed="false">
      <c r="A55" s="6"/>
      <c r="B55" s="15" t="s">
        <v>121</v>
      </c>
      <c r="C55" s="32" t="n">
        <v>15</v>
      </c>
      <c r="D55" s="31" t="s">
        <v>122</v>
      </c>
      <c r="E55" s="31" t="s">
        <v>123</v>
      </c>
    </row>
    <row r="56" customFormat="false" ht="15" hidden="false" customHeight="false" outlineLevel="0" collapsed="false">
      <c r="A56" s="6"/>
      <c r="B56" s="15" t="s">
        <v>124</v>
      </c>
      <c r="C56" s="34" t="n">
        <v>100000</v>
      </c>
      <c r="D56" s="31" t="s">
        <v>53</v>
      </c>
      <c r="E56" s="31" t="s">
        <v>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4" min="3" style="0" width="14"/>
    <col collapsed="false" customWidth="true" hidden="false" outlineLevel="0" max="5" min="5" style="0" width="12"/>
    <col collapsed="false" customWidth="true" hidden="false" outlineLevel="0" max="7" min="6" style="0" width="14"/>
  </cols>
  <sheetData>
    <row r="1" customFormat="false" ht="15" hidden="false" customHeight="false" outlineLevel="0" collapsed="false">
      <c r="A1" s="1"/>
      <c r="B1" s="1"/>
      <c r="C1" s="1"/>
      <c r="D1" s="1"/>
      <c r="E1" s="1"/>
      <c r="F1" s="1"/>
      <c r="G1" s="1"/>
      <c r="H1" s="1"/>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8</v>
      </c>
      <c r="C2" s="1"/>
      <c r="D2" s="1"/>
      <c r="E2" s="1"/>
      <c r="F2" s="1"/>
      <c r="G2" s="1"/>
      <c r="H2" s="1"/>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126</v>
      </c>
      <c r="C3" s="1"/>
      <c r="D3" s="1"/>
      <c r="E3" s="1"/>
      <c r="F3" s="1"/>
      <c r="G3" s="1"/>
      <c r="H3" s="1"/>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row>
    <row r="5" customFormat="false" ht="15" hidden="false" customHeight="false" outlineLevel="0" collapsed="false">
      <c r="A5" s="6"/>
      <c r="B5" s="6"/>
      <c r="C5" s="6"/>
      <c r="D5" s="6"/>
      <c r="E5" s="6"/>
      <c r="F5" s="6"/>
      <c r="G5" s="6"/>
      <c r="H5" s="6"/>
    </row>
    <row r="6" customFormat="false" ht="15" hidden="false" customHeight="false" outlineLevel="0" collapsed="false">
      <c r="A6" s="6"/>
      <c r="B6" s="27" t="s">
        <v>127</v>
      </c>
      <c r="C6" s="27" t="s">
        <v>128</v>
      </c>
      <c r="D6" s="27" t="s">
        <v>129</v>
      </c>
      <c r="E6" s="27" t="s">
        <v>130</v>
      </c>
      <c r="F6" s="27" t="s">
        <v>131</v>
      </c>
      <c r="G6" s="27" t="s">
        <v>132</v>
      </c>
      <c r="H6" s="6"/>
    </row>
    <row r="7" customFormat="false" ht="15" hidden="false" customHeight="false" outlineLevel="0" collapsed="false">
      <c r="A7" s="6"/>
      <c r="B7" s="39" t="s">
        <v>133</v>
      </c>
      <c r="C7" s="34" t="n">
        <v>400000</v>
      </c>
      <c r="D7" s="34" t="n">
        <v>8000000</v>
      </c>
      <c r="E7" s="36" t="n">
        <v>0.2</v>
      </c>
      <c r="F7" s="32" t="n">
        <v>2</v>
      </c>
      <c r="G7" s="40" t="s">
        <v>91</v>
      </c>
      <c r="H7" s="6"/>
    </row>
    <row r="8" customFormat="false" ht="15" hidden="false" customHeight="false" outlineLevel="0" collapsed="false">
      <c r="A8" s="6"/>
      <c r="B8" s="39" t="s">
        <v>134</v>
      </c>
      <c r="C8" s="34" t="n">
        <v>150000</v>
      </c>
      <c r="D8" s="34" t="n">
        <v>8000000</v>
      </c>
      <c r="E8" s="36" t="n">
        <v>0.2</v>
      </c>
      <c r="F8" s="32" t="n">
        <v>2</v>
      </c>
      <c r="G8" s="40" t="s">
        <v>91</v>
      </c>
      <c r="H8" s="6"/>
    </row>
    <row r="9" customFormat="false" ht="15" hidden="false" customHeight="false" outlineLevel="0" collapsed="false">
      <c r="A9" s="6"/>
      <c r="B9" s="39" t="s">
        <v>135</v>
      </c>
      <c r="C9" s="34" t="n">
        <v>125000</v>
      </c>
      <c r="D9" s="34" t="n">
        <v>8000000</v>
      </c>
      <c r="E9" s="36" t="n">
        <v>0.2</v>
      </c>
      <c r="F9" s="32" t="n">
        <v>3</v>
      </c>
      <c r="G9" s="40" t="s">
        <v>91</v>
      </c>
      <c r="H9" s="6"/>
    </row>
    <row r="10" customFormat="false" ht="15" hidden="false" customHeight="false" outlineLevel="0" collapsed="false">
      <c r="A10" s="6"/>
      <c r="B10" s="39" t="s">
        <v>136</v>
      </c>
      <c r="C10" s="34" t="n">
        <v>75000</v>
      </c>
      <c r="D10" s="34" t="n">
        <v>8000000</v>
      </c>
      <c r="E10" s="36" t="n">
        <v>0.2</v>
      </c>
      <c r="F10" s="32" t="n">
        <v>4</v>
      </c>
      <c r="G10" s="40" t="s">
        <v>91</v>
      </c>
      <c r="H10" s="6"/>
    </row>
    <row r="11" customFormat="false" ht="15" hidden="false" customHeight="false" outlineLevel="0" collapsed="false">
      <c r="A11" s="6"/>
      <c r="B11" s="41" t="s">
        <v>137</v>
      </c>
      <c r="C11" s="42" t="n">
        <f aca="false">SUM(C7:C10)</f>
        <v>750000</v>
      </c>
      <c r="D11" s="6"/>
      <c r="E11" s="6"/>
      <c r="F11" s="6"/>
      <c r="G11" s="6"/>
      <c r="H11" s="6"/>
    </row>
    <row r="12" customFormat="false" ht="15" hidden="false" customHeight="false" outlineLevel="0" collapsed="false">
      <c r="A12" s="6"/>
      <c r="B12" s="6"/>
      <c r="C12" s="6"/>
      <c r="D12" s="6"/>
      <c r="E12" s="6"/>
      <c r="F12" s="6"/>
      <c r="G12" s="6"/>
      <c r="H12" s="6"/>
    </row>
    <row r="13" customFormat="false" ht="15" hidden="false" customHeight="false" outlineLevel="0" collapsed="false">
      <c r="A13" s="6"/>
      <c r="B13" s="28" t="s">
        <v>138</v>
      </c>
      <c r="C13" s="29"/>
      <c r="D13" s="29"/>
      <c r="E13" s="29"/>
      <c r="F13" s="29"/>
      <c r="G13" s="29"/>
      <c r="H13" s="29"/>
    </row>
    <row r="14" customFormat="false" ht="15" hidden="false" customHeight="false" outlineLevel="0" collapsed="false">
      <c r="A14" s="6"/>
      <c r="B14" s="27" t="s">
        <v>127</v>
      </c>
      <c r="C14" s="27" t="s">
        <v>128</v>
      </c>
      <c r="D14" s="27" t="s">
        <v>139</v>
      </c>
      <c r="E14" s="27" t="s">
        <v>140</v>
      </c>
      <c r="F14" s="27" t="s">
        <v>141</v>
      </c>
      <c r="G14" s="27" t="s">
        <v>142</v>
      </c>
      <c r="H14" s="27" t="s">
        <v>143</v>
      </c>
    </row>
    <row r="15" customFormat="false" ht="15" hidden="false" customHeight="false" outlineLevel="0" collapsed="false">
      <c r="A15" s="6"/>
      <c r="B15" s="43" t="str">
        <f aca="false">B7</f>
        <v>Lead Fund</v>
      </c>
      <c r="C15" s="35" t="n">
        <f aca="false">C7</f>
        <v>400000</v>
      </c>
      <c r="D15" s="44" t="n">
        <f aca="false">MAX(0,Next_Round_Month-F7)</f>
        <v>13</v>
      </c>
      <c r="E15" s="35" t="n">
        <f aca="false">IF(G7="SAFE",C7,C7*(1+Bridge_Interest*D15/12))</f>
        <v>426000</v>
      </c>
      <c r="F15" s="45" t="n">
        <f aca="false">MIN(MIN(D7,Bridge_Val_Cap)/Total_Pre_Shares,(Next_Round_Premoney/Total_Pre_Shares)*(1-E7))</f>
        <v>0.888888888888889</v>
      </c>
      <c r="G15" s="44" t="n">
        <f aca="false">E15/F15</f>
        <v>479250</v>
      </c>
      <c r="H15" s="35" t="n">
        <f aca="false">IF(G7="SAFE",C7,C7*(1+Bridge_Interest*Bridge_Maturity/12))</f>
        <v>436000</v>
      </c>
    </row>
    <row r="16" customFormat="false" ht="15" hidden="false" customHeight="false" outlineLevel="0" collapsed="false">
      <c r="A16" s="6"/>
      <c r="B16" s="43" t="str">
        <f aca="false">B8</f>
        <v>Strategic Angel</v>
      </c>
      <c r="C16" s="35" t="n">
        <f aca="false">C8</f>
        <v>150000</v>
      </c>
      <c r="D16" s="44" t="n">
        <f aca="false">MAX(0,Next_Round_Month-F8)</f>
        <v>13</v>
      </c>
      <c r="E16" s="35" t="n">
        <f aca="false">IF(G8="SAFE",C8,C8*(1+Bridge_Interest*D16/12))</f>
        <v>159750</v>
      </c>
      <c r="F16" s="45" t="n">
        <f aca="false">MIN(MIN(D8,Bridge_Val_Cap)/Total_Pre_Shares,(Next_Round_Premoney/Total_Pre_Shares)*(1-E8))</f>
        <v>0.888888888888889</v>
      </c>
      <c r="G16" s="44" t="n">
        <f aca="false">E16/F16</f>
        <v>179718.75</v>
      </c>
      <c r="H16" s="35" t="n">
        <f aca="false">IF(G8="SAFE",C8,C8*(1+Bridge_Interest*Bridge_Maturity/12))</f>
        <v>163500</v>
      </c>
    </row>
    <row r="17" customFormat="false" ht="15" hidden="false" customHeight="false" outlineLevel="0" collapsed="false">
      <c r="A17" s="6"/>
      <c r="B17" s="43" t="str">
        <f aca="false">B9</f>
        <v>Existing Seed</v>
      </c>
      <c r="C17" s="35" t="n">
        <f aca="false">C9</f>
        <v>125000</v>
      </c>
      <c r="D17" s="44" t="n">
        <f aca="false">MAX(0,Next_Round_Month-F9)</f>
        <v>12</v>
      </c>
      <c r="E17" s="35" t="n">
        <f aca="false">IF(G9="SAFE",C9,C9*(1+Bridge_Interest*D17/12))</f>
        <v>132500</v>
      </c>
      <c r="F17" s="45" t="n">
        <f aca="false">MIN(MIN(D9,Bridge_Val_Cap)/Total_Pre_Shares,(Next_Round_Premoney/Total_Pre_Shares)*(1-E9))</f>
        <v>0.888888888888889</v>
      </c>
      <c r="G17" s="44" t="n">
        <f aca="false">E17/F17</f>
        <v>149062.5</v>
      </c>
      <c r="H17" s="35" t="n">
        <f aca="false">IF(G9="SAFE",C9,C9*(1+Bridge_Interest*Bridge_Maturity/12))</f>
        <v>136250</v>
      </c>
    </row>
    <row r="18" customFormat="false" ht="15" hidden="false" customHeight="false" outlineLevel="0" collapsed="false">
      <c r="A18" s="6"/>
      <c r="B18" s="43" t="str">
        <f aca="false">B10</f>
        <v>Friends &amp; Fam</v>
      </c>
      <c r="C18" s="35" t="n">
        <f aca="false">C10</f>
        <v>75000</v>
      </c>
      <c r="D18" s="44" t="n">
        <f aca="false">MAX(0,Next_Round_Month-F10)</f>
        <v>11</v>
      </c>
      <c r="E18" s="35" t="n">
        <f aca="false">IF(G10="SAFE",C10,C10*(1+Bridge_Interest*D18/12))</f>
        <v>79125</v>
      </c>
      <c r="F18" s="45" t="n">
        <f aca="false">MIN(MIN(D10,Bridge_Val_Cap)/Total_Pre_Shares,(Next_Round_Premoney/Total_Pre_Shares)*(1-E10))</f>
        <v>0.888888888888889</v>
      </c>
      <c r="G18" s="44" t="n">
        <f aca="false">E18/F18</f>
        <v>89015.625</v>
      </c>
      <c r="H18" s="35" t="n">
        <f aca="false">IF(G10="SAFE",C10,C10*(1+Bridge_Interest*Bridge_Maturity/12))</f>
        <v>81750</v>
      </c>
    </row>
    <row r="19" customFormat="false" ht="15" hidden="false" customHeight="false" outlineLevel="0" collapsed="false">
      <c r="A19" s="6"/>
      <c r="B19" s="41" t="s">
        <v>137</v>
      </c>
      <c r="C19" s="42" t="n">
        <f aca="false">SUM(C15:C18)</f>
        <v>750000</v>
      </c>
      <c r="D19" s="6"/>
      <c r="E19" s="42" t="n">
        <f aca="false">SUM(E15:E18)</f>
        <v>797375</v>
      </c>
      <c r="F19" s="6"/>
      <c r="G19" s="46" t="n">
        <f aca="false">SUM(G15:G18)</f>
        <v>897046.875</v>
      </c>
      <c r="H19" s="42" t="n">
        <f aca="false">SUM(H15:H18)</f>
        <v>817500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6"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144</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145</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row>
    <row r="6" customFormat="false" ht="15" hidden="false" customHeight="false" outlineLevel="0" collapsed="false">
      <c r="A6" s="6"/>
      <c r="B6" s="8" t="s">
        <v>146</v>
      </c>
      <c r="C6" s="47" t="n">
        <f aca="false">COLUMN()-2</f>
        <v>1</v>
      </c>
      <c r="D6" s="47" t="n">
        <f aca="false">COLUMN()-2</f>
        <v>2</v>
      </c>
      <c r="E6" s="47" t="n">
        <f aca="false">COLUMN()-2</f>
        <v>3</v>
      </c>
      <c r="F6" s="47" t="n">
        <f aca="false">COLUMN()-2</f>
        <v>4</v>
      </c>
      <c r="G6" s="47" t="n">
        <f aca="false">COLUMN()-2</f>
        <v>5</v>
      </c>
      <c r="H6" s="47" t="n">
        <f aca="false">COLUMN()-2</f>
        <v>6</v>
      </c>
      <c r="I6" s="47" t="n">
        <f aca="false">COLUMN()-2</f>
        <v>7</v>
      </c>
      <c r="J6" s="47" t="n">
        <f aca="false">COLUMN()-2</f>
        <v>8</v>
      </c>
      <c r="K6" s="47" t="n">
        <f aca="false">COLUMN()-2</f>
        <v>9</v>
      </c>
      <c r="L6" s="47" t="n">
        <f aca="false">COLUMN()-2</f>
        <v>10</v>
      </c>
      <c r="M6" s="47" t="n">
        <f aca="false">COLUMN()-2</f>
        <v>11</v>
      </c>
      <c r="N6" s="47" t="n">
        <f aca="false">COLUMN()-2</f>
        <v>12</v>
      </c>
      <c r="O6" s="47" t="n">
        <f aca="false">COLUMN()-2</f>
        <v>13</v>
      </c>
      <c r="P6" s="47" t="n">
        <f aca="false">COLUMN()-2</f>
        <v>14</v>
      </c>
      <c r="Q6" s="47" t="n">
        <f aca="false">COLUMN()-2</f>
        <v>15</v>
      </c>
      <c r="R6" s="47" t="n">
        <f aca="false">COLUMN()-2</f>
        <v>16</v>
      </c>
      <c r="S6" s="47" t="n">
        <f aca="false">COLUMN()-2</f>
        <v>17</v>
      </c>
      <c r="T6" s="47" t="n">
        <f aca="false">COLUMN()-2</f>
        <v>18</v>
      </c>
      <c r="U6" s="47" t="n">
        <f aca="false">COLUMN()-2</f>
        <v>19</v>
      </c>
      <c r="V6" s="47" t="n">
        <f aca="false">COLUMN()-2</f>
        <v>20</v>
      </c>
      <c r="W6" s="47" t="n">
        <f aca="false">COLUMN()-2</f>
        <v>21</v>
      </c>
      <c r="X6" s="47" t="n">
        <f aca="false">COLUMN()-2</f>
        <v>22</v>
      </c>
      <c r="Y6" s="47" t="n">
        <f aca="false">COLUMN()-2</f>
        <v>23</v>
      </c>
      <c r="Z6" s="47" t="n">
        <f aca="false">COLUMN()-2</f>
        <v>24</v>
      </c>
    </row>
    <row r="7" customFormat="false" ht="15" hidden="false" customHeight="false" outlineLevel="0" collapsed="false">
      <c r="A7" s="6"/>
      <c r="B7" s="20" t="s">
        <v>147</v>
      </c>
      <c r="C7" s="48" t="n">
        <f aca="false">EDATE(Model_Start,C6-1)</f>
        <v>46023</v>
      </c>
      <c r="D7" s="48" t="n">
        <f aca="false">EDATE(Model_Start,D6-1)</f>
        <v>46054</v>
      </c>
      <c r="E7" s="48" t="n">
        <f aca="false">EDATE(Model_Start,E6-1)</f>
        <v>46082</v>
      </c>
      <c r="F7" s="48" t="n">
        <f aca="false">EDATE(Model_Start,F6-1)</f>
        <v>46113</v>
      </c>
      <c r="G7" s="48" t="n">
        <f aca="false">EDATE(Model_Start,G6-1)</f>
        <v>46143</v>
      </c>
      <c r="H7" s="48" t="n">
        <f aca="false">EDATE(Model_Start,H6-1)</f>
        <v>46174</v>
      </c>
      <c r="I7" s="48" t="n">
        <f aca="false">EDATE(Model_Start,I6-1)</f>
        <v>46204</v>
      </c>
      <c r="J7" s="48" t="n">
        <f aca="false">EDATE(Model_Start,J6-1)</f>
        <v>46235</v>
      </c>
      <c r="K7" s="48" t="n">
        <f aca="false">EDATE(Model_Start,K6-1)</f>
        <v>46266</v>
      </c>
      <c r="L7" s="48" t="n">
        <f aca="false">EDATE(Model_Start,L6-1)</f>
        <v>46296</v>
      </c>
      <c r="M7" s="48" t="n">
        <f aca="false">EDATE(Model_Start,M6-1)</f>
        <v>46327</v>
      </c>
      <c r="N7" s="48" t="n">
        <f aca="false">EDATE(Model_Start,N6-1)</f>
        <v>46357</v>
      </c>
      <c r="O7" s="48" t="n">
        <f aca="false">EDATE(Model_Start,O6-1)</f>
        <v>46388</v>
      </c>
      <c r="P7" s="48" t="n">
        <f aca="false">EDATE(Model_Start,P6-1)</f>
        <v>46419</v>
      </c>
      <c r="Q7" s="48" t="n">
        <f aca="false">EDATE(Model_Start,Q6-1)</f>
        <v>46447</v>
      </c>
      <c r="R7" s="48" t="n">
        <f aca="false">EDATE(Model_Start,R6-1)</f>
        <v>46478</v>
      </c>
      <c r="S7" s="48" t="n">
        <f aca="false">EDATE(Model_Start,S6-1)</f>
        <v>46508</v>
      </c>
      <c r="T7" s="48" t="n">
        <f aca="false">EDATE(Model_Start,T6-1)</f>
        <v>46539</v>
      </c>
      <c r="U7" s="48" t="n">
        <f aca="false">EDATE(Model_Start,U6-1)</f>
        <v>46569</v>
      </c>
      <c r="V7" s="48" t="n">
        <f aca="false">EDATE(Model_Start,V6-1)</f>
        <v>46600</v>
      </c>
      <c r="W7" s="48" t="n">
        <f aca="false">EDATE(Model_Start,W6-1)</f>
        <v>46631</v>
      </c>
      <c r="X7" s="48" t="n">
        <f aca="false">EDATE(Model_Start,X6-1)</f>
        <v>46661</v>
      </c>
      <c r="Y7" s="48" t="n">
        <f aca="false">EDATE(Model_Start,Y6-1)</f>
        <v>46692</v>
      </c>
      <c r="Z7" s="48" t="n">
        <f aca="false">EDATE(Model_Start,Z6-1)</f>
        <v>46722</v>
      </c>
    </row>
    <row r="8" customFormat="false" ht="15" hidden="false" customHeight="false" outlineLevel="0" collapsed="false">
      <c r="A8" s="6"/>
      <c r="B8" s="6"/>
      <c r="C8" s="6"/>
      <c r="D8" s="6"/>
      <c r="E8" s="6"/>
      <c r="F8" s="6"/>
      <c r="G8" s="6"/>
      <c r="H8" s="6"/>
      <c r="I8" s="6"/>
      <c r="J8" s="6"/>
      <c r="K8" s="6"/>
      <c r="L8" s="6"/>
      <c r="M8" s="6"/>
      <c r="N8" s="6"/>
      <c r="O8" s="6"/>
      <c r="P8" s="6"/>
      <c r="Q8" s="6"/>
      <c r="R8" s="6"/>
      <c r="S8" s="6"/>
      <c r="T8" s="6"/>
      <c r="U8" s="6"/>
      <c r="V8" s="6"/>
      <c r="W8" s="6"/>
      <c r="X8" s="6"/>
      <c r="Y8" s="6"/>
      <c r="Z8" s="6"/>
    </row>
    <row r="9" customFormat="false" ht="15" hidden="false" customHeight="false" outlineLevel="0" collapsed="false">
      <c r="A9" s="6"/>
      <c r="B9" s="28" t="s">
        <v>148</v>
      </c>
      <c r="C9" s="29"/>
      <c r="D9" s="29"/>
      <c r="E9" s="29"/>
      <c r="F9" s="29"/>
      <c r="G9" s="29"/>
      <c r="H9" s="29"/>
      <c r="I9" s="29"/>
      <c r="J9" s="29"/>
      <c r="K9" s="29"/>
      <c r="L9" s="29"/>
      <c r="M9" s="29"/>
      <c r="N9" s="29"/>
      <c r="O9" s="29"/>
      <c r="P9" s="29"/>
      <c r="Q9" s="29"/>
      <c r="R9" s="29"/>
      <c r="S9" s="29"/>
      <c r="T9" s="29"/>
      <c r="U9" s="29"/>
      <c r="V9" s="29"/>
      <c r="W9" s="29"/>
      <c r="X9" s="29"/>
      <c r="Y9" s="29"/>
      <c r="Z9" s="29"/>
    </row>
    <row r="10" customFormat="false" ht="15" hidden="false" customHeight="false" outlineLevel="0" collapsed="false">
      <c r="A10" s="6"/>
      <c r="B10" s="49" t="s">
        <v>149</v>
      </c>
      <c r="C10" s="50" t="n">
        <f aca="false">IF(C6&lt;=6,MRR_Growth_M1_6,IF(C6&lt;=12,MRR_Growth_M7_12,IF(C6&lt;=18,MRR_Growth_M13_18,MRR_Growth_M19_24)))</f>
        <v>0.08</v>
      </c>
      <c r="D10" s="50" t="n">
        <f aca="false">IF(D6&lt;=6,MRR_Growth_M1_6,IF(D6&lt;=12,MRR_Growth_M7_12,IF(D6&lt;=18,MRR_Growth_M13_18,MRR_Growth_M19_24)))</f>
        <v>0.08</v>
      </c>
      <c r="E10" s="50" t="n">
        <f aca="false">IF(E6&lt;=6,MRR_Growth_M1_6,IF(E6&lt;=12,MRR_Growth_M7_12,IF(E6&lt;=18,MRR_Growth_M13_18,MRR_Growth_M19_24)))</f>
        <v>0.08</v>
      </c>
      <c r="F10" s="50" t="n">
        <f aca="false">IF(F6&lt;=6,MRR_Growth_M1_6,IF(F6&lt;=12,MRR_Growth_M7_12,IF(F6&lt;=18,MRR_Growth_M13_18,MRR_Growth_M19_24)))</f>
        <v>0.08</v>
      </c>
      <c r="G10" s="50" t="n">
        <f aca="false">IF(G6&lt;=6,MRR_Growth_M1_6,IF(G6&lt;=12,MRR_Growth_M7_12,IF(G6&lt;=18,MRR_Growth_M13_18,MRR_Growth_M19_24)))</f>
        <v>0.08</v>
      </c>
      <c r="H10" s="50" t="n">
        <f aca="false">IF(H6&lt;=6,MRR_Growth_M1_6,IF(H6&lt;=12,MRR_Growth_M7_12,IF(H6&lt;=18,MRR_Growth_M13_18,MRR_Growth_M19_24)))</f>
        <v>0.08</v>
      </c>
      <c r="I10" s="50" t="n">
        <f aca="false">IF(I6&lt;=6,MRR_Growth_M1_6,IF(I6&lt;=12,MRR_Growth_M7_12,IF(I6&lt;=18,MRR_Growth_M13_18,MRR_Growth_M19_24)))</f>
        <v>0.1</v>
      </c>
      <c r="J10" s="50" t="n">
        <f aca="false">IF(J6&lt;=6,MRR_Growth_M1_6,IF(J6&lt;=12,MRR_Growth_M7_12,IF(J6&lt;=18,MRR_Growth_M13_18,MRR_Growth_M19_24)))</f>
        <v>0.1</v>
      </c>
      <c r="K10" s="50" t="n">
        <f aca="false">IF(K6&lt;=6,MRR_Growth_M1_6,IF(K6&lt;=12,MRR_Growth_M7_12,IF(K6&lt;=18,MRR_Growth_M13_18,MRR_Growth_M19_24)))</f>
        <v>0.1</v>
      </c>
      <c r="L10" s="50" t="n">
        <f aca="false">IF(L6&lt;=6,MRR_Growth_M1_6,IF(L6&lt;=12,MRR_Growth_M7_12,IF(L6&lt;=18,MRR_Growth_M13_18,MRR_Growth_M19_24)))</f>
        <v>0.1</v>
      </c>
      <c r="M10" s="50" t="n">
        <f aca="false">IF(M6&lt;=6,MRR_Growth_M1_6,IF(M6&lt;=12,MRR_Growth_M7_12,IF(M6&lt;=18,MRR_Growth_M13_18,MRR_Growth_M19_24)))</f>
        <v>0.1</v>
      </c>
      <c r="N10" s="50" t="n">
        <f aca="false">IF(N6&lt;=6,MRR_Growth_M1_6,IF(N6&lt;=12,MRR_Growth_M7_12,IF(N6&lt;=18,MRR_Growth_M13_18,MRR_Growth_M19_24)))</f>
        <v>0.1</v>
      </c>
      <c r="O10" s="50" t="n">
        <f aca="false">IF(O6&lt;=6,MRR_Growth_M1_6,IF(O6&lt;=12,MRR_Growth_M7_12,IF(O6&lt;=18,MRR_Growth_M13_18,MRR_Growth_M19_24)))</f>
        <v>0.12</v>
      </c>
      <c r="P10" s="50" t="n">
        <f aca="false">IF(P6&lt;=6,MRR_Growth_M1_6,IF(P6&lt;=12,MRR_Growth_M7_12,IF(P6&lt;=18,MRR_Growth_M13_18,MRR_Growth_M19_24)))</f>
        <v>0.12</v>
      </c>
      <c r="Q10" s="50" t="n">
        <f aca="false">IF(Q6&lt;=6,MRR_Growth_M1_6,IF(Q6&lt;=12,MRR_Growth_M7_12,IF(Q6&lt;=18,MRR_Growth_M13_18,MRR_Growth_M19_24)))</f>
        <v>0.12</v>
      </c>
      <c r="R10" s="50" t="n">
        <f aca="false">IF(R6&lt;=6,MRR_Growth_M1_6,IF(R6&lt;=12,MRR_Growth_M7_12,IF(R6&lt;=18,MRR_Growth_M13_18,MRR_Growth_M19_24)))</f>
        <v>0.12</v>
      </c>
      <c r="S10" s="50" t="n">
        <f aca="false">IF(S6&lt;=6,MRR_Growth_M1_6,IF(S6&lt;=12,MRR_Growth_M7_12,IF(S6&lt;=18,MRR_Growth_M13_18,MRR_Growth_M19_24)))</f>
        <v>0.12</v>
      </c>
      <c r="T10" s="50" t="n">
        <f aca="false">IF(T6&lt;=6,MRR_Growth_M1_6,IF(T6&lt;=12,MRR_Growth_M7_12,IF(T6&lt;=18,MRR_Growth_M13_18,MRR_Growth_M19_24)))</f>
        <v>0.12</v>
      </c>
      <c r="U10" s="50" t="n">
        <f aca="false">IF(U6&lt;=6,MRR_Growth_M1_6,IF(U6&lt;=12,MRR_Growth_M7_12,IF(U6&lt;=18,MRR_Growth_M13_18,MRR_Growth_M19_24)))</f>
        <v>0.15</v>
      </c>
      <c r="V10" s="50" t="n">
        <f aca="false">IF(V6&lt;=6,MRR_Growth_M1_6,IF(V6&lt;=12,MRR_Growth_M7_12,IF(V6&lt;=18,MRR_Growth_M13_18,MRR_Growth_M19_24)))</f>
        <v>0.15</v>
      </c>
      <c r="W10" s="50" t="n">
        <f aca="false">IF(W6&lt;=6,MRR_Growth_M1_6,IF(W6&lt;=12,MRR_Growth_M7_12,IF(W6&lt;=18,MRR_Growth_M13_18,MRR_Growth_M19_24)))</f>
        <v>0.15</v>
      </c>
      <c r="X10" s="50" t="n">
        <f aca="false">IF(X6&lt;=6,MRR_Growth_M1_6,IF(X6&lt;=12,MRR_Growth_M7_12,IF(X6&lt;=18,MRR_Growth_M13_18,MRR_Growth_M19_24)))</f>
        <v>0.15</v>
      </c>
      <c r="Y10" s="50" t="n">
        <f aca="false">IF(Y6&lt;=6,MRR_Growth_M1_6,IF(Y6&lt;=12,MRR_Growth_M7_12,IF(Y6&lt;=18,MRR_Growth_M13_18,MRR_Growth_M19_24)))</f>
        <v>0.15</v>
      </c>
      <c r="Z10" s="50" t="n">
        <f aca="false">IF(Z6&lt;=6,MRR_Growth_M1_6,IF(Z6&lt;=12,MRR_Growth_M7_12,IF(Z6&lt;=18,MRR_Growth_M13_18,MRR_Growth_M19_24)))</f>
        <v>0.15</v>
      </c>
    </row>
    <row r="11" customFormat="false" ht="15" hidden="false" customHeight="false" outlineLevel="0" collapsed="false">
      <c r="A11" s="6"/>
      <c r="B11" s="49" t="s">
        <v>150</v>
      </c>
      <c r="C11" s="35" t="n">
        <f aca="false">Current_MRR*(1+C10-Churn_Rate)</f>
        <v>36750</v>
      </c>
      <c r="D11" s="35" t="n">
        <f aca="false">C11*(1+D10-Churn_Rate)</f>
        <v>38587.5</v>
      </c>
      <c r="E11" s="35" t="n">
        <f aca="false">D11*(1+E10-Churn_Rate)</f>
        <v>40516.875</v>
      </c>
      <c r="F11" s="35" t="n">
        <f aca="false">E11*(1+F10-Churn_Rate)</f>
        <v>42542.71875</v>
      </c>
      <c r="G11" s="35" t="n">
        <f aca="false">F11*(1+G10-Churn_Rate)</f>
        <v>44669.8546875</v>
      </c>
      <c r="H11" s="35" t="n">
        <f aca="false">G11*(1+H10-Churn_Rate)</f>
        <v>46903.347421875</v>
      </c>
      <c r="I11" s="35" t="n">
        <f aca="false">H11*(1+I10-Churn_Rate)</f>
        <v>50186.5817414063</v>
      </c>
      <c r="J11" s="35" t="n">
        <f aca="false">I11*(1+J10-Churn_Rate)</f>
        <v>53699.6424633047</v>
      </c>
      <c r="K11" s="35" t="n">
        <f aca="false">J11*(1+K10-Churn_Rate)</f>
        <v>57458.617435736</v>
      </c>
      <c r="L11" s="35" t="n">
        <f aca="false">K11*(1+L10-Churn_Rate)</f>
        <v>61480.7206562376</v>
      </c>
      <c r="M11" s="35" t="n">
        <f aca="false">L11*(1+M10-Churn_Rate)</f>
        <v>65784.3711021742</v>
      </c>
      <c r="N11" s="35" t="n">
        <f aca="false">M11*(1+N10-Churn_Rate)</f>
        <v>70389.2770793264</v>
      </c>
      <c r="O11" s="35" t="n">
        <f aca="false">N11*(1+O10-Churn_Rate)</f>
        <v>76724.3120164658</v>
      </c>
      <c r="P11" s="35" t="n">
        <f aca="false">O11*(1+P10-Churn_Rate)</f>
        <v>83629.5000979477</v>
      </c>
      <c r="Q11" s="35" t="n">
        <f aca="false">P11*(1+Q10-Churn_Rate)</f>
        <v>91156.155106763</v>
      </c>
      <c r="R11" s="35" t="n">
        <f aca="false">Q11*(1+R10-Churn_Rate)</f>
        <v>99360.2090663717</v>
      </c>
      <c r="S11" s="35" t="n">
        <f aca="false">R11*(1+S10-Churn_Rate)</f>
        <v>108302.627882345</v>
      </c>
      <c r="T11" s="35" t="n">
        <f aca="false">S11*(1+T10-Churn_Rate)</f>
        <v>118049.864391756</v>
      </c>
      <c r="U11" s="35" t="n">
        <f aca="false">T11*(1+U10-Churn_Rate)</f>
        <v>132215.848118767</v>
      </c>
      <c r="V11" s="35" t="n">
        <f aca="false">U11*(1+V10-Churn_Rate)</f>
        <v>148081.749893019</v>
      </c>
      <c r="W11" s="35" t="n">
        <f aca="false">V11*(1+W10-Churn_Rate)</f>
        <v>165851.559880181</v>
      </c>
      <c r="X11" s="35" t="n">
        <f aca="false">W11*(1+X10-Churn_Rate)</f>
        <v>185753.747065803</v>
      </c>
      <c r="Y11" s="35" t="n">
        <f aca="false">X11*(1+Y10-Churn_Rate)</f>
        <v>208044.196713699</v>
      </c>
      <c r="Z11" s="35" t="n">
        <f aca="false">Y11*(1+Z10-Churn_Rate)</f>
        <v>233009.500319343</v>
      </c>
    </row>
    <row r="12" customFormat="false" ht="15" hidden="false" customHeight="false" outlineLevel="0" collapsed="false">
      <c r="A12" s="6"/>
      <c r="B12" s="49" t="s">
        <v>151</v>
      </c>
      <c r="C12" s="35" t="n">
        <f aca="false">C11*Other_Rev_Pct</f>
        <v>1837.5</v>
      </c>
      <c r="D12" s="35" t="n">
        <f aca="false">D11*Other_Rev_Pct</f>
        <v>1929.375</v>
      </c>
      <c r="E12" s="35" t="n">
        <f aca="false">E11*Other_Rev_Pct</f>
        <v>2025.84375</v>
      </c>
      <c r="F12" s="35" t="n">
        <f aca="false">F11*Other_Rev_Pct</f>
        <v>2127.1359375</v>
      </c>
      <c r="G12" s="35" t="n">
        <f aca="false">G11*Other_Rev_Pct</f>
        <v>2233.492734375</v>
      </c>
      <c r="H12" s="35" t="n">
        <f aca="false">H11*Other_Rev_Pct</f>
        <v>2345.16737109375</v>
      </c>
      <c r="I12" s="35" t="n">
        <f aca="false">I11*Other_Rev_Pct</f>
        <v>2509.32908707031</v>
      </c>
      <c r="J12" s="35" t="n">
        <f aca="false">J11*Other_Rev_Pct</f>
        <v>2684.98212316524</v>
      </c>
      <c r="K12" s="35" t="n">
        <f aca="false">K11*Other_Rev_Pct</f>
        <v>2872.9308717868</v>
      </c>
      <c r="L12" s="35" t="n">
        <f aca="false">L11*Other_Rev_Pct</f>
        <v>3074.03603281188</v>
      </c>
      <c r="M12" s="35" t="n">
        <f aca="false">M11*Other_Rev_Pct</f>
        <v>3289.21855510871</v>
      </c>
      <c r="N12" s="35" t="n">
        <f aca="false">N11*Other_Rev_Pct</f>
        <v>3519.46385396632</v>
      </c>
      <c r="O12" s="35" t="n">
        <f aca="false">O11*Other_Rev_Pct</f>
        <v>3836.21560082329</v>
      </c>
      <c r="P12" s="35" t="n">
        <f aca="false">P11*Other_Rev_Pct</f>
        <v>4181.47500489739</v>
      </c>
      <c r="Q12" s="35" t="n">
        <f aca="false">Q11*Other_Rev_Pct</f>
        <v>4557.80775533815</v>
      </c>
      <c r="R12" s="35" t="n">
        <f aca="false">R11*Other_Rev_Pct</f>
        <v>4968.01045331859</v>
      </c>
      <c r="S12" s="35" t="n">
        <f aca="false">S11*Other_Rev_Pct</f>
        <v>5415.13139411726</v>
      </c>
      <c r="T12" s="35" t="n">
        <f aca="false">T11*Other_Rev_Pct</f>
        <v>5902.49321958781</v>
      </c>
      <c r="U12" s="35" t="n">
        <f aca="false">U11*Other_Rev_Pct</f>
        <v>6610.79240593835</v>
      </c>
      <c r="V12" s="35" t="n">
        <f aca="false">V11*Other_Rev_Pct</f>
        <v>7404.08749465095</v>
      </c>
      <c r="W12" s="35" t="n">
        <f aca="false">W11*Other_Rev_Pct</f>
        <v>8292.57799400906</v>
      </c>
      <c r="X12" s="35" t="n">
        <f aca="false">X11*Other_Rev_Pct</f>
        <v>9287.68735329015</v>
      </c>
      <c r="Y12" s="35" t="n">
        <f aca="false">Y11*Other_Rev_Pct</f>
        <v>10402.209835685</v>
      </c>
      <c r="Z12" s="35" t="n">
        <f aca="false">Z11*Other_Rev_Pct</f>
        <v>11650.4750159672</v>
      </c>
    </row>
    <row r="13" customFormat="false" ht="15" hidden="false" customHeight="false" outlineLevel="0" collapsed="false">
      <c r="A13" s="6"/>
      <c r="B13" s="51" t="s">
        <v>152</v>
      </c>
      <c r="C13" s="42" t="n">
        <f aca="false">C11+C12</f>
        <v>38587.5</v>
      </c>
      <c r="D13" s="42" t="n">
        <f aca="false">D11+D12</f>
        <v>40516.875</v>
      </c>
      <c r="E13" s="42" t="n">
        <f aca="false">E11+E12</f>
        <v>42542.71875</v>
      </c>
      <c r="F13" s="42" t="n">
        <f aca="false">F11+F12</f>
        <v>44669.8546875</v>
      </c>
      <c r="G13" s="42" t="n">
        <f aca="false">G11+G12</f>
        <v>46903.347421875</v>
      </c>
      <c r="H13" s="42" t="n">
        <f aca="false">H11+H12</f>
        <v>49248.5147929688</v>
      </c>
      <c r="I13" s="42" t="n">
        <f aca="false">I11+I12</f>
        <v>52695.9108284766</v>
      </c>
      <c r="J13" s="42" t="n">
        <f aca="false">J11+J12</f>
        <v>56384.6245864699</v>
      </c>
      <c r="K13" s="42" t="n">
        <f aca="false">K11+K12</f>
        <v>60331.5483075228</v>
      </c>
      <c r="L13" s="42" t="n">
        <f aca="false">L11+L12</f>
        <v>64554.7566890494</v>
      </c>
      <c r="M13" s="42" t="n">
        <f aca="false">M11+M12</f>
        <v>69073.5896572829</v>
      </c>
      <c r="N13" s="42" t="n">
        <f aca="false">N11+N12</f>
        <v>73908.7409332927</v>
      </c>
      <c r="O13" s="42" t="n">
        <f aca="false">O11+O12</f>
        <v>80560.5276172891</v>
      </c>
      <c r="P13" s="42" t="n">
        <f aca="false">P11+P12</f>
        <v>87810.9751028451</v>
      </c>
      <c r="Q13" s="42" t="n">
        <f aca="false">Q11+Q12</f>
        <v>95713.9628621012</v>
      </c>
      <c r="R13" s="42" t="n">
        <f aca="false">R11+R12</f>
        <v>104328.21951969</v>
      </c>
      <c r="S13" s="42" t="n">
        <f aca="false">S11+S12</f>
        <v>113717.759276462</v>
      </c>
      <c r="T13" s="42" t="n">
        <f aca="false">T11+T12</f>
        <v>123952.357611344</v>
      </c>
      <c r="U13" s="42" t="n">
        <f aca="false">U11+U12</f>
        <v>138826.640524705</v>
      </c>
      <c r="V13" s="42" t="n">
        <f aca="false">V11+V12</f>
        <v>155485.83738767</v>
      </c>
      <c r="W13" s="42" t="n">
        <f aca="false">W11+W12</f>
        <v>174144.13787419</v>
      </c>
      <c r="X13" s="42" t="n">
        <f aca="false">X11+X12</f>
        <v>195041.434419093</v>
      </c>
      <c r="Y13" s="42" t="n">
        <f aca="false">Y11+Y12</f>
        <v>218446.406549384</v>
      </c>
      <c r="Z13" s="42" t="n">
        <f aca="false">Z11+Z12</f>
        <v>244659.97533531</v>
      </c>
    </row>
    <row r="14" customFormat="false" ht="15" hidden="false" customHeight="false" outlineLevel="0" collapsed="false">
      <c r="A14" s="6"/>
      <c r="B14" s="31" t="s">
        <v>153</v>
      </c>
      <c r="C14" s="52" t="n">
        <f aca="false">C11-Current_MRR</f>
        <v>1750</v>
      </c>
      <c r="D14" s="52" t="n">
        <f aca="false">D11-C11</f>
        <v>1837.5</v>
      </c>
      <c r="E14" s="52" t="n">
        <f aca="false">E11-D11</f>
        <v>1929.375</v>
      </c>
      <c r="F14" s="52" t="n">
        <f aca="false">F11-E11</f>
        <v>2025.84375</v>
      </c>
      <c r="G14" s="52" t="n">
        <f aca="false">G11-F11</f>
        <v>2127.1359375</v>
      </c>
      <c r="H14" s="52" t="n">
        <f aca="false">H11-G11</f>
        <v>2233.492734375</v>
      </c>
      <c r="I14" s="52" t="n">
        <f aca="false">I11-H11</f>
        <v>3283.23431953126</v>
      </c>
      <c r="J14" s="52" t="n">
        <f aca="false">J11-I11</f>
        <v>3513.06072189844</v>
      </c>
      <c r="K14" s="52" t="n">
        <f aca="false">K11-J11</f>
        <v>3758.97497243133</v>
      </c>
      <c r="L14" s="52" t="n">
        <f aca="false">L11-K11</f>
        <v>4022.10322050153</v>
      </c>
      <c r="M14" s="52" t="n">
        <f aca="false">M11-L11</f>
        <v>4303.65044593664</v>
      </c>
      <c r="N14" s="52" t="n">
        <f aca="false">N11-M11</f>
        <v>4604.9059771522</v>
      </c>
      <c r="O14" s="52" t="n">
        <f aca="false">O11-N11</f>
        <v>6335.03493713938</v>
      </c>
      <c r="P14" s="52" t="n">
        <f aca="false">P11-O11</f>
        <v>6905.18808148193</v>
      </c>
      <c r="Q14" s="52" t="n">
        <f aca="false">Q11-P11</f>
        <v>7526.6550088153</v>
      </c>
      <c r="R14" s="52" t="n">
        <f aca="false">R11-Q11</f>
        <v>8204.05395960868</v>
      </c>
      <c r="S14" s="52" t="n">
        <f aca="false">S11-R11</f>
        <v>8942.41881597346</v>
      </c>
      <c r="T14" s="52" t="n">
        <f aca="false">T11-S11</f>
        <v>9747.23650941107</v>
      </c>
      <c r="U14" s="52" t="n">
        <f aca="false">U11-T11</f>
        <v>14165.9837270107</v>
      </c>
      <c r="V14" s="52" t="n">
        <f aca="false">V11-U11</f>
        <v>15865.901774252</v>
      </c>
      <c r="W14" s="52" t="n">
        <f aca="false">W11-V11</f>
        <v>17769.8099871623</v>
      </c>
      <c r="X14" s="52" t="n">
        <f aca="false">X11-W11</f>
        <v>19902.1871856217</v>
      </c>
      <c r="Y14" s="52" t="n">
        <f aca="false">Y11-X11</f>
        <v>22290.4496478963</v>
      </c>
      <c r="Z14" s="52" t="n">
        <f aca="false">Z11-Y11</f>
        <v>24965.3036056439</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28" t="s">
        <v>154</v>
      </c>
      <c r="C16" s="29"/>
      <c r="D16" s="29"/>
      <c r="E16" s="29"/>
      <c r="F16" s="29"/>
      <c r="G16" s="29"/>
      <c r="H16" s="29"/>
      <c r="I16" s="29"/>
      <c r="J16" s="29"/>
      <c r="K16" s="29"/>
      <c r="L16" s="29"/>
      <c r="M16" s="29"/>
      <c r="N16" s="29"/>
      <c r="O16" s="29"/>
      <c r="P16" s="29"/>
      <c r="Q16" s="29"/>
      <c r="R16" s="29"/>
      <c r="S16" s="29"/>
      <c r="T16" s="29"/>
      <c r="U16" s="29"/>
      <c r="V16" s="29"/>
      <c r="W16" s="29"/>
      <c r="X16" s="29"/>
      <c r="Y16" s="29"/>
      <c r="Z16" s="29"/>
    </row>
    <row r="17" customFormat="false" ht="15" hidden="false" customHeight="false" outlineLevel="0" collapsed="false">
      <c r="A17" s="6"/>
      <c r="B17" s="49" t="s">
        <v>155</v>
      </c>
      <c r="C17" s="44" t="n">
        <f aca="false">Current_Headcount+ROUND(Hire_Pace/3*C6,0)</f>
        <v>13</v>
      </c>
      <c r="D17" s="44" t="n">
        <f aca="false">Current_Headcount+ROUND(Hire_Pace/3*D6,0)</f>
        <v>13</v>
      </c>
      <c r="E17" s="44" t="n">
        <f aca="false">Current_Headcount+ROUND(Hire_Pace/3*E6,0)</f>
        <v>14</v>
      </c>
      <c r="F17" s="44" t="n">
        <f aca="false">Current_Headcount+ROUND(Hire_Pace/3*F6,0)</f>
        <v>15</v>
      </c>
      <c r="G17" s="44" t="n">
        <f aca="false">Current_Headcount+ROUND(Hire_Pace/3*G6,0)</f>
        <v>15</v>
      </c>
      <c r="H17" s="44" t="n">
        <f aca="false">Current_Headcount+ROUND(Hire_Pace/3*H6,0)</f>
        <v>16</v>
      </c>
      <c r="I17" s="44" t="n">
        <f aca="false">Current_Headcount+ROUND(Hire_Pace/3*I6,0)</f>
        <v>17</v>
      </c>
      <c r="J17" s="44" t="n">
        <f aca="false">Current_Headcount+ROUND(Hire_Pace/3*J6,0)</f>
        <v>17</v>
      </c>
      <c r="K17" s="44" t="n">
        <f aca="false">Current_Headcount+ROUND(Hire_Pace/3*K6,0)</f>
        <v>18</v>
      </c>
      <c r="L17" s="44" t="n">
        <f aca="false">Current_Headcount+ROUND(Hire_Pace/3*L6,0)</f>
        <v>19</v>
      </c>
      <c r="M17" s="44" t="n">
        <f aca="false">Current_Headcount+ROUND(Hire_Pace/3*M6,0)</f>
        <v>19</v>
      </c>
      <c r="N17" s="44" t="n">
        <f aca="false">Current_Headcount+ROUND(Hire_Pace/3*N6,0)</f>
        <v>20</v>
      </c>
      <c r="O17" s="44" t="n">
        <f aca="false">Current_Headcount+ROUND(Hire_Pace/3*O6,0)</f>
        <v>21</v>
      </c>
      <c r="P17" s="44" t="n">
        <f aca="false">Current_Headcount+ROUND(Hire_Pace/3*P6,0)</f>
        <v>21</v>
      </c>
      <c r="Q17" s="44" t="n">
        <f aca="false">Current_Headcount+ROUND(Hire_Pace/3*Q6,0)</f>
        <v>22</v>
      </c>
      <c r="R17" s="44" t="n">
        <f aca="false">Current_Headcount+ROUND(Hire_Pace/3*R6,0)</f>
        <v>23</v>
      </c>
      <c r="S17" s="44" t="n">
        <f aca="false">Current_Headcount+ROUND(Hire_Pace/3*S6,0)</f>
        <v>23</v>
      </c>
      <c r="T17" s="44" t="n">
        <f aca="false">Current_Headcount+ROUND(Hire_Pace/3*T6,0)</f>
        <v>24</v>
      </c>
      <c r="U17" s="44" t="n">
        <f aca="false">Current_Headcount+ROUND(Hire_Pace/3*U6,0)</f>
        <v>25</v>
      </c>
      <c r="V17" s="44" t="n">
        <f aca="false">Current_Headcount+ROUND(Hire_Pace/3*V6,0)</f>
        <v>25</v>
      </c>
      <c r="W17" s="44" t="n">
        <f aca="false">Current_Headcount+ROUND(Hire_Pace/3*W6,0)</f>
        <v>26</v>
      </c>
      <c r="X17" s="44" t="n">
        <f aca="false">Current_Headcount+ROUND(Hire_Pace/3*X6,0)</f>
        <v>27</v>
      </c>
      <c r="Y17" s="44" t="n">
        <f aca="false">Current_Headcount+ROUND(Hire_Pace/3*Y6,0)</f>
        <v>27</v>
      </c>
      <c r="Z17" s="44" t="n">
        <f aca="false">Current_Headcount+ROUND(Hire_Pace/3*Z6,0)</f>
        <v>28</v>
      </c>
    </row>
    <row r="18" customFormat="false" ht="15" hidden="false" customHeight="false" outlineLevel="0" collapsed="false">
      <c r="A18" s="6"/>
      <c r="B18" s="49" t="s">
        <v>156</v>
      </c>
      <c r="C18" s="35" t="n">
        <f aca="false">C17*Avg_Salary*(1+Salary_Escalation)^INT((C6-1)/12)</f>
        <v>110500</v>
      </c>
      <c r="D18" s="35" t="n">
        <f aca="false">D17*Avg_Salary*(1+Salary_Escalation)^INT((D6-1)/12)</f>
        <v>110500</v>
      </c>
      <c r="E18" s="35" t="n">
        <f aca="false">E17*Avg_Salary*(1+Salary_Escalation)^INT((E6-1)/12)</f>
        <v>119000</v>
      </c>
      <c r="F18" s="35" t="n">
        <f aca="false">F17*Avg_Salary*(1+Salary_Escalation)^INT((F6-1)/12)</f>
        <v>127500</v>
      </c>
      <c r="G18" s="35" t="n">
        <f aca="false">G17*Avg_Salary*(1+Salary_Escalation)^INT((G6-1)/12)</f>
        <v>127500</v>
      </c>
      <c r="H18" s="35" t="n">
        <f aca="false">H17*Avg_Salary*(1+Salary_Escalation)^INT((H6-1)/12)</f>
        <v>136000</v>
      </c>
      <c r="I18" s="35" t="n">
        <f aca="false">I17*Avg_Salary*(1+Salary_Escalation)^INT((I6-1)/12)</f>
        <v>144500</v>
      </c>
      <c r="J18" s="35" t="n">
        <f aca="false">J17*Avg_Salary*(1+Salary_Escalation)^INT((J6-1)/12)</f>
        <v>144500</v>
      </c>
      <c r="K18" s="35" t="n">
        <f aca="false">K17*Avg_Salary*(1+Salary_Escalation)^INT((K6-1)/12)</f>
        <v>153000</v>
      </c>
      <c r="L18" s="35" t="n">
        <f aca="false">L17*Avg_Salary*(1+Salary_Escalation)^INT((L6-1)/12)</f>
        <v>161500</v>
      </c>
      <c r="M18" s="35" t="n">
        <f aca="false">M17*Avg_Salary*(1+Salary_Escalation)^INT((M6-1)/12)</f>
        <v>161500</v>
      </c>
      <c r="N18" s="35" t="n">
        <f aca="false">N17*Avg_Salary*(1+Salary_Escalation)^INT((N6-1)/12)</f>
        <v>170000</v>
      </c>
      <c r="O18" s="35" t="n">
        <f aca="false">O17*Avg_Salary*(1+Salary_Escalation)^INT((O6-1)/12)</f>
        <v>183855</v>
      </c>
      <c r="P18" s="35" t="n">
        <f aca="false">P17*Avg_Salary*(1+Salary_Escalation)^INT((P6-1)/12)</f>
        <v>183855</v>
      </c>
      <c r="Q18" s="35" t="n">
        <f aca="false">Q17*Avg_Salary*(1+Salary_Escalation)^INT((Q6-1)/12)</f>
        <v>192610</v>
      </c>
      <c r="R18" s="35" t="n">
        <f aca="false">R17*Avg_Salary*(1+Salary_Escalation)^INT((R6-1)/12)</f>
        <v>201365</v>
      </c>
      <c r="S18" s="35" t="n">
        <f aca="false">S17*Avg_Salary*(1+Salary_Escalation)^INT((S6-1)/12)</f>
        <v>201365</v>
      </c>
      <c r="T18" s="35" t="n">
        <f aca="false">T17*Avg_Salary*(1+Salary_Escalation)^INT((T6-1)/12)</f>
        <v>210120</v>
      </c>
      <c r="U18" s="35" t="n">
        <f aca="false">U17*Avg_Salary*(1+Salary_Escalation)^INT((U6-1)/12)</f>
        <v>218875</v>
      </c>
      <c r="V18" s="35" t="n">
        <f aca="false">V17*Avg_Salary*(1+Salary_Escalation)^INT((V6-1)/12)</f>
        <v>218875</v>
      </c>
      <c r="W18" s="35" t="n">
        <f aca="false">W17*Avg_Salary*(1+Salary_Escalation)^INT((W6-1)/12)</f>
        <v>227630</v>
      </c>
      <c r="X18" s="35" t="n">
        <f aca="false">X17*Avg_Salary*(1+Salary_Escalation)^INT((X6-1)/12)</f>
        <v>236385</v>
      </c>
      <c r="Y18" s="35" t="n">
        <f aca="false">Y17*Avg_Salary*(1+Salary_Escalation)^INT((Y6-1)/12)</f>
        <v>236385</v>
      </c>
      <c r="Z18" s="35" t="n">
        <f aca="false">Z17*Avg_Salary*(1+Salary_Escalation)^INT((Z6-1)/12)</f>
        <v>245140</v>
      </c>
    </row>
    <row r="19" customFormat="false" ht="15" hidden="false" customHeight="false" outlineLevel="0" collapsed="false">
      <c r="A19" s="6"/>
      <c r="B19" s="49" t="s">
        <v>157</v>
      </c>
      <c r="C19" s="35" t="n">
        <f aca="false">C18*Benefits_Pct</f>
        <v>22100</v>
      </c>
      <c r="D19" s="35" t="n">
        <f aca="false">D18*Benefits_Pct</f>
        <v>22100</v>
      </c>
      <c r="E19" s="35" t="n">
        <f aca="false">E18*Benefits_Pct</f>
        <v>23800</v>
      </c>
      <c r="F19" s="35" t="n">
        <f aca="false">F18*Benefits_Pct</f>
        <v>25500</v>
      </c>
      <c r="G19" s="35" t="n">
        <f aca="false">G18*Benefits_Pct</f>
        <v>25500</v>
      </c>
      <c r="H19" s="35" t="n">
        <f aca="false">H18*Benefits_Pct</f>
        <v>27200</v>
      </c>
      <c r="I19" s="35" t="n">
        <f aca="false">I18*Benefits_Pct</f>
        <v>28900</v>
      </c>
      <c r="J19" s="35" t="n">
        <f aca="false">J18*Benefits_Pct</f>
        <v>28900</v>
      </c>
      <c r="K19" s="35" t="n">
        <f aca="false">K18*Benefits_Pct</f>
        <v>30600</v>
      </c>
      <c r="L19" s="35" t="n">
        <f aca="false">L18*Benefits_Pct</f>
        <v>32300</v>
      </c>
      <c r="M19" s="35" t="n">
        <f aca="false">M18*Benefits_Pct</f>
        <v>32300</v>
      </c>
      <c r="N19" s="35" t="n">
        <f aca="false">N18*Benefits_Pct</f>
        <v>34000</v>
      </c>
      <c r="O19" s="35" t="n">
        <f aca="false">O18*Benefits_Pct</f>
        <v>36771</v>
      </c>
      <c r="P19" s="35" t="n">
        <f aca="false">P18*Benefits_Pct</f>
        <v>36771</v>
      </c>
      <c r="Q19" s="35" t="n">
        <f aca="false">Q18*Benefits_Pct</f>
        <v>38522</v>
      </c>
      <c r="R19" s="35" t="n">
        <f aca="false">R18*Benefits_Pct</f>
        <v>40273</v>
      </c>
      <c r="S19" s="35" t="n">
        <f aca="false">S18*Benefits_Pct</f>
        <v>40273</v>
      </c>
      <c r="T19" s="35" t="n">
        <f aca="false">T18*Benefits_Pct</f>
        <v>42024</v>
      </c>
      <c r="U19" s="35" t="n">
        <f aca="false">U18*Benefits_Pct</f>
        <v>43775</v>
      </c>
      <c r="V19" s="35" t="n">
        <f aca="false">V18*Benefits_Pct</f>
        <v>43775</v>
      </c>
      <c r="W19" s="35" t="n">
        <f aca="false">W18*Benefits_Pct</f>
        <v>45526</v>
      </c>
      <c r="X19" s="35" t="n">
        <f aca="false">X18*Benefits_Pct</f>
        <v>47277</v>
      </c>
      <c r="Y19" s="35" t="n">
        <f aca="false">Y18*Benefits_Pct</f>
        <v>47277</v>
      </c>
      <c r="Z19" s="35" t="n">
        <f aca="false">Z18*Benefits_Pct</f>
        <v>49028</v>
      </c>
    </row>
    <row r="20" customFormat="false" ht="15" hidden="false" customHeight="false" outlineLevel="0" collapsed="false">
      <c r="A20" s="6"/>
      <c r="B20" s="51" t="s">
        <v>158</v>
      </c>
      <c r="C20" s="53" t="n">
        <f aca="false">C18+C19</f>
        <v>132600</v>
      </c>
      <c r="D20" s="53" t="n">
        <f aca="false">D18+D19</f>
        <v>132600</v>
      </c>
      <c r="E20" s="53" t="n">
        <f aca="false">E18+E19</f>
        <v>142800</v>
      </c>
      <c r="F20" s="53" t="n">
        <f aca="false">F18+F19</f>
        <v>153000</v>
      </c>
      <c r="G20" s="53" t="n">
        <f aca="false">G18+G19</f>
        <v>153000</v>
      </c>
      <c r="H20" s="53" t="n">
        <f aca="false">H18+H19</f>
        <v>163200</v>
      </c>
      <c r="I20" s="53" t="n">
        <f aca="false">I18+I19</f>
        <v>173400</v>
      </c>
      <c r="J20" s="53" t="n">
        <f aca="false">J18+J19</f>
        <v>173400</v>
      </c>
      <c r="K20" s="53" t="n">
        <f aca="false">K18+K19</f>
        <v>183600</v>
      </c>
      <c r="L20" s="53" t="n">
        <f aca="false">L18+L19</f>
        <v>193800</v>
      </c>
      <c r="M20" s="53" t="n">
        <f aca="false">M18+M19</f>
        <v>193800</v>
      </c>
      <c r="N20" s="53" t="n">
        <f aca="false">N18+N19</f>
        <v>204000</v>
      </c>
      <c r="O20" s="53" t="n">
        <f aca="false">O18+O19</f>
        <v>220626</v>
      </c>
      <c r="P20" s="53" t="n">
        <f aca="false">P18+P19</f>
        <v>220626</v>
      </c>
      <c r="Q20" s="53" t="n">
        <f aca="false">Q18+Q19</f>
        <v>231132</v>
      </c>
      <c r="R20" s="53" t="n">
        <f aca="false">R18+R19</f>
        <v>241638</v>
      </c>
      <c r="S20" s="53" t="n">
        <f aca="false">S18+S19</f>
        <v>241638</v>
      </c>
      <c r="T20" s="53" t="n">
        <f aca="false">T18+T19</f>
        <v>252144</v>
      </c>
      <c r="U20" s="53" t="n">
        <f aca="false">U18+U19</f>
        <v>262650</v>
      </c>
      <c r="V20" s="53" t="n">
        <f aca="false">V18+V19</f>
        <v>262650</v>
      </c>
      <c r="W20" s="53" t="n">
        <f aca="false">W18+W19</f>
        <v>273156</v>
      </c>
      <c r="X20" s="53" t="n">
        <f aca="false">X18+X19</f>
        <v>283662</v>
      </c>
      <c r="Y20" s="53" t="n">
        <f aca="false">Y18+Y19</f>
        <v>283662</v>
      </c>
      <c r="Z20" s="53" t="n">
        <f aca="false">Z18+Z19</f>
        <v>294168</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 hidden="false" customHeight="false" outlineLevel="0" collapsed="false">
      <c r="A22" s="6"/>
      <c r="B22" s="28" t="s">
        <v>159</v>
      </c>
      <c r="C22" s="29"/>
      <c r="D22" s="29"/>
      <c r="E22" s="29"/>
      <c r="F22" s="29"/>
      <c r="G22" s="29"/>
      <c r="H22" s="29"/>
      <c r="I22" s="29"/>
      <c r="J22" s="29"/>
      <c r="K22" s="29"/>
      <c r="L22" s="29"/>
      <c r="M22" s="29"/>
      <c r="N22" s="29"/>
      <c r="O22" s="29"/>
      <c r="P22" s="29"/>
      <c r="Q22" s="29"/>
      <c r="R22" s="29"/>
      <c r="S22" s="29"/>
      <c r="T22" s="29"/>
      <c r="U22" s="29"/>
      <c r="V22" s="29"/>
      <c r="W22" s="29"/>
      <c r="X22" s="29"/>
      <c r="Y22" s="29"/>
      <c r="Z22" s="29"/>
    </row>
    <row r="23" customFormat="false" ht="15" hidden="false" customHeight="false" outlineLevel="0" collapsed="false">
      <c r="A23" s="6"/>
      <c r="B23" s="49" t="s">
        <v>160</v>
      </c>
      <c r="C23" s="35" t="n">
        <f aca="false">Hosting_Base</f>
        <v>3000</v>
      </c>
      <c r="D23" s="35" t="n">
        <f aca="false">Hosting_Base</f>
        <v>3000</v>
      </c>
      <c r="E23" s="35" t="n">
        <f aca="false">Hosting_Base</f>
        <v>3000</v>
      </c>
      <c r="F23" s="35" t="n">
        <f aca="false">Hosting_Base</f>
        <v>3000</v>
      </c>
      <c r="G23" s="35" t="n">
        <f aca="false">Hosting_Base</f>
        <v>3000</v>
      </c>
      <c r="H23" s="35" t="n">
        <f aca="false">Hosting_Base</f>
        <v>3000</v>
      </c>
      <c r="I23" s="35" t="n">
        <f aca="false">Hosting_Base</f>
        <v>3000</v>
      </c>
      <c r="J23" s="35" t="n">
        <f aca="false">Hosting_Base</f>
        <v>3000</v>
      </c>
      <c r="K23" s="35" t="n">
        <f aca="false">Hosting_Base</f>
        <v>3000</v>
      </c>
      <c r="L23" s="35" t="n">
        <f aca="false">Hosting_Base</f>
        <v>3000</v>
      </c>
      <c r="M23" s="35" t="n">
        <f aca="false">Hosting_Base</f>
        <v>3000</v>
      </c>
      <c r="N23" s="35" t="n">
        <f aca="false">Hosting_Base</f>
        <v>3000</v>
      </c>
      <c r="O23" s="35" t="n">
        <f aca="false">Hosting_Base</f>
        <v>3000</v>
      </c>
      <c r="P23" s="35" t="n">
        <f aca="false">Hosting_Base</f>
        <v>3000</v>
      </c>
      <c r="Q23" s="35" t="n">
        <f aca="false">Hosting_Base</f>
        <v>3000</v>
      </c>
      <c r="R23" s="35" t="n">
        <f aca="false">Hosting_Base</f>
        <v>3000</v>
      </c>
      <c r="S23" s="35" t="n">
        <f aca="false">Hosting_Base</f>
        <v>3000</v>
      </c>
      <c r="T23" s="35" t="n">
        <f aca="false">Hosting_Base</f>
        <v>3000</v>
      </c>
      <c r="U23" s="35" t="n">
        <f aca="false">Hosting_Base</f>
        <v>3000</v>
      </c>
      <c r="V23" s="35" t="n">
        <f aca="false">Hosting_Base</f>
        <v>3000</v>
      </c>
      <c r="W23" s="35" t="n">
        <f aca="false">Hosting_Base</f>
        <v>3000</v>
      </c>
      <c r="X23" s="35" t="n">
        <f aca="false">Hosting_Base</f>
        <v>3000</v>
      </c>
      <c r="Y23" s="35" t="n">
        <f aca="false">Hosting_Base</f>
        <v>3000</v>
      </c>
      <c r="Z23" s="35" t="n">
        <f aca="false">Hosting_Base</f>
        <v>3000</v>
      </c>
    </row>
    <row r="24" customFormat="false" ht="15" hidden="false" customHeight="false" outlineLevel="0" collapsed="false">
      <c r="A24" s="6"/>
      <c r="B24" s="49" t="s">
        <v>161</v>
      </c>
      <c r="C24" s="35" t="n">
        <f aca="false">C11*Hosting_Var_Pct</f>
        <v>1837.5</v>
      </c>
      <c r="D24" s="35" t="n">
        <f aca="false">D11*Hosting_Var_Pct</f>
        <v>1929.375</v>
      </c>
      <c r="E24" s="35" t="n">
        <f aca="false">E11*Hosting_Var_Pct</f>
        <v>2025.84375</v>
      </c>
      <c r="F24" s="35" t="n">
        <f aca="false">F11*Hosting_Var_Pct</f>
        <v>2127.1359375</v>
      </c>
      <c r="G24" s="35" t="n">
        <f aca="false">G11*Hosting_Var_Pct</f>
        <v>2233.492734375</v>
      </c>
      <c r="H24" s="35" t="n">
        <f aca="false">H11*Hosting_Var_Pct</f>
        <v>2345.16737109375</v>
      </c>
      <c r="I24" s="35" t="n">
        <f aca="false">I11*Hosting_Var_Pct</f>
        <v>2509.32908707031</v>
      </c>
      <c r="J24" s="35" t="n">
        <f aca="false">J11*Hosting_Var_Pct</f>
        <v>2684.98212316524</v>
      </c>
      <c r="K24" s="35" t="n">
        <f aca="false">K11*Hosting_Var_Pct</f>
        <v>2872.9308717868</v>
      </c>
      <c r="L24" s="35" t="n">
        <f aca="false">L11*Hosting_Var_Pct</f>
        <v>3074.03603281188</v>
      </c>
      <c r="M24" s="35" t="n">
        <f aca="false">M11*Hosting_Var_Pct</f>
        <v>3289.21855510871</v>
      </c>
      <c r="N24" s="35" t="n">
        <f aca="false">N11*Hosting_Var_Pct</f>
        <v>3519.46385396632</v>
      </c>
      <c r="O24" s="35" t="n">
        <f aca="false">O11*Hosting_Var_Pct</f>
        <v>3836.21560082329</v>
      </c>
      <c r="P24" s="35" t="n">
        <f aca="false">P11*Hosting_Var_Pct</f>
        <v>4181.47500489739</v>
      </c>
      <c r="Q24" s="35" t="n">
        <f aca="false">Q11*Hosting_Var_Pct</f>
        <v>4557.80775533815</v>
      </c>
      <c r="R24" s="35" t="n">
        <f aca="false">R11*Hosting_Var_Pct</f>
        <v>4968.01045331859</v>
      </c>
      <c r="S24" s="35" t="n">
        <f aca="false">S11*Hosting_Var_Pct</f>
        <v>5415.13139411726</v>
      </c>
      <c r="T24" s="35" t="n">
        <f aca="false">T11*Hosting_Var_Pct</f>
        <v>5902.49321958781</v>
      </c>
      <c r="U24" s="35" t="n">
        <f aca="false">U11*Hosting_Var_Pct</f>
        <v>6610.79240593835</v>
      </c>
      <c r="V24" s="35" t="n">
        <f aca="false">V11*Hosting_Var_Pct</f>
        <v>7404.08749465095</v>
      </c>
      <c r="W24" s="35" t="n">
        <f aca="false">W11*Hosting_Var_Pct</f>
        <v>8292.57799400906</v>
      </c>
      <c r="X24" s="35" t="n">
        <f aca="false">X11*Hosting_Var_Pct</f>
        <v>9287.68735329015</v>
      </c>
      <c r="Y24" s="35" t="n">
        <f aca="false">Y11*Hosting_Var_Pct</f>
        <v>10402.209835685</v>
      </c>
      <c r="Z24" s="35" t="n">
        <f aca="false">Z11*Hosting_Var_Pct</f>
        <v>11650.4750159672</v>
      </c>
    </row>
    <row r="25" customFormat="false" ht="15" hidden="false" customHeight="false" outlineLevel="0" collapsed="false">
      <c r="A25" s="6"/>
      <c r="B25" s="51" t="s">
        <v>162</v>
      </c>
      <c r="C25" s="53" t="n">
        <f aca="false">C23+C24</f>
        <v>4837.5</v>
      </c>
      <c r="D25" s="53" t="n">
        <f aca="false">D23+D24</f>
        <v>4929.375</v>
      </c>
      <c r="E25" s="53" t="n">
        <f aca="false">E23+E24</f>
        <v>5025.84375</v>
      </c>
      <c r="F25" s="53" t="n">
        <f aca="false">F23+F24</f>
        <v>5127.1359375</v>
      </c>
      <c r="G25" s="53" t="n">
        <f aca="false">G23+G24</f>
        <v>5233.492734375</v>
      </c>
      <c r="H25" s="53" t="n">
        <f aca="false">H23+H24</f>
        <v>5345.16737109375</v>
      </c>
      <c r="I25" s="53" t="n">
        <f aca="false">I23+I24</f>
        <v>5509.32908707031</v>
      </c>
      <c r="J25" s="53" t="n">
        <f aca="false">J23+J24</f>
        <v>5684.98212316524</v>
      </c>
      <c r="K25" s="53" t="n">
        <f aca="false">K23+K24</f>
        <v>5872.9308717868</v>
      </c>
      <c r="L25" s="53" t="n">
        <f aca="false">L23+L24</f>
        <v>6074.03603281188</v>
      </c>
      <c r="M25" s="53" t="n">
        <f aca="false">M23+M24</f>
        <v>6289.21855510871</v>
      </c>
      <c r="N25" s="53" t="n">
        <f aca="false">N23+N24</f>
        <v>6519.46385396632</v>
      </c>
      <c r="O25" s="53" t="n">
        <f aca="false">O23+O24</f>
        <v>6836.21560082329</v>
      </c>
      <c r="P25" s="53" t="n">
        <f aca="false">P23+P24</f>
        <v>7181.47500489739</v>
      </c>
      <c r="Q25" s="53" t="n">
        <f aca="false">Q23+Q24</f>
        <v>7557.80775533815</v>
      </c>
      <c r="R25" s="53" t="n">
        <f aca="false">R23+R24</f>
        <v>7968.01045331859</v>
      </c>
      <c r="S25" s="53" t="n">
        <f aca="false">S23+S24</f>
        <v>8415.13139411726</v>
      </c>
      <c r="T25" s="53" t="n">
        <f aca="false">T23+T24</f>
        <v>8902.49321958781</v>
      </c>
      <c r="U25" s="53" t="n">
        <f aca="false">U23+U24</f>
        <v>9610.79240593835</v>
      </c>
      <c r="V25" s="53" t="n">
        <f aca="false">V23+V24</f>
        <v>10404.087494651</v>
      </c>
      <c r="W25" s="53" t="n">
        <f aca="false">W23+W24</f>
        <v>11292.5779940091</v>
      </c>
      <c r="X25" s="53" t="n">
        <f aca="false">X23+X24</f>
        <v>12287.6873532902</v>
      </c>
      <c r="Y25" s="53" t="n">
        <f aca="false">Y23+Y24</f>
        <v>13402.209835685</v>
      </c>
      <c r="Z25" s="53" t="n">
        <f aca="false">Z23+Z24</f>
        <v>14650.4750159672</v>
      </c>
    </row>
    <row r="26" customFormat="false" ht="15" hidden="false" customHeight="false" outlineLevel="0" collapsed="false">
      <c r="A26" s="6"/>
      <c r="B26" s="6"/>
      <c r="C26" s="6"/>
      <c r="D26" s="6"/>
      <c r="E26" s="6"/>
      <c r="F26" s="6"/>
      <c r="G26" s="6"/>
      <c r="H26" s="6"/>
      <c r="I26" s="6"/>
      <c r="J26" s="6"/>
      <c r="K26" s="6"/>
      <c r="L26" s="6"/>
      <c r="M26" s="6"/>
      <c r="N26" s="6"/>
      <c r="O26" s="6"/>
      <c r="P26" s="6"/>
      <c r="Q26" s="6"/>
      <c r="R26" s="6"/>
      <c r="S26" s="6"/>
      <c r="T26" s="6"/>
      <c r="U26" s="6"/>
      <c r="V26" s="6"/>
      <c r="W26" s="6"/>
      <c r="X26" s="6"/>
      <c r="Y26" s="6"/>
      <c r="Z26" s="6"/>
    </row>
    <row r="27" customFormat="false" ht="15" hidden="false" customHeight="false" outlineLevel="0" collapsed="false">
      <c r="A27" s="6"/>
      <c r="B27" s="28" t="s">
        <v>163</v>
      </c>
      <c r="C27" s="29"/>
      <c r="D27" s="29"/>
      <c r="E27" s="29"/>
      <c r="F27" s="29"/>
      <c r="G27" s="29"/>
      <c r="H27" s="29"/>
      <c r="I27" s="29"/>
      <c r="J27" s="29"/>
      <c r="K27" s="29"/>
      <c r="L27" s="29"/>
      <c r="M27" s="29"/>
      <c r="N27" s="29"/>
      <c r="O27" s="29"/>
      <c r="P27" s="29"/>
      <c r="Q27" s="29"/>
      <c r="R27" s="29"/>
      <c r="S27" s="29"/>
      <c r="T27" s="29"/>
      <c r="U27" s="29"/>
      <c r="V27" s="29"/>
      <c r="W27" s="29"/>
      <c r="X27" s="29"/>
      <c r="Y27" s="29"/>
      <c r="Z27" s="29"/>
    </row>
    <row r="28" customFormat="false" ht="15" hidden="false" customHeight="false" outlineLevel="0" collapsed="false">
      <c r="A28" s="6"/>
      <c r="B28" s="49" t="s">
        <v>164</v>
      </c>
      <c r="C28" s="35" t="n">
        <f aca="false">C13*Marketing_Pct</f>
        <v>5788.125</v>
      </c>
      <c r="D28" s="35" t="n">
        <f aca="false">D13*Marketing_Pct</f>
        <v>6077.53125</v>
      </c>
      <c r="E28" s="35" t="n">
        <f aca="false">E13*Marketing_Pct</f>
        <v>6381.4078125</v>
      </c>
      <c r="F28" s="35" t="n">
        <f aca="false">F13*Marketing_Pct</f>
        <v>6700.478203125</v>
      </c>
      <c r="G28" s="35" t="n">
        <f aca="false">G13*Marketing_Pct</f>
        <v>7035.50211328125</v>
      </c>
      <c r="H28" s="35" t="n">
        <f aca="false">H13*Marketing_Pct</f>
        <v>7387.27721894531</v>
      </c>
      <c r="I28" s="35" t="n">
        <f aca="false">I13*Marketing_Pct</f>
        <v>7904.38662427149</v>
      </c>
      <c r="J28" s="35" t="n">
        <f aca="false">J13*Marketing_Pct</f>
        <v>8457.69368797049</v>
      </c>
      <c r="K28" s="35" t="n">
        <f aca="false">K13*Marketing_Pct</f>
        <v>9049.73224612843</v>
      </c>
      <c r="L28" s="35" t="n">
        <f aca="false">L13*Marketing_Pct</f>
        <v>9683.21350335742</v>
      </c>
      <c r="M28" s="35" t="n">
        <f aca="false">M13*Marketing_Pct</f>
        <v>10361.0384485924</v>
      </c>
      <c r="N28" s="35" t="n">
        <f aca="false">N13*Marketing_Pct</f>
        <v>11086.3111399939</v>
      </c>
      <c r="O28" s="35" t="n">
        <f aca="false">O13*Marketing_Pct</f>
        <v>12084.0791425934</v>
      </c>
      <c r="P28" s="35" t="n">
        <f aca="false">P13*Marketing_Pct</f>
        <v>13171.6462654268</v>
      </c>
      <c r="Q28" s="35" t="n">
        <f aca="false">Q13*Marketing_Pct</f>
        <v>14357.0944293152</v>
      </c>
      <c r="R28" s="35" t="n">
        <f aca="false">R13*Marketing_Pct</f>
        <v>15649.2329279535</v>
      </c>
      <c r="S28" s="35" t="n">
        <f aca="false">S13*Marketing_Pct</f>
        <v>17057.6638914694</v>
      </c>
      <c r="T28" s="35" t="n">
        <f aca="false">T13*Marketing_Pct</f>
        <v>18592.8536417016</v>
      </c>
      <c r="U28" s="35" t="n">
        <f aca="false">U13*Marketing_Pct</f>
        <v>20823.9960787058</v>
      </c>
      <c r="V28" s="35" t="n">
        <f aca="false">V13*Marketing_Pct</f>
        <v>23322.8756081505</v>
      </c>
      <c r="W28" s="35" t="n">
        <f aca="false">W13*Marketing_Pct</f>
        <v>26121.6206811286</v>
      </c>
      <c r="X28" s="35" t="n">
        <f aca="false">X13*Marketing_Pct</f>
        <v>29256.215162864</v>
      </c>
      <c r="Y28" s="35" t="n">
        <f aca="false">Y13*Marketing_Pct</f>
        <v>32766.9609824076</v>
      </c>
      <c r="Z28" s="35" t="n">
        <f aca="false">Z13*Marketing_Pct</f>
        <v>36698.9963002966</v>
      </c>
    </row>
    <row r="29" customFormat="false" ht="15" hidden="false" customHeight="false" outlineLevel="0" collapsed="false">
      <c r="A29" s="6"/>
      <c r="B29" s="51" t="s">
        <v>165</v>
      </c>
      <c r="C29" s="53" t="n">
        <f aca="false">C28</f>
        <v>5788.125</v>
      </c>
      <c r="D29" s="53" t="n">
        <f aca="false">D28</f>
        <v>6077.53125</v>
      </c>
      <c r="E29" s="53" t="n">
        <f aca="false">E28</f>
        <v>6381.4078125</v>
      </c>
      <c r="F29" s="53" t="n">
        <f aca="false">F28</f>
        <v>6700.478203125</v>
      </c>
      <c r="G29" s="53" t="n">
        <f aca="false">G28</f>
        <v>7035.50211328125</v>
      </c>
      <c r="H29" s="53" t="n">
        <f aca="false">H28</f>
        <v>7387.27721894531</v>
      </c>
      <c r="I29" s="53" t="n">
        <f aca="false">I28</f>
        <v>7904.38662427149</v>
      </c>
      <c r="J29" s="53" t="n">
        <f aca="false">J28</f>
        <v>8457.69368797049</v>
      </c>
      <c r="K29" s="53" t="n">
        <f aca="false">K28</f>
        <v>9049.73224612843</v>
      </c>
      <c r="L29" s="53" t="n">
        <f aca="false">L28</f>
        <v>9683.21350335742</v>
      </c>
      <c r="M29" s="53" t="n">
        <f aca="false">M28</f>
        <v>10361.0384485924</v>
      </c>
      <c r="N29" s="53" t="n">
        <f aca="false">N28</f>
        <v>11086.3111399939</v>
      </c>
      <c r="O29" s="53" t="n">
        <f aca="false">O28</f>
        <v>12084.0791425934</v>
      </c>
      <c r="P29" s="53" t="n">
        <f aca="false">P28</f>
        <v>13171.6462654268</v>
      </c>
      <c r="Q29" s="53" t="n">
        <f aca="false">Q28</f>
        <v>14357.0944293152</v>
      </c>
      <c r="R29" s="53" t="n">
        <f aca="false">R28</f>
        <v>15649.2329279535</v>
      </c>
      <c r="S29" s="53" t="n">
        <f aca="false">S28</f>
        <v>17057.6638914694</v>
      </c>
      <c r="T29" s="53" t="n">
        <f aca="false">T28</f>
        <v>18592.8536417016</v>
      </c>
      <c r="U29" s="53" t="n">
        <f aca="false">U28</f>
        <v>20823.9960787058</v>
      </c>
      <c r="V29" s="53" t="n">
        <f aca="false">V28</f>
        <v>23322.8756081505</v>
      </c>
      <c r="W29" s="53" t="n">
        <f aca="false">W28</f>
        <v>26121.6206811286</v>
      </c>
      <c r="X29" s="53" t="n">
        <f aca="false">X28</f>
        <v>29256.215162864</v>
      </c>
      <c r="Y29" s="53" t="n">
        <f aca="false">Y28</f>
        <v>32766.9609824076</v>
      </c>
      <c r="Z29" s="53" t="n">
        <f aca="false">Z28</f>
        <v>36698.9963002966</v>
      </c>
    </row>
    <row r="30" customFormat="false" ht="15" hidden="false" customHeight="false" outlineLevel="0" collapsed="false">
      <c r="A30" s="6"/>
      <c r="B30" s="6"/>
      <c r="C30" s="6"/>
      <c r="D30" s="6"/>
      <c r="E30" s="6"/>
      <c r="F30" s="6"/>
      <c r="G30" s="6"/>
      <c r="H30" s="6"/>
      <c r="I30" s="6"/>
      <c r="J30" s="6"/>
      <c r="K30" s="6"/>
      <c r="L30" s="6"/>
      <c r="M30" s="6"/>
      <c r="N30" s="6"/>
      <c r="O30" s="6"/>
      <c r="P30" s="6"/>
      <c r="Q30" s="6"/>
      <c r="R30" s="6"/>
      <c r="S30" s="6"/>
      <c r="T30" s="6"/>
      <c r="U30" s="6"/>
      <c r="V30" s="6"/>
      <c r="W30" s="6"/>
      <c r="X30" s="6"/>
      <c r="Y30" s="6"/>
      <c r="Z30" s="6"/>
    </row>
    <row r="31" customFormat="false" ht="15" hidden="false" customHeight="false" outlineLevel="0" collapsed="false">
      <c r="A31" s="6"/>
      <c r="B31" s="28" t="s">
        <v>166</v>
      </c>
      <c r="C31" s="29"/>
      <c r="D31" s="29"/>
      <c r="E31" s="29"/>
      <c r="F31" s="29"/>
      <c r="G31" s="29"/>
      <c r="H31" s="29"/>
      <c r="I31" s="29"/>
      <c r="J31" s="29"/>
      <c r="K31" s="29"/>
      <c r="L31" s="29"/>
      <c r="M31" s="29"/>
      <c r="N31" s="29"/>
      <c r="O31" s="29"/>
      <c r="P31" s="29"/>
      <c r="Q31" s="29"/>
      <c r="R31" s="29"/>
      <c r="S31" s="29"/>
      <c r="T31" s="29"/>
      <c r="U31" s="29"/>
      <c r="V31" s="29"/>
      <c r="W31" s="29"/>
      <c r="X31" s="29"/>
      <c r="Y31" s="29"/>
      <c r="Z31" s="29"/>
    </row>
    <row r="32" customFormat="false" ht="15" hidden="false" customHeight="false" outlineLevel="0" collapsed="false">
      <c r="A32" s="6"/>
      <c r="B32" s="49" t="s">
        <v>167</v>
      </c>
      <c r="C32" s="35" t="n">
        <f aca="false">GA_Monthly*(1+Salary_Escalation)^INT((C6-1)/12)</f>
        <v>8000</v>
      </c>
      <c r="D32" s="35" t="n">
        <f aca="false">GA_Monthly*(1+Salary_Escalation)^INT((D6-1)/12)</f>
        <v>8000</v>
      </c>
      <c r="E32" s="35" t="n">
        <f aca="false">GA_Monthly*(1+Salary_Escalation)^INT((E6-1)/12)</f>
        <v>8000</v>
      </c>
      <c r="F32" s="35" t="n">
        <f aca="false">GA_Monthly*(1+Salary_Escalation)^INT((F6-1)/12)</f>
        <v>8000</v>
      </c>
      <c r="G32" s="35" t="n">
        <f aca="false">GA_Monthly*(1+Salary_Escalation)^INT((G6-1)/12)</f>
        <v>8000</v>
      </c>
      <c r="H32" s="35" t="n">
        <f aca="false">GA_Monthly*(1+Salary_Escalation)^INT((H6-1)/12)</f>
        <v>8000</v>
      </c>
      <c r="I32" s="35" t="n">
        <f aca="false">GA_Monthly*(1+Salary_Escalation)^INT((I6-1)/12)</f>
        <v>8000</v>
      </c>
      <c r="J32" s="35" t="n">
        <f aca="false">GA_Monthly*(1+Salary_Escalation)^INT((J6-1)/12)</f>
        <v>8000</v>
      </c>
      <c r="K32" s="35" t="n">
        <f aca="false">GA_Monthly*(1+Salary_Escalation)^INT((K6-1)/12)</f>
        <v>8000</v>
      </c>
      <c r="L32" s="35" t="n">
        <f aca="false">GA_Monthly*(1+Salary_Escalation)^INT((L6-1)/12)</f>
        <v>8000</v>
      </c>
      <c r="M32" s="35" t="n">
        <f aca="false">GA_Monthly*(1+Salary_Escalation)^INT((M6-1)/12)</f>
        <v>8000</v>
      </c>
      <c r="N32" s="35" t="n">
        <f aca="false">GA_Monthly*(1+Salary_Escalation)^INT((N6-1)/12)</f>
        <v>8000</v>
      </c>
      <c r="O32" s="35" t="n">
        <f aca="false">GA_Monthly*(1+Salary_Escalation)^INT((O6-1)/12)</f>
        <v>8240</v>
      </c>
      <c r="P32" s="35" t="n">
        <f aca="false">GA_Monthly*(1+Salary_Escalation)^INT((P6-1)/12)</f>
        <v>8240</v>
      </c>
      <c r="Q32" s="35" t="n">
        <f aca="false">GA_Monthly*(1+Salary_Escalation)^INT((Q6-1)/12)</f>
        <v>8240</v>
      </c>
      <c r="R32" s="35" t="n">
        <f aca="false">GA_Monthly*(1+Salary_Escalation)^INT((R6-1)/12)</f>
        <v>8240</v>
      </c>
      <c r="S32" s="35" t="n">
        <f aca="false">GA_Monthly*(1+Salary_Escalation)^INT((S6-1)/12)</f>
        <v>8240</v>
      </c>
      <c r="T32" s="35" t="n">
        <f aca="false">GA_Monthly*(1+Salary_Escalation)^INT((T6-1)/12)</f>
        <v>8240</v>
      </c>
      <c r="U32" s="35" t="n">
        <f aca="false">GA_Monthly*(1+Salary_Escalation)^INT((U6-1)/12)</f>
        <v>8240</v>
      </c>
      <c r="V32" s="35" t="n">
        <f aca="false">GA_Monthly*(1+Salary_Escalation)^INT((V6-1)/12)</f>
        <v>8240</v>
      </c>
      <c r="W32" s="35" t="n">
        <f aca="false">GA_Monthly*(1+Salary_Escalation)^INT((W6-1)/12)</f>
        <v>8240</v>
      </c>
      <c r="X32" s="35" t="n">
        <f aca="false">GA_Monthly*(1+Salary_Escalation)^INT((X6-1)/12)</f>
        <v>8240</v>
      </c>
      <c r="Y32" s="35" t="n">
        <f aca="false">GA_Monthly*(1+Salary_Escalation)^INT((Y6-1)/12)</f>
        <v>8240</v>
      </c>
      <c r="Z32" s="35" t="n">
        <f aca="false">GA_Monthly*(1+Salary_Escalation)^INT((Z6-1)/12)</f>
        <v>8240</v>
      </c>
    </row>
    <row r="33" customFormat="false" ht="15" hidden="false" customHeight="false" outlineLevel="0" collapsed="false">
      <c r="A33" s="6"/>
      <c r="B33" s="51" t="s">
        <v>168</v>
      </c>
      <c r="C33" s="53" t="n">
        <f aca="false">C32</f>
        <v>8000</v>
      </c>
      <c r="D33" s="53" t="n">
        <f aca="false">D32</f>
        <v>8000</v>
      </c>
      <c r="E33" s="53" t="n">
        <f aca="false">E32</f>
        <v>8000</v>
      </c>
      <c r="F33" s="53" t="n">
        <f aca="false">F32</f>
        <v>8000</v>
      </c>
      <c r="G33" s="53" t="n">
        <f aca="false">G32</f>
        <v>8000</v>
      </c>
      <c r="H33" s="53" t="n">
        <f aca="false">H32</f>
        <v>8000</v>
      </c>
      <c r="I33" s="53" t="n">
        <f aca="false">I32</f>
        <v>8000</v>
      </c>
      <c r="J33" s="53" t="n">
        <f aca="false">J32</f>
        <v>8000</v>
      </c>
      <c r="K33" s="53" t="n">
        <f aca="false">K32</f>
        <v>8000</v>
      </c>
      <c r="L33" s="53" t="n">
        <f aca="false">L32</f>
        <v>8000</v>
      </c>
      <c r="M33" s="53" t="n">
        <f aca="false">M32</f>
        <v>8000</v>
      </c>
      <c r="N33" s="53" t="n">
        <f aca="false">N32</f>
        <v>8000</v>
      </c>
      <c r="O33" s="53" t="n">
        <f aca="false">O32</f>
        <v>8240</v>
      </c>
      <c r="P33" s="53" t="n">
        <f aca="false">P32</f>
        <v>8240</v>
      </c>
      <c r="Q33" s="53" t="n">
        <f aca="false">Q32</f>
        <v>8240</v>
      </c>
      <c r="R33" s="53" t="n">
        <f aca="false">R32</f>
        <v>8240</v>
      </c>
      <c r="S33" s="53" t="n">
        <f aca="false">S32</f>
        <v>8240</v>
      </c>
      <c r="T33" s="53" t="n">
        <f aca="false">T32</f>
        <v>8240</v>
      </c>
      <c r="U33" s="53" t="n">
        <f aca="false">U32</f>
        <v>8240</v>
      </c>
      <c r="V33" s="53" t="n">
        <f aca="false">V32</f>
        <v>8240</v>
      </c>
      <c r="W33" s="53" t="n">
        <f aca="false">W32</f>
        <v>8240</v>
      </c>
      <c r="X33" s="53" t="n">
        <f aca="false">X32</f>
        <v>8240</v>
      </c>
      <c r="Y33" s="53" t="n">
        <f aca="false">Y32</f>
        <v>8240</v>
      </c>
      <c r="Z33" s="53" t="n">
        <f aca="false">Z32</f>
        <v>8240</v>
      </c>
    </row>
    <row r="34" customFormat="false" ht="15" hidden="false" customHeight="false" outlineLevel="0" collapsed="false">
      <c r="A34" s="6"/>
      <c r="B34" s="6"/>
      <c r="C34" s="6"/>
      <c r="D34" s="6"/>
      <c r="E34" s="6"/>
      <c r="F34" s="6"/>
      <c r="G34" s="6"/>
      <c r="H34" s="6"/>
      <c r="I34" s="6"/>
      <c r="J34" s="6"/>
      <c r="K34" s="6"/>
      <c r="L34" s="6"/>
      <c r="M34" s="6"/>
      <c r="N34" s="6"/>
      <c r="O34" s="6"/>
      <c r="P34" s="6"/>
      <c r="Q34" s="6"/>
      <c r="R34" s="6"/>
      <c r="S34" s="6"/>
      <c r="T34" s="6"/>
      <c r="U34" s="6"/>
      <c r="V34" s="6"/>
      <c r="W34" s="6"/>
      <c r="X34" s="6"/>
      <c r="Y34" s="6"/>
      <c r="Z34" s="6"/>
    </row>
    <row r="35" customFormat="false" ht="15" hidden="false" customHeight="false" outlineLevel="0" collapsed="false">
      <c r="A35" s="6"/>
      <c r="B35" s="51" t="s">
        <v>169</v>
      </c>
      <c r="C35" s="42" t="n">
        <f aca="false">C20+C25+C29+C33</f>
        <v>151225.625</v>
      </c>
      <c r="D35" s="42" t="n">
        <f aca="false">D20+D25+D29+D33</f>
        <v>151606.90625</v>
      </c>
      <c r="E35" s="42" t="n">
        <f aca="false">E20+E25+E29+E33</f>
        <v>162207.2515625</v>
      </c>
      <c r="F35" s="42" t="n">
        <f aca="false">F20+F25+F29+F33</f>
        <v>172827.614140625</v>
      </c>
      <c r="G35" s="42" t="n">
        <f aca="false">G20+G25+G29+G33</f>
        <v>173268.994847656</v>
      </c>
      <c r="H35" s="42" t="n">
        <f aca="false">H20+H25+H29+H33</f>
        <v>183932.444590039</v>
      </c>
      <c r="I35" s="42" t="n">
        <f aca="false">I20+I25+I29+I33</f>
        <v>194813.715711342</v>
      </c>
      <c r="J35" s="42" t="n">
        <f aca="false">J20+J25+J29+J33</f>
        <v>195542.675811136</v>
      </c>
      <c r="K35" s="42" t="n">
        <f aca="false">K20+K25+K29+K33</f>
        <v>206522.663117915</v>
      </c>
      <c r="L35" s="42" t="n">
        <f aca="false">L20+L25+L29+L33</f>
        <v>217557.249536169</v>
      </c>
      <c r="M35" s="42" t="n">
        <f aca="false">M20+M25+M29+M33</f>
        <v>218450.257003701</v>
      </c>
      <c r="N35" s="42" t="n">
        <f aca="false">N20+N25+N29+N33</f>
        <v>229605.77499396</v>
      </c>
      <c r="O35" s="42" t="n">
        <f aca="false">O20+O25+O29+O33</f>
        <v>247786.294743417</v>
      </c>
      <c r="P35" s="42" t="n">
        <f aca="false">P20+P25+P29+P33</f>
        <v>249219.121270324</v>
      </c>
      <c r="Q35" s="42" t="n">
        <f aca="false">Q20+Q25+Q29+Q33</f>
        <v>261286.902184653</v>
      </c>
      <c r="R35" s="42" t="n">
        <f aca="false">R20+R25+R29+R33</f>
        <v>273495.243381272</v>
      </c>
      <c r="S35" s="42" t="n">
        <f aca="false">S20+S25+S29+S33</f>
        <v>275350.795285587</v>
      </c>
      <c r="T35" s="42" t="n">
        <f aca="false">T20+T25+T29+T33</f>
        <v>287879.346861289</v>
      </c>
      <c r="U35" s="42" t="n">
        <f aca="false">U20+U25+U29+U33</f>
        <v>301324.788484644</v>
      </c>
      <c r="V35" s="42" t="n">
        <f aca="false">V20+V25+V29+V33</f>
        <v>304616.963102801</v>
      </c>
      <c r="W35" s="42" t="n">
        <f aca="false">W20+W25+W29+W33</f>
        <v>318810.198675138</v>
      </c>
      <c r="X35" s="42" t="n">
        <f aca="false">X20+X25+X29+X33</f>
        <v>333445.902516154</v>
      </c>
      <c r="Y35" s="42" t="n">
        <f aca="false">Y20+Y25+Y29+Y33</f>
        <v>338071.170818093</v>
      </c>
      <c r="Z35" s="42" t="n">
        <f aca="false">Z20+Z25+Z29+Z33</f>
        <v>353757.471316264</v>
      </c>
    </row>
    <row r="36" customFormat="false" ht="15" hidden="false" customHeight="false" outlineLevel="0" collapsed="false">
      <c r="A36" s="6"/>
      <c r="B36" s="51" t="s">
        <v>170</v>
      </c>
      <c r="C36" s="53" t="n">
        <f aca="false">C13-C35</f>
        <v>-112638.125</v>
      </c>
      <c r="D36" s="53" t="n">
        <f aca="false">D13-D35</f>
        <v>-111090.03125</v>
      </c>
      <c r="E36" s="53" t="n">
        <f aca="false">E13-E35</f>
        <v>-119664.5328125</v>
      </c>
      <c r="F36" s="53" t="n">
        <f aca="false">F13-F35</f>
        <v>-128157.759453125</v>
      </c>
      <c r="G36" s="53" t="n">
        <f aca="false">G13-G35</f>
        <v>-126365.647425781</v>
      </c>
      <c r="H36" s="53" t="n">
        <f aca="false">H13-H35</f>
        <v>-134683.92979707</v>
      </c>
      <c r="I36" s="53" t="n">
        <f aca="false">I13-I35</f>
        <v>-142117.804882865</v>
      </c>
      <c r="J36" s="53" t="n">
        <f aca="false">J13-J35</f>
        <v>-139158.051224666</v>
      </c>
      <c r="K36" s="53" t="n">
        <f aca="false">K13-K35</f>
        <v>-146191.114810392</v>
      </c>
      <c r="L36" s="53" t="n">
        <f aca="false">L13-L35</f>
        <v>-153002.49284712</v>
      </c>
      <c r="M36" s="53" t="n">
        <f aca="false">M13-M35</f>
        <v>-149376.667346418</v>
      </c>
      <c r="N36" s="53" t="n">
        <f aca="false">N13-N35</f>
        <v>-155697.034060668</v>
      </c>
      <c r="O36" s="53" t="n">
        <f aca="false">O13-O35</f>
        <v>-167225.767126128</v>
      </c>
      <c r="P36" s="53" t="n">
        <f aca="false">P13-P35</f>
        <v>-161408.146167479</v>
      </c>
      <c r="Q36" s="53" t="n">
        <f aca="false">Q13-Q35</f>
        <v>-165572.939322552</v>
      </c>
      <c r="R36" s="53" t="n">
        <f aca="false">R13-R35</f>
        <v>-169167.023861582</v>
      </c>
      <c r="S36" s="53" t="n">
        <f aca="false">S13-S35</f>
        <v>-161633.036009124</v>
      </c>
      <c r="T36" s="53" t="n">
        <f aca="false">T13-T35</f>
        <v>-163926.989249945</v>
      </c>
      <c r="U36" s="53" t="n">
        <f aca="false">U13-U35</f>
        <v>-162498.147959939</v>
      </c>
      <c r="V36" s="53" t="n">
        <f aca="false">V13-V35</f>
        <v>-149131.125715132</v>
      </c>
      <c r="W36" s="53" t="n">
        <f aca="false">W13-W35</f>
        <v>-144666.060800947</v>
      </c>
      <c r="X36" s="53" t="n">
        <f aca="false">X13-X35</f>
        <v>-138404.468097061</v>
      </c>
      <c r="Y36" s="53" t="n">
        <f aca="false">Y13-Y35</f>
        <v>-119624.764268708</v>
      </c>
      <c r="Z36" s="53" t="n">
        <f aca="false">Z13-Z35</f>
        <v>-109097.495980953</v>
      </c>
    </row>
    <row r="37" customFormat="false" ht="15" hidden="false" customHeight="false" outlineLevel="0" collapsed="false">
      <c r="A37" s="6"/>
      <c r="B37" s="51" t="s">
        <v>171</v>
      </c>
      <c r="C37" s="54" t="n">
        <f aca="false">C36</f>
        <v>-112638.125</v>
      </c>
      <c r="D37" s="54" t="n">
        <f aca="false">D36</f>
        <v>-111090.03125</v>
      </c>
      <c r="E37" s="54" t="n">
        <f aca="false">E36</f>
        <v>-119664.5328125</v>
      </c>
      <c r="F37" s="54" t="n">
        <f aca="false">F36</f>
        <v>-128157.759453125</v>
      </c>
      <c r="G37" s="54" t="n">
        <f aca="false">G36</f>
        <v>-126365.647425781</v>
      </c>
      <c r="H37" s="54" t="n">
        <f aca="false">H36</f>
        <v>-134683.92979707</v>
      </c>
      <c r="I37" s="54" t="n">
        <f aca="false">I36</f>
        <v>-142117.804882865</v>
      </c>
      <c r="J37" s="54" t="n">
        <f aca="false">J36</f>
        <v>-139158.051224666</v>
      </c>
      <c r="K37" s="54" t="n">
        <f aca="false">K36</f>
        <v>-146191.114810392</v>
      </c>
      <c r="L37" s="54" t="n">
        <f aca="false">L36</f>
        <v>-153002.49284712</v>
      </c>
      <c r="M37" s="54" t="n">
        <f aca="false">M36</f>
        <v>-149376.667346418</v>
      </c>
      <c r="N37" s="54" t="n">
        <f aca="false">N36</f>
        <v>-155697.034060668</v>
      </c>
      <c r="O37" s="54" t="n">
        <f aca="false">O36</f>
        <v>-167225.767126128</v>
      </c>
      <c r="P37" s="54" t="n">
        <f aca="false">P36</f>
        <v>-161408.146167479</v>
      </c>
      <c r="Q37" s="54" t="n">
        <f aca="false">Q36</f>
        <v>-165572.939322552</v>
      </c>
      <c r="R37" s="54" t="n">
        <f aca="false">R36</f>
        <v>-169167.023861582</v>
      </c>
      <c r="S37" s="54" t="n">
        <f aca="false">S36</f>
        <v>-161633.036009124</v>
      </c>
      <c r="T37" s="54" t="n">
        <f aca="false">T36</f>
        <v>-163926.989249945</v>
      </c>
      <c r="U37" s="54" t="n">
        <f aca="false">U36</f>
        <v>-162498.147959939</v>
      </c>
      <c r="V37" s="54" t="n">
        <f aca="false">V36</f>
        <v>-149131.125715132</v>
      </c>
      <c r="W37" s="54" t="n">
        <f aca="false">W36</f>
        <v>-144666.060800947</v>
      </c>
      <c r="X37" s="54" t="n">
        <f aca="false">X36</f>
        <v>-138404.468097061</v>
      </c>
      <c r="Y37" s="54" t="n">
        <f aca="false">Y36</f>
        <v>-119624.764268708</v>
      </c>
      <c r="Z37" s="54" t="n">
        <f aca="false">Z36</f>
        <v>-109097.495980953</v>
      </c>
    </row>
    <row r="38" customFormat="false" ht="15" hidden="false" customHeight="false" outlineLevel="0" collapsed="false">
      <c r="A38" s="6"/>
      <c r="B38" s="6"/>
      <c r="C38" s="6"/>
      <c r="D38" s="6"/>
      <c r="E38" s="6"/>
      <c r="F38" s="6"/>
      <c r="G38" s="6"/>
      <c r="H38" s="6"/>
      <c r="I38" s="6"/>
      <c r="J38" s="6"/>
      <c r="K38" s="6"/>
      <c r="L38" s="6"/>
      <c r="M38" s="6"/>
      <c r="N38" s="6"/>
      <c r="O38" s="6"/>
      <c r="P38" s="6"/>
      <c r="Q38" s="6"/>
      <c r="R38" s="6"/>
      <c r="S38" s="6"/>
      <c r="T38" s="6"/>
      <c r="U38" s="6"/>
      <c r="V38" s="6"/>
      <c r="W38" s="6"/>
      <c r="X38" s="6"/>
      <c r="Y38" s="6"/>
      <c r="Z38" s="6"/>
    </row>
    <row r="39" customFormat="false" ht="15" hidden="false" customHeight="false" outlineLevel="0" collapsed="false">
      <c r="A39" s="6"/>
      <c r="B39" s="28" t="s">
        <v>172</v>
      </c>
      <c r="C39" s="29"/>
      <c r="D39" s="29"/>
      <c r="E39" s="29"/>
      <c r="F39" s="29"/>
      <c r="G39" s="29"/>
      <c r="H39" s="29"/>
      <c r="I39" s="29"/>
      <c r="J39" s="29"/>
      <c r="K39" s="29"/>
      <c r="L39" s="29"/>
      <c r="M39" s="29"/>
      <c r="N39" s="29"/>
      <c r="O39" s="29"/>
      <c r="P39" s="29"/>
      <c r="Q39" s="29"/>
      <c r="R39" s="29"/>
      <c r="S39" s="29"/>
      <c r="T39" s="29"/>
      <c r="U39" s="29"/>
      <c r="V39" s="29"/>
      <c r="W39" s="29"/>
      <c r="X39" s="29"/>
      <c r="Y39" s="29"/>
      <c r="Z39" s="29"/>
    </row>
    <row r="40" customFormat="false" ht="15" hidden="false" customHeight="false" outlineLevel="0" collapsed="false">
      <c r="A40" s="6"/>
      <c r="B40" s="49" t="s">
        <v>173</v>
      </c>
      <c r="C40" s="35" t="n">
        <f aca="false">Current_Cash</f>
        <v>250000</v>
      </c>
      <c r="D40" s="35" t="n">
        <f aca="false">C46</f>
        <v>137361.875</v>
      </c>
      <c r="E40" s="35" t="n">
        <f aca="false">D46</f>
        <v>576271.84375</v>
      </c>
      <c r="F40" s="35" t="n">
        <f aca="false">E46</f>
        <v>581607.3109375</v>
      </c>
      <c r="G40" s="35" t="n">
        <f aca="false">F46</f>
        <v>528449.551484375</v>
      </c>
      <c r="H40" s="35" t="n">
        <f aca="false">G46</f>
        <v>402083.904058594</v>
      </c>
      <c r="I40" s="35" t="n">
        <f aca="false">H46</f>
        <v>267399.974261523</v>
      </c>
      <c r="J40" s="35" t="n">
        <f aca="false">I46</f>
        <v>125282.169378658</v>
      </c>
      <c r="K40" s="35" t="n">
        <f aca="false">J46</f>
        <v>-13875.8818460075</v>
      </c>
      <c r="L40" s="35" t="n">
        <f aca="false">K46</f>
        <v>-160066.9966564</v>
      </c>
      <c r="M40" s="35" t="n">
        <f aca="false">L46</f>
        <v>-313069.48950352</v>
      </c>
      <c r="N40" s="35" t="n">
        <f aca="false">M46</f>
        <v>-462446.156849938</v>
      </c>
      <c r="O40" s="35" t="n">
        <f aca="false">N46</f>
        <v>-618143.190910606</v>
      </c>
      <c r="P40" s="35" t="n">
        <f aca="false">O46</f>
        <v>-785368.958036733</v>
      </c>
      <c r="Q40" s="35" t="n">
        <f aca="false">P46</f>
        <v>-946777.104204212</v>
      </c>
      <c r="R40" s="35" t="n">
        <f aca="false">Q46</f>
        <v>1887649.95647324</v>
      </c>
      <c r="S40" s="35" t="n">
        <f aca="false">R46</f>
        <v>1718482.93261165</v>
      </c>
      <c r="T40" s="35" t="n">
        <f aca="false">S46</f>
        <v>1556849.89660253</v>
      </c>
      <c r="U40" s="35" t="n">
        <f aca="false">T46</f>
        <v>1392922.90735258</v>
      </c>
      <c r="V40" s="35" t="n">
        <f aca="false">U46</f>
        <v>1230424.75939265</v>
      </c>
      <c r="W40" s="35" t="n">
        <f aca="false">V46</f>
        <v>1081293.63367751</v>
      </c>
      <c r="X40" s="35" t="n">
        <f aca="false">W46</f>
        <v>936627.572876567</v>
      </c>
      <c r="Y40" s="35" t="n">
        <f aca="false">X46</f>
        <v>798223.104779506</v>
      </c>
      <c r="Z40" s="35" t="n">
        <f aca="false">Y46</f>
        <v>678598.340510797</v>
      </c>
    </row>
    <row r="41" customFormat="false" ht="15" hidden="false" customHeight="false" outlineLevel="0" collapsed="false">
      <c r="A41" s="6"/>
      <c r="B41" s="49" t="s">
        <v>174</v>
      </c>
      <c r="C41" s="35" t="n">
        <f aca="false">C36</f>
        <v>-112638.125</v>
      </c>
      <c r="D41" s="35" t="n">
        <f aca="false">D36</f>
        <v>-111090.03125</v>
      </c>
      <c r="E41" s="35" t="n">
        <f aca="false">E36</f>
        <v>-119664.5328125</v>
      </c>
      <c r="F41" s="35" t="n">
        <f aca="false">F36</f>
        <v>-128157.759453125</v>
      </c>
      <c r="G41" s="35" t="n">
        <f aca="false">G36</f>
        <v>-126365.647425781</v>
      </c>
      <c r="H41" s="35" t="n">
        <f aca="false">H36</f>
        <v>-134683.92979707</v>
      </c>
      <c r="I41" s="35" t="n">
        <f aca="false">I36</f>
        <v>-142117.804882865</v>
      </c>
      <c r="J41" s="35" t="n">
        <f aca="false">J36</f>
        <v>-139158.051224666</v>
      </c>
      <c r="K41" s="35" t="n">
        <f aca="false">K36</f>
        <v>-146191.114810392</v>
      </c>
      <c r="L41" s="35" t="n">
        <f aca="false">L36</f>
        <v>-153002.49284712</v>
      </c>
      <c r="M41" s="35" t="n">
        <f aca="false">M36</f>
        <v>-149376.667346418</v>
      </c>
      <c r="N41" s="35" t="n">
        <f aca="false">N36</f>
        <v>-155697.034060668</v>
      </c>
      <c r="O41" s="35" t="n">
        <f aca="false">O36</f>
        <v>-167225.767126128</v>
      </c>
      <c r="P41" s="35" t="n">
        <f aca="false">P36</f>
        <v>-161408.146167479</v>
      </c>
      <c r="Q41" s="35" t="n">
        <f aca="false">Q36</f>
        <v>-165572.939322552</v>
      </c>
      <c r="R41" s="35" t="n">
        <f aca="false">R36</f>
        <v>-169167.023861582</v>
      </c>
      <c r="S41" s="35" t="n">
        <f aca="false">S36</f>
        <v>-161633.036009124</v>
      </c>
      <c r="T41" s="35" t="n">
        <f aca="false">T36</f>
        <v>-163926.989249945</v>
      </c>
      <c r="U41" s="35" t="n">
        <f aca="false">U36</f>
        <v>-162498.147959939</v>
      </c>
      <c r="V41" s="35" t="n">
        <f aca="false">V36</f>
        <v>-149131.125715132</v>
      </c>
      <c r="W41" s="35" t="n">
        <f aca="false">W36</f>
        <v>-144666.060800947</v>
      </c>
      <c r="X41" s="35" t="n">
        <f aca="false">X36</f>
        <v>-138404.468097061</v>
      </c>
      <c r="Y41" s="35" t="n">
        <f aca="false">Y36</f>
        <v>-119624.764268708</v>
      </c>
      <c r="Z41" s="35" t="n">
        <f aca="false">Z36</f>
        <v>-109097.495980953</v>
      </c>
    </row>
    <row r="42" customFormat="false" ht="15" hidden="false" customHeight="false" outlineLevel="0" collapsed="false">
      <c r="A42" s="6"/>
      <c r="B42" s="49" t="s">
        <v>175</v>
      </c>
      <c r="C42" s="35" t="n">
        <f aca="false">SUMPRODUCT((Inv_CloseMonths=C6)*Inv_Amounts)</f>
        <v>0</v>
      </c>
      <c r="D42" s="35" t="n">
        <f aca="false">SUMPRODUCT((Inv_CloseMonths=D6)*Inv_Amounts)</f>
        <v>550000</v>
      </c>
      <c r="E42" s="35" t="n">
        <f aca="false">SUMPRODUCT((Inv_CloseMonths=E6)*Inv_Amounts)</f>
        <v>125000</v>
      </c>
      <c r="F42" s="35" t="n">
        <f aca="false">SUMPRODUCT((Inv_CloseMonths=F6)*Inv_Amounts)</f>
        <v>75000</v>
      </c>
      <c r="G42" s="35" t="n">
        <f aca="false">SUMPRODUCT((Inv_CloseMonths=G6)*Inv_Amounts)</f>
        <v>0</v>
      </c>
      <c r="H42" s="35" t="n">
        <f aca="false">SUMPRODUCT((Inv_CloseMonths=H6)*Inv_Amounts)</f>
        <v>0</v>
      </c>
      <c r="I42" s="35" t="n">
        <f aca="false">SUMPRODUCT((Inv_CloseMonths=I6)*Inv_Amounts)</f>
        <v>0</v>
      </c>
      <c r="J42" s="35" t="n">
        <f aca="false">SUMPRODUCT((Inv_CloseMonths=J6)*Inv_Amounts)</f>
        <v>0</v>
      </c>
      <c r="K42" s="35" t="n">
        <f aca="false">SUMPRODUCT((Inv_CloseMonths=K6)*Inv_Amounts)</f>
        <v>0</v>
      </c>
      <c r="L42" s="35" t="n">
        <f aca="false">SUMPRODUCT((Inv_CloseMonths=L6)*Inv_Amounts)</f>
        <v>0</v>
      </c>
      <c r="M42" s="35" t="n">
        <f aca="false">SUMPRODUCT((Inv_CloseMonths=M6)*Inv_Amounts)</f>
        <v>0</v>
      </c>
      <c r="N42" s="35" t="n">
        <f aca="false">SUMPRODUCT((Inv_CloseMonths=N6)*Inv_Amounts)</f>
        <v>0</v>
      </c>
      <c r="O42" s="35" t="n">
        <f aca="false">SUMPRODUCT((Inv_CloseMonths=O6)*Inv_Amounts)</f>
        <v>0</v>
      </c>
      <c r="P42" s="35" t="n">
        <f aca="false">SUMPRODUCT((Inv_CloseMonths=P6)*Inv_Amounts)</f>
        <v>0</v>
      </c>
      <c r="Q42" s="35" t="n">
        <f aca="false">SUMPRODUCT((Inv_CloseMonths=Q6)*Inv_Amounts)</f>
        <v>0</v>
      </c>
      <c r="R42" s="35" t="n">
        <f aca="false">SUMPRODUCT((Inv_CloseMonths=R6)*Inv_Amounts)</f>
        <v>0</v>
      </c>
      <c r="S42" s="35" t="n">
        <f aca="false">SUMPRODUCT((Inv_CloseMonths=S6)*Inv_Amounts)</f>
        <v>0</v>
      </c>
      <c r="T42" s="35" t="n">
        <f aca="false">SUMPRODUCT((Inv_CloseMonths=T6)*Inv_Amounts)</f>
        <v>0</v>
      </c>
      <c r="U42" s="35" t="n">
        <f aca="false">SUMPRODUCT((Inv_CloseMonths=U6)*Inv_Amounts)</f>
        <v>0</v>
      </c>
      <c r="V42" s="35" t="n">
        <f aca="false">SUMPRODUCT((Inv_CloseMonths=V6)*Inv_Amounts)</f>
        <v>0</v>
      </c>
      <c r="W42" s="35" t="n">
        <f aca="false">SUMPRODUCT((Inv_CloseMonths=W6)*Inv_Amounts)</f>
        <v>0</v>
      </c>
      <c r="X42" s="35" t="n">
        <f aca="false">SUMPRODUCT((Inv_CloseMonths=X6)*Inv_Amounts)</f>
        <v>0</v>
      </c>
      <c r="Y42" s="35" t="n">
        <f aca="false">SUMPRODUCT((Inv_CloseMonths=Y6)*Inv_Amounts)</f>
        <v>0</v>
      </c>
      <c r="Z42" s="35" t="n">
        <f aca="false">SUMPRODUCT((Inv_CloseMonths=Z6)*Inv_Amounts)</f>
        <v>0</v>
      </c>
    </row>
    <row r="43" customFormat="false" ht="15" hidden="false" customHeight="false" outlineLevel="0" collapsed="false">
      <c r="A43" s="6"/>
      <c r="B43" s="49" t="s">
        <v>176</v>
      </c>
      <c r="C43" s="35" t="n">
        <f aca="false">IF(AND(Convert_Toggle=FALSE(),Instrument_Type="Note",C6=MIN(Inv_CloseMonths)+Bridge_Maturity),-SUM(Inv_Repay_Vals),0)</f>
        <v>0</v>
      </c>
      <c r="D43" s="35" t="n">
        <f aca="false">IF(AND(Convert_Toggle=FALSE(),Instrument_Type="Note",D6=MIN(Inv_CloseMonths)+Bridge_Maturity),-SUM(Inv_Repay_Vals),0)</f>
        <v>0</v>
      </c>
      <c r="E43" s="35" t="n">
        <f aca="false">IF(AND(Convert_Toggle=FALSE(),Instrument_Type="Note",E6=MIN(Inv_CloseMonths)+Bridge_Maturity),-SUM(Inv_Repay_Vals),0)</f>
        <v>0</v>
      </c>
      <c r="F43" s="35" t="n">
        <f aca="false">IF(AND(Convert_Toggle=FALSE(),Instrument_Type="Note",F6=MIN(Inv_CloseMonths)+Bridge_Maturity),-SUM(Inv_Repay_Vals),0)</f>
        <v>0</v>
      </c>
      <c r="G43" s="35" t="n">
        <f aca="false">IF(AND(Convert_Toggle=FALSE(),Instrument_Type="Note",G6=MIN(Inv_CloseMonths)+Bridge_Maturity),-SUM(Inv_Repay_Vals),0)</f>
        <v>0</v>
      </c>
      <c r="H43" s="35" t="n">
        <f aca="false">IF(AND(Convert_Toggle=FALSE(),Instrument_Type="Note",H6=MIN(Inv_CloseMonths)+Bridge_Maturity),-SUM(Inv_Repay_Vals),0)</f>
        <v>0</v>
      </c>
      <c r="I43" s="35" t="n">
        <f aca="false">IF(AND(Convert_Toggle=FALSE(),Instrument_Type="Note",I6=MIN(Inv_CloseMonths)+Bridge_Maturity),-SUM(Inv_Repay_Vals),0)</f>
        <v>0</v>
      </c>
      <c r="J43" s="35" t="n">
        <f aca="false">IF(AND(Convert_Toggle=FALSE(),Instrument_Type="Note",J6=MIN(Inv_CloseMonths)+Bridge_Maturity),-SUM(Inv_Repay_Vals),0)</f>
        <v>0</v>
      </c>
      <c r="K43" s="35" t="n">
        <f aca="false">IF(AND(Convert_Toggle=FALSE(),Instrument_Type="Note",K6=MIN(Inv_CloseMonths)+Bridge_Maturity),-SUM(Inv_Repay_Vals),0)</f>
        <v>0</v>
      </c>
      <c r="L43" s="35" t="n">
        <f aca="false">IF(AND(Convert_Toggle=FALSE(),Instrument_Type="Note",L6=MIN(Inv_CloseMonths)+Bridge_Maturity),-SUM(Inv_Repay_Vals),0)</f>
        <v>0</v>
      </c>
      <c r="M43" s="35" t="n">
        <f aca="false">IF(AND(Convert_Toggle=FALSE(),Instrument_Type="Note",M6=MIN(Inv_CloseMonths)+Bridge_Maturity),-SUM(Inv_Repay_Vals),0)</f>
        <v>0</v>
      </c>
      <c r="N43" s="35" t="n">
        <f aca="false">IF(AND(Convert_Toggle=FALSE(),Instrument_Type="Note",N6=MIN(Inv_CloseMonths)+Bridge_Maturity),-SUM(Inv_Repay_Vals),0)</f>
        <v>0</v>
      </c>
      <c r="O43" s="35" t="n">
        <f aca="false">IF(AND(Convert_Toggle=FALSE(),Instrument_Type="Note",O6=MIN(Inv_CloseMonths)+Bridge_Maturity),-SUM(Inv_Repay_Vals),0)</f>
        <v>0</v>
      </c>
      <c r="P43" s="35" t="n">
        <f aca="false">IF(AND(Convert_Toggle=FALSE(),Instrument_Type="Note",P6=MIN(Inv_CloseMonths)+Bridge_Maturity),-SUM(Inv_Repay_Vals),0)</f>
        <v>0</v>
      </c>
      <c r="Q43" s="35" t="n">
        <f aca="false">IF(AND(Convert_Toggle=FALSE(),Instrument_Type="Note",Q6=MIN(Inv_CloseMonths)+Bridge_Maturity),-SUM(Inv_Repay_Vals),0)</f>
        <v>0</v>
      </c>
      <c r="R43" s="35" t="n">
        <f aca="false">IF(AND(Convert_Toggle=FALSE(),Instrument_Type="Note",R6=MIN(Inv_CloseMonths)+Bridge_Maturity),-SUM(Inv_Repay_Vals),0)</f>
        <v>0</v>
      </c>
      <c r="S43" s="35" t="n">
        <f aca="false">IF(AND(Convert_Toggle=FALSE(),Instrument_Type="Note",S6=MIN(Inv_CloseMonths)+Bridge_Maturity),-SUM(Inv_Repay_Vals),0)</f>
        <v>0</v>
      </c>
      <c r="T43" s="35" t="n">
        <f aca="false">IF(AND(Convert_Toggle=FALSE(),Instrument_Type="Note",T6=MIN(Inv_CloseMonths)+Bridge_Maturity),-SUM(Inv_Repay_Vals),0)</f>
        <v>0</v>
      </c>
      <c r="U43" s="35" t="n">
        <f aca="false">IF(AND(Convert_Toggle=FALSE(),Instrument_Type="Note",U6=MIN(Inv_CloseMonths)+Bridge_Maturity),-SUM(Inv_Repay_Vals),0)</f>
        <v>0</v>
      </c>
      <c r="V43" s="35" t="n">
        <f aca="false">IF(AND(Convert_Toggle=FALSE(),Instrument_Type="Note",V6=MIN(Inv_CloseMonths)+Bridge_Maturity),-SUM(Inv_Repay_Vals),0)</f>
        <v>0</v>
      </c>
      <c r="W43" s="35" t="n">
        <f aca="false">IF(AND(Convert_Toggle=FALSE(),Instrument_Type="Note",W6=MIN(Inv_CloseMonths)+Bridge_Maturity),-SUM(Inv_Repay_Vals),0)</f>
        <v>0</v>
      </c>
      <c r="X43" s="35" t="n">
        <f aca="false">IF(AND(Convert_Toggle=FALSE(),Instrument_Type="Note",X6=MIN(Inv_CloseMonths)+Bridge_Maturity),-SUM(Inv_Repay_Vals),0)</f>
        <v>0</v>
      </c>
      <c r="Y43" s="35" t="n">
        <f aca="false">IF(AND(Convert_Toggle=FALSE(),Instrument_Type="Note",Y6=MIN(Inv_CloseMonths)+Bridge_Maturity),-SUM(Inv_Repay_Vals),0)</f>
        <v>0</v>
      </c>
      <c r="Z43" s="35" t="n">
        <f aca="false">IF(AND(Convert_Toggle=FALSE(),Instrument_Type="Note",Z6=MIN(Inv_CloseMonths)+Bridge_Maturity),-SUM(Inv_Repay_Vals),0)</f>
        <v>0</v>
      </c>
    </row>
    <row r="44" customFormat="false" ht="15" hidden="false" customHeight="false" outlineLevel="0" collapsed="false">
      <c r="A44" s="6"/>
      <c r="B44" s="49" t="s">
        <v>177</v>
      </c>
      <c r="C44" s="35" t="n">
        <f aca="false">IF(AND(Convert_Toggle=TRUE(),C6=Next_Round_Month),Next_Round_Raise,0)</f>
        <v>0</v>
      </c>
      <c r="D44" s="35" t="n">
        <f aca="false">IF(AND(Convert_Toggle=TRUE(),D6=Next_Round_Month),Next_Round_Raise,0)</f>
        <v>0</v>
      </c>
      <c r="E44" s="35" t="n">
        <f aca="false">IF(AND(Convert_Toggle=TRUE(),E6=Next_Round_Month),Next_Round_Raise,0)</f>
        <v>0</v>
      </c>
      <c r="F44" s="35" t="n">
        <f aca="false">IF(AND(Convert_Toggle=TRUE(),F6=Next_Round_Month),Next_Round_Raise,0)</f>
        <v>0</v>
      </c>
      <c r="G44" s="35" t="n">
        <f aca="false">IF(AND(Convert_Toggle=TRUE(),G6=Next_Round_Month),Next_Round_Raise,0)</f>
        <v>0</v>
      </c>
      <c r="H44" s="35" t="n">
        <f aca="false">IF(AND(Convert_Toggle=TRUE(),H6=Next_Round_Month),Next_Round_Raise,0)</f>
        <v>0</v>
      </c>
      <c r="I44" s="35" t="n">
        <f aca="false">IF(AND(Convert_Toggle=TRUE(),I6=Next_Round_Month),Next_Round_Raise,0)</f>
        <v>0</v>
      </c>
      <c r="J44" s="35" t="n">
        <f aca="false">IF(AND(Convert_Toggle=TRUE(),J6=Next_Round_Month),Next_Round_Raise,0)</f>
        <v>0</v>
      </c>
      <c r="K44" s="35" t="n">
        <f aca="false">IF(AND(Convert_Toggle=TRUE(),K6=Next_Round_Month),Next_Round_Raise,0)</f>
        <v>0</v>
      </c>
      <c r="L44" s="35" t="n">
        <f aca="false">IF(AND(Convert_Toggle=TRUE(),L6=Next_Round_Month),Next_Round_Raise,0)</f>
        <v>0</v>
      </c>
      <c r="M44" s="35" t="n">
        <f aca="false">IF(AND(Convert_Toggle=TRUE(),M6=Next_Round_Month),Next_Round_Raise,0)</f>
        <v>0</v>
      </c>
      <c r="N44" s="35" t="n">
        <f aca="false">IF(AND(Convert_Toggle=TRUE(),N6=Next_Round_Month),Next_Round_Raise,0)</f>
        <v>0</v>
      </c>
      <c r="O44" s="35" t="n">
        <f aca="false">IF(AND(Convert_Toggle=TRUE(),O6=Next_Round_Month),Next_Round_Raise,0)</f>
        <v>0</v>
      </c>
      <c r="P44" s="35" t="n">
        <f aca="false">IF(AND(Convert_Toggle=TRUE(),P6=Next_Round_Month),Next_Round_Raise,0)</f>
        <v>0</v>
      </c>
      <c r="Q44" s="35" t="n">
        <f aca="false">IF(AND(Convert_Toggle=TRUE(),Q6=Next_Round_Month),Next_Round_Raise,0)</f>
        <v>3000000</v>
      </c>
      <c r="R44" s="35" t="n">
        <f aca="false">IF(AND(Convert_Toggle=TRUE(),R6=Next_Round_Month),Next_Round_Raise,0)</f>
        <v>0</v>
      </c>
      <c r="S44" s="35" t="n">
        <f aca="false">IF(AND(Convert_Toggle=TRUE(),S6=Next_Round_Month),Next_Round_Raise,0)</f>
        <v>0</v>
      </c>
      <c r="T44" s="35" t="n">
        <f aca="false">IF(AND(Convert_Toggle=TRUE(),T6=Next_Round_Month),Next_Round_Raise,0)</f>
        <v>0</v>
      </c>
      <c r="U44" s="35" t="n">
        <f aca="false">IF(AND(Convert_Toggle=TRUE(),U6=Next_Round_Month),Next_Round_Raise,0)</f>
        <v>0</v>
      </c>
      <c r="V44" s="35" t="n">
        <f aca="false">IF(AND(Convert_Toggle=TRUE(),V6=Next_Round_Month),Next_Round_Raise,0)</f>
        <v>0</v>
      </c>
      <c r="W44" s="35" t="n">
        <f aca="false">IF(AND(Convert_Toggle=TRUE(),W6=Next_Round_Month),Next_Round_Raise,0)</f>
        <v>0</v>
      </c>
      <c r="X44" s="35" t="n">
        <f aca="false">IF(AND(Convert_Toggle=TRUE(),X6=Next_Round_Month),Next_Round_Raise,0)</f>
        <v>0</v>
      </c>
      <c r="Y44" s="35" t="n">
        <f aca="false">IF(AND(Convert_Toggle=TRUE(),Y6=Next_Round_Month),Next_Round_Raise,0)</f>
        <v>0</v>
      </c>
      <c r="Z44" s="35" t="n">
        <f aca="false">IF(AND(Convert_Toggle=TRUE(),Z6=Next_Round_Month),Next_Round_Raise,0)</f>
        <v>0</v>
      </c>
    </row>
    <row r="45" customFormat="false" ht="15" hidden="false" customHeight="false" outlineLevel="0" collapsed="false">
      <c r="A45" s="6"/>
      <c r="B45" s="51" t="s">
        <v>178</v>
      </c>
      <c r="C45" s="53" t="n">
        <f aca="false">C41+C42+C43+C44</f>
        <v>-112638.125</v>
      </c>
      <c r="D45" s="53" t="n">
        <f aca="false">D41+D42+D43+D44</f>
        <v>438909.96875</v>
      </c>
      <c r="E45" s="53" t="n">
        <f aca="false">E41+E42+E43+E44</f>
        <v>5335.46718750001</v>
      </c>
      <c r="F45" s="53" t="n">
        <f aca="false">F41+F42+F43+F44</f>
        <v>-53157.759453125</v>
      </c>
      <c r="G45" s="53" t="n">
        <f aca="false">G41+G42+G43+G44</f>
        <v>-126365.647425781</v>
      </c>
      <c r="H45" s="53" t="n">
        <f aca="false">H41+H42+H43+H44</f>
        <v>-134683.92979707</v>
      </c>
      <c r="I45" s="53" t="n">
        <f aca="false">I41+I42+I43+I44</f>
        <v>-142117.804882865</v>
      </c>
      <c r="J45" s="53" t="n">
        <f aca="false">J41+J42+J43+J44</f>
        <v>-139158.051224666</v>
      </c>
      <c r="K45" s="53" t="n">
        <f aca="false">K41+K42+K43+K44</f>
        <v>-146191.114810392</v>
      </c>
      <c r="L45" s="53" t="n">
        <f aca="false">L41+L42+L43+L44</f>
        <v>-153002.49284712</v>
      </c>
      <c r="M45" s="53" t="n">
        <f aca="false">M41+M42+M43+M44</f>
        <v>-149376.667346418</v>
      </c>
      <c r="N45" s="53" t="n">
        <f aca="false">N41+N42+N43+N44</f>
        <v>-155697.034060668</v>
      </c>
      <c r="O45" s="53" t="n">
        <f aca="false">O41+O42+O43+O44</f>
        <v>-167225.767126128</v>
      </c>
      <c r="P45" s="53" t="n">
        <f aca="false">P41+P42+P43+P44</f>
        <v>-161408.146167479</v>
      </c>
      <c r="Q45" s="53" t="n">
        <f aca="false">Q41+Q42+Q43+Q44</f>
        <v>2834427.06067745</v>
      </c>
      <c r="R45" s="53" t="n">
        <f aca="false">R41+R42+R43+R44</f>
        <v>-169167.023861582</v>
      </c>
      <c r="S45" s="53" t="n">
        <f aca="false">S41+S42+S43+S44</f>
        <v>-161633.036009124</v>
      </c>
      <c r="T45" s="53" t="n">
        <f aca="false">T41+T42+T43+T44</f>
        <v>-163926.989249945</v>
      </c>
      <c r="U45" s="53" t="n">
        <f aca="false">U41+U42+U43+U44</f>
        <v>-162498.147959939</v>
      </c>
      <c r="V45" s="53" t="n">
        <f aca="false">V41+V42+V43+V44</f>
        <v>-149131.125715132</v>
      </c>
      <c r="W45" s="53" t="n">
        <f aca="false">W41+W42+W43+W44</f>
        <v>-144666.060800947</v>
      </c>
      <c r="X45" s="53" t="n">
        <f aca="false">X41+X42+X43+X44</f>
        <v>-138404.468097061</v>
      </c>
      <c r="Y45" s="53" t="n">
        <f aca="false">Y41+Y42+Y43+Y44</f>
        <v>-119624.764268708</v>
      </c>
      <c r="Z45" s="53" t="n">
        <f aca="false">Z41+Z42+Z43+Z44</f>
        <v>-109097.495980953</v>
      </c>
    </row>
    <row r="46" customFormat="false" ht="15" hidden="false" customHeight="false" outlineLevel="0" collapsed="false">
      <c r="A46" s="6"/>
      <c r="B46" s="51" t="s">
        <v>179</v>
      </c>
      <c r="C46" s="42" t="n">
        <f aca="false">C40+C45</f>
        <v>137361.875</v>
      </c>
      <c r="D46" s="42" t="n">
        <f aca="false">D40+D45</f>
        <v>576271.84375</v>
      </c>
      <c r="E46" s="42" t="n">
        <f aca="false">E40+E45</f>
        <v>581607.3109375</v>
      </c>
      <c r="F46" s="42" t="n">
        <f aca="false">F40+F45</f>
        <v>528449.551484375</v>
      </c>
      <c r="G46" s="42" t="n">
        <f aca="false">G40+G45</f>
        <v>402083.904058594</v>
      </c>
      <c r="H46" s="42" t="n">
        <f aca="false">H40+H45</f>
        <v>267399.974261523</v>
      </c>
      <c r="I46" s="42" t="n">
        <f aca="false">I40+I45</f>
        <v>125282.169378658</v>
      </c>
      <c r="J46" s="42" t="n">
        <f aca="false">J40+J45</f>
        <v>-13875.8818460075</v>
      </c>
      <c r="K46" s="42" t="n">
        <f aca="false">K40+K45</f>
        <v>-160066.9966564</v>
      </c>
      <c r="L46" s="42" t="n">
        <f aca="false">L40+L45</f>
        <v>-313069.48950352</v>
      </c>
      <c r="M46" s="42" t="n">
        <f aca="false">M40+M45</f>
        <v>-462446.156849938</v>
      </c>
      <c r="N46" s="42" t="n">
        <f aca="false">N40+N45</f>
        <v>-618143.190910606</v>
      </c>
      <c r="O46" s="42" t="n">
        <f aca="false">O40+O45</f>
        <v>-785368.958036733</v>
      </c>
      <c r="P46" s="42" t="n">
        <f aca="false">P40+P45</f>
        <v>-946777.104204212</v>
      </c>
      <c r="Q46" s="42" t="n">
        <f aca="false">Q40+Q45</f>
        <v>1887649.95647324</v>
      </c>
      <c r="R46" s="42" t="n">
        <f aca="false">R40+R45</f>
        <v>1718482.93261165</v>
      </c>
      <c r="S46" s="42" t="n">
        <f aca="false">S40+S45</f>
        <v>1556849.89660253</v>
      </c>
      <c r="T46" s="42" t="n">
        <f aca="false">T40+T45</f>
        <v>1392922.90735258</v>
      </c>
      <c r="U46" s="42" t="n">
        <f aca="false">U40+U45</f>
        <v>1230424.75939265</v>
      </c>
      <c r="V46" s="42" t="n">
        <f aca="false">V40+V45</f>
        <v>1081293.63367751</v>
      </c>
      <c r="W46" s="42" t="n">
        <f aca="false">W40+W45</f>
        <v>936627.572876567</v>
      </c>
      <c r="X46" s="42" t="n">
        <f aca="false">X40+X45</f>
        <v>798223.104779506</v>
      </c>
      <c r="Y46" s="42" t="n">
        <f aca="false">Y40+Y45</f>
        <v>678598.340510797</v>
      </c>
      <c r="Z46" s="42" t="n">
        <f aca="false">Z40+Z45</f>
        <v>569500.844529844</v>
      </c>
    </row>
    <row r="47" customFormat="false" ht="15" hidden="false" customHeight="false" outlineLevel="0" collapsed="false">
      <c r="A47" s="6"/>
      <c r="B47" s="6"/>
      <c r="C47" s="6"/>
      <c r="D47" s="6"/>
      <c r="E47" s="6"/>
      <c r="F47" s="6"/>
      <c r="G47" s="6"/>
      <c r="H47" s="6"/>
      <c r="I47" s="6"/>
      <c r="J47" s="6"/>
      <c r="K47" s="6"/>
      <c r="L47" s="6"/>
      <c r="M47" s="6"/>
      <c r="N47" s="6"/>
      <c r="O47" s="6"/>
      <c r="P47" s="6"/>
      <c r="Q47" s="6"/>
      <c r="R47" s="6"/>
      <c r="S47" s="6"/>
      <c r="T47" s="6"/>
      <c r="U47" s="6"/>
      <c r="V47" s="6"/>
      <c r="W47" s="6"/>
      <c r="X47" s="6"/>
      <c r="Y47" s="6"/>
      <c r="Z47" s="6"/>
    </row>
    <row r="48" customFormat="false" ht="15" hidden="false" customHeight="false" outlineLevel="0" collapsed="false">
      <c r="A48" s="6"/>
      <c r="B48" s="28" t="s">
        <v>180</v>
      </c>
      <c r="C48" s="29"/>
      <c r="D48" s="29"/>
      <c r="E48" s="29"/>
      <c r="F48" s="29"/>
      <c r="G48" s="29"/>
      <c r="H48" s="29"/>
      <c r="I48" s="29"/>
      <c r="J48" s="29"/>
      <c r="K48" s="29"/>
      <c r="L48" s="29"/>
      <c r="M48" s="29"/>
      <c r="N48" s="29"/>
      <c r="O48" s="29"/>
      <c r="P48" s="29"/>
      <c r="Q48" s="29"/>
      <c r="R48" s="29"/>
      <c r="S48" s="29"/>
      <c r="T48" s="29"/>
      <c r="U48" s="29"/>
      <c r="V48" s="29"/>
      <c r="W48" s="29"/>
      <c r="X48" s="29"/>
      <c r="Y48" s="29"/>
      <c r="Z48" s="29"/>
    </row>
    <row r="49" customFormat="false" ht="15" hidden="false" customHeight="false" outlineLevel="0" collapsed="false">
      <c r="A49" s="6"/>
      <c r="B49" s="49" t="s">
        <v>181</v>
      </c>
      <c r="C49" s="35" t="n">
        <f aca="false">Current_Cash</f>
        <v>250000</v>
      </c>
      <c r="D49" s="35" t="n">
        <f aca="false">C50</f>
        <v>137361.875</v>
      </c>
      <c r="E49" s="35" t="n">
        <f aca="false">D50</f>
        <v>26271.84375</v>
      </c>
      <c r="F49" s="35" t="n">
        <f aca="false">E50</f>
        <v>-93392.6890625</v>
      </c>
      <c r="G49" s="35" t="n">
        <f aca="false">F50</f>
        <v>-221550.448515625</v>
      </c>
      <c r="H49" s="35" t="n">
        <f aca="false">G50</f>
        <v>-347916.095941406</v>
      </c>
      <c r="I49" s="35" t="n">
        <f aca="false">H50</f>
        <v>-482600.025738477</v>
      </c>
      <c r="J49" s="35" t="n">
        <f aca="false">I50</f>
        <v>-624717.830621342</v>
      </c>
      <c r="K49" s="35" t="n">
        <f aca="false">J50</f>
        <v>-763875.881846007</v>
      </c>
      <c r="L49" s="35" t="n">
        <f aca="false">K50</f>
        <v>-910066.9966564</v>
      </c>
      <c r="M49" s="35" t="n">
        <f aca="false">L50</f>
        <v>-1063069.48950352</v>
      </c>
      <c r="N49" s="35" t="n">
        <f aca="false">M50</f>
        <v>-1212446.15684994</v>
      </c>
      <c r="O49" s="35" t="n">
        <f aca="false">N50</f>
        <v>-1368143.19091061</v>
      </c>
      <c r="P49" s="35" t="n">
        <f aca="false">O50</f>
        <v>-1535368.95803673</v>
      </c>
      <c r="Q49" s="35" t="n">
        <f aca="false">P50</f>
        <v>-1696777.10420421</v>
      </c>
      <c r="R49" s="35" t="n">
        <f aca="false">Q50</f>
        <v>-1862350.04352676</v>
      </c>
      <c r="S49" s="35" t="n">
        <f aca="false">R50</f>
        <v>-2031517.06738835</v>
      </c>
      <c r="T49" s="35" t="n">
        <f aca="false">S50</f>
        <v>-2193150.10339747</v>
      </c>
      <c r="U49" s="35" t="n">
        <f aca="false">T50</f>
        <v>-2357077.09264742</v>
      </c>
      <c r="V49" s="35" t="n">
        <f aca="false">U50</f>
        <v>-2519575.24060735</v>
      </c>
      <c r="W49" s="35" t="n">
        <f aca="false">V50</f>
        <v>-2668706.36632249</v>
      </c>
      <c r="X49" s="35" t="n">
        <f aca="false">W50</f>
        <v>-2813372.42712343</v>
      </c>
      <c r="Y49" s="35" t="n">
        <f aca="false">X50</f>
        <v>-2951776.89522049</v>
      </c>
      <c r="Z49" s="35" t="n">
        <f aca="false">Y50</f>
        <v>-3071401.6594892</v>
      </c>
    </row>
    <row r="50" customFormat="false" ht="15" hidden="false" customHeight="false" outlineLevel="0" collapsed="false">
      <c r="A50" s="6"/>
      <c r="B50" s="51" t="s">
        <v>182</v>
      </c>
      <c r="C50" s="53" t="n">
        <f aca="false">C49+C36</f>
        <v>137361.875</v>
      </c>
      <c r="D50" s="53" t="n">
        <f aca="false">D49+D36</f>
        <v>26271.84375</v>
      </c>
      <c r="E50" s="53" t="n">
        <f aca="false">E49+E36</f>
        <v>-93392.6890625</v>
      </c>
      <c r="F50" s="53" t="n">
        <f aca="false">F49+F36</f>
        <v>-221550.448515625</v>
      </c>
      <c r="G50" s="53" t="n">
        <f aca="false">G49+G36</f>
        <v>-347916.095941406</v>
      </c>
      <c r="H50" s="53" t="n">
        <f aca="false">H49+H36</f>
        <v>-482600.025738477</v>
      </c>
      <c r="I50" s="53" t="n">
        <f aca="false">I49+I36</f>
        <v>-624717.830621342</v>
      </c>
      <c r="J50" s="53" t="n">
        <f aca="false">J49+J36</f>
        <v>-763875.881846007</v>
      </c>
      <c r="K50" s="53" t="n">
        <f aca="false">K49+K36</f>
        <v>-910066.9966564</v>
      </c>
      <c r="L50" s="53" t="n">
        <f aca="false">L49+L36</f>
        <v>-1063069.48950352</v>
      </c>
      <c r="M50" s="53" t="n">
        <f aca="false">M49+M36</f>
        <v>-1212446.15684994</v>
      </c>
      <c r="N50" s="53" t="n">
        <f aca="false">N49+N36</f>
        <v>-1368143.19091061</v>
      </c>
      <c r="O50" s="53" t="n">
        <f aca="false">O49+O36</f>
        <v>-1535368.95803673</v>
      </c>
      <c r="P50" s="53" t="n">
        <f aca="false">P49+P36</f>
        <v>-1696777.10420421</v>
      </c>
      <c r="Q50" s="53" t="n">
        <f aca="false">Q49+Q36</f>
        <v>-1862350.04352676</v>
      </c>
      <c r="R50" s="53" t="n">
        <f aca="false">R49+R36</f>
        <v>-2031517.06738835</v>
      </c>
      <c r="S50" s="53" t="n">
        <f aca="false">S49+S36</f>
        <v>-2193150.10339747</v>
      </c>
      <c r="T50" s="53" t="n">
        <f aca="false">T49+T36</f>
        <v>-2357077.09264742</v>
      </c>
      <c r="U50" s="53" t="n">
        <f aca="false">U49+U36</f>
        <v>-2519575.24060735</v>
      </c>
      <c r="V50" s="53" t="n">
        <f aca="false">V49+V36</f>
        <v>-2668706.36632249</v>
      </c>
      <c r="W50" s="53" t="n">
        <f aca="false">W49+W36</f>
        <v>-2813372.42712343</v>
      </c>
      <c r="X50" s="53" t="n">
        <f aca="false">X49+X36</f>
        <v>-2951776.89522049</v>
      </c>
      <c r="Y50" s="53" t="n">
        <f aca="false">Y49+Y36</f>
        <v>-3071401.6594892</v>
      </c>
      <c r="Z50" s="53" t="n">
        <f aca="false">Z49+Z36</f>
        <v>-3180499.15547016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6"/>
    <col collapsed="false" customWidth="true" hidden="false" outlineLevel="0" max="11" min="4" style="0" width="14"/>
  </cols>
  <sheetData>
    <row r="1" customFormat="false" ht="15" hidden="false" customHeight="false" outlineLevel="0" collapsed="false">
      <c r="A1" s="1"/>
      <c r="B1" s="1"/>
      <c r="C1" s="1"/>
      <c r="D1" s="1"/>
      <c r="E1" s="1"/>
      <c r="F1" s="1"/>
      <c r="G1" s="1"/>
      <c r="H1" s="1"/>
      <c r="I1" s="1"/>
      <c r="J1" s="1"/>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183</v>
      </c>
      <c r="C2" s="1"/>
      <c r="D2" s="1"/>
      <c r="E2" s="1"/>
      <c r="F2" s="1"/>
      <c r="G2" s="1"/>
      <c r="H2" s="1"/>
      <c r="I2" s="1"/>
      <c r="J2" s="1"/>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184</v>
      </c>
      <c r="C3" s="1"/>
      <c r="D3" s="1"/>
      <c r="E3" s="1"/>
      <c r="F3" s="1"/>
      <c r="G3" s="1"/>
      <c r="H3" s="1"/>
      <c r="I3" s="1"/>
      <c r="J3" s="1"/>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c r="H4" s="6"/>
      <c r="I4" s="6"/>
      <c r="J4" s="6"/>
    </row>
    <row r="5" customFormat="false" ht="15" hidden="false" customHeight="false" outlineLevel="0" collapsed="false">
      <c r="A5" s="6"/>
      <c r="B5" s="6"/>
      <c r="C5" s="6"/>
      <c r="D5" s="6"/>
      <c r="E5" s="6"/>
      <c r="F5" s="6"/>
      <c r="G5" s="6"/>
      <c r="H5" s="6"/>
      <c r="I5" s="6"/>
      <c r="J5" s="6"/>
    </row>
    <row r="6" customFormat="false" ht="15" hidden="false" customHeight="false" outlineLevel="0" collapsed="false">
      <c r="A6" s="6"/>
      <c r="B6" s="27" t="s">
        <v>185</v>
      </c>
      <c r="C6" s="27" t="s">
        <v>42</v>
      </c>
      <c r="D6" s="6"/>
      <c r="E6" s="6"/>
      <c r="F6" s="6"/>
      <c r="G6" s="6"/>
      <c r="H6" s="6"/>
      <c r="I6" s="6"/>
      <c r="J6" s="6"/>
    </row>
    <row r="7" customFormat="false" ht="15" hidden="false" customHeight="false" outlineLevel="0" collapsed="false">
      <c r="A7" s="6"/>
      <c r="B7" s="6"/>
      <c r="C7" s="6"/>
      <c r="D7" s="6"/>
      <c r="E7" s="6"/>
      <c r="F7" s="6"/>
      <c r="G7" s="6"/>
      <c r="H7" s="6"/>
      <c r="I7" s="6"/>
      <c r="J7" s="6"/>
    </row>
    <row r="8" customFormat="false" ht="15" hidden="false" customHeight="false" outlineLevel="0" collapsed="false">
      <c r="A8" s="6"/>
      <c r="B8" s="28" t="s">
        <v>186</v>
      </c>
      <c r="C8" s="29"/>
      <c r="D8" s="6"/>
      <c r="E8" s="6"/>
      <c r="F8" s="6"/>
      <c r="G8" s="6"/>
      <c r="H8" s="6"/>
      <c r="I8" s="6"/>
      <c r="J8" s="6"/>
    </row>
    <row r="9" customFormat="false" ht="15" hidden="false" customHeight="false" outlineLevel="0" collapsed="false">
      <c r="A9" s="6"/>
      <c r="B9" s="15" t="s">
        <v>187</v>
      </c>
      <c r="C9" s="35" t="n">
        <f aca="false">Bridge_Total_Amount</f>
        <v>750000</v>
      </c>
      <c r="D9" s="6"/>
      <c r="E9" s="6"/>
      <c r="F9" s="6"/>
      <c r="G9" s="6"/>
      <c r="H9" s="6"/>
      <c r="I9" s="6"/>
      <c r="J9" s="6"/>
    </row>
    <row r="10" customFormat="false" ht="15" hidden="false" customHeight="false" outlineLevel="0" collapsed="false">
      <c r="A10" s="6"/>
      <c r="B10" s="15" t="s">
        <v>188</v>
      </c>
      <c r="C10" s="44" t="n">
        <f aca="false">COUNTA(Investors!B7:B10)</f>
        <v>4</v>
      </c>
      <c r="D10" s="6"/>
      <c r="E10" s="6"/>
      <c r="F10" s="6"/>
      <c r="G10" s="6"/>
      <c r="H10" s="6"/>
      <c r="I10" s="6"/>
      <c r="J10" s="6"/>
    </row>
    <row r="11" customFormat="false" ht="15" hidden="false" customHeight="false" outlineLevel="0" collapsed="false">
      <c r="A11" s="6"/>
      <c r="B11" s="15" t="s">
        <v>90</v>
      </c>
      <c r="C11" s="55" t="str">
        <f aca="false">Instrument_Type</f>
        <v>Note</v>
      </c>
      <c r="D11" s="6"/>
      <c r="E11" s="6"/>
      <c r="F11" s="6"/>
      <c r="G11" s="6"/>
      <c r="H11" s="6"/>
      <c r="I11" s="6"/>
      <c r="J11" s="6"/>
    </row>
    <row r="12" customFormat="false" ht="15" hidden="false" customHeight="false" outlineLevel="0" collapsed="false">
      <c r="A12" s="6"/>
      <c r="B12" s="15" t="s">
        <v>93</v>
      </c>
      <c r="C12" s="55" t="n">
        <f aca="false">Convert_Toggle</f>
        <v>1</v>
      </c>
      <c r="D12" s="6"/>
      <c r="E12" s="6"/>
      <c r="F12" s="6"/>
      <c r="G12" s="6"/>
      <c r="H12" s="6"/>
      <c r="I12" s="6"/>
      <c r="J12" s="6"/>
    </row>
    <row r="13" customFormat="false" ht="15" hidden="false" customHeight="false" outlineLevel="0" collapsed="false">
      <c r="A13" s="6"/>
      <c r="B13" s="15" t="s">
        <v>96</v>
      </c>
      <c r="C13" s="50" t="n">
        <f aca="false">Bridge_Interest</f>
        <v>0.06</v>
      </c>
      <c r="D13" s="6"/>
      <c r="E13" s="6"/>
      <c r="F13" s="6"/>
      <c r="G13" s="6"/>
      <c r="H13" s="6"/>
      <c r="I13" s="6"/>
      <c r="J13" s="6"/>
    </row>
    <row r="14" customFormat="false" ht="15" hidden="false" customHeight="false" outlineLevel="0" collapsed="false">
      <c r="A14" s="6"/>
      <c r="B14" s="15" t="s">
        <v>189</v>
      </c>
      <c r="C14" s="44" t="n">
        <f aca="false">Bridge_Maturity</f>
        <v>18</v>
      </c>
      <c r="D14" s="6"/>
      <c r="E14" s="6"/>
      <c r="F14" s="6"/>
      <c r="G14" s="6"/>
      <c r="H14" s="6"/>
      <c r="I14" s="6"/>
      <c r="J14" s="6"/>
    </row>
    <row r="15" customFormat="false" ht="15" hidden="false" customHeight="false" outlineLevel="0" collapsed="false">
      <c r="A15" s="6"/>
      <c r="B15" s="15" t="s">
        <v>100</v>
      </c>
      <c r="C15" s="50" t="n">
        <f aca="false">Bridge_Discount</f>
        <v>0.2</v>
      </c>
      <c r="D15" s="6"/>
      <c r="E15" s="6"/>
      <c r="F15" s="6"/>
      <c r="G15" s="6"/>
      <c r="H15" s="6"/>
      <c r="I15" s="6"/>
      <c r="J15" s="6"/>
    </row>
    <row r="16" customFormat="false" ht="15" hidden="false" customHeight="false" outlineLevel="0" collapsed="false">
      <c r="A16" s="6"/>
      <c r="B16" s="15" t="s">
        <v>102</v>
      </c>
      <c r="C16" s="35" t="n">
        <f aca="false">Bridge_Val_Cap</f>
        <v>8000000</v>
      </c>
      <c r="D16" s="6"/>
      <c r="E16" s="6"/>
      <c r="F16" s="6"/>
      <c r="G16" s="6"/>
      <c r="H16" s="6"/>
      <c r="I16" s="6"/>
      <c r="J16" s="6"/>
    </row>
    <row r="17" customFormat="false" ht="15" hidden="false" customHeight="false" outlineLevel="0" collapsed="false">
      <c r="A17" s="6"/>
      <c r="B17" s="15" t="s">
        <v>117</v>
      </c>
      <c r="C17" s="35" t="n">
        <f aca="false">Next_Round_Premoney</f>
        <v>12000000</v>
      </c>
      <c r="D17" s="6"/>
      <c r="E17" s="6"/>
      <c r="F17" s="6"/>
      <c r="G17" s="6"/>
      <c r="H17" s="6"/>
      <c r="I17" s="6"/>
      <c r="J17" s="6"/>
    </row>
    <row r="18" customFormat="false" ht="15" hidden="false" customHeight="false" outlineLevel="0" collapsed="false">
      <c r="A18" s="6"/>
      <c r="B18" s="15" t="s">
        <v>119</v>
      </c>
      <c r="C18" s="35" t="n">
        <f aca="false">Next_Round_Raise</f>
        <v>3000000</v>
      </c>
      <c r="D18" s="6"/>
      <c r="E18" s="6"/>
      <c r="F18" s="6"/>
      <c r="G18" s="6"/>
      <c r="H18" s="6"/>
      <c r="I18" s="6"/>
      <c r="J18" s="6"/>
    </row>
    <row r="19" customFormat="false" ht="15" hidden="false" customHeight="false" outlineLevel="0" collapsed="false">
      <c r="A19" s="6"/>
      <c r="B19" s="15" t="s">
        <v>190</v>
      </c>
      <c r="C19" s="44" t="n">
        <f aca="false">Next_Round_Month</f>
        <v>15</v>
      </c>
      <c r="D19" s="6"/>
      <c r="E19" s="6"/>
      <c r="F19" s="6"/>
      <c r="G19" s="6"/>
      <c r="H19" s="6"/>
      <c r="I19" s="6"/>
      <c r="J19" s="6"/>
    </row>
    <row r="20" customFormat="false" ht="15" hidden="false" customHeight="false" outlineLevel="0" collapsed="false">
      <c r="A20" s="6"/>
      <c r="B20" s="15" t="s">
        <v>33</v>
      </c>
      <c r="C20" s="44" t="n">
        <f aca="false">Projection_Months</f>
        <v>24</v>
      </c>
      <c r="D20" s="6"/>
      <c r="E20" s="6"/>
      <c r="F20" s="6"/>
      <c r="G20" s="6"/>
      <c r="H20" s="6"/>
      <c r="I20" s="6"/>
      <c r="J20" s="6"/>
    </row>
    <row r="21" customFormat="false" ht="15" hidden="false" customHeight="false" outlineLevel="0" collapsed="false">
      <c r="A21" s="6"/>
      <c r="B21" s="15" t="s">
        <v>191</v>
      </c>
      <c r="C21" s="35" t="n">
        <f aca="false">Current_ARR</f>
        <v>420000</v>
      </c>
      <c r="D21" s="6"/>
      <c r="E21" s="6"/>
      <c r="F21" s="6"/>
      <c r="G21" s="6"/>
      <c r="H21" s="6"/>
      <c r="I21" s="6"/>
      <c r="J21" s="6"/>
    </row>
    <row r="22" customFormat="false" ht="15" hidden="false" customHeight="false" outlineLevel="0" collapsed="false">
      <c r="A22" s="6"/>
      <c r="B22" s="6"/>
      <c r="C22" s="6"/>
      <c r="D22" s="6"/>
      <c r="E22" s="6"/>
      <c r="F22" s="6"/>
      <c r="G22" s="6"/>
      <c r="H22" s="6"/>
      <c r="I22" s="6"/>
      <c r="J22" s="6"/>
    </row>
    <row r="23" customFormat="false" ht="15" hidden="false" customHeight="false" outlineLevel="0" collapsed="false">
      <c r="A23" s="6"/>
      <c r="B23" s="28" t="s">
        <v>192</v>
      </c>
      <c r="C23" s="6"/>
      <c r="D23" s="29"/>
      <c r="E23" s="29"/>
      <c r="F23" s="29"/>
      <c r="G23" s="29"/>
      <c r="H23" s="29"/>
      <c r="I23" s="29"/>
      <c r="J23" s="29"/>
    </row>
    <row r="24" customFormat="false" ht="15" hidden="false" customHeight="false" outlineLevel="0" collapsed="false">
      <c r="A24" s="6"/>
      <c r="B24" s="27" t="s">
        <v>193</v>
      </c>
      <c r="C24" s="6"/>
      <c r="D24" s="27" t="s">
        <v>194</v>
      </c>
      <c r="E24" s="27" t="s">
        <v>195</v>
      </c>
      <c r="F24" s="27" t="s">
        <v>196</v>
      </c>
      <c r="G24" s="27" t="s">
        <v>197</v>
      </c>
      <c r="H24" s="27" t="s">
        <v>198</v>
      </c>
      <c r="I24" s="27" t="s">
        <v>199</v>
      </c>
      <c r="J24" s="27" t="s">
        <v>200</v>
      </c>
    </row>
    <row r="25" customFormat="false" ht="15" hidden="false" customHeight="false" outlineLevel="0" collapsed="false">
      <c r="A25" s="6"/>
      <c r="B25" s="15" t="s">
        <v>201</v>
      </c>
      <c r="C25" s="6"/>
      <c r="D25" s="35" t="n">
        <f aca="false">Next_Round_Premoney</f>
        <v>12000000</v>
      </c>
      <c r="E25" s="34" t="n">
        <v>6000000</v>
      </c>
      <c r="F25" s="34" t="n">
        <v>8000000</v>
      </c>
      <c r="G25" s="34" t="n">
        <v>10000000</v>
      </c>
      <c r="H25" s="34" t="n">
        <v>12000000</v>
      </c>
      <c r="I25" s="34" t="n">
        <v>15000000</v>
      </c>
      <c r="J25" s="34" t="n">
        <v>20000000</v>
      </c>
    </row>
    <row r="26" customFormat="false" ht="15" hidden="false" customHeight="false" outlineLevel="0" collapsed="false">
      <c r="A26" s="6"/>
      <c r="B26" s="15" t="s">
        <v>202</v>
      </c>
      <c r="C26" s="6"/>
      <c r="D26" s="45" t="n">
        <f aca="false">D25/Total_Pre_Shares</f>
        <v>1.33333333333333</v>
      </c>
      <c r="E26" s="45" t="n">
        <f aca="false">E25/Total_Pre_Shares</f>
        <v>0.666666666666667</v>
      </c>
      <c r="F26" s="45" t="n">
        <f aca="false">F25/Total_Pre_Shares</f>
        <v>0.888888888888889</v>
      </c>
      <c r="G26" s="45" t="n">
        <f aca="false">G25/Total_Pre_Shares</f>
        <v>1.11111111111111</v>
      </c>
      <c r="H26" s="45" t="n">
        <f aca="false">H25/Total_Pre_Shares</f>
        <v>1.33333333333333</v>
      </c>
      <c r="I26" s="45" t="n">
        <f aca="false">I25/Total_Pre_Shares</f>
        <v>1.66666666666667</v>
      </c>
      <c r="J26" s="45" t="n">
        <f aca="false">J25/Total_Pre_Shares</f>
        <v>2.22222222222222</v>
      </c>
    </row>
    <row r="27" customFormat="false" ht="15" hidden="false" customHeight="false" outlineLevel="0" collapsed="false">
      <c r="A27" s="6"/>
      <c r="B27" s="15" t="s">
        <v>203</v>
      </c>
      <c r="C27" s="6"/>
      <c r="D27" s="45" t="n">
        <f aca="false">Bridge_Val_Cap/Total_Pre_Shares</f>
        <v>0.888888888888889</v>
      </c>
      <c r="E27" s="45" t="n">
        <f aca="false">Bridge_Val_Cap/Total_Pre_Shares</f>
        <v>0.888888888888889</v>
      </c>
      <c r="F27" s="45" t="n">
        <f aca="false">Bridge_Val_Cap/Total_Pre_Shares</f>
        <v>0.888888888888889</v>
      </c>
      <c r="G27" s="45" t="n">
        <f aca="false">Bridge_Val_Cap/Total_Pre_Shares</f>
        <v>0.888888888888889</v>
      </c>
      <c r="H27" s="45" t="n">
        <f aca="false">Bridge_Val_Cap/Total_Pre_Shares</f>
        <v>0.888888888888889</v>
      </c>
      <c r="I27" s="45" t="n">
        <f aca="false">Bridge_Val_Cap/Total_Pre_Shares</f>
        <v>0.888888888888889</v>
      </c>
      <c r="J27" s="45" t="n">
        <f aca="false">Bridge_Val_Cap/Total_Pre_Shares</f>
        <v>0.888888888888889</v>
      </c>
    </row>
    <row r="28" customFormat="false" ht="15" hidden="false" customHeight="false" outlineLevel="0" collapsed="false">
      <c r="A28" s="6"/>
      <c r="B28" s="15" t="s">
        <v>204</v>
      </c>
      <c r="C28" s="6"/>
      <c r="D28" s="45" t="n">
        <f aca="false">D26*(1-Bridge_Discount)</f>
        <v>1.06666666666667</v>
      </c>
      <c r="E28" s="45" t="n">
        <f aca="false">E26*(1-Bridge_Discount)</f>
        <v>0.533333333333333</v>
      </c>
      <c r="F28" s="45" t="n">
        <f aca="false">F26*(1-Bridge_Discount)</f>
        <v>0.711111111111111</v>
      </c>
      <c r="G28" s="45" t="n">
        <f aca="false">G26*(1-Bridge_Discount)</f>
        <v>0.888888888888889</v>
      </c>
      <c r="H28" s="45" t="n">
        <f aca="false">H26*(1-Bridge_Discount)</f>
        <v>1.06666666666667</v>
      </c>
      <c r="I28" s="45" t="n">
        <f aca="false">I26*(1-Bridge_Discount)</f>
        <v>1.33333333333333</v>
      </c>
      <c r="J28" s="45" t="n">
        <f aca="false">J26*(1-Bridge_Discount)</f>
        <v>1.77777777777778</v>
      </c>
    </row>
    <row r="29" customFormat="false" ht="15" hidden="false" customHeight="false" outlineLevel="0" collapsed="false">
      <c r="A29" s="6"/>
      <c r="B29" s="15" t="s">
        <v>141</v>
      </c>
      <c r="C29" s="6"/>
      <c r="D29" s="45" t="n">
        <f aca="false">MIN(D27,D28)</f>
        <v>0.888888888888889</v>
      </c>
      <c r="E29" s="45" t="n">
        <f aca="false">MIN(E27,E28)</f>
        <v>0.533333333333333</v>
      </c>
      <c r="F29" s="45" t="n">
        <f aca="false">MIN(F27,F28)</f>
        <v>0.711111111111111</v>
      </c>
      <c r="G29" s="45" t="n">
        <f aca="false">MIN(G27,G28)</f>
        <v>0.888888888888889</v>
      </c>
      <c r="H29" s="45" t="n">
        <f aca="false">MIN(H27,H28)</f>
        <v>0.888888888888889</v>
      </c>
      <c r="I29" s="45" t="n">
        <f aca="false">MIN(I27,I28)</f>
        <v>0.888888888888889</v>
      </c>
      <c r="J29" s="45" t="n">
        <f aca="false">MIN(J27,J28)</f>
        <v>0.888888888888889</v>
      </c>
    </row>
    <row r="30" customFormat="false" ht="15" hidden="false" customHeight="false" outlineLevel="0" collapsed="false">
      <c r="A30" s="6"/>
      <c r="B30" s="15" t="s">
        <v>205</v>
      </c>
      <c r="C30" s="6"/>
      <c r="D30" s="35" t="n">
        <f aca="false">IF(Instrument_Type="SAFE",Bridge_Total_Amount,Bridge_Total_Amount*(1+Bridge_Interest*MAX(0,Next_Round_Month-MIN(Inv_CloseMonths))/12))</f>
        <v>798750</v>
      </c>
      <c r="E30" s="35" t="n">
        <f aca="false">IF(Instrument_Type="SAFE",Bridge_Total_Amount,Bridge_Total_Amount*(1+Bridge_Interest*MAX(0,Next_Round_Month-MIN(Inv_CloseMonths))/12))</f>
        <v>798750</v>
      </c>
      <c r="F30" s="35" t="n">
        <f aca="false">IF(Instrument_Type="SAFE",Bridge_Total_Amount,Bridge_Total_Amount*(1+Bridge_Interest*MAX(0,Next_Round_Month-MIN(Inv_CloseMonths))/12))</f>
        <v>798750</v>
      </c>
      <c r="G30" s="35" t="n">
        <f aca="false">IF(Instrument_Type="SAFE",Bridge_Total_Amount,Bridge_Total_Amount*(1+Bridge_Interest*MAX(0,Next_Round_Month-MIN(Inv_CloseMonths))/12))</f>
        <v>798750</v>
      </c>
      <c r="H30" s="35" t="n">
        <f aca="false">IF(Instrument_Type="SAFE",Bridge_Total_Amount,Bridge_Total_Amount*(1+Bridge_Interest*MAX(0,Next_Round_Month-MIN(Inv_CloseMonths))/12))</f>
        <v>798750</v>
      </c>
      <c r="I30" s="35" t="n">
        <f aca="false">IF(Instrument_Type="SAFE",Bridge_Total_Amount,Bridge_Total_Amount*(1+Bridge_Interest*MAX(0,Next_Round_Month-MIN(Inv_CloseMonths))/12))</f>
        <v>798750</v>
      </c>
      <c r="J30" s="35" t="n">
        <f aca="false">IF(Instrument_Type="SAFE",Bridge_Total_Amount,Bridge_Total_Amount*(1+Bridge_Interest*MAX(0,Next_Round_Month-MIN(Inv_CloseMonths))/12))</f>
        <v>798750</v>
      </c>
    </row>
    <row r="31" customFormat="false" ht="15" hidden="false" customHeight="false" outlineLevel="0" collapsed="false">
      <c r="A31" s="6"/>
      <c r="B31" s="15" t="s">
        <v>206</v>
      </c>
      <c r="C31" s="6"/>
      <c r="D31" s="44" t="n">
        <f aca="false">D30/D29</f>
        <v>898593.75</v>
      </c>
      <c r="E31" s="44" t="n">
        <f aca="false">E30/E29</f>
        <v>1497656.25</v>
      </c>
      <c r="F31" s="44" t="n">
        <f aca="false">F30/F29</f>
        <v>1123242.1875</v>
      </c>
      <c r="G31" s="44" t="n">
        <f aca="false">G30/G29</f>
        <v>898593.75</v>
      </c>
      <c r="H31" s="44" t="n">
        <f aca="false">H30/H29</f>
        <v>898593.75</v>
      </c>
      <c r="I31" s="44" t="n">
        <f aca="false">I30/I29</f>
        <v>898593.75</v>
      </c>
      <c r="J31" s="44" t="n">
        <f aca="false">J30/J29</f>
        <v>898593.75</v>
      </c>
    </row>
    <row r="32" customFormat="false" ht="15" hidden="false" customHeight="false" outlineLevel="0" collapsed="false">
      <c r="A32" s="6"/>
      <c r="B32" s="15" t="s">
        <v>207</v>
      </c>
      <c r="C32" s="6"/>
      <c r="D32" s="50" t="n">
        <f aca="false">Founders_Shares/(Total_Pre_Shares+MAX(0,ESOP_Topup_Target_Pct*(Total_Pre_Shares+D31)-ESOP_Shares)+D31+Next_Round_Raise/D26)</f>
        <v>0.493884323031215</v>
      </c>
      <c r="E32" s="50" t="n">
        <f aca="false">Founders_Shares/(Total_Pre_Shares+MAX(0,ESOP_Topup_Target_Pct*(Total_Pre_Shares+E31)-ESOP_Shares)+E31+Next_Round_Raise/E26)</f>
        <v>0.398739401994735</v>
      </c>
      <c r="F32" s="50" t="n">
        <f aca="false">Founders_Shares/(Total_Pre_Shares+MAX(0,ESOP_Topup_Target_Pct*(Total_Pre_Shares+F31)-ESOP_Shares)+F31+Next_Round_Raise/F26)</f>
        <v>0.444096851278152</v>
      </c>
      <c r="G32" s="50" t="n">
        <f aca="false">Founders_Shares/(Total_Pre_Shares+MAX(0,ESOP_Topup_Target_Pct*(Total_Pre_Shares+G31)-ESOP_Shares)+G31+Next_Round_Raise/G26)</f>
        <v>0.476243628381144</v>
      </c>
      <c r="H32" s="50" t="n">
        <f aca="false">Founders_Shares/(Total_Pre_Shares+MAX(0,ESOP_Topup_Target_Pct*(Total_Pre_Shares+H31)-ESOP_Shares)+H31+Next_Round_Raise/H26)</f>
        <v>0.493884323031215</v>
      </c>
      <c r="I32" s="50" t="n">
        <f aca="false">Founders_Shares/(Total_Pre_Shares+MAX(0,ESOP_Topup_Target_Pct*(Total_Pre_Shares+I31)-ESOP_Shares)+I31+Next_Round_Raise/I26)</f>
        <v>0.512882157310574</v>
      </c>
      <c r="J32" s="50" t="n">
        <f aca="false">Founders_Shares/(Total_Pre_Shares+MAX(0,ESOP_Topup_Target_Pct*(Total_Pre_Shares+J31)-ESOP_Shares)+J31+Next_Round_Raise/J26)</f>
        <v>0.533400008334375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208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209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7" t="s">
        <v>210</v>
      </c>
      <c r="C6" s="27" t="s">
        <v>211</v>
      </c>
      <c r="D6" s="27" t="s">
        <v>212</v>
      </c>
      <c r="E6" s="27" t="s">
        <v>213</v>
      </c>
      <c r="F6" s="27" t="s">
        <v>214</v>
      </c>
      <c r="G6" s="6"/>
    </row>
    <row r="7" customFormat="false" ht="15" hidden="false" customHeight="false" outlineLevel="0" collapsed="false">
      <c r="A7" s="6"/>
      <c r="B7" s="6"/>
      <c r="C7" s="6"/>
      <c r="D7" s="6"/>
      <c r="E7" s="6"/>
      <c r="F7" s="6"/>
      <c r="G7" s="6"/>
    </row>
    <row r="8" customFormat="false" ht="15" hidden="false" customHeight="false" outlineLevel="0" collapsed="false">
      <c r="A8" s="6"/>
      <c r="B8" s="28" t="s">
        <v>215</v>
      </c>
      <c r="C8" s="29"/>
      <c r="D8" s="29"/>
      <c r="E8" s="29"/>
      <c r="F8" s="29"/>
      <c r="G8" s="6"/>
    </row>
    <row r="9" customFormat="false" ht="15" hidden="false" customHeight="false" outlineLevel="0" collapsed="false">
      <c r="A9" s="6"/>
      <c r="B9" s="15" t="s">
        <v>216</v>
      </c>
      <c r="C9" s="44" t="n">
        <f aca="false">Founders_Shares</f>
        <v>6000000</v>
      </c>
      <c r="D9" s="50" t="n">
        <f aca="false">C9/C12</f>
        <v>0.666666666666667</v>
      </c>
      <c r="E9" s="6"/>
      <c r="F9" s="6"/>
      <c r="G9" s="6"/>
    </row>
    <row r="10" customFormat="false" ht="15" hidden="false" customHeight="false" outlineLevel="0" collapsed="false">
      <c r="A10" s="6"/>
      <c r="B10" s="15" t="s">
        <v>108</v>
      </c>
      <c r="C10" s="44" t="n">
        <f aca="false">ESOP_Shares</f>
        <v>1000000</v>
      </c>
      <c r="D10" s="50" t="n">
        <f aca="false">C10/C12</f>
        <v>0.111111111111111</v>
      </c>
      <c r="E10" s="6"/>
      <c r="F10" s="6"/>
      <c r="G10" s="6"/>
    </row>
    <row r="11" customFormat="false" ht="15" hidden="false" customHeight="false" outlineLevel="0" collapsed="false">
      <c r="A11" s="6"/>
      <c r="B11" s="15" t="s">
        <v>217</v>
      </c>
      <c r="C11" s="44" t="n">
        <f aca="false">Seed_Shares</f>
        <v>2000000</v>
      </c>
      <c r="D11" s="50" t="n">
        <f aca="false">C11/C12</f>
        <v>0.222222222222222</v>
      </c>
      <c r="E11" s="6"/>
      <c r="F11" s="6"/>
      <c r="G11" s="6"/>
    </row>
    <row r="12" customFormat="false" ht="15" hidden="false" customHeight="false" outlineLevel="0" collapsed="false">
      <c r="A12" s="6"/>
      <c r="B12" s="41" t="s">
        <v>137</v>
      </c>
      <c r="C12" s="46" t="n">
        <f aca="false">C9+C10+C11</f>
        <v>9000000</v>
      </c>
      <c r="D12" s="56" t="n">
        <f aca="false">C12/C12</f>
        <v>1</v>
      </c>
      <c r="E12" s="6"/>
      <c r="F12" s="6"/>
      <c r="G12" s="6"/>
    </row>
    <row r="13" customFormat="false" ht="15" hidden="false" customHeight="false" outlineLevel="0" collapsed="false">
      <c r="A13" s="6"/>
      <c r="B13" s="6"/>
      <c r="C13" s="6"/>
      <c r="D13" s="6"/>
      <c r="E13" s="6"/>
      <c r="F13" s="6"/>
      <c r="G13" s="6"/>
    </row>
    <row r="14" customFormat="false" ht="15" hidden="false" customHeight="false" outlineLevel="0" collapsed="false">
      <c r="A14" s="6"/>
      <c r="B14" s="28" t="s">
        <v>218</v>
      </c>
      <c r="C14" s="29"/>
      <c r="D14" s="29"/>
      <c r="E14" s="29"/>
      <c r="F14" s="29"/>
      <c r="G14" s="6"/>
    </row>
    <row r="15" customFormat="false" ht="15" hidden="false" customHeight="false" outlineLevel="0" collapsed="false">
      <c r="A15" s="6"/>
      <c r="B15" s="9" t="s">
        <v>216</v>
      </c>
      <c r="C15" s="44" t="n">
        <f aca="false">C9</f>
        <v>6000000</v>
      </c>
      <c r="D15" s="50" t="n">
        <f aca="false">C15/C21</f>
        <v>0.484993156102436</v>
      </c>
      <c r="E15" s="6"/>
      <c r="F15" s="35" t="n">
        <f aca="false">(Next_Round_Premoney+Next_Round_Raise)*D15</f>
        <v>7274897.34153654</v>
      </c>
      <c r="G15" s="6"/>
    </row>
    <row r="16" customFormat="false" ht="15" hidden="false" customHeight="false" outlineLevel="0" collapsed="false">
      <c r="A16" s="6"/>
      <c r="B16" s="9" t="s">
        <v>219</v>
      </c>
      <c r="C16" s="44" t="n">
        <f aca="false">C10</f>
        <v>1000000</v>
      </c>
      <c r="D16" s="50" t="n">
        <f aca="false">C16/C21</f>
        <v>0.0808321926837393</v>
      </c>
      <c r="E16" s="6"/>
      <c r="F16" s="35" t="n">
        <f aca="false">(Next_Round_Premoney+Next_Round_Raise)*D16</f>
        <v>1212482.89025609</v>
      </c>
      <c r="G16" s="6"/>
    </row>
    <row r="17" customFormat="false" ht="15" hidden="false" customHeight="false" outlineLevel="0" collapsed="false">
      <c r="A17" s="6"/>
      <c r="B17" s="9" t="s">
        <v>220</v>
      </c>
      <c r="C17" s="44" t="n">
        <f aca="false">MAX(0,ESOP_Topup_Target_Pct*(Total_Pre_Shares+Live_Conv_Shares_Tot)-ESOP_Shares)</f>
        <v>0</v>
      </c>
      <c r="D17" s="50" t="n">
        <f aca="false">C17/C21</f>
        <v>0</v>
      </c>
      <c r="E17" s="6"/>
      <c r="F17" s="35" t="n">
        <f aca="false">(Next_Round_Premoney+Next_Round_Raise)*D17</f>
        <v>0</v>
      </c>
      <c r="G17" s="6"/>
    </row>
    <row r="18" customFormat="false" ht="15" hidden="false" customHeight="false" outlineLevel="0" collapsed="false">
      <c r="A18" s="6"/>
      <c r="B18" s="9" t="s">
        <v>217</v>
      </c>
      <c r="C18" s="44" t="n">
        <f aca="false">C11</f>
        <v>2000000</v>
      </c>
      <c r="D18" s="50" t="n">
        <f aca="false">C18/C21</f>
        <v>0.161664385367479</v>
      </c>
      <c r="E18" s="6"/>
      <c r="F18" s="35" t="n">
        <f aca="false">(Next_Round_Premoney+Next_Round_Raise)*D18</f>
        <v>2424965.78051218</v>
      </c>
      <c r="G18" s="6"/>
    </row>
    <row r="19" customFormat="false" ht="15" hidden="false" customHeight="false" outlineLevel="0" collapsed="false">
      <c r="A19" s="6"/>
      <c r="B19" s="9" t="s">
        <v>221</v>
      </c>
      <c r="C19" s="21" t="n">
        <f aca="false">Bridge_Total_ConvShares</f>
        <v>897046.875</v>
      </c>
      <c r="D19" s="50" t="n">
        <f aca="false">C19/C21</f>
        <v>0.0725102658463462</v>
      </c>
      <c r="E19" s="17" t="n">
        <f aca="false">Bridge_Total_Amount</f>
        <v>750000</v>
      </c>
      <c r="F19" s="35" t="n">
        <f aca="false">(Next_Round_Premoney+Next_Round_Raise)*D19</f>
        <v>1087653.98769519</v>
      </c>
      <c r="G19" s="6"/>
    </row>
    <row r="20" customFormat="false" ht="15" hidden="false" customHeight="false" outlineLevel="0" collapsed="false">
      <c r="A20" s="6"/>
      <c r="B20" s="9" t="s">
        <v>222</v>
      </c>
      <c r="C20" s="44" t="n">
        <f aca="false">Next_Round_Raise/(Next_Round_Premoney/(Total_Pre_Shares+Bridge_Total_ConvShares+C17))</f>
        <v>2474261.71875</v>
      </c>
      <c r="D20" s="50" t="n">
        <f aca="false">C20/C21</f>
        <v>0.2</v>
      </c>
      <c r="E20" s="35" t="n">
        <f aca="false">Next_Round_Raise</f>
        <v>3000000</v>
      </c>
      <c r="F20" s="35" t="n">
        <f aca="false">(Next_Round_Premoney+Next_Round_Raise)*D20</f>
        <v>3000000</v>
      </c>
      <c r="G20" s="6"/>
    </row>
    <row r="21" customFormat="false" ht="15" hidden="false" customHeight="false" outlineLevel="0" collapsed="false">
      <c r="A21" s="6"/>
      <c r="B21" s="41" t="s">
        <v>137</v>
      </c>
      <c r="C21" s="46" t="n">
        <f aca="false">C15+C16+C17+C18+C19+C20</f>
        <v>12371308.59375</v>
      </c>
      <c r="D21" s="56" t="n">
        <f aca="false">C21/C21</f>
        <v>1</v>
      </c>
      <c r="E21" s="42" t="n">
        <f aca="false">E19+E20</f>
        <v>3750000</v>
      </c>
      <c r="F21" s="42" t="n">
        <f aca="false">SUM(F15:F20)</f>
        <v>15000000</v>
      </c>
      <c r="G21" s="6"/>
    </row>
    <row r="22" customFormat="false" ht="15" hidden="false" customHeight="false" outlineLevel="0" collapsed="false">
      <c r="A22" s="6"/>
      <c r="B22" s="6"/>
      <c r="C22" s="6"/>
      <c r="D22" s="6"/>
      <c r="E22" s="6"/>
      <c r="F22" s="6"/>
      <c r="G22" s="6"/>
    </row>
    <row r="23" customFormat="false" ht="15" hidden="false" customHeight="false" outlineLevel="0" collapsed="false">
      <c r="A23" s="6"/>
      <c r="B23" s="28" t="s">
        <v>223</v>
      </c>
      <c r="C23" s="29"/>
      <c r="D23" s="29"/>
      <c r="E23" s="6"/>
      <c r="F23" s="6"/>
      <c r="G23" s="6"/>
    </row>
    <row r="24" customFormat="false" ht="15" hidden="false" customHeight="false" outlineLevel="0" collapsed="false">
      <c r="A24" s="6"/>
      <c r="B24" s="9" t="s">
        <v>224</v>
      </c>
      <c r="C24" s="50" t="n">
        <f aca="false">D9-D15</f>
        <v>0.181673510564231</v>
      </c>
      <c r="D24" s="20" t="s">
        <v>225</v>
      </c>
      <c r="E24" s="6"/>
      <c r="F24" s="6"/>
      <c r="G24" s="6"/>
    </row>
    <row r="25" customFormat="false" ht="15" hidden="false" customHeight="false" outlineLevel="0" collapsed="false">
      <c r="A25" s="6"/>
      <c r="B25" s="9" t="s">
        <v>26</v>
      </c>
      <c r="C25" s="50" t="n">
        <f aca="false">Founders_Shares/(Total_Pre_Shares+MAX(0,ESOP_Topup_Target_Pct*Total_Pre_Shares-ESOP_Shares)+Next_Round_Raise/(Next_Round_Premoney/(Total_Pre_Shares+MAX(0,ESOP_Topup_Target_Pct*Total_Pre_Shares-ESOP_Shares))))-D15</f>
        <v>0.0483401772308975</v>
      </c>
      <c r="D25" s="20" t="s">
        <v>225</v>
      </c>
      <c r="E25" s="6"/>
      <c r="F25" s="6"/>
      <c r="G25" s="57" t="n">
        <f aca="false">C25*100</f>
        <v>4.83401772308975</v>
      </c>
    </row>
    <row r="26" customFormat="false" ht="15" hidden="false" customHeight="false" outlineLevel="0" collapsed="false">
      <c r="A26" s="6"/>
      <c r="B26" s="9" t="s">
        <v>226</v>
      </c>
      <c r="C26" s="50" t="n">
        <f aca="false">D11-D18</f>
        <v>0.0605578368547436</v>
      </c>
      <c r="D26" s="6"/>
      <c r="E26" s="6"/>
      <c r="F26" s="6"/>
      <c r="G26" s="6"/>
    </row>
    <row r="27" customFormat="false" ht="15" hidden="false" customHeight="false" outlineLevel="0" collapsed="false">
      <c r="A27" s="6"/>
      <c r="B27" s="9" t="s">
        <v>227</v>
      </c>
      <c r="C27" s="58" t="n">
        <f aca="false">Live_Effective_PPS</f>
        <v>0.888888888888889</v>
      </c>
      <c r="D27" s="6"/>
      <c r="E27" s="6"/>
      <c r="F27" s="6"/>
      <c r="G27" s="6"/>
    </row>
    <row r="28" customFormat="false" ht="15" hidden="false" customHeight="false" outlineLevel="0" collapsed="false">
      <c r="A28" s="6"/>
      <c r="B28" s="9" t="s">
        <v>228</v>
      </c>
      <c r="C28" s="59" t="n">
        <f aca="false">F19/E19</f>
        <v>1.45020531692692</v>
      </c>
      <c r="D28" s="6"/>
      <c r="E28" s="6"/>
      <c r="F28" s="6"/>
      <c r="G28" s="6"/>
    </row>
    <row r="29" customFormat="false" ht="15" hidden="false" customHeight="false" outlineLevel="0" collapsed="false">
      <c r="A29" s="6"/>
      <c r="B29" s="9" t="s">
        <v>229</v>
      </c>
      <c r="C29" s="50" t="n">
        <f aca="false">IFERROR(C28^(12/MAX(1,Next_Round_Month-MIN(Inv_CloseMonths)))-1,0)</f>
        <v>0.409327219013619</v>
      </c>
      <c r="D29" s="6"/>
      <c r="E29" s="6"/>
      <c r="F29" s="6"/>
      <c r="G29" s="6"/>
    </row>
    <row r="30" customFormat="false" ht="15" hidden="false" customHeight="false" outlineLevel="0" collapsed="false">
      <c r="A30" s="6"/>
      <c r="B30" s="6"/>
      <c r="C30" s="6"/>
      <c r="D30" s="6"/>
      <c r="E30" s="6"/>
      <c r="F30" s="6"/>
      <c r="G30" s="6"/>
    </row>
    <row r="31" customFormat="false" ht="15" hidden="false" customHeight="false" outlineLevel="0" collapsed="false">
      <c r="A31" s="6"/>
      <c r="B31" s="28" t="s">
        <v>230</v>
      </c>
      <c r="C31" s="29"/>
      <c r="D31" s="29"/>
      <c r="E31" s="6"/>
      <c r="F31" s="6"/>
      <c r="G31" s="6"/>
    </row>
    <row r="32" customFormat="false" ht="15" hidden="false" customHeight="false" outlineLevel="0" collapsed="false">
      <c r="A32" s="6"/>
      <c r="B32" s="15" t="s">
        <v>216</v>
      </c>
      <c r="C32" s="44" t="n">
        <f aca="false">Founders_Shares</f>
        <v>6000000</v>
      </c>
      <c r="D32" s="50" t="n">
        <f aca="false">C32/C35</f>
        <v>0.666666666666667</v>
      </c>
      <c r="E32" s="6"/>
      <c r="F32" s="6"/>
      <c r="G32" s="6"/>
    </row>
    <row r="33" customFormat="false" ht="15" hidden="false" customHeight="false" outlineLevel="0" collapsed="false">
      <c r="A33" s="6"/>
      <c r="B33" s="15" t="s">
        <v>108</v>
      </c>
      <c r="C33" s="44" t="n">
        <f aca="false">ESOP_Shares</f>
        <v>1000000</v>
      </c>
      <c r="D33" s="50" t="n">
        <f aca="false">C33/C35</f>
        <v>0.111111111111111</v>
      </c>
      <c r="E33" s="6"/>
      <c r="F33" s="6"/>
      <c r="G33" s="6"/>
    </row>
    <row r="34" customFormat="false" ht="15" hidden="false" customHeight="false" outlineLevel="0" collapsed="false">
      <c r="A34" s="6"/>
      <c r="B34" s="15" t="s">
        <v>217</v>
      </c>
      <c r="C34" s="44" t="n">
        <f aca="false">Seed_Shares</f>
        <v>2000000</v>
      </c>
      <c r="D34" s="50" t="n">
        <f aca="false">C34/C35</f>
        <v>0.222222222222222</v>
      </c>
      <c r="E34" s="6"/>
      <c r="F34" s="6"/>
      <c r="G34" s="6"/>
    </row>
    <row r="35" customFormat="false" ht="15" hidden="false" customHeight="false" outlineLevel="0" collapsed="false">
      <c r="A35" s="6"/>
      <c r="B35" s="41" t="s">
        <v>137</v>
      </c>
      <c r="C35" s="46" t="n">
        <f aca="false">C32+C33+C34</f>
        <v>9000000</v>
      </c>
      <c r="D35" s="56" t="n">
        <f aca="false">C35/C35</f>
        <v>1</v>
      </c>
      <c r="E35" s="6"/>
      <c r="F35" s="6"/>
      <c r="G35" s="6"/>
    </row>
    <row r="36" customFormat="false" ht="15" hidden="false" customHeight="false" outlineLevel="0" collapsed="false">
      <c r="A36" s="6"/>
      <c r="B36" s="6"/>
      <c r="C36" s="6"/>
      <c r="D36" s="6"/>
      <c r="E36" s="6"/>
      <c r="F36" s="6"/>
      <c r="G36" s="6"/>
    </row>
    <row r="37" customFormat="false" ht="15" hidden="false" customHeight="false" outlineLevel="0" collapsed="false">
      <c r="A37" s="6"/>
      <c r="B37" s="28" t="s">
        <v>231</v>
      </c>
      <c r="C37" s="29"/>
      <c r="D37" s="29"/>
      <c r="E37" s="29"/>
      <c r="F37" s="29"/>
      <c r="G37" s="6"/>
    </row>
    <row r="38" customFormat="false" ht="15" hidden="false" customHeight="false" outlineLevel="0" collapsed="false">
      <c r="A38" s="6"/>
      <c r="B38" s="27" t="s">
        <v>232</v>
      </c>
      <c r="C38" s="27" t="s">
        <v>233</v>
      </c>
      <c r="D38" s="27" t="s">
        <v>234</v>
      </c>
      <c r="E38" s="27" t="s">
        <v>235</v>
      </c>
      <c r="F38" s="6"/>
      <c r="G38" s="6"/>
    </row>
    <row r="39" customFormat="false" ht="15" hidden="false" customHeight="false" outlineLevel="0" collapsed="false">
      <c r="A39" s="6"/>
      <c r="B39" s="60" t="s">
        <v>195</v>
      </c>
      <c r="C39" s="50" t="n">
        <f aca="false">Founders_Shares/(Total_Pre_Shares+MAX(0,ESOP_Topup_Target_Pct*(Total_Pre_Shares+(Bridge_Total_MatVal*0.5/Bridge_Terms!E29))-ESOP_Shares)+(Bridge_Total_MatVal*0.5/Bridge_Terms!E29)+Next_Round_Raise/(Bridge_Terms!E26))</f>
        <v>0.421125358820191</v>
      </c>
      <c r="D39" s="50" t="n">
        <f aca="false">Founders_Shares/(Total_Pre_Shares+MAX(0,ESOP_Topup_Target_Pct*(Total_Pre_Shares+(Bridge_Total_MatVal*1/Bridge_Terms!E29))-ESOP_Shares)+(Bridge_Total_MatVal*1/Bridge_Terms!E29)+Next_Round_Raise/(Bridge_Terms!E26))</f>
        <v>0.398814565247984</v>
      </c>
      <c r="E39" s="50" t="n">
        <f aca="false">Founders_Shares/(Total_Pre_Shares+MAX(0,ESOP_Topup_Target_Pct*(Total_Pre_Shares+(Bridge_Total_MatVal*2/Bridge_Terms!E29))-ESOP_Shares)+(Bridge_Total_MatVal*2/Bridge_Terms!E29)+Next_Round_Raise/(Bridge_Terms!E26))</f>
        <v>0.35951454301863</v>
      </c>
      <c r="F39" s="6"/>
      <c r="G39" s="6"/>
    </row>
    <row r="40" customFormat="false" ht="15" hidden="false" customHeight="false" outlineLevel="0" collapsed="false">
      <c r="A40" s="6"/>
      <c r="B40" s="60" t="s">
        <v>196</v>
      </c>
      <c r="C40" s="50" t="n">
        <f aca="false">Founders_Shares/(Total_Pre_Shares+MAX(0,ESOP_Topup_Target_Pct*(Total_Pre_Shares+(Bridge_Total_MatVal*0.5/Bridge_Terms!F29))-ESOP_Shares)+(Bridge_Total_MatVal*0.5/Bridge_Terms!F29)+Next_Round_Raise/(Bridge_Terms!F26))</f>
        <v>0.463834287953218</v>
      </c>
      <c r="D40" s="50" t="n">
        <f aca="false">Founders_Shares/(Total_Pre_Shares+MAX(0,ESOP_Topup_Target_Pct*(Total_Pre_Shares+(Bridge_Total_MatVal*1/Bridge_Terms!F29))-ESOP_Shares)+(Bridge_Total_MatVal*1/Bridge_Terms!F29)+Next_Round_Raise/(Bridge_Terms!F26))</f>
        <v>0.444166775949237</v>
      </c>
      <c r="E40" s="50" t="n">
        <f aca="false">Founders_Shares/(Total_Pre_Shares+MAX(0,ESOP_Topup_Target_Pct*(Total_Pre_Shares+(Bridge_Total_MatVal*2/Bridge_Terms!F29))-ESOP_Shares)+(Bridge_Total_MatVal*2/Bridge_Terms!F29)+Next_Round_Raise/(Bridge_Terms!F26))</f>
        <v>0.407003750210987</v>
      </c>
      <c r="F40" s="6"/>
      <c r="G40" s="6"/>
    </row>
    <row r="41" customFormat="false" ht="15" hidden="false" customHeight="false" outlineLevel="0" collapsed="false">
      <c r="A41" s="6"/>
      <c r="B41" s="60" t="s">
        <v>197</v>
      </c>
      <c r="C41" s="50" t="n">
        <f aca="false">Founders_Shares/(Total_Pre_Shares+MAX(0,ESOP_Topup_Target_Pct*(Total_Pre_Shares+(Bridge_Total_MatVal*0.5/Bridge_Terms!G29))-ESOP_Shares)+(Bridge_Total_MatVal*0.5/Bridge_Terms!G29)+Next_Round_Raise/(Bridge_Terms!G26))</f>
        <v>0.493887181505468</v>
      </c>
      <c r="D41" s="50" t="n">
        <f aca="false">Founders_Shares/(Total_Pre_Shares+MAX(0,ESOP_Topup_Target_Pct*(Total_Pre_Shares+(Bridge_Total_MatVal*1/Bridge_Terms!G29))-ESOP_Shares)+(Bridge_Total_MatVal*1/Bridge_Terms!G29)+Next_Round_Raise/(Bridge_Terms!G26))</f>
        <v>0.47630210949739</v>
      </c>
      <c r="E41" s="50" t="n">
        <f aca="false">Founders_Shares/(Total_Pre_Shares+MAX(0,ESOP_Topup_Target_Pct*(Total_Pre_Shares+(Bridge_Total_MatVal*2/Bridge_Terms!G29))-ESOP_Shares)+(Bridge_Total_MatVal*2/Bridge_Terms!G29)+Next_Round_Raise/(Bridge_Terms!G26))</f>
        <v>0.442037692461945</v>
      </c>
      <c r="F41" s="6"/>
      <c r="G41" s="6"/>
    </row>
    <row r="42" customFormat="false" ht="15" hidden="false" customHeight="false" outlineLevel="0" collapsed="false">
      <c r="A42" s="6"/>
      <c r="B42" s="60" t="s">
        <v>198</v>
      </c>
      <c r="C42" s="50" t="n">
        <f aca="false">Founders_Shares/(Total_Pre_Shares+MAX(0,ESOP_Topup_Target_Pct*(Total_Pre_Shares+(Bridge_Total_MatVal*0.5/Bridge_Terms!H29))-ESOP_Shares)+(Bridge_Total_MatVal*0.5/Bridge_Terms!H29)+Next_Round_Raise/(Bridge_Terms!H26))</f>
        <v>0.512885239924109</v>
      </c>
      <c r="D42" s="50" t="n">
        <f aca="false">Founders_Shares/(Total_Pre_Shares+MAX(0,ESOP_Topup_Target_Pct*(Total_Pre_Shares+(Bridge_Total_MatVal*1/Bridge_Terms!H29))-ESOP_Shares)+(Bridge_Total_MatVal*1/Bridge_Terms!H29)+Next_Round_Raise/(Bridge_Terms!H26))</f>
        <v>0.493947217109097</v>
      </c>
      <c r="E42" s="50" t="n">
        <f aca="false">Founders_Shares/(Total_Pre_Shares+MAX(0,ESOP_Topup_Target_Pct*(Total_Pre_Shares+(Bridge_Total_MatVal*2/Bridge_Terms!H29))-ESOP_Shares)+(Bridge_Total_MatVal*2/Bridge_Terms!H29)+Next_Round_Raise/(Bridge_Terms!H26))</f>
        <v>0.45719499914395</v>
      </c>
      <c r="F42" s="6"/>
      <c r="G42" s="6"/>
    </row>
    <row r="43" customFormat="false" ht="15" hidden="false" customHeight="false" outlineLevel="0" collapsed="false">
      <c r="A43" s="6"/>
      <c r="B43" s="60" t="s">
        <v>199</v>
      </c>
      <c r="C43" s="50" t="n">
        <f aca="false">Founders_Shares/(Total_Pre_Shares+MAX(0,ESOP_Topup_Target_Pct*(Total_Pre_Shares+(Bridge_Total_MatVal*0.5/Bridge_Terms!I29))-ESOP_Shares)+(Bridge_Total_MatVal*0.5/Bridge_Terms!I29)+Next_Round_Raise/(Bridge_Terms!I26))</f>
        <v>0.533403342522039</v>
      </c>
      <c r="D43" s="50" t="n">
        <f aca="false">Founders_Shares/(Total_Pre_Shares+MAX(0,ESOP_Topup_Target_Pct*(Total_Pre_Shares+(Bridge_Total_MatVal*1/Bridge_Terms!I29))-ESOP_Shares)+(Bridge_Total_MatVal*1/Bridge_Terms!I29)+Next_Round_Raise/(Bridge_Terms!I26))</f>
        <v>0.5129499833692</v>
      </c>
      <c r="E43" s="50" t="n">
        <f aca="false">Founders_Shares/(Total_Pre_Shares+MAX(0,ESOP_Topup_Target_Pct*(Total_Pre_Shares+(Bridge_Total_MatVal*2/Bridge_Terms!I29))-ESOP_Shares)+(Bridge_Total_MatVal*2/Bridge_Terms!I29)+Next_Round_Raise/(Bridge_Terms!I26))</f>
        <v>0.47342869140611</v>
      </c>
      <c r="F43" s="6"/>
      <c r="G43" s="6"/>
    </row>
  </sheetData>
  <conditionalFormatting sqref="C39:E43">
    <cfRule type="colorScale" priority="2">
      <colorScale>
        <cfvo type="min" val="0"/>
        <cfvo type="percentile" val="50"/>
        <cfvo type="max" val="0"/>
        <color rgb="FFF8696B"/>
        <color rgb="FFFFEB84"/>
        <color rgb="FF63BE7B"/>
      </colorScale>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6"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236</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237</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row>
    <row r="6" customFormat="false" ht="15" hidden="false" customHeight="false" outlineLevel="0" collapsed="false">
      <c r="A6" s="6"/>
      <c r="B6" s="8" t="s">
        <v>146</v>
      </c>
      <c r="C6" s="47" t="n">
        <f aca="false">COLUMN()-2</f>
        <v>1</v>
      </c>
      <c r="D6" s="47" t="n">
        <f aca="false">COLUMN()-2</f>
        <v>2</v>
      </c>
      <c r="E6" s="47" t="n">
        <f aca="false">COLUMN()-2</f>
        <v>3</v>
      </c>
      <c r="F6" s="47" t="n">
        <f aca="false">COLUMN()-2</f>
        <v>4</v>
      </c>
      <c r="G6" s="47" t="n">
        <f aca="false">COLUMN()-2</f>
        <v>5</v>
      </c>
      <c r="H6" s="47" t="n">
        <f aca="false">COLUMN()-2</f>
        <v>6</v>
      </c>
      <c r="I6" s="47" t="n">
        <f aca="false">COLUMN()-2</f>
        <v>7</v>
      </c>
      <c r="J6" s="47" t="n">
        <f aca="false">COLUMN()-2</f>
        <v>8</v>
      </c>
      <c r="K6" s="47" t="n">
        <f aca="false">COLUMN()-2</f>
        <v>9</v>
      </c>
      <c r="L6" s="47" t="n">
        <f aca="false">COLUMN()-2</f>
        <v>10</v>
      </c>
      <c r="M6" s="47" t="n">
        <f aca="false">COLUMN()-2</f>
        <v>11</v>
      </c>
      <c r="N6" s="47" t="n">
        <f aca="false">COLUMN()-2</f>
        <v>12</v>
      </c>
      <c r="O6" s="47" t="n">
        <f aca="false">COLUMN()-2</f>
        <v>13</v>
      </c>
      <c r="P6" s="47" t="n">
        <f aca="false">COLUMN()-2</f>
        <v>14</v>
      </c>
      <c r="Q6" s="47" t="n">
        <f aca="false">COLUMN()-2</f>
        <v>15</v>
      </c>
      <c r="R6" s="47" t="n">
        <f aca="false">COLUMN()-2</f>
        <v>16</v>
      </c>
      <c r="S6" s="47" t="n">
        <f aca="false">COLUMN()-2</f>
        <v>17</v>
      </c>
      <c r="T6" s="47" t="n">
        <f aca="false">COLUMN()-2</f>
        <v>18</v>
      </c>
      <c r="U6" s="47" t="n">
        <f aca="false">COLUMN()-2</f>
        <v>19</v>
      </c>
      <c r="V6" s="47" t="n">
        <f aca="false">COLUMN()-2</f>
        <v>20</v>
      </c>
      <c r="W6" s="47" t="n">
        <f aca="false">COLUMN()-2</f>
        <v>21</v>
      </c>
      <c r="X6" s="47" t="n">
        <f aca="false">COLUMN()-2</f>
        <v>22</v>
      </c>
      <c r="Y6" s="47" t="n">
        <f aca="false">COLUMN()-2</f>
        <v>23</v>
      </c>
      <c r="Z6" s="47" t="n">
        <f aca="false">COLUMN()-2</f>
        <v>24</v>
      </c>
    </row>
    <row r="7" customFormat="false" ht="15" hidden="false" customHeight="false" outlineLevel="0" collapsed="false">
      <c r="A7" s="6"/>
      <c r="B7" s="20" t="s">
        <v>147</v>
      </c>
      <c r="C7" s="48" t="n">
        <f aca="false">EDATE(Model_Start,C6-1)</f>
        <v>46023</v>
      </c>
      <c r="D7" s="48" t="n">
        <f aca="false">EDATE(Model_Start,D6-1)</f>
        <v>46054</v>
      </c>
      <c r="E7" s="48" t="n">
        <f aca="false">EDATE(Model_Start,E6-1)</f>
        <v>46082</v>
      </c>
      <c r="F7" s="48" t="n">
        <f aca="false">EDATE(Model_Start,F6-1)</f>
        <v>46113</v>
      </c>
      <c r="G7" s="48" t="n">
        <f aca="false">EDATE(Model_Start,G6-1)</f>
        <v>46143</v>
      </c>
      <c r="H7" s="48" t="n">
        <f aca="false">EDATE(Model_Start,H6-1)</f>
        <v>46174</v>
      </c>
      <c r="I7" s="48" t="n">
        <f aca="false">EDATE(Model_Start,I6-1)</f>
        <v>46204</v>
      </c>
      <c r="J7" s="48" t="n">
        <f aca="false">EDATE(Model_Start,J6-1)</f>
        <v>46235</v>
      </c>
      <c r="K7" s="48" t="n">
        <f aca="false">EDATE(Model_Start,K6-1)</f>
        <v>46266</v>
      </c>
      <c r="L7" s="48" t="n">
        <f aca="false">EDATE(Model_Start,L6-1)</f>
        <v>46296</v>
      </c>
      <c r="M7" s="48" t="n">
        <f aca="false">EDATE(Model_Start,M6-1)</f>
        <v>46327</v>
      </c>
      <c r="N7" s="48" t="n">
        <f aca="false">EDATE(Model_Start,N6-1)</f>
        <v>46357</v>
      </c>
      <c r="O7" s="48" t="n">
        <f aca="false">EDATE(Model_Start,O6-1)</f>
        <v>46388</v>
      </c>
      <c r="P7" s="48" t="n">
        <f aca="false">EDATE(Model_Start,P6-1)</f>
        <v>46419</v>
      </c>
      <c r="Q7" s="48" t="n">
        <f aca="false">EDATE(Model_Start,Q6-1)</f>
        <v>46447</v>
      </c>
      <c r="R7" s="48" t="n">
        <f aca="false">EDATE(Model_Start,R6-1)</f>
        <v>46478</v>
      </c>
      <c r="S7" s="48" t="n">
        <f aca="false">EDATE(Model_Start,S6-1)</f>
        <v>46508</v>
      </c>
      <c r="T7" s="48" t="n">
        <f aca="false">EDATE(Model_Start,T6-1)</f>
        <v>46539</v>
      </c>
      <c r="U7" s="48" t="n">
        <f aca="false">EDATE(Model_Start,U6-1)</f>
        <v>46569</v>
      </c>
      <c r="V7" s="48" t="n">
        <f aca="false">EDATE(Model_Start,V6-1)</f>
        <v>46600</v>
      </c>
      <c r="W7" s="48" t="n">
        <f aca="false">EDATE(Model_Start,W6-1)</f>
        <v>46631</v>
      </c>
      <c r="X7" s="48" t="n">
        <f aca="false">EDATE(Model_Start,X6-1)</f>
        <v>46661</v>
      </c>
      <c r="Y7" s="48" t="n">
        <f aca="false">EDATE(Model_Start,Y6-1)</f>
        <v>46692</v>
      </c>
      <c r="Z7" s="48" t="n">
        <f aca="false">EDATE(Model_Start,Z6-1)</f>
        <v>46722</v>
      </c>
    </row>
    <row r="8" customFormat="false" ht="15" hidden="false" customHeight="false" outlineLevel="0" collapsed="false">
      <c r="A8" s="6"/>
      <c r="B8" s="28" t="s">
        <v>238</v>
      </c>
      <c r="C8" s="29"/>
      <c r="D8" s="29"/>
      <c r="E8" s="29"/>
      <c r="F8" s="29"/>
      <c r="G8" s="29"/>
      <c r="H8" s="29"/>
      <c r="I8" s="29"/>
      <c r="J8" s="29"/>
      <c r="K8" s="29"/>
      <c r="L8" s="29"/>
      <c r="M8" s="29"/>
      <c r="N8" s="29"/>
      <c r="O8" s="29"/>
      <c r="P8" s="29"/>
      <c r="Q8" s="29"/>
      <c r="R8" s="29"/>
      <c r="S8" s="29"/>
      <c r="T8" s="29"/>
      <c r="U8" s="29"/>
      <c r="V8" s="29"/>
      <c r="W8" s="29"/>
      <c r="X8" s="29"/>
      <c r="Y8" s="29"/>
      <c r="Z8" s="29"/>
    </row>
    <row r="9" customFormat="false" ht="15" hidden="false" customHeight="false" outlineLevel="0" collapsed="false">
      <c r="A9" s="6"/>
      <c r="B9" s="49" t="s">
        <v>239</v>
      </c>
      <c r="C9" s="35" t="n">
        <f aca="false">0</f>
        <v>0</v>
      </c>
      <c r="D9" s="35" t="n">
        <f aca="false">C14</f>
        <v>0</v>
      </c>
      <c r="E9" s="35" t="n">
        <f aca="false">D14</f>
        <v>550000</v>
      </c>
      <c r="F9" s="35" t="n">
        <f aca="false">E14</f>
        <v>677750</v>
      </c>
      <c r="G9" s="35" t="n">
        <f aca="false">F14</f>
        <v>756138.75</v>
      </c>
      <c r="H9" s="35" t="n">
        <f aca="false">G14</f>
        <v>759919.44375</v>
      </c>
      <c r="I9" s="35" t="n">
        <f aca="false">H14</f>
        <v>763719.04096875</v>
      </c>
      <c r="J9" s="35" t="n">
        <f aca="false">I14</f>
        <v>767537.636173594</v>
      </c>
      <c r="K9" s="35" t="n">
        <f aca="false">J14</f>
        <v>771375.324354462</v>
      </c>
      <c r="L9" s="35" t="n">
        <f aca="false">K14</f>
        <v>775232.200976234</v>
      </c>
      <c r="M9" s="35" t="n">
        <f aca="false">L14</f>
        <v>779108.361981115</v>
      </c>
      <c r="N9" s="35" t="n">
        <f aca="false">M14</f>
        <v>783003.903791021</v>
      </c>
      <c r="O9" s="35" t="n">
        <f aca="false">N14</f>
        <v>786918.923309976</v>
      </c>
      <c r="P9" s="35" t="n">
        <f aca="false">O14</f>
        <v>790853.517926526</v>
      </c>
      <c r="Q9" s="35" t="n">
        <f aca="false">P14</f>
        <v>794807.785516158</v>
      </c>
      <c r="R9" s="35" t="n">
        <f aca="false">Q14</f>
        <v>0</v>
      </c>
      <c r="S9" s="35" t="n">
        <f aca="false">R14</f>
        <v>0</v>
      </c>
      <c r="T9" s="35" t="n">
        <f aca="false">S14</f>
        <v>0</v>
      </c>
      <c r="U9" s="35" t="n">
        <f aca="false">T14</f>
        <v>0</v>
      </c>
      <c r="V9" s="35" t="n">
        <f aca="false">U14</f>
        <v>0</v>
      </c>
      <c r="W9" s="35" t="n">
        <f aca="false">V14</f>
        <v>0</v>
      </c>
      <c r="X9" s="35" t="n">
        <f aca="false">W14</f>
        <v>0</v>
      </c>
      <c r="Y9" s="35" t="n">
        <f aca="false">X14</f>
        <v>0</v>
      </c>
      <c r="Z9" s="35" t="n">
        <f aca="false">Y14</f>
        <v>0</v>
      </c>
    </row>
    <row r="10" customFormat="false" ht="15" hidden="false" customHeight="false" outlineLevel="0" collapsed="false">
      <c r="A10" s="6"/>
      <c r="B10" s="49" t="s">
        <v>240</v>
      </c>
      <c r="C10" s="35" t="n">
        <f aca="false">SUMPRODUCT((Inv_CloseMonths=C6)*Inv_Amounts)</f>
        <v>0</v>
      </c>
      <c r="D10" s="35" t="n">
        <f aca="false">SUMPRODUCT((Inv_CloseMonths=D6)*Inv_Amounts)</f>
        <v>550000</v>
      </c>
      <c r="E10" s="35" t="n">
        <f aca="false">SUMPRODUCT((Inv_CloseMonths=E6)*Inv_Amounts)</f>
        <v>125000</v>
      </c>
      <c r="F10" s="35" t="n">
        <f aca="false">SUMPRODUCT((Inv_CloseMonths=F6)*Inv_Amounts)</f>
        <v>75000</v>
      </c>
      <c r="G10" s="35" t="n">
        <f aca="false">SUMPRODUCT((Inv_CloseMonths=G6)*Inv_Amounts)</f>
        <v>0</v>
      </c>
      <c r="H10" s="35" t="n">
        <f aca="false">SUMPRODUCT((Inv_CloseMonths=H6)*Inv_Amounts)</f>
        <v>0</v>
      </c>
      <c r="I10" s="35" t="n">
        <f aca="false">SUMPRODUCT((Inv_CloseMonths=I6)*Inv_Amounts)</f>
        <v>0</v>
      </c>
      <c r="J10" s="35" t="n">
        <f aca="false">SUMPRODUCT((Inv_CloseMonths=J6)*Inv_Amounts)</f>
        <v>0</v>
      </c>
      <c r="K10" s="35" t="n">
        <f aca="false">SUMPRODUCT((Inv_CloseMonths=K6)*Inv_Amounts)</f>
        <v>0</v>
      </c>
      <c r="L10" s="35" t="n">
        <f aca="false">SUMPRODUCT((Inv_CloseMonths=L6)*Inv_Amounts)</f>
        <v>0</v>
      </c>
      <c r="M10" s="35" t="n">
        <f aca="false">SUMPRODUCT((Inv_CloseMonths=M6)*Inv_Amounts)</f>
        <v>0</v>
      </c>
      <c r="N10" s="35" t="n">
        <f aca="false">SUMPRODUCT((Inv_CloseMonths=N6)*Inv_Amounts)</f>
        <v>0</v>
      </c>
      <c r="O10" s="35" t="n">
        <f aca="false">SUMPRODUCT((Inv_CloseMonths=O6)*Inv_Amounts)</f>
        <v>0</v>
      </c>
      <c r="P10" s="35" t="n">
        <f aca="false">SUMPRODUCT((Inv_CloseMonths=P6)*Inv_Amounts)</f>
        <v>0</v>
      </c>
      <c r="Q10" s="35" t="n">
        <f aca="false">SUMPRODUCT((Inv_CloseMonths=Q6)*Inv_Amounts)</f>
        <v>0</v>
      </c>
      <c r="R10" s="35" t="n">
        <f aca="false">SUMPRODUCT((Inv_CloseMonths=R6)*Inv_Amounts)</f>
        <v>0</v>
      </c>
      <c r="S10" s="35" t="n">
        <f aca="false">SUMPRODUCT((Inv_CloseMonths=S6)*Inv_Amounts)</f>
        <v>0</v>
      </c>
      <c r="T10" s="35" t="n">
        <f aca="false">SUMPRODUCT((Inv_CloseMonths=T6)*Inv_Amounts)</f>
        <v>0</v>
      </c>
      <c r="U10" s="35" t="n">
        <f aca="false">SUMPRODUCT((Inv_CloseMonths=U6)*Inv_Amounts)</f>
        <v>0</v>
      </c>
      <c r="V10" s="35" t="n">
        <f aca="false">SUMPRODUCT((Inv_CloseMonths=V6)*Inv_Amounts)</f>
        <v>0</v>
      </c>
      <c r="W10" s="35" t="n">
        <f aca="false">SUMPRODUCT((Inv_CloseMonths=W6)*Inv_Amounts)</f>
        <v>0</v>
      </c>
      <c r="X10" s="35" t="n">
        <f aca="false">SUMPRODUCT((Inv_CloseMonths=X6)*Inv_Amounts)</f>
        <v>0</v>
      </c>
      <c r="Y10" s="35" t="n">
        <f aca="false">SUMPRODUCT((Inv_CloseMonths=Y6)*Inv_Amounts)</f>
        <v>0</v>
      </c>
      <c r="Z10" s="35" t="n">
        <f aca="false">SUMPRODUCT((Inv_CloseMonths=Z6)*Inv_Amounts)</f>
        <v>0</v>
      </c>
    </row>
    <row r="11" customFormat="false" ht="15" hidden="false" customHeight="false" outlineLevel="0" collapsed="false">
      <c r="A11" s="6"/>
      <c r="B11" s="49" t="s">
        <v>241</v>
      </c>
      <c r="C11" s="35" t="n">
        <f aca="false">IF(Instrument_Type="Note",C9*Bridge_Interest/12,0)</f>
        <v>0</v>
      </c>
      <c r="D11" s="35" t="n">
        <f aca="false">IF(Instrument_Type="Note",D9*Bridge_Interest/12,0)</f>
        <v>0</v>
      </c>
      <c r="E11" s="35" t="n">
        <f aca="false">IF(Instrument_Type="Note",E9*Bridge_Interest/12,0)</f>
        <v>2750</v>
      </c>
      <c r="F11" s="35" t="n">
        <f aca="false">IF(Instrument_Type="Note",F9*Bridge_Interest/12,0)</f>
        <v>3388.75</v>
      </c>
      <c r="G11" s="35" t="n">
        <f aca="false">IF(Instrument_Type="Note",G9*Bridge_Interest/12,0)</f>
        <v>3780.69375</v>
      </c>
      <c r="H11" s="35" t="n">
        <f aca="false">IF(Instrument_Type="Note",H9*Bridge_Interest/12,0)</f>
        <v>3799.59721875</v>
      </c>
      <c r="I11" s="35" t="n">
        <f aca="false">IF(Instrument_Type="Note",I9*Bridge_Interest/12,0)</f>
        <v>3818.59520484375</v>
      </c>
      <c r="J11" s="35" t="n">
        <f aca="false">IF(Instrument_Type="Note",J9*Bridge_Interest/12,0)</f>
        <v>3837.68818086797</v>
      </c>
      <c r="K11" s="35" t="n">
        <f aca="false">IF(Instrument_Type="Note",K9*Bridge_Interest/12,0)</f>
        <v>3856.87662177231</v>
      </c>
      <c r="L11" s="35" t="n">
        <f aca="false">IF(Instrument_Type="Note",L9*Bridge_Interest/12,0)</f>
        <v>3876.16100488117</v>
      </c>
      <c r="M11" s="35" t="n">
        <f aca="false">IF(Instrument_Type="Note",M9*Bridge_Interest/12,0)</f>
        <v>3895.54180990558</v>
      </c>
      <c r="N11" s="35" t="n">
        <f aca="false">IF(Instrument_Type="Note",N9*Bridge_Interest/12,0)</f>
        <v>3915.0195189551</v>
      </c>
      <c r="O11" s="35" t="n">
        <f aca="false">IF(Instrument_Type="Note",O9*Bridge_Interest/12,0)</f>
        <v>3934.59461654988</v>
      </c>
      <c r="P11" s="35" t="n">
        <f aca="false">IF(Instrument_Type="Note",P9*Bridge_Interest/12,0)</f>
        <v>3954.26758963263</v>
      </c>
      <c r="Q11" s="35" t="n">
        <f aca="false">IF(Instrument_Type="Note",Q9*Bridge_Interest/12,0)</f>
        <v>3974.03892758079</v>
      </c>
      <c r="R11" s="35" t="n">
        <f aca="false">IF(Instrument_Type="Note",R9*Bridge_Interest/12,0)</f>
        <v>0</v>
      </c>
      <c r="S11" s="35" t="n">
        <f aca="false">IF(Instrument_Type="Note",S9*Bridge_Interest/12,0)</f>
        <v>0</v>
      </c>
      <c r="T11" s="35" t="n">
        <f aca="false">IF(Instrument_Type="Note",T9*Bridge_Interest/12,0)</f>
        <v>0</v>
      </c>
      <c r="U11" s="35" t="n">
        <f aca="false">IF(Instrument_Type="Note",U9*Bridge_Interest/12,0)</f>
        <v>0</v>
      </c>
      <c r="V11" s="35" t="n">
        <f aca="false">IF(Instrument_Type="Note",V9*Bridge_Interest/12,0)</f>
        <v>0</v>
      </c>
      <c r="W11" s="35" t="n">
        <f aca="false">IF(Instrument_Type="Note",W9*Bridge_Interest/12,0)</f>
        <v>0</v>
      </c>
      <c r="X11" s="35" t="n">
        <f aca="false">IF(Instrument_Type="Note",X9*Bridge_Interest/12,0)</f>
        <v>0</v>
      </c>
      <c r="Y11" s="35" t="n">
        <f aca="false">IF(Instrument_Type="Note",Y9*Bridge_Interest/12,0)</f>
        <v>0</v>
      </c>
      <c r="Z11" s="35" t="n">
        <f aca="false">IF(Instrument_Type="Note",Z9*Bridge_Interest/12,0)</f>
        <v>0</v>
      </c>
    </row>
    <row r="12" customFormat="false" ht="15" hidden="false" customHeight="false" outlineLevel="0" collapsed="false">
      <c r="A12" s="6"/>
      <c r="B12" s="49" t="s">
        <v>242</v>
      </c>
      <c r="C12" s="35" t="n">
        <f aca="false">IF(AND(Convert_Toggle=TRUE(),C6=Next_Round_Month),-(C9+C10+C11),0)</f>
        <v>0</v>
      </c>
      <c r="D12" s="35" t="n">
        <f aca="false">IF(AND(Convert_Toggle=TRUE(),D6=Next_Round_Month),-(D9+D10+D11),0)</f>
        <v>0</v>
      </c>
      <c r="E12" s="35" t="n">
        <f aca="false">IF(AND(Convert_Toggle=TRUE(),E6=Next_Round_Month),-(E9+E10+E11),0)</f>
        <v>0</v>
      </c>
      <c r="F12" s="35" t="n">
        <f aca="false">IF(AND(Convert_Toggle=TRUE(),F6=Next_Round_Month),-(F9+F10+F11),0)</f>
        <v>0</v>
      </c>
      <c r="G12" s="35" t="n">
        <f aca="false">IF(AND(Convert_Toggle=TRUE(),G6=Next_Round_Month),-(G9+G10+G11),0)</f>
        <v>0</v>
      </c>
      <c r="H12" s="35" t="n">
        <f aca="false">IF(AND(Convert_Toggle=TRUE(),H6=Next_Round_Month),-(H9+H10+H11),0)</f>
        <v>0</v>
      </c>
      <c r="I12" s="35" t="n">
        <f aca="false">IF(AND(Convert_Toggle=TRUE(),I6=Next_Round_Month),-(I9+I10+I11),0)</f>
        <v>0</v>
      </c>
      <c r="J12" s="35" t="n">
        <f aca="false">IF(AND(Convert_Toggle=TRUE(),J6=Next_Round_Month),-(J9+J10+J11),0)</f>
        <v>0</v>
      </c>
      <c r="K12" s="35" t="n">
        <f aca="false">IF(AND(Convert_Toggle=TRUE(),K6=Next_Round_Month),-(K9+K10+K11),0)</f>
        <v>0</v>
      </c>
      <c r="L12" s="35" t="n">
        <f aca="false">IF(AND(Convert_Toggle=TRUE(),L6=Next_Round_Month),-(L9+L10+L11),0)</f>
        <v>0</v>
      </c>
      <c r="M12" s="35" t="n">
        <f aca="false">IF(AND(Convert_Toggle=TRUE(),M6=Next_Round_Month),-(M9+M10+M11),0)</f>
        <v>0</v>
      </c>
      <c r="N12" s="35" t="n">
        <f aca="false">IF(AND(Convert_Toggle=TRUE(),N6=Next_Round_Month),-(N9+N10+N11),0)</f>
        <v>0</v>
      </c>
      <c r="O12" s="35" t="n">
        <f aca="false">IF(AND(Convert_Toggle=TRUE(),O6=Next_Round_Month),-(O9+O10+O11),0)</f>
        <v>0</v>
      </c>
      <c r="P12" s="35" t="n">
        <f aca="false">IF(AND(Convert_Toggle=TRUE(),P6=Next_Round_Month),-(P9+P10+P11),0)</f>
        <v>0</v>
      </c>
      <c r="Q12" s="35" t="n">
        <f aca="false">IF(AND(Convert_Toggle=TRUE(),Q6=Next_Round_Month),-(Q9+Q10+Q11),0)</f>
        <v>-798781.824443739</v>
      </c>
      <c r="R12" s="35" t="n">
        <f aca="false">IF(AND(Convert_Toggle=TRUE(),R6=Next_Round_Month),-(R9+R10+R11),0)</f>
        <v>0</v>
      </c>
      <c r="S12" s="35" t="n">
        <f aca="false">IF(AND(Convert_Toggle=TRUE(),S6=Next_Round_Month),-(S9+S10+S11),0)</f>
        <v>0</v>
      </c>
      <c r="T12" s="35" t="n">
        <f aca="false">IF(AND(Convert_Toggle=TRUE(),T6=Next_Round_Month),-(T9+T10+T11),0)</f>
        <v>0</v>
      </c>
      <c r="U12" s="35" t="n">
        <f aca="false">IF(AND(Convert_Toggle=TRUE(),U6=Next_Round_Month),-(U9+U10+U11),0)</f>
        <v>0</v>
      </c>
      <c r="V12" s="35" t="n">
        <f aca="false">IF(AND(Convert_Toggle=TRUE(),V6=Next_Round_Month),-(V9+V10+V11),0)</f>
        <v>0</v>
      </c>
      <c r="W12" s="35" t="n">
        <f aca="false">IF(AND(Convert_Toggle=TRUE(),W6=Next_Round_Month),-(W9+W10+W11),0)</f>
        <v>0</v>
      </c>
      <c r="X12" s="35" t="n">
        <f aca="false">IF(AND(Convert_Toggle=TRUE(),X6=Next_Round_Month),-(X9+X10+X11),0)</f>
        <v>0</v>
      </c>
      <c r="Y12" s="35" t="n">
        <f aca="false">IF(AND(Convert_Toggle=TRUE(),Y6=Next_Round_Month),-(Y9+Y10+Y11),0)</f>
        <v>0</v>
      </c>
      <c r="Z12" s="35" t="n">
        <f aca="false">IF(AND(Convert_Toggle=TRUE(),Z6=Next_Round_Month),-(Z9+Z10+Z11),0)</f>
        <v>0</v>
      </c>
    </row>
    <row r="13" customFormat="false" ht="15" hidden="false" customHeight="false" outlineLevel="0" collapsed="false">
      <c r="A13" s="6"/>
      <c r="B13" s="49" t="s">
        <v>243</v>
      </c>
      <c r="C13" s="35" t="n">
        <f aca="false">IF(AND(Convert_Toggle=FALSE(),Instrument_Type="Note",C6=MIN(Inv_CloseMonths)+Bridge_Maturity),-(C9+C10+C11),0)</f>
        <v>0</v>
      </c>
      <c r="D13" s="35" t="n">
        <f aca="false">IF(AND(Convert_Toggle=FALSE(),Instrument_Type="Note",D6=MIN(Inv_CloseMonths)+Bridge_Maturity),-(D9+D10+D11),0)</f>
        <v>0</v>
      </c>
      <c r="E13" s="35" t="n">
        <f aca="false">IF(AND(Convert_Toggle=FALSE(),Instrument_Type="Note",E6=MIN(Inv_CloseMonths)+Bridge_Maturity),-(E9+E10+E11),0)</f>
        <v>0</v>
      </c>
      <c r="F13" s="35" t="n">
        <f aca="false">IF(AND(Convert_Toggle=FALSE(),Instrument_Type="Note",F6=MIN(Inv_CloseMonths)+Bridge_Maturity),-(F9+F10+F11),0)</f>
        <v>0</v>
      </c>
      <c r="G13" s="35" t="n">
        <f aca="false">IF(AND(Convert_Toggle=FALSE(),Instrument_Type="Note",G6=MIN(Inv_CloseMonths)+Bridge_Maturity),-(G9+G10+G11),0)</f>
        <v>0</v>
      </c>
      <c r="H13" s="35" t="n">
        <f aca="false">IF(AND(Convert_Toggle=FALSE(),Instrument_Type="Note",H6=MIN(Inv_CloseMonths)+Bridge_Maturity),-(H9+H10+H11),0)</f>
        <v>0</v>
      </c>
      <c r="I13" s="35" t="n">
        <f aca="false">IF(AND(Convert_Toggle=FALSE(),Instrument_Type="Note",I6=MIN(Inv_CloseMonths)+Bridge_Maturity),-(I9+I10+I11),0)</f>
        <v>0</v>
      </c>
      <c r="J13" s="35" t="n">
        <f aca="false">IF(AND(Convert_Toggle=FALSE(),Instrument_Type="Note",J6=MIN(Inv_CloseMonths)+Bridge_Maturity),-(J9+J10+J11),0)</f>
        <v>0</v>
      </c>
      <c r="K13" s="35" t="n">
        <f aca="false">IF(AND(Convert_Toggle=FALSE(),Instrument_Type="Note",K6=MIN(Inv_CloseMonths)+Bridge_Maturity),-(K9+K10+K11),0)</f>
        <v>0</v>
      </c>
      <c r="L13" s="35" t="n">
        <f aca="false">IF(AND(Convert_Toggle=FALSE(),Instrument_Type="Note",L6=MIN(Inv_CloseMonths)+Bridge_Maturity),-(L9+L10+L11),0)</f>
        <v>0</v>
      </c>
      <c r="M13" s="35" t="n">
        <f aca="false">IF(AND(Convert_Toggle=FALSE(),Instrument_Type="Note",M6=MIN(Inv_CloseMonths)+Bridge_Maturity),-(M9+M10+M11),0)</f>
        <v>0</v>
      </c>
      <c r="N13" s="35" t="n">
        <f aca="false">IF(AND(Convert_Toggle=FALSE(),Instrument_Type="Note",N6=MIN(Inv_CloseMonths)+Bridge_Maturity),-(N9+N10+N11),0)</f>
        <v>0</v>
      </c>
      <c r="O13" s="35" t="n">
        <f aca="false">IF(AND(Convert_Toggle=FALSE(),Instrument_Type="Note",O6=MIN(Inv_CloseMonths)+Bridge_Maturity),-(O9+O10+O11),0)</f>
        <v>0</v>
      </c>
      <c r="P13" s="35" t="n">
        <f aca="false">IF(AND(Convert_Toggle=FALSE(),Instrument_Type="Note",P6=MIN(Inv_CloseMonths)+Bridge_Maturity),-(P9+P10+P11),0)</f>
        <v>0</v>
      </c>
      <c r="Q13" s="35" t="n">
        <f aca="false">IF(AND(Convert_Toggle=FALSE(),Instrument_Type="Note",Q6=MIN(Inv_CloseMonths)+Bridge_Maturity),-(Q9+Q10+Q11),0)</f>
        <v>0</v>
      </c>
      <c r="R13" s="35" t="n">
        <f aca="false">IF(AND(Convert_Toggle=FALSE(),Instrument_Type="Note",R6=MIN(Inv_CloseMonths)+Bridge_Maturity),-(R9+R10+R11),0)</f>
        <v>0</v>
      </c>
      <c r="S13" s="35" t="n">
        <f aca="false">IF(AND(Convert_Toggle=FALSE(),Instrument_Type="Note",S6=MIN(Inv_CloseMonths)+Bridge_Maturity),-(S9+S10+S11),0)</f>
        <v>0</v>
      </c>
      <c r="T13" s="35" t="n">
        <f aca="false">IF(AND(Convert_Toggle=FALSE(),Instrument_Type="Note",T6=MIN(Inv_CloseMonths)+Bridge_Maturity),-(T9+T10+T11),0)</f>
        <v>0</v>
      </c>
      <c r="U13" s="35" t="n">
        <f aca="false">IF(AND(Convert_Toggle=FALSE(),Instrument_Type="Note",U6=MIN(Inv_CloseMonths)+Bridge_Maturity),-(U9+U10+U11),0)</f>
        <v>0</v>
      </c>
      <c r="V13" s="35" t="n">
        <f aca="false">IF(AND(Convert_Toggle=FALSE(),Instrument_Type="Note",V6=MIN(Inv_CloseMonths)+Bridge_Maturity),-(V9+V10+V11),0)</f>
        <v>0</v>
      </c>
      <c r="W13" s="35" t="n">
        <f aca="false">IF(AND(Convert_Toggle=FALSE(),Instrument_Type="Note",W6=MIN(Inv_CloseMonths)+Bridge_Maturity),-(W9+W10+W11),0)</f>
        <v>0</v>
      </c>
      <c r="X13" s="35" t="n">
        <f aca="false">IF(AND(Convert_Toggle=FALSE(),Instrument_Type="Note",X6=MIN(Inv_CloseMonths)+Bridge_Maturity),-(X9+X10+X11),0)</f>
        <v>0</v>
      </c>
      <c r="Y13" s="35" t="n">
        <f aca="false">IF(AND(Convert_Toggle=FALSE(),Instrument_Type="Note",Y6=MIN(Inv_CloseMonths)+Bridge_Maturity),-(Y9+Y10+Y11),0)</f>
        <v>0</v>
      </c>
      <c r="Z13" s="35" t="n">
        <f aca="false">IF(AND(Convert_Toggle=FALSE(),Instrument_Type="Note",Z6=MIN(Inv_CloseMonths)+Bridge_Maturity),-(Z9+Z10+Z11),0)</f>
        <v>0</v>
      </c>
    </row>
    <row r="14" customFormat="false" ht="15" hidden="false" customHeight="false" outlineLevel="0" collapsed="false">
      <c r="A14" s="6"/>
      <c r="B14" s="51" t="s">
        <v>244</v>
      </c>
      <c r="C14" s="42" t="n">
        <f aca="false">C9+C10+C11+C12+C13</f>
        <v>0</v>
      </c>
      <c r="D14" s="42" t="n">
        <f aca="false">D9+D10+D11+D12+D13</f>
        <v>550000</v>
      </c>
      <c r="E14" s="42" t="n">
        <f aca="false">E9+E10+E11+E12+E13</f>
        <v>677750</v>
      </c>
      <c r="F14" s="42" t="n">
        <f aca="false">F9+F10+F11+F12+F13</f>
        <v>756138.75</v>
      </c>
      <c r="G14" s="42" t="n">
        <f aca="false">G9+G10+G11+G12+G13</f>
        <v>759919.44375</v>
      </c>
      <c r="H14" s="42" t="n">
        <f aca="false">H9+H10+H11+H12+H13</f>
        <v>763719.04096875</v>
      </c>
      <c r="I14" s="42" t="n">
        <f aca="false">I9+I10+I11+I12+I13</f>
        <v>767537.636173594</v>
      </c>
      <c r="J14" s="42" t="n">
        <f aca="false">J9+J10+J11+J12+J13</f>
        <v>771375.324354462</v>
      </c>
      <c r="K14" s="42" t="n">
        <f aca="false">K9+K10+K11+K12+K13</f>
        <v>775232.200976234</v>
      </c>
      <c r="L14" s="42" t="n">
        <f aca="false">L9+L10+L11+L12+L13</f>
        <v>779108.361981115</v>
      </c>
      <c r="M14" s="42" t="n">
        <f aca="false">M9+M10+M11+M12+M13</f>
        <v>783003.903791021</v>
      </c>
      <c r="N14" s="42" t="n">
        <f aca="false">N9+N10+N11+N12+N13</f>
        <v>786918.923309976</v>
      </c>
      <c r="O14" s="42" t="n">
        <f aca="false">O9+O10+O11+O12+O13</f>
        <v>790853.517926526</v>
      </c>
      <c r="P14" s="42" t="n">
        <f aca="false">P9+P10+P11+P12+P13</f>
        <v>794807.785516158</v>
      </c>
      <c r="Q14" s="42" t="n">
        <f aca="false">Q9+Q10+Q11+Q12+Q13</f>
        <v>0</v>
      </c>
      <c r="R14" s="42" t="n">
        <f aca="false">R9+R10+R11+R12+R13</f>
        <v>0</v>
      </c>
      <c r="S14" s="42" t="n">
        <f aca="false">S9+S10+S11+S12+S13</f>
        <v>0</v>
      </c>
      <c r="T14" s="42" t="n">
        <f aca="false">T9+T10+T11+T12+T13</f>
        <v>0</v>
      </c>
      <c r="U14" s="42" t="n">
        <f aca="false">U9+U10+U11+U12+U13</f>
        <v>0</v>
      </c>
      <c r="V14" s="42" t="n">
        <f aca="false">V9+V10+V11+V12+V13</f>
        <v>0</v>
      </c>
      <c r="W14" s="42" t="n">
        <f aca="false">W9+W10+W11+W12+W13</f>
        <v>0</v>
      </c>
      <c r="X14" s="42" t="n">
        <f aca="false">X9+X10+X11+X12+X13</f>
        <v>0</v>
      </c>
      <c r="Y14" s="42" t="n">
        <f aca="false">Y9+Y10+Y11+Y12+Y13</f>
        <v>0</v>
      </c>
      <c r="Z14" s="42" t="n">
        <f aca="false">Z9+Z10+Z11+Z12+Z13</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26" min="3" style="0" width="13"/>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2"/>
    </row>
    <row r="2" customFormat="false" ht="21.75" hidden="false" customHeight="true" outlineLevel="0" collapsed="false">
      <c r="A2" s="1"/>
      <c r="B2" s="3" t="s">
        <v>245</v>
      </c>
      <c r="C2" s="1"/>
      <c r="D2" s="1"/>
      <c r="E2" s="1"/>
      <c r="F2" s="1"/>
      <c r="G2" s="1"/>
      <c r="H2" s="1"/>
      <c r="I2" s="1"/>
      <c r="J2" s="1"/>
      <c r="K2" s="1"/>
      <c r="L2" s="1"/>
      <c r="M2" s="1"/>
      <c r="N2" s="1"/>
      <c r="O2" s="1"/>
      <c r="P2" s="1"/>
      <c r="Q2" s="1"/>
      <c r="R2" s="1"/>
      <c r="S2" s="1"/>
      <c r="T2" s="1"/>
      <c r="U2" s="1"/>
      <c r="V2" s="1"/>
      <c r="W2" s="1"/>
      <c r="X2" s="1"/>
      <c r="Y2" s="1"/>
      <c r="Z2" s="1"/>
      <c r="AA2" s="1"/>
      <c r="AB2" s="1"/>
      <c r="AC2" s="1"/>
      <c r="AD2" s="2"/>
    </row>
    <row r="3" customFormat="false" ht="15" hidden="false" customHeight="false" outlineLevel="0" collapsed="false">
      <c r="A3" s="1"/>
      <c r="B3" s="5" t="s">
        <v>246</v>
      </c>
      <c r="C3" s="1"/>
      <c r="D3" s="1"/>
      <c r="E3" s="1"/>
      <c r="F3" s="1"/>
      <c r="G3" s="1"/>
      <c r="H3" s="1"/>
      <c r="I3" s="1"/>
      <c r="J3" s="1"/>
      <c r="K3" s="1"/>
      <c r="L3" s="1"/>
      <c r="M3" s="1"/>
      <c r="N3" s="1"/>
      <c r="O3" s="1"/>
      <c r="P3" s="1"/>
      <c r="Q3" s="1"/>
      <c r="R3" s="1"/>
      <c r="S3" s="1"/>
      <c r="T3" s="1"/>
      <c r="U3" s="1"/>
      <c r="V3" s="1"/>
      <c r="W3" s="1"/>
      <c r="X3" s="1"/>
      <c r="Y3" s="1"/>
      <c r="Z3" s="1"/>
      <c r="AA3" s="1"/>
      <c r="AB3" s="1"/>
      <c r="AC3" s="1"/>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c r="AA4" s="6"/>
      <c r="AB4" s="6"/>
      <c r="AC4" s="6"/>
    </row>
    <row r="5" customFormat="false" ht="15" hidden="false" customHeight="false" outlineLevel="0" collapsed="false">
      <c r="A5" s="6"/>
      <c r="B5" s="6"/>
      <c r="C5" s="6"/>
      <c r="D5" s="6"/>
      <c r="E5" s="6"/>
      <c r="F5" s="6"/>
      <c r="G5" s="6"/>
      <c r="H5" s="6"/>
      <c r="I5" s="6"/>
      <c r="J5" s="6"/>
      <c r="K5" s="6"/>
      <c r="L5" s="6"/>
      <c r="M5" s="6"/>
      <c r="N5" s="6"/>
      <c r="O5" s="6"/>
      <c r="P5" s="6"/>
      <c r="Q5" s="6"/>
      <c r="R5" s="6"/>
      <c r="S5" s="6"/>
      <c r="T5" s="6"/>
      <c r="U5" s="6"/>
      <c r="V5" s="6"/>
      <c r="W5" s="6"/>
      <c r="X5" s="6"/>
      <c r="Y5" s="6"/>
      <c r="Z5" s="6"/>
      <c r="AA5" s="6"/>
      <c r="AB5" s="6"/>
      <c r="AC5" s="6"/>
    </row>
    <row r="6" customFormat="false" ht="15" hidden="false" customHeight="false" outlineLevel="0" collapsed="false">
      <c r="A6" s="6"/>
      <c r="B6" s="8" t="s">
        <v>146</v>
      </c>
      <c r="C6" s="47" t="n">
        <f aca="false">COLUMN()-2</f>
        <v>1</v>
      </c>
      <c r="D6" s="47" t="n">
        <f aca="false">COLUMN()-2</f>
        <v>2</v>
      </c>
      <c r="E6" s="47" t="n">
        <f aca="false">COLUMN()-2</f>
        <v>3</v>
      </c>
      <c r="F6" s="47" t="n">
        <f aca="false">COLUMN()-2</f>
        <v>4</v>
      </c>
      <c r="G6" s="47" t="n">
        <f aca="false">COLUMN()-2</f>
        <v>5</v>
      </c>
      <c r="H6" s="47" t="n">
        <f aca="false">COLUMN()-2</f>
        <v>6</v>
      </c>
      <c r="I6" s="47" t="n">
        <f aca="false">COLUMN()-2</f>
        <v>7</v>
      </c>
      <c r="J6" s="47" t="n">
        <f aca="false">COLUMN()-2</f>
        <v>8</v>
      </c>
      <c r="K6" s="47" t="n">
        <f aca="false">COLUMN()-2</f>
        <v>9</v>
      </c>
      <c r="L6" s="47" t="n">
        <f aca="false">COLUMN()-2</f>
        <v>10</v>
      </c>
      <c r="M6" s="47" t="n">
        <f aca="false">COLUMN()-2</f>
        <v>11</v>
      </c>
      <c r="N6" s="47" t="n">
        <f aca="false">COLUMN()-2</f>
        <v>12</v>
      </c>
      <c r="O6" s="47" t="n">
        <f aca="false">COLUMN()-2</f>
        <v>13</v>
      </c>
      <c r="P6" s="47" t="n">
        <f aca="false">COLUMN()-2</f>
        <v>14</v>
      </c>
      <c r="Q6" s="47" t="n">
        <f aca="false">COLUMN()-2</f>
        <v>15</v>
      </c>
      <c r="R6" s="47" t="n">
        <f aca="false">COLUMN()-2</f>
        <v>16</v>
      </c>
      <c r="S6" s="47" t="n">
        <f aca="false">COLUMN()-2</f>
        <v>17</v>
      </c>
      <c r="T6" s="47" t="n">
        <f aca="false">COLUMN()-2</f>
        <v>18</v>
      </c>
      <c r="U6" s="47" t="n">
        <f aca="false">COLUMN()-2</f>
        <v>19</v>
      </c>
      <c r="V6" s="47" t="n">
        <f aca="false">COLUMN()-2</f>
        <v>20</v>
      </c>
      <c r="W6" s="47" t="n">
        <f aca="false">COLUMN()-2</f>
        <v>21</v>
      </c>
      <c r="X6" s="47" t="n">
        <f aca="false">COLUMN()-2</f>
        <v>22</v>
      </c>
      <c r="Y6" s="47" t="n">
        <f aca="false">COLUMN()-2</f>
        <v>23</v>
      </c>
      <c r="Z6" s="47" t="n">
        <f aca="false">COLUMN()-2</f>
        <v>24</v>
      </c>
      <c r="AA6" s="6"/>
      <c r="AB6" s="61" t="n">
        <v>999</v>
      </c>
      <c r="AC6" s="62" t="n">
        <f aca="false">INDEX(C16:Z16,1,MAX(1,Next_Round_Month-1))</f>
        <v>-5.86444316252832</v>
      </c>
    </row>
    <row r="7" customFormat="false" ht="15" hidden="false" customHeight="false" outlineLevel="0" collapsed="false">
      <c r="A7" s="6"/>
      <c r="B7" s="20" t="s">
        <v>147</v>
      </c>
      <c r="C7" s="48" t="n">
        <f aca="false">EDATE(Model_Start,C6-1)</f>
        <v>46023</v>
      </c>
      <c r="D7" s="48" t="n">
        <f aca="false">EDATE(Model_Start,D6-1)</f>
        <v>46054</v>
      </c>
      <c r="E7" s="48" t="n">
        <f aca="false">EDATE(Model_Start,E6-1)</f>
        <v>46082</v>
      </c>
      <c r="F7" s="48" t="n">
        <f aca="false">EDATE(Model_Start,F6-1)</f>
        <v>46113</v>
      </c>
      <c r="G7" s="48" t="n">
        <f aca="false">EDATE(Model_Start,G6-1)</f>
        <v>46143</v>
      </c>
      <c r="H7" s="48" t="n">
        <f aca="false">EDATE(Model_Start,H6-1)</f>
        <v>46174</v>
      </c>
      <c r="I7" s="48" t="n">
        <f aca="false">EDATE(Model_Start,I6-1)</f>
        <v>46204</v>
      </c>
      <c r="J7" s="48" t="n">
        <f aca="false">EDATE(Model_Start,J6-1)</f>
        <v>46235</v>
      </c>
      <c r="K7" s="48" t="n">
        <f aca="false">EDATE(Model_Start,K6-1)</f>
        <v>46266</v>
      </c>
      <c r="L7" s="48" t="n">
        <f aca="false">EDATE(Model_Start,L6-1)</f>
        <v>46296</v>
      </c>
      <c r="M7" s="48" t="n">
        <f aca="false">EDATE(Model_Start,M6-1)</f>
        <v>46327</v>
      </c>
      <c r="N7" s="48" t="n">
        <f aca="false">EDATE(Model_Start,N6-1)</f>
        <v>46357</v>
      </c>
      <c r="O7" s="48" t="n">
        <f aca="false">EDATE(Model_Start,O6-1)</f>
        <v>46388</v>
      </c>
      <c r="P7" s="48" t="n">
        <f aca="false">EDATE(Model_Start,P6-1)</f>
        <v>46419</v>
      </c>
      <c r="Q7" s="48" t="n">
        <f aca="false">EDATE(Model_Start,Q6-1)</f>
        <v>46447</v>
      </c>
      <c r="R7" s="48" t="n">
        <f aca="false">EDATE(Model_Start,R6-1)</f>
        <v>46478</v>
      </c>
      <c r="S7" s="48" t="n">
        <f aca="false">EDATE(Model_Start,S6-1)</f>
        <v>46508</v>
      </c>
      <c r="T7" s="48" t="n">
        <f aca="false">EDATE(Model_Start,T6-1)</f>
        <v>46539</v>
      </c>
      <c r="U7" s="48" t="n">
        <f aca="false">EDATE(Model_Start,U6-1)</f>
        <v>46569</v>
      </c>
      <c r="V7" s="48" t="n">
        <f aca="false">EDATE(Model_Start,V6-1)</f>
        <v>46600</v>
      </c>
      <c r="W7" s="48" t="n">
        <f aca="false">EDATE(Model_Start,W6-1)</f>
        <v>46631</v>
      </c>
      <c r="X7" s="48" t="n">
        <f aca="false">EDATE(Model_Start,X6-1)</f>
        <v>46661</v>
      </c>
      <c r="Y7" s="48" t="n">
        <f aca="false">EDATE(Model_Start,Y6-1)</f>
        <v>46692</v>
      </c>
      <c r="Z7" s="48" t="n">
        <f aca="false">EDATE(Model_Start,Z6-1)</f>
        <v>46722</v>
      </c>
      <c r="AA7" s="6"/>
      <c r="AB7" s="6"/>
      <c r="AC7" s="62" t="n">
        <f aca="false">INDEX(C19:Z19,1,MAX(1,Next_Round_Month-1))</f>
        <v>-10.5100269566074</v>
      </c>
    </row>
    <row r="8" customFormat="false" ht="15" hidden="false" customHeight="false" outlineLevel="0" collapsed="false">
      <c r="A8" s="6"/>
      <c r="B8" s="6"/>
      <c r="C8" s="6"/>
      <c r="D8" s="6"/>
      <c r="E8" s="6"/>
      <c r="F8" s="6"/>
      <c r="G8" s="6"/>
      <c r="H8" s="6"/>
      <c r="I8" s="6"/>
      <c r="J8" s="6"/>
      <c r="K8" s="6"/>
      <c r="L8" s="6"/>
      <c r="M8" s="6"/>
      <c r="N8" s="6"/>
      <c r="O8" s="6"/>
      <c r="P8" s="6"/>
      <c r="Q8" s="6"/>
      <c r="R8" s="6"/>
      <c r="S8" s="6"/>
      <c r="T8" s="6"/>
      <c r="U8" s="6"/>
      <c r="V8" s="6"/>
      <c r="W8" s="6"/>
      <c r="X8" s="6"/>
      <c r="Y8" s="6"/>
      <c r="Z8" s="6"/>
      <c r="AA8" s="6"/>
      <c r="AB8" s="6"/>
      <c r="AC8" s="63" t="n">
        <f aca="false">MAX(0,-MIN(C18:Z18))</f>
        <v>3180499.15547016</v>
      </c>
    </row>
    <row r="9" customFormat="false" ht="15" hidden="false" customHeight="false" outlineLevel="0" collapsed="false">
      <c r="A9" s="6"/>
      <c r="B9" s="28" t="s">
        <v>247</v>
      </c>
      <c r="C9" s="29"/>
      <c r="D9" s="29"/>
      <c r="E9" s="29"/>
      <c r="F9" s="29"/>
      <c r="G9" s="29"/>
      <c r="H9" s="29"/>
      <c r="I9" s="29"/>
      <c r="J9" s="29"/>
      <c r="K9" s="29"/>
      <c r="L9" s="29"/>
      <c r="M9" s="29"/>
      <c r="N9" s="29"/>
      <c r="O9" s="29"/>
      <c r="P9" s="29"/>
      <c r="Q9" s="29"/>
      <c r="R9" s="29"/>
      <c r="S9" s="29"/>
      <c r="T9" s="29"/>
      <c r="U9" s="29"/>
      <c r="V9" s="29"/>
      <c r="W9" s="29"/>
      <c r="X9" s="29"/>
      <c r="Y9" s="29"/>
      <c r="Z9" s="29"/>
      <c r="AA9" s="6"/>
      <c r="AB9" s="6"/>
      <c r="AC9" s="6"/>
    </row>
    <row r="10" customFormat="false" ht="15" hidden="false" customHeight="false" outlineLevel="0" collapsed="false">
      <c r="A10" s="6"/>
      <c r="B10" s="64" t="s">
        <v>248</v>
      </c>
      <c r="C10" s="17" t="n">
        <f aca="false">Monthly_Forecast!C35</f>
        <v>151225.625</v>
      </c>
      <c r="D10" s="17" t="n">
        <f aca="false">Monthly_Forecast!D35</f>
        <v>151606.90625</v>
      </c>
      <c r="E10" s="17" t="n">
        <f aca="false">Monthly_Forecast!E35</f>
        <v>162207.2515625</v>
      </c>
      <c r="F10" s="17" t="n">
        <f aca="false">Monthly_Forecast!F35</f>
        <v>172827.614140625</v>
      </c>
      <c r="G10" s="17" t="n">
        <f aca="false">Monthly_Forecast!G35</f>
        <v>173268.994847656</v>
      </c>
      <c r="H10" s="17" t="n">
        <f aca="false">Monthly_Forecast!H35</f>
        <v>183932.444590039</v>
      </c>
      <c r="I10" s="17" t="n">
        <f aca="false">Monthly_Forecast!I35</f>
        <v>194813.715711342</v>
      </c>
      <c r="J10" s="17" t="n">
        <f aca="false">Monthly_Forecast!J35</f>
        <v>195542.675811136</v>
      </c>
      <c r="K10" s="17" t="n">
        <f aca="false">Monthly_Forecast!K35</f>
        <v>206522.663117915</v>
      </c>
      <c r="L10" s="17" t="n">
        <f aca="false">Monthly_Forecast!L35</f>
        <v>217557.249536169</v>
      </c>
      <c r="M10" s="17" t="n">
        <f aca="false">Monthly_Forecast!M35</f>
        <v>218450.257003701</v>
      </c>
      <c r="N10" s="17" t="n">
        <f aca="false">Monthly_Forecast!N35</f>
        <v>229605.77499396</v>
      </c>
      <c r="O10" s="17" t="n">
        <f aca="false">Monthly_Forecast!O35</f>
        <v>247786.294743417</v>
      </c>
      <c r="P10" s="17" t="n">
        <f aca="false">Monthly_Forecast!P35</f>
        <v>249219.121270324</v>
      </c>
      <c r="Q10" s="17" t="n">
        <f aca="false">Monthly_Forecast!Q35</f>
        <v>261286.902184653</v>
      </c>
      <c r="R10" s="17" t="n">
        <f aca="false">Monthly_Forecast!R35</f>
        <v>273495.243381272</v>
      </c>
      <c r="S10" s="17" t="n">
        <f aca="false">Monthly_Forecast!S35</f>
        <v>275350.795285587</v>
      </c>
      <c r="T10" s="17" t="n">
        <f aca="false">Monthly_Forecast!T35</f>
        <v>287879.346861289</v>
      </c>
      <c r="U10" s="17" t="n">
        <f aca="false">Monthly_Forecast!U35</f>
        <v>301324.788484644</v>
      </c>
      <c r="V10" s="17" t="n">
        <f aca="false">Monthly_Forecast!V35</f>
        <v>304616.963102801</v>
      </c>
      <c r="W10" s="17" t="n">
        <f aca="false">Monthly_Forecast!W35</f>
        <v>318810.198675138</v>
      </c>
      <c r="X10" s="17" t="n">
        <f aca="false">Monthly_Forecast!X35</f>
        <v>333445.902516154</v>
      </c>
      <c r="Y10" s="17" t="n">
        <f aca="false">Monthly_Forecast!Y35</f>
        <v>338071.170818093</v>
      </c>
      <c r="Z10" s="17" t="n">
        <f aca="false">Monthly_Forecast!Z35</f>
        <v>353757.471316264</v>
      </c>
      <c r="AA10" s="6"/>
      <c r="AB10" s="6"/>
      <c r="AC10" s="6"/>
    </row>
    <row r="11" customFormat="false" ht="15" hidden="false" customHeight="false" outlineLevel="0" collapsed="false">
      <c r="A11" s="6"/>
      <c r="B11" s="15" t="s">
        <v>249</v>
      </c>
      <c r="C11" s="35" t="n">
        <f aca="false">Monthly_Forecast!C35-Monthly_Forecast!C13</f>
        <v>112638.125</v>
      </c>
      <c r="D11" s="35" t="n">
        <f aca="false">Monthly_Forecast!D35-Monthly_Forecast!D13</f>
        <v>111090.03125</v>
      </c>
      <c r="E11" s="35" t="n">
        <f aca="false">Monthly_Forecast!E35-Monthly_Forecast!E13</f>
        <v>119664.5328125</v>
      </c>
      <c r="F11" s="35" t="n">
        <f aca="false">Monthly_Forecast!F35-Monthly_Forecast!F13</f>
        <v>128157.759453125</v>
      </c>
      <c r="G11" s="35" t="n">
        <f aca="false">Monthly_Forecast!G35-Monthly_Forecast!G13</f>
        <v>126365.647425781</v>
      </c>
      <c r="H11" s="35" t="n">
        <f aca="false">Monthly_Forecast!H35-Monthly_Forecast!H13</f>
        <v>134683.92979707</v>
      </c>
      <c r="I11" s="35" t="n">
        <f aca="false">Monthly_Forecast!I35-Monthly_Forecast!I13</f>
        <v>142117.804882865</v>
      </c>
      <c r="J11" s="35" t="n">
        <f aca="false">Monthly_Forecast!J35-Monthly_Forecast!J13</f>
        <v>139158.051224666</v>
      </c>
      <c r="K11" s="35" t="n">
        <f aca="false">Monthly_Forecast!K35-Monthly_Forecast!K13</f>
        <v>146191.114810392</v>
      </c>
      <c r="L11" s="35" t="n">
        <f aca="false">Monthly_Forecast!L35-Monthly_Forecast!L13</f>
        <v>153002.49284712</v>
      </c>
      <c r="M11" s="35" t="n">
        <f aca="false">Monthly_Forecast!M35-Monthly_Forecast!M13</f>
        <v>149376.667346418</v>
      </c>
      <c r="N11" s="35" t="n">
        <f aca="false">Monthly_Forecast!N35-Monthly_Forecast!N13</f>
        <v>155697.034060668</v>
      </c>
      <c r="O11" s="35" t="n">
        <f aca="false">Monthly_Forecast!O35-Monthly_Forecast!O13</f>
        <v>167225.767126128</v>
      </c>
      <c r="P11" s="35" t="n">
        <f aca="false">Monthly_Forecast!P35-Monthly_Forecast!P13</f>
        <v>161408.146167479</v>
      </c>
      <c r="Q11" s="35" t="n">
        <f aca="false">Monthly_Forecast!Q35-Monthly_Forecast!Q13</f>
        <v>165572.939322552</v>
      </c>
      <c r="R11" s="35" t="n">
        <f aca="false">Monthly_Forecast!R35-Monthly_Forecast!R13</f>
        <v>169167.023861582</v>
      </c>
      <c r="S11" s="35" t="n">
        <f aca="false">Monthly_Forecast!S35-Monthly_Forecast!S13</f>
        <v>161633.036009124</v>
      </c>
      <c r="T11" s="35" t="n">
        <f aca="false">Monthly_Forecast!T35-Monthly_Forecast!T13</f>
        <v>163926.989249945</v>
      </c>
      <c r="U11" s="35" t="n">
        <f aca="false">Monthly_Forecast!U35-Monthly_Forecast!U13</f>
        <v>162498.147959939</v>
      </c>
      <c r="V11" s="35" t="n">
        <f aca="false">Monthly_Forecast!V35-Monthly_Forecast!V13</f>
        <v>149131.125715132</v>
      </c>
      <c r="W11" s="35" t="n">
        <f aca="false">Monthly_Forecast!W35-Monthly_Forecast!W13</f>
        <v>144666.060800947</v>
      </c>
      <c r="X11" s="35" t="n">
        <f aca="false">Monthly_Forecast!X35-Monthly_Forecast!X13</f>
        <v>138404.468097061</v>
      </c>
      <c r="Y11" s="35" t="n">
        <f aca="false">Monthly_Forecast!Y35-Monthly_Forecast!Y13</f>
        <v>119624.764268708</v>
      </c>
      <c r="Z11" s="35" t="n">
        <f aca="false">Monthly_Forecast!Z35-Monthly_Forecast!Z13</f>
        <v>109097.495980953</v>
      </c>
      <c r="AA11" s="6"/>
      <c r="AB11" s="6"/>
      <c r="AC11" s="6"/>
    </row>
    <row r="12" customFormat="false" ht="15" hidden="false" customHeight="false" outlineLevel="0" collapsed="false">
      <c r="A12" s="6"/>
      <c r="B12" s="15" t="s">
        <v>250</v>
      </c>
      <c r="C12" s="35" t="n">
        <f aca="false">C11</f>
        <v>112638.125</v>
      </c>
      <c r="D12" s="35" t="n">
        <f aca="false">D11</f>
        <v>111090.03125</v>
      </c>
      <c r="E12" s="35" t="n">
        <f aca="false">AVERAGE(C11:E11)</f>
        <v>114464.2296875</v>
      </c>
      <c r="F12" s="35" t="n">
        <f aca="false">AVERAGE(D11:F11)</f>
        <v>119637.441171875</v>
      </c>
      <c r="G12" s="35" t="n">
        <f aca="false">AVERAGE(E11:G11)</f>
        <v>124729.313230469</v>
      </c>
      <c r="H12" s="35" t="n">
        <f aca="false">AVERAGE(F11:H11)</f>
        <v>129735.778891992</v>
      </c>
      <c r="I12" s="35" t="n">
        <f aca="false">AVERAGE(G11:I11)</f>
        <v>134389.127368572</v>
      </c>
      <c r="J12" s="35" t="n">
        <f aca="false">AVERAGE(H11:J11)</f>
        <v>138653.2619682</v>
      </c>
      <c r="K12" s="35" t="n">
        <f aca="false">AVERAGE(I11:K11)</f>
        <v>142488.990305974</v>
      </c>
      <c r="L12" s="35" t="n">
        <f aca="false">AVERAGE(J11:L11)</f>
        <v>146117.219627393</v>
      </c>
      <c r="M12" s="35" t="n">
        <f aca="false">AVERAGE(K11:M11)</f>
        <v>149523.42500131</v>
      </c>
      <c r="N12" s="35" t="n">
        <f aca="false">AVERAGE(L11:N11)</f>
        <v>152692.064751402</v>
      </c>
      <c r="O12" s="35" t="n">
        <f aca="false">AVERAGE(M11:O11)</f>
        <v>157433.156177738</v>
      </c>
      <c r="P12" s="35" t="n">
        <f aca="false">AVERAGE(N11:P11)</f>
        <v>161443.649118091</v>
      </c>
      <c r="Q12" s="35" t="n">
        <f aca="false">AVERAGE(O11:Q11)</f>
        <v>164735.61753872</v>
      </c>
      <c r="R12" s="35" t="n">
        <f aca="false">AVERAGE(P11:R11)</f>
        <v>165382.703117204</v>
      </c>
      <c r="S12" s="35" t="n">
        <f aca="false">AVERAGE(Q11:S11)</f>
        <v>165457.666397753</v>
      </c>
      <c r="T12" s="35" t="n">
        <f aca="false">AVERAGE(R11:T11)</f>
        <v>164909.016373551</v>
      </c>
      <c r="U12" s="35" t="n">
        <f aca="false">AVERAGE(S11:U11)</f>
        <v>162686.057739669</v>
      </c>
      <c r="V12" s="35" t="n">
        <f aca="false">AVERAGE(T11:V11)</f>
        <v>158518.754308339</v>
      </c>
      <c r="W12" s="35" t="n">
        <f aca="false">AVERAGE(U11:W11)</f>
        <v>152098.444825339</v>
      </c>
      <c r="X12" s="35" t="n">
        <f aca="false">AVERAGE(V11:X11)</f>
        <v>144067.21820438</v>
      </c>
      <c r="Y12" s="35" t="n">
        <f aca="false">AVERAGE(W11:Y11)</f>
        <v>134231.764388906</v>
      </c>
      <c r="Z12" s="35" t="n">
        <f aca="false">AVERAGE(X11:Z11)</f>
        <v>122375.576115574</v>
      </c>
      <c r="AA12" s="6"/>
      <c r="AB12" s="6"/>
      <c r="AC12" s="6"/>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customFormat="false" ht="15" hidden="false" customHeight="false" outlineLevel="0" collapsed="false">
      <c r="A14" s="6"/>
      <c r="B14" s="28" t="s">
        <v>251</v>
      </c>
      <c r="C14" s="29"/>
      <c r="D14" s="29"/>
      <c r="E14" s="29"/>
      <c r="F14" s="29"/>
      <c r="G14" s="29"/>
      <c r="H14" s="29"/>
      <c r="I14" s="29"/>
      <c r="J14" s="29"/>
      <c r="K14" s="29"/>
      <c r="L14" s="29"/>
      <c r="M14" s="29"/>
      <c r="N14" s="29"/>
      <c r="O14" s="29"/>
      <c r="P14" s="29"/>
      <c r="Q14" s="29"/>
      <c r="R14" s="29"/>
      <c r="S14" s="29"/>
      <c r="T14" s="29"/>
      <c r="U14" s="29"/>
      <c r="V14" s="29"/>
      <c r="W14" s="29"/>
      <c r="X14" s="29"/>
      <c r="Y14" s="29"/>
      <c r="Z14" s="29"/>
      <c r="AA14" s="6"/>
      <c r="AB14" s="6"/>
      <c r="AC14" s="6"/>
    </row>
    <row r="15" customFormat="false" ht="15" hidden="false" customHeight="false" outlineLevel="0" collapsed="false">
      <c r="A15" s="6"/>
      <c r="B15" s="64" t="s">
        <v>252</v>
      </c>
      <c r="C15" s="17" t="n">
        <f aca="false">Monthly_Forecast!C46</f>
        <v>137361.875</v>
      </c>
      <c r="D15" s="17" t="n">
        <f aca="false">Monthly_Forecast!D46</f>
        <v>576271.84375</v>
      </c>
      <c r="E15" s="17" t="n">
        <f aca="false">Monthly_Forecast!E46</f>
        <v>581607.3109375</v>
      </c>
      <c r="F15" s="17" t="n">
        <f aca="false">Monthly_Forecast!F46</f>
        <v>528449.551484375</v>
      </c>
      <c r="G15" s="17" t="n">
        <f aca="false">Monthly_Forecast!G46</f>
        <v>402083.904058594</v>
      </c>
      <c r="H15" s="17" t="n">
        <f aca="false">Monthly_Forecast!H46</f>
        <v>267399.974261523</v>
      </c>
      <c r="I15" s="17" t="n">
        <f aca="false">Monthly_Forecast!I46</f>
        <v>125282.169378658</v>
      </c>
      <c r="J15" s="17" t="n">
        <f aca="false">Monthly_Forecast!J46</f>
        <v>-13875.8818460075</v>
      </c>
      <c r="K15" s="17" t="n">
        <f aca="false">Monthly_Forecast!K46</f>
        <v>-160066.9966564</v>
      </c>
      <c r="L15" s="17" t="n">
        <f aca="false">Monthly_Forecast!L46</f>
        <v>-313069.48950352</v>
      </c>
      <c r="M15" s="17" t="n">
        <f aca="false">Monthly_Forecast!M46</f>
        <v>-462446.156849938</v>
      </c>
      <c r="N15" s="17" t="n">
        <f aca="false">Monthly_Forecast!N46</f>
        <v>-618143.190910606</v>
      </c>
      <c r="O15" s="17" t="n">
        <f aca="false">Monthly_Forecast!O46</f>
        <v>-785368.958036733</v>
      </c>
      <c r="P15" s="17" t="n">
        <f aca="false">Monthly_Forecast!P46</f>
        <v>-946777.104204212</v>
      </c>
      <c r="Q15" s="17" t="n">
        <f aca="false">Monthly_Forecast!Q46</f>
        <v>1887649.95647324</v>
      </c>
      <c r="R15" s="17" t="n">
        <f aca="false">Monthly_Forecast!R46</f>
        <v>1718482.93261165</v>
      </c>
      <c r="S15" s="17" t="n">
        <f aca="false">Monthly_Forecast!S46</f>
        <v>1556849.89660253</v>
      </c>
      <c r="T15" s="17" t="n">
        <f aca="false">Monthly_Forecast!T46</f>
        <v>1392922.90735258</v>
      </c>
      <c r="U15" s="17" t="n">
        <f aca="false">Monthly_Forecast!U46</f>
        <v>1230424.75939265</v>
      </c>
      <c r="V15" s="17" t="n">
        <f aca="false">Monthly_Forecast!V46</f>
        <v>1081293.63367751</v>
      </c>
      <c r="W15" s="17" t="n">
        <f aca="false">Monthly_Forecast!W46</f>
        <v>936627.572876567</v>
      </c>
      <c r="X15" s="17" t="n">
        <f aca="false">Monthly_Forecast!X46</f>
        <v>798223.104779506</v>
      </c>
      <c r="Y15" s="17" t="n">
        <f aca="false">Monthly_Forecast!Y46</f>
        <v>678598.340510797</v>
      </c>
      <c r="Z15" s="17" t="n">
        <f aca="false">Monthly_Forecast!Z46</f>
        <v>569500.844529844</v>
      </c>
      <c r="AA15" s="6"/>
      <c r="AB15" s="6"/>
      <c r="AC15" s="6"/>
    </row>
    <row r="16" customFormat="false" ht="15" hidden="false" customHeight="false" outlineLevel="0" collapsed="false">
      <c r="A16" s="6"/>
      <c r="B16" s="15" t="s">
        <v>253</v>
      </c>
      <c r="C16" s="57" t="n">
        <f aca="false">IF(C12&lt;=0,Runway_Cap_Months,C15/C12)</f>
        <v>1.21949717291548</v>
      </c>
      <c r="D16" s="57" t="n">
        <f aca="false">IF(D12&lt;=0,Runway_Cap_Months,D15/D12)</f>
        <v>5.18743074662696</v>
      </c>
      <c r="E16" s="57" t="n">
        <f aca="false">IF(E12&lt;=0,Runway_Cap_Months,E15/E12)</f>
        <v>5.08112720039572</v>
      </c>
      <c r="F16" s="57" t="n">
        <f aca="false">IF(F12&lt;=0,Runway_Cap_Months,F15/F12)</f>
        <v>4.41709172570138</v>
      </c>
      <c r="G16" s="57" t="n">
        <f aca="false">IF(G12&lt;=0,Runway_Cap_Months,G15/G12)</f>
        <v>3.22365203210606</v>
      </c>
      <c r="H16" s="57" t="n">
        <f aca="false">IF(H12&lt;=0,Runway_Cap_Months,H15/H12)</f>
        <v>2.06111202742414</v>
      </c>
      <c r="I16" s="57" t="n">
        <f aca="false">IF(I12&lt;=0,Runway_Cap_Months,I15/I12)</f>
        <v>0.932234413838126</v>
      </c>
      <c r="J16" s="57" t="n">
        <f aca="false">IF(J12&lt;=0,Runway_Cap_Months,J15/J12)</f>
        <v>-0.100076129829458</v>
      </c>
      <c r="K16" s="57" t="n">
        <f aca="false">IF(K12&lt;=0,Runway_Cap_Months,K15/K12)</f>
        <v>-1.12336396175367</v>
      </c>
      <c r="L16" s="57" t="n">
        <f aca="false">IF(L12&lt;=0,Runway_Cap_Months,L15/L12)</f>
        <v>-2.14259134071853</v>
      </c>
      <c r="M16" s="57" t="n">
        <f aca="false">IF(M12&lt;=0,Runway_Cap_Months,M15/M12)</f>
        <v>-3.09280072233422</v>
      </c>
      <c r="N16" s="57" t="n">
        <f aca="false">IF(N12&lt;=0,Runway_Cap_Months,N15/N12)</f>
        <v>-4.04829937899527</v>
      </c>
      <c r="O16" s="57" t="n">
        <f aca="false">IF(O12&lt;=0,Runway_Cap_Months,O15/O12)</f>
        <v>-4.98858675710009</v>
      </c>
      <c r="P16" s="57" t="n">
        <f aca="false">IF(P12&lt;=0,Runway_Cap_Months,P15/P12)</f>
        <v>-5.86444316252832</v>
      </c>
      <c r="Q16" s="57" t="n">
        <f aca="false">IF(Q12&lt;=0,Runway_Cap_Months,Q15/Q12)</f>
        <v>11.4586631881813</v>
      </c>
      <c r="R16" s="57" t="n">
        <f aca="false">IF(R12&lt;=0,Runway_Cap_Months,R15/R12)</f>
        <v>10.3909471802126</v>
      </c>
      <c r="S16" s="57" t="n">
        <f aca="false">IF(S12&lt;=0,Runway_Cap_Months,S15/S12)</f>
        <v>9.40935485491457</v>
      </c>
      <c r="T16" s="57" t="n">
        <f aca="false">IF(T12&lt;=0,Runway_Cap_Months,T15/T12)</f>
        <v>8.44661461200731</v>
      </c>
      <c r="U16" s="57" t="n">
        <f aca="false">IF(U12&lt;=0,Runway_Cap_Months,U15/U12)</f>
        <v>7.56318504786423</v>
      </c>
      <c r="V16" s="57" t="n">
        <f aca="false">IF(V12&lt;=0,Runway_Cap_Months,V15/V12)</f>
        <v>6.82123473904081</v>
      </c>
      <c r="W16" s="57" t="n">
        <f aca="false">IF(W12&lt;=0,Runway_Cap_Months,W15/W12)</f>
        <v>6.15803517223423</v>
      </c>
      <c r="X16" s="57" t="n">
        <f aca="false">IF(X12&lt;=0,Runway_Cap_Months,X15/X12)</f>
        <v>5.54062967778771</v>
      </c>
      <c r="Y16" s="57" t="n">
        <f aca="false">IF(Y12&lt;=0,Runway_Cap_Months,Y15/Y12)</f>
        <v>5.05542293659134</v>
      </c>
      <c r="Z16" s="57" t="n">
        <f aca="false">IF(Z12&lt;=0,Runway_Cap_Months,Z15/Z12)</f>
        <v>4.65371328664467</v>
      </c>
      <c r="AA16" s="6"/>
      <c r="AB16" s="6"/>
      <c r="AC16" s="6"/>
    </row>
    <row r="17" customFormat="false" ht="15" hidden="false" customHeight="false" outlineLevel="0" collapsed="false">
      <c r="A17" s="6"/>
      <c r="B17" s="15" t="s">
        <v>254</v>
      </c>
      <c r="C17" s="55" t="str">
        <f aca="false">IF(C15&lt;Min_Cash_Threshold,"YES","NO")</f>
        <v>NO</v>
      </c>
      <c r="D17" s="55" t="str">
        <f aca="false">IF(D15&lt;Min_Cash_Threshold,"YES","NO")</f>
        <v>NO</v>
      </c>
      <c r="E17" s="55" t="str">
        <f aca="false">IF(E15&lt;Min_Cash_Threshold,"YES","NO")</f>
        <v>NO</v>
      </c>
      <c r="F17" s="55" t="str">
        <f aca="false">IF(F15&lt;Min_Cash_Threshold,"YES","NO")</f>
        <v>NO</v>
      </c>
      <c r="G17" s="55" t="str">
        <f aca="false">IF(G15&lt;Min_Cash_Threshold,"YES","NO")</f>
        <v>NO</v>
      </c>
      <c r="H17" s="55" t="str">
        <f aca="false">IF(H15&lt;Min_Cash_Threshold,"YES","NO")</f>
        <v>NO</v>
      </c>
      <c r="I17" s="55" t="str">
        <f aca="false">IF(I15&lt;Min_Cash_Threshold,"YES","NO")</f>
        <v>NO</v>
      </c>
      <c r="J17" s="55" t="str">
        <f aca="false">IF(J15&lt;Min_Cash_Threshold,"YES","NO")</f>
        <v>YES</v>
      </c>
      <c r="K17" s="55" t="str">
        <f aca="false">IF(K15&lt;Min_Cash_Threshold,"YES","NO")</f>
        <v>YES</v>
      </c>
      <c r="L17" s="55" t="str">
        <f aca="false">IF(L15&lt;Min_Cash_Threshold,"YES","NO")</f>
        <v>YES</v>
      </c>
      <c r="M17" s="55" t="str">
        <f aca="false">IF(M15&lt;Min_Cash_Threshold,"YES","NO")</f>
        <v>YES</v>
      </c>
      <c r="N17" s="55" t="str">
        <f aca="false">IF(N15&lt;Min_Cash_Threshold,"YES","NO")</f>
        <v>YES</v>
      </c>
      <c r="O17" s="55" t="str">
        <f aca="false">IF(O15&lt;Min_Cash_Threshold,"YES","NO")</f>
        <v>YES</v>
      </c>
      <c r="P17" s="55" t="str">
        <f aca="false">IF(P15&lt;Min_Cash_Threshold,"YES","NO")</f>
        <v>YES</v>
      </c>
      <c r="Q17" s="55" t="str">
        <f aca="false">IF(Q15&lt;Min_Cash_Threshold,"YES","NO")</f>
        <v>NO</v>
      </c>
      <c r="R17" s="55" t="str">
        <f aca="false">IF(R15&lt;Min_Cash_Threshold,"YES","NO")</f>
        <v>NO</v>
      </c>
      <c r="S17" s="55" t="str">
        <f aca="false">IF(S15&lt;Min_Cash_Threshold,"YES","NO")</f>
        <v>NO</v>
      </c>
      <c r="T17" s="55" t="str">
        <f aca="false">IF(T15&lt;Min_Cash_Threshold,"YES","NO")</f>
        <v>NO</v>
      </c>
      <c r="U17" s="55" t="str">
        <f aca="false">IF(U15&lt;Min_Cash_Threshold,"YES","NO")</f>
        <v>NO</v>
      </c>
      <c r="V17" s="55" t="str">
        <f aca="false">IF(V15&lt;Min_Cash_Threshold,"YES","NO")</f>
        <v>NO</v>
      </c>
      <c r="W17" s="55" t="str">
        <f aca="false">IF(W15&lt;Min_Cash_Threshold,"YES","NO")</f>
        <v>NO</v>
      </c>
      <c r="X17" s="55" t="str">
        <f aca="false">IF(X15&lt;Min_Cash_Threshold,"YES","NO")</f>
        <v>NO</v>
      </c>
      <c r="Y17" s="55" t="str">
        <f aca="false">IF(Y15&lt;Min_Cash_Threshold,"YES","NO")</f>
        <v>NO</v>
      </c>
      <c r="Z17" s="55" t="str">
        <f aca="false">IF(Z15&lt;Min_Cash_Threshold,"YES","NO")</f>
        <v>NO</v>
      </c>
      <c r="AA17" s="6"/>
      <c r="AB17" s="6"/>
      <c r="AC17" s="6"/>
    </row>
    <row r="18" customFormat="false" ht="15" hidden="false" customHeight="false" outlineLevel="0" collapsed="false">
      <c r="A18" s="6"/>
      <c r="B18" s="64" t="s">
        <v>255</v>
      </c>
      <c r="C18" s="17" t="n">
        <f aca="false">Monthly_Forecast!C50</f>
        <v>137361.875</v>
      </c>
      <c r="D18" s="17" t="n">
        <f aca="false">Monthly_Forecast!D50</f>
        <v>26271.84375</v>
      </c>
      <c r="E18" s="17" t="n">
        <f aca="false">Monthly_Forecast!E50</f>
        <v>-93392.6890625</v>
      </c>
      <c r="F18" s="17" t="n">
        <f aca="false">Monthly_Forecast!F50</f>
        <v>-221550.448515625</v>
      </c>
      <c r="G18" s="17" t="n">
        <f aca="false">Monthly_Forecast!G50</f>
        <v>-347916.095941406</v>
      </c>
      <c r="H18" s="17" t="n">
        <f aca="false">Monthly_Forecast!H50</f>
        <v>-482600.025738477</v>
      </c>
      <c r="I18" s="17" t="n">
        <f aca="false">Monthly_Forecast!I50</f>
        <v>-624717.830621342</v>
      </c>
      <c r="J18" s="17" t="n">
        <f aca="false">Monthly_Forecast!J50</f>
        <v>-763875.881846007</v>
      </c>
      <c r="K18" s="17" t="n">
        <f aca="false">Monthly_Forecast!K50</f>
        <v>-910066.9966564</v>
      </c>
      <c r="L18" s="17" t="n">
        <f aca="false">Monthly_Forecast!L50</f>
        <v>-1063069.48950352</v>
      </c>
      <c r="M18" s="17" t="n">
        <f aca="false">Monthly_Forecast!M50</f>
        <v>-1212446.15684994</v>
      </c>
      <c r="N18" s="17" t="n">
        <f aca="false">Monthly_Forecast!N50</f>
        <v>-1368143.19091061</v>
      </c>
      <c r="O18" s="17" t="n">
        <f aca="false">Monthly_Forecast!O50</f>
        <v>-1535368.95803673</v>
      </c>
      <c r="P18" s="17" t="n">
        <f aca="false">Monthly_Forecast!P50</f>
        <v>-1696777.10420421</v>
      </c>
      <c r="Q18" s="17" t="n">
        <f aca="false">Monthly_Forecast!Q50</f>
        <v>-1862350.04352676</v>
      </c>
      <c r="R18" s="17" t="n">
        <f aca="false">Monthly_Forecast!R50</f>
        <v>-2031517.06738835</v>
      </c>
      <c r="S18" s="17" t="n">
        <f aca="false">Monthly_Forecast!S50</f>
        <v>-2193150.10339747</v>
      </c>
      <c r="T18" s="17" t="n">
        <f aca="false">Monthly_Forecast!T50</f>
        <v>-2357077.09264742</v>
      </c>
      <c r="U18" s="17" t="n">
        <f aca="false">Monthly_Forecast!U50</f>
        <v>-2519575.24060735</v>
      </c>
      <c r="V18" s="17" t="n">
        <f aca="false">Monthly_Forecast!V50</f>
        <v>-2668706.36632249</v>
      </c>
      <c r="W18" s="17" t="n">
        <f aca="false">Monthly_Forecast!W50</f>
        <v>-2813372.42712343</v>
      </c>
      <c r="X18" s="17" t="n">
        <f aca="false">Monthly_Forecast!X50</f>
        <v>-2951776.89522049</v>
      </c>
      <c r="Y18" s="17" t="n">
        <f aca="false">Monthly_Forecast!Y50</f>
        <v>-3071401.6594892</v>
      </c>
      <c r="Z18" s="17" t="n">
        <f aca="false">Monthly_Forecast!Z50</f>
        <v>-3180499.15547016</v>
      </c>
      <c r="AA18" s="6"/>
      <c r="AB18" s="6"/>
      <c r="AC18" s="6"/>
    </row>
    <row r="19" customFormat="false" ht="15" hidden="false" customHeight="false" outlineLevel="0" collapsed="false">
      <c r="A19" s="6"/>
      <c r="B19" s="15" t="s">
        <v>256</v>
      </c>
      <c r="C19" s="57" t="n">
        <f aca="false">IF(C12&lt;=0,Runway_Cap_Months,C18/C12)</f>
        <v>1.21949717291548</v>
      </c>
      <c r="D19" s="57" t="n">
        <f aca="false">IF(D12&lt;=0,Runway_Cap_Months,D18/D12)</f>
        <v>0.236491460614293</v>
      </c>
      <c r="E19" s="57" t="n">
        <f aca="false">IF(E12&lt;=0,Runway_Cap_Months,E18/E12)</f>
        <v>-0.815911567460615</v>
      </c>
      <c r="F19" s="57" t="n">
        <f aca="false">IF(F12&lt;=0,Runway_Cap_Months,F18/F12)</f>
        <v>-1.85184877196879</v>
      </c>
      <c r="G19" s="57" t="n">
        <f aca="false">IF(G12&lt;=0,Runway_Cap_Months,G18/G12)</f>
        <v>-2.78936913008207</v>
      </c>
      <c r="H19" s="57" t="n">
        <f aca="false">IF(H12&lt;=0,Runway_Cap_Months,H18/H12)</f>
        <v>-3.71986841147538</v>
      </c>
      <c r="I19" s="57" t="n">
        <f aca="false">IF(I12&lt;=0,Runway_Cap_Months,I18/I12)</f>
        <v>-4.64857420279251</v>
      </c>
      <c r="J19" s="57" t="n">
        <f aca="false">IF(J12&lt;=0,Runway_Cap_Months,J18/J12)</f>
        <v>-5.50925287297748</v>
      </c>
      <c r="K19" s="57" t="n">
        <f aca="false">IF(K12&lt;=0,Runway_Cap_Months,K18/K12)</f>
        <v>-6.38692852480857</v>
      </c>
      <c r="L19" s="57" t="n">
        <f aca="false">IF(L12&lt;=0,Runway_Cap_Months,L18/L12)</f>
        <v>-7.27545659720605</v>
      </c>
      <c r="M19" s="57" t="n">
        <f aca="false">IF(M12&lt;=0,Runway_Cap_Months,M18/M12)</f>
        <v>-8.10873718843261</v>
      </c>
      <c r="N19" s="57" t="n">
        <f aca="false">IF(N12&lt;=0,Runway_Cap_Months,N18/N12)</f>
        <v>-8.96014598491468</v>
      </c>
      <c r="O19" s="57" t="n">
        <f aca="false">IF(O12&lt;=0,Runway_Cap_Months,O18/O12)</f>
        <v>-9.75251335432381</v>
      </c>
      <c r="P19" s="57" t="n">
        <f aca="false">IF(P12&lt;=0,Runway_Cap_Months,P18/P12)</f>
        <v>-10.5100269566074</v>
      </c>
      <c r="Q19" s="57" t="n">
        <f aca="false">IF(Q12&lt;=0,Runway_Cap_Months,Q18/Q12)</f>
        <v>-11.3050843002366</v>
      </c>
      <c r="R19" s="57" t="n">
        <f aca="false">IF(R12&lt;=0,Runway_Cap_Months,R18/R12)</f>
        <v>-12.2837336015039</v>
      </c>
      <c r="S19" s="57" t="n">
        <f aca="false">IF(S12&lt;=0,Runway_Cap_Months,S18/S12)</f>
        <v>-13.2550527947447</v>
      </c>
      <c r="T19" s="57" t="n">
        <f aca="false">IF(T12&lt;=0,Runway_Cap_Months,T18/T12)</f>
        <v>-14.2931972094733</v>
      </c>
      <c r="U19" s="57" t="n">
        <f aca="false">IF(U12&lt;=0,Runway_Cap_Months,U18/U12)</f>
        <v>-15.487345846435</v>
      </c>
      <c r="V19" s="57" t="n">
        <f aca="false">IF(V12&lt;=0,Runway_Cap_Months,V18/V12)</f>
        <v>-16.8352721289465</v>
      </c>
      <c r="W19" s="57" t="n">
        <f aca="false">IF(W12&lt;=0,Runway_Cap_Months,W18/W12)</f>
        <v>-18.4970492653895</v>
      </c>
      <c r="X19" s="57" t="n">
        <f aca="false">IF(X12&lt;=0,Runway_Cap_Months,X18/X12)</f>
        <v>-20.4888865906537</v>
      </c>
      <c r="Y19" s="57" t="n">
        <f aca="false">IF(Y12&lt;=0,Runway_Cap_Months,Y18/Y12)</f>
        <v>-22.88133269701</v>
      </c>
      <c r="Z19" s="57" t="n">
        <f aca="false">IF(Z12&lt;=0,Runway_Cap_Months,Z18/Z12)</f>
        <v>-25.9896562404448</v>
      </c>
      <c r="AA19" s="6"/>
      <c r="AB19" s="6"/>
      <c r="AC19" s="6"/>
    </row>
    <row r="20" customFormat="false" ht="15" hidden="false" customHeight="false" outlineLevel="0" collapsed="false">
      <c r="A20" s="6"/>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row>
    <row r="21" customFormat="false" ht="15" hidden="false" customHeight="false" outlineLevel="0" collapsed="false">
      <c r="A21" s="6"/>
      <c r="B21" s="28" t="s">
        <v>257</v>
      </c>
      <c r="C21" s="29"/>
      <c r="D21" s="29"/>
      <c r="E21" s="29"/>
      <c r="F21" s="29"/>
      <c r="G21" s="29"/>
      <c r="H21" s="29"/>
      <c r="I21" s="29"/>
      <c r="J21" s="29"/>
      <c r="K21" s="29"/>
      <c r="L21" s="29"/>
      <c r="M21" s="29"/>
      <c r="N21" s="29"/>
      <c r="O21" s="29"/>
      <c r="P21" s="29"/>
      <c r="Q21" s="29"/>
      <c r="R21" s="29"/>
      <c r="S21" s="29"/>
      <c r="T21" s="29"/>
      <c r="U21" s="29"/>
      <c r="V21" s="29"/>
      <c r="W21" s="29"/>
      <c r="X21" s="29"/>
      <c r="Y21" s="29"/>
      <c r="Z21" s="29"/>
      <c r="AA21" s="6"/>
      <c r="AB21" s="6"/>
      <c r="AC21" s="6"/>
    </row>
    <row r="22" customFormat="false" ht="15" hidden="false" customHeight="false" outlineLevel="0" collapsed="false">
      <c r="A22" s="6"/>
      <c r="B22" s="64" t="s">
        <v>258</v>
      </c>
      <c r="C22" s="17" t="n">
        <f aca="false">IF(Monthly_Forecast!C17&gt;0,Monthly_Forecast!C13/Monthly_Forecast!C17,0)</f>
        <v>2968.26923076923</v>
      </c>
      <c r="D22" s="17" t="n">
        <f aca="false">IF(Monthly_Forecast!D17&gt;0,Monthly_Forecast!D13/Monthly_Forecast!D17,0)</f>
        <v>3116.68269230769</v>
      </c>
      <c r="E22" s="17" t="n">
        <f aca="false">IF(Monthly_Forecast!E17&gt;0,Monthly_Forecast!E13/Monthly_Forecast!E17,0)</f>
        <v>3038.765625</v>
      </c>
      <c r="F22" s="17" t="n">
        <f aca="false">IF(Monthly_Forecast!F17&gt;0,Monthly_Forecast!F13/Monthly_Forecast!F17,0)</f>
        <v>2977.9903125</v>
      </c>
      <c r="G22" s="17" t="n">
        <f aca="false">IF(Monthly_Forecast!G17&gt;0,Monthly_Forecast!G13/Monthly_Forecast!G17,0)</f>
        <v>3126.889828125</v>
      </c>
      <c r="H22" s="17" t="n">
        <f aca="false">IF(Monthly_Forecast!H17&gt;0,Monthly_Forecast!H13/Monthly_Forecast!H17,0)</f>
        <v>3078.03217456055</v>
      </c>
      <c r="I22" s="17" t="n">
        <f aca="false">IF(Monthly_Forecast!I17&gt;0,Monthly_Forecast!I13/Monthly_Forecast!I17,0)</f>
        <v>3099.75946049862</v>
      </c>
      <c r="J22" s="17" t="n">
        <f aca="false">IF(Monthly_Forecast!J17&gt;0,Monthly_Forecast!J13/Monthly_Forecast!J17,0)</f>
        <v>3316.74262273353</v>
      </c>
      <c r="K22" s="17" t="n">
        <f aca="false">IF(Monthly_Forecast!K17&gt;0,Monthly_Forecast!K13/Monthly_Forecast!K17,0)</f>
        <v>3351.75268375127</v>
      </c>
      <c r="L22" s="17" t="n">
        <f aca="false">IF(Monthly_Forecast!L17&gt;0,Monthly_Forecast!L13/Monthly_Forecast!L17,0)</f>
        <v>3397.61877310787</v>
      </c>
      <c r="M22" s="17" t="n">
        <f aca="false">IF(Monthly_Forecast!M17&gt;0,Monthly_Forecast!M13/Monthly_Forecast!M17,0)</f>
        <v>3635.45208722542</v>
      </c>
      <c r="N22" s="17" t="n">
        <f aca="false">IF(Monthly_Forecast!N17&gt;0,Monthly_Forecast!N13/Monthly_Forecast!N17,0)</f>
        <v>3695.43704666464</v>
      </c>
      <c r="O22" s="17" t="n">
        <f aca="false">IF(Monthly_Forecast!O17&gt;0,Monthly_Forecast!O13/Monthly_Forecast!O17,0)</f>
        <v>3836.21560082329</v>
      </c>
      <c r="P22" s="17" t="n">
        <f aca="false">IF(Monthly_Forecast!P17&gt;0,Monthly_Forecast!P13/Monthly_Forecast!P17,0)</f>
        <v>4181.47500489739</v>
      </c>
      <c r="Q22" s="17" t="n">
        <f aca="false">IF(Monthly_Forecast!Q17&gt;0,Monthly_Forecast!Q13/Monthly_Forecast!Q17,0)</f>
        <v>4350.63467555005</v>
      </c>
      <c r="R22" s="17" t="n">
        <f aca="false">IF(Monthly_Forecast!R17&gt;0,Monthly_Forecast!R13/Monthly_Forecast!R17,0)</f>
        <v>4536.00954433436</v>
      </c>
      <c r="S22" s="17" t="n">
        <f aca="false">IF(Monthly_Forecast!S17&gt;0,Monthly_Forecast!S13/Monthly_Forecast!S17,0)</f>
        <v>4944.25040332445</v>
      </c>
      <c r="T22" s="17" t="n">
        <f aca="false">IF(Monthly_Forecast!T17&gt;0,Monthly_Forecast!T13/Monthly_Forecast!T17,0)</f>
        <v>5164.68156713934</v>
      </c>
      <c r="U22" s="17" t="n">
        <f aca="false">IF(Monthly_Forecast!U17&gt;0,Monthly_Forecast!U13/Monthly_Forecast!U17,0)</f>
        <v>5553.06562098821</v>
      </c>
      <c r="V22" s="17" t="n">
        <f aca="false">IF(Monthly_Forecast!V17&gt;0,Monthly_Forecast!V13/Monthly_Forecast!V17,0)</f>
        <v>6219.4334955068</v>
      </c>
      <c r="W22" s="17" t="n">
        <f aca="false">IF(Monthly_Forecast!W17&gt;0,Monthly_Forecast!W13/Monthly_Forecast!W17,0)</f>
        <v>6697.85145669963</v>
      </c>
      <c r="X22" s="17" t="n">
        <f aca="false">IF(Monthly_Forecast!X17&gt;0,Monthly_Forecast!X13/Monthly_Forecast!X17,0)</f>
        <v>7223.75683033678</v>
      </c>
      <c r="Y22" s="17" t="n">
        <f aca="false">IF(Monthly_Forecast!Y17&gt;0,Monthly_Forecast!Y13/Monthly_Forecast!Y17,0)</f>
        <v>8090.6076499772</v>
      </c>
      <c r="Z22" s="17" t="n">
        <f aca="false">IF(Monthly_Forecast!Z17&gt;0,Monthly_Forecast!Z13/Monthly_Forecast!Z17,0)</f>
        <v>8737.85626197537</v>
      </c>
      <c r="AA22" s="6"/>
      <c r="AB22" s="6"/>
      <c r="AC22" s="6"/>
    </row>
    <row r="23" customFormat="false" ht="15" hidden="false" customHeight="false" outlineLevel="0" collapsed="false">
      <c r="A23" s="6"/>
      <c r="B23" s="64" t="s">
        <v>259</v>
      </c>
      <c r="C23" s="65" t="n">
        <f aca="false">IF(Monthly_Forecast!C14&gt;0,C11/Monthly_Forecast!C14,0)</f>
        <v>64.3646428571429</v>
      </c>
      <c r="D23" s="65" t="n">
        <f aca="false">IF(Monthly_Forecast!D14&gt;0,D11/Monthly_Forecast!D14,0)</f>
        <v>60.4571598639456</v>
      </c>
      <c r="E23" s="65" t="n">
        <f aca="false">IF(Monthly_Forecast!E14&gt;0,E11/Monthly_Forecast!E14,0)</f>
        <v>62.0224335924846</v>
      </c>
      <c r="F23" s="65" t="n">
        <f aca="false">IF(Monthly_Forecast!F14&gt;0,F11/Monthly_Forecast!F14,0)</f>
        <v>63.2614235195212</v>
      </c>
      <c r="G23" s="65" t="n">
        <f aca="false">IF(Monthly_Forecast!G14&gt;0,G11/Monthly_Forecast!G14,0)</f>
        <v>59.4064747804963</v>
      </c>
      <c r="H23" s="65" t="n">
        <f aca="false">IF(Monthly_Forecast!H14&gt;0,H11/Monthly_Forecast!H14,0)</f>
        <v>60.3019332564603</v>
      </c>
      <c r="I23" s="65" t="n">
        <f aca="false">IF(Monthly_Forecast!I14&gt;0,I11/Monthly_Forecast!I14,0)</f>
        <v>43.2859159754261</v>
      </c>
      <c r="J23" s="65" t="n">
        <f aca="false">IF(Monthly_Forecast!J14&gt;0,J11/Monthly_Forecast!J14,0)</f>
        <v>39.6116270798375</v>
      </c>
      <c r="K23" s="65" t="n">
        <f aca="false">IF(Monthly_Forecast!K14&gt;0,K11/Monthly_Forecast!K14,0)</f>
        <v>38.8912179204628</v>
      </c>
      <c r="L23" s="65" t="n">
        <f aca="false">IF(Monthly_Forecast!L14&gt;0,L11/Monthly_Forecast!L14,0)</f>
        <v>38.0404192680171</v>
      </c>
      <c r="M23" s="65" t="n">
        <f aca="false">IF(Monthly_Forecast!M14&gt;0,M11/Monthly_Forecast!M14,0)</f>
        <v>34.7092937084271</v>
      </c>
      <c r="N23" s="65" t="n">
        <f aca="false">IF(Monthly_Forecast!N14&gt;0,N11/Monthly_Forecast!N14,0)</f>
        <v>33.8111211897001</v>
      </c>
      <c r="O23" s="65" t="n">
        <f aca="false">IF(Monthly_Forecast!O14&gt;0,O11/Monthly_Forecast!O14,0)</f>
        <v>26.3969763048599</v>
      </c>
      <c r="P23" s="65" t="n">
        <f aca="false">IF(Monthly_Forecast!P14&gt;0,P11/Monthly_Forecast!P14,0)</f>
        <v>23.3749094539998</v>
      </c>
      <c r="Q23" s="65" t="n">
        <f aca="false">IF(Monthly_Forecast!Q14&gt;0,Q11/Monthly_Forecast!Q14,0)</f>
        <v>21.9982102446082</v>
      </c>
      <c r="R23" s="65" t="n">
        <f aca="false">IF(Monthly_Forecast!R14&gt;0,R11/Monthly_Forecast!R14,0)</f>
        <v>20.6199306701843</v>
      </c>
      <c r="S23" s="65" t="n">
        <f aca="false">IF(Monthly_Forecast!S14&gt;0,S11/Monthly_Forecast!S14,0)</f>
        <v>18.074867587325</v>
      </c>
      <c r="T23" s="65" t="n">
        <f aca="false">IF(Monthly_Forecast!T14&gt;0,T11/Monthly_Forecast!T14,0)</f>
        <v>16.8177912879894</v>
      </c>
      <c r="U23" s="65" t="n">
        <f aca="false">IF(Monthly_Forecast!U14&gt;0,U11/Monthly_Forecast!U14,0)</f>
        <v>11.4710104918516</v>
      </c>
      <c r="V23" s="65" t="n">
        <f aca="false">IF(Monthly_Forecast!V14&gt;0,V11/Monthly_Forecast!V14,0)</f>
        <v>9.39947365343892</v>
      </c>
      <c r="W23" s="65" t="n">
        <f aca="false">IF(Monthly_Forecast!W14&gt;0,W11/Monthly_Forecast!W14,0)</f>
        <v>8.14111467176412</v>
      </c>
      <c r="X23" s="65" t="n">
        <f aca="false">IF(Monthly_Forecast!X14&gt;0,X11/Monthly_Forecast!X14,0)</f>
        <v>6.95423406514088</v>
      </c>
      <c r="Y23" s="65" t="n">
        <f aca="false">IF(Monthly_Forecast!Y14&gt;0,Y11/Monthly_Forecast!Y14,0)</f>
        <v>5.3666375581615</v>
      </c>
      <c r="Z23" s="65" t="n">
        <f aca="false">IF(Monthly_Forecast!Z14&gt;0,Z11/Monthly_Forecast!Z14,0)</f>
        <v>4.36996472000804</v>
      </c>
      <c r="AA23" s="6"/>
      <c r="AB23" s="6"/>
      <c r="AC23" s="6"/>
    </row>
    <row r="24" customFormat="false" ht="15" hidden="false" customHeight="false" outlineLevel="0" collapsed="false">
      <c r="A24" s="6"/>
      <c r="B24" s="64" t="s">
        <v>260</v>
      </c>
      <c r="C24" s="18" t="n">
        <f aca="false">IF(Monthly_Forecast!C13&gt;0,Monthly_Forecast!C36/Monthly_Forecast!C13,0)</f>
        <v>-2.91903142209265</v>
      </c>
      <c r="D24" s="18" t="n">
        <f aca="false">IF(Monthly_Forecast!D13&gt;0,Monthly_Forecast!D36/Monthly_Forecast!D13,0)</f>
        <v>-2.74182130902248</v>
      </c>
      <c r="E24" s="18" t="n">
        <f aca="false">IF(Monthly_Forecast!E13&gt;0,Monthly_Forecast!E36/Monthly_Forecast!E13,0)</f>
        <v>-2.81280877970452</v>
      </c>
      <c r="F24" s="18" t="n">
        <f aca="false">IF(Monthly_Forecast!F13&gt;0,Monthly_Forecast!F36/Monthly_Forecast!F13,0)</f>
        <v>-2.86899879907126</v>
      </c>
      <c r="G24" s="18" t="n">
        <f aca="false">IF(Monthly_Forecast!G13&gt;0,Monthly_Forecast!G36/Monthly_Forecast!G13,0)</f>
        <v>-2.69417119185925</v>
      </c>
      <c r="H24" s="18" t="n">
        <f aca="false">IF(Monthly_Forecast!H13&gt;0,Monthly_Forecast!H36/Monthly_Forecast!H13,0)</f>
        <v>-2.73478155358097</v>
      </c>
      <c r="I24" s="18" t="n">
        <f aca="false">IF(Monthly_Forecast!I13&gt;0,Monthly_Forecast!I36/Monthly_Forecast!I13,0)</f>
        <v>-2.6969418053225</v>
      </c>
      <c r="J24" s="18" t="n">
        <f aca="false">IF(Monthly_Forecast!J13&gt;0,Monthly_Forecast!J36/Monthly_Forecast!J13,0)</f>
        <v>-2.46801414827648</v>
      </c>
      <c r="K24" s="18" t="n">
        <f aca="false">IF(Monthly_Forecast!K13&gt;0,Monthly_Forecast!K36/Monthly_Forecast!K13,0)</f>
        <v>-2.42312884239644</v>
      </c>
      <c r="L24" s="18" t="n">
        <f aca="false">IF(Monthly_Forecast!L13&gt;0,Monthly_Forecast!L36/Monthly_Forecast!L13,0)</f>
        <v>-2.37011958056181</v>
      </c>
      <c r="M24" s="18" t="n">
        <f aca="false">IF(Monthly_Forecast!M13&gt;0,Monthly_Forecast!M36/Monthly_Forecast!M13,0)</f>
        <v>-2.16257281672444</v>
      </c>
      <c r="N24" s="18" t="n">
        <f aca="false">IF(Monthly_Forecast!N13&gt;0,Monthly_Forecast!N36/Monthly_Forecast!N13,0)</f>
        <v>-2.10661191213085</v>
      </c>
      <c r="O24" s="18" t="n">
        <f aca="false">IF(Monthly_Forecast!O13&gt;0,Monthly_Forecast!O36/Monthly_Forecast!O13,0)</f>
        <v>-2.07577795319999</v>
      </c>
      <c r="P24" s="18" t="n">
        <f aca="false">IF(Monthly_Forecast!P13&gt;0,Monthly_Forecast!P36/Monthly_Forecast!P13,0)</f>
        <v>-1.83813180503276</v>
      </c>
      <c r="Q24" s="18" t="n">
        <f aca="false">IF(Monthly_Forecast!Q13&gt;0,Monthly_Forecast!Q36/Monthly_Forecast!Q13,0)</f>
        <v>-1.72987236523787</v>
      </c>
      <c r="R24" s="18" t="n">
        <f aca="false">IF(Monthly_Forecast!R13&gt;0,Monthly_Forecast!R36/Monthly_Forecast!R13,0)</f>
        <v>-1.62148865034215</v>
      </c>
      <c r="S24" s="18" t="n">
        <f aca="false">IF(Monthly_Forecast!S13&gt;0,Monthly_Forecast!S36/Monthly_Forecast!S13,0)</f>
        <v>-1.42135262809896</v>
      </c>
      <c r="T24" s="18" t="n">
        <f aca="false">IF(Monthly_Forecast!T13&gt;0,Monthly_Forecast!T36/Monthly_Forecast!T13,0)</f>
        <v>-1.32249997022197</v>
      </c>
      <c r="U24" s="18" t="n">
        <f aca="false">IF(Monthly_Forecast!U13&gt;0,Monthly_Forecast!U36/Monthly_Forecast!U13,0)</f>
        <v>-1.17051127467873</v>
      </c>
      <c r="V24" s="18" t="n">
        <f aca="false">IF(Monthly_Forecast!V13&gt;0,Monthly_Forecast!V36/Monthly_Forecast!V13,0)</f>
        <v>-0.959129964636623</v>
      </c>
      <c r="W24" s="18" t="n">
        <f aca="false">IF(Monthly_Forecast!W13&gt;0,Monthly_Forecast!W36/Monthly_Forecast!W13,0)</f>
        <v>-0.830725986914705</v>
      </c>
      <c r="X24" s="18" t="n">
        <f aca="false">IF(Monthly_Forecast!X13&gt;0,Monthly_Forecast!X36/Monthly_Forecast!X13,0)</f>
        <v>-0.709615720932742</v>
      </c>
      <c r="Y24" s="18" t="n">
        <f aca="false">IF(Monthly_Forecast!Y13&gt;0,Monthly_Forecast!Y36/Monthly_Forecast!Y13,0)</f>
        <v>-0.547616077363418</v>
      </c>
      <c r="Z24" s="18" t="n">
        <f aca="false">IF(Monthly_Forecast!Z13&gt;0,Monthly_Forecast!Z36/Monthly_Forecast!Z13,0)</f>
        <v>-0.445914767347759</v>
      </c>
      <c r="AA24" s="6"/>
      <c r="AB24" s="6"/>
      <c r="AC24" s="6"/>
    </row>
    <row r="25" customFormat="false" ht="15" hidden="false" customHeight="fals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row>
    <row r="26" customFormat="false" ht="15" hidden="false" customHeight="false" outlineLevel="0" collapsed="false">
      <c r="A26" s="6"/>
      <c r="B26" s="28" t="s">
        <v>261</v>
      </c>
      <c r="C26" s="29"/>
      <c r="D26" s="29"/>
      <c r="E26" s="29"/>
      <c r="F26" s="29"/>
      <c r="G26" s="29"/>
      <c r="H26" s="29"/>
      <c r="I26" s="29"/>
      <c r="J26" s="29"/>
      <c r="K26" s="29"/>
      <c r="L26" s="29"/>
      <c r="M26" s="29"/>
      <c r="N26" s="29"/>
      <c r="O26" s="29"/>
      <c r="P26" s="29"/>
      <c r="Q26" s="29"/>
      <c r="R26" s="29"/>
      <c r="S26" s="29"/>
      <c r="T26" s="29"/>
      <c r="U26" s="29"/>
      <c r="V26" s="29"/>
      <c r="W26" s="29"/>
      <c r="X26" s="29"/>
      <c r="Y26" s="29"/>
      <c r="Z26" s="29"/>
      <c r="AA26" s="6"/>
      <c r="AB26" s="6"/>
      <c r="AC26" s="6"/>
    </row>
    <row r="27" customFormat="false" ht="15" hidden="false" customHeight="false" outlineLevel="0" collapsed="false">
      <c r="A27" s="6"/>
      <c r="B27" s="64" t="s">
        <v>262</v>
      </c>
      <c r="C27" s="17" t="n">
        <f aca="false">Monthly_Forecast!C37</f>
        <v>-112638.125</v>
      </c>
      <c r="D27" s="17" t="n">
        <f aca="false">C27+Monthly_Forecast!D37</f>
        <v>-223728.15625</v>
      </c>
      <c r="E27" s="17" t="n">
        <f aca="false">D27+Monthly_Forecast!E37</f>
        <v>-343392.6890625</v>
      </c>
      <c r="F27" s="17" t="n">
        <f aca="false">E27+Monthly_Forecast!F37</f>
        <v>-471550.448515625</v>
      </c>
      <c r="G27" s="17" t="n">
        <f aca="false">F27+Monthly_Forecast!G37</f>
        <v>-597916.095941406</v>
      </c>
      <c r="H27" s="17" t="n">
        <f aca="false">G27+Monthly_Forecast!H37</f>
        <v>-732600.025738477</v>
      </c>
      <c r="I27" s="17" t="n">
        <f aca="false">H27+Monthly_Forecast!I37</f>
        <v>-874717.830621342</v>
      </c>
      <c r="J27" s="17" t="n">
        <f aca="false">I27+Monthly_Forecast!J37</f>
        <v>-1013875.88184601</v>
      </c>
      <c r="K27" s="17" t="n">
        <f aca="false">J27+Monthly_Forecast!K37</f>
        <v>-1160066.9966564</v>
      </c>
      <c r="L27" s="17" t="n">
        <f aca="false">K27+Monthly_Forecast!L37</f>
        <v>-1313069.48950352</v>
      </c>
      <c r="M27" s="17" t="n">
        <f aca="false">L27+Monthly_Forecast!M37</f>
        <v>-1462446.15684994</v>
      </c>
      <c r="N27" s="17" t="n">
        <f aca="false">M27+Monthly_Forecast!N37</f>
        <v>-1618143.19091061</v>
      </c>
      <c r="O27" s="17" t="n">
        <f aca="false">N27+Monthly_Forecast!O37</f>
        <v>-1785368.95803673</v>
      </c>
      <c r="P27" s="17" t="n">
        <f aca="false">O27+Monthly_Forecast!P37</f>
        <v>-1946777.10420421</v>
      </c>
      <c r="Q27" s="17" t="n">
        <f aca="false">P27+Monthly_Forecast!Q37</f>
        <v>-2112350.04352676</v>
      </c>
      <c r="R27" s="17" t="n">
        <f aca="false">Q27+Monthly_Forecast!R37</f>
        <v>-2281517.06738835</v>
      </c>
      <c r="S27" s="17" t="n">
        <f aca="false">R27+Monthly_Forecast!S37</f>
        <v>-2443150.10339747</v>
      </c>
      <c r="T27" s="17" t="n">
        <f aca="false">S27+Monthly_Forecast!T37</f>
        <v>-2607077.09264742</v>
      </c>
      <c r="U27" s="17" t="n">
        <f aca="false">T27+Monthly_Forecast!U37</f>
        <v>-2769575.24060735</v>
      </c>
      <c r="V27" s="17" t="n">
        <f aca="false">U27+Monthly_Forecast!V37</f>
        <v>-2918706.36632249</v>
      </c>
      <c r="W27" s="17" t="n">
        <f aca="false">V27+Monthly_Forecast!W37</f>
        <v>-3063372.42712343</v>
      </c>
      <c r="X27" s="17" t="n">
        <f aca="false">W27+Monthly_Forecast!X37</f>
        <v>-3201776.89522049</v>
      </c>
      <c r="Y27" s="17" t="n">
        <f aca="false">X27+Monthly_Forecast!Y37</f>
        <v>-3321401.6594892</v>
      </c>
      <c r="Z27" s="17" t="n">
        <f aca="false">Y27+Monthly_Forecast!Z37</f>
        <v>-3430499.15547016</v>
      </c>
      <c r="AA27" s="6"/>
      <c r="AB27" s="6"/>
      <c r="AC27" s="6"/>
    </row>
    <row r="28" customFormat="false" ht="15" hidden="false" customHeight="false" outlineLevel="0" collapsed="false">
      <c r="A28" s="6"/>
      <c r="B28" s="15" t="s">
        <v>263</v>
      </c>
      <c r="C28" s="44" t="n">
        <f aca="false">IF(Monthly_Forecast!C37&gt;=0,C6,0)</f>
        <v>0</v>
      </c>
      <c r="D28" s="44" t="n">
        <f aca="false">IF(Monthly_Forecast!D37&gt;=0,D6,0)</f>
        <v>0</v>
      </c>
      <c r="E28" s="44" t="n">
        <f aca="false">IF(Monthly_Forecast!E37&gt;=0,E6,0)</f>
        <v>0</v>
      </c>
      <c r="F28" s="44" t="n">
        <f aca="false">IF(Monthly_Forecast!F37&gt;=0,F6,0)</f>
        <v>0</v>
      </c>
      <c r="G28" s="44" t="n">
        <f aca="false">IF(Monthly_Forecast!G37&gt;=0,G6,0)</f>
        <v>0</v>
      </c>
      <c r="H28" s="44" t="n">
        <f aca="false">IF(Monthly_Forecast!H37&gt;=0,H6,0)</f>
        <v>0</v>
      </c>
      <c r="I28" s="44" t="n">
        <f aca="false">IF(Monthly_Forecast!I37&gt;=0,I6,0)</f>
        <v>0</v>
      </c>
      <c r="J28" s="44" t="n">
        <f aca="false">IF(Monthly_Forecast!J37&gt;=0,J6,0)</f>
        <v>0</v>
      </c>
      <c r="K28" s="44" t="n">
        <f aca="false">IF(Monthly_Forecast!K37&gt;=0,K6,0)</f>
        <v>0</v>
      </c>
      <c r="L28" s="44" t="n">
        <f aca="false">IF(Monthly_Forecast!L37&gt;=0,L6,0)</f>
        <v>0</v>
      </c>
      <c r="M28" s="44" t="n">
        <f aca="false">IF(Monthly_Forecast!M37&gt;=0,M6,0)</f>
        <v>0</v>
      </c>
      <c r="N28" s="44" t="n">
        <f aca="false">IF(Monthly_Forecast!N37&gt;=0,N6,0)</f>
        <v>0</v>
      </c>
      <c r="O28" s="44" t="n">
        <f aca="false">IF(Monthly_Forecast!O37&gt;=0,O6,0)</f>
        <v>0</v>
      </c>
      <c r="P28" s="44" t="n">
        <f aca="false">IF(Monthly_Forecast!P37&gt;=0,P6,0)</f>
        <v>0</v>
      </c>
      <c r="Q28" s="44" t="n">
        <f aca="false">IF(Monthly_Forecast!Q37&gt;=0,Q6,0)</f>
        <v>0</v>
      </c>
      <c r="R28" s="44" t="n">
        <f aca="false">IF(Monthly_Forecast!R37&gt;=0,R6,0)</f>
        <v>0</v>
      </c>
      <c r="S28" s="44" t="n">
        <f aca="false">IF(Monthly_Forecast!S37&gt;=0,S6,0)</f>
        <v>0</v>
      </c>
      <c r="T28" s="44" t="n">
        <f aca="false">IF(Monthly_Forecast!T37&gt;=0,T6,0)</f>
        <v>0</v>
      </c>
      <c r="U28" s="44" t="n">
        <f aca="false">IF(Monthly_Forecast!U37&gt;=0,U6,0)</f>
        <v>0</v>
      </c>
      <c r="V28" s="44" t="n">
        <f aca="false">IF(Monthly_Forecast!V37&gt;=0,V6,0)</f>
        <v>0</v>
      </c>
      <c r="W28" s="44" t="n">
        <f aca="false">IF(Monthly_Forecast!W37&gt;=0,W6,0)</f>
        <v>0</v>
      </c>
      <c r="X28" s="44" t="n">
        <f aca="false">IF(Monthly_Forecast!X37&gt;=0,X6,0)</f>
        <v>0</v>
      </c>
      <c r="Y28" s="44" t="n">
        <f aca="false">IF(Monthly_Forecast!Y37&gt;=0,Y6,0)</f>
        <v>0</v>
      </c>
      <c r="Z28" s="44" t="n">
        <f aca="false">IF(Monthly_Forecast!Z37&gt;=0,Z6,0)</f>
        <v>0</v>
      </c>
      <c r="AA28" s="6"/>
      <c r="AB28" s="6"/>
      <c r="AC28"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4"/>
    <col collapsed="false" customWidth="true" hidden="false" outlineLevel="0" max="4" min="4" style="0" width="4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264</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265</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6"/>
      <c r="C5" s="6"/>
      <c r="D5" s="6"/>
    </row>
    <row r="6" customFormat="false" ht="15" hidden="false" customHeight="false" outlineLevel="0" collapsed="false">
      <c r="A6" s="6"/>
      <c r="B6" s="27" t="s">
        <v>266</v>
      </c>
      <c r="C6" s="27" t="s">
        <v>267</v>
      </c>
      <c r="D6" s="27" t="s">
        <v>268</v>
      </c>
    </row>
    <row r="7" customFormat="false" ht="15" hidden="false" customHeight="false" outlineLevel="0" collapsed="false">
      <c r="A7" s="6"/>
      <c r="B7" s="15" t="s">
        <v>269</v>
      </c>
      <c r="C7" s="66" t="str">
        <f aca="false">IF(ABS(Cap_Table!D12-1)&lt;0.001,"PASS","FAIL")</f>
        <v>PASS</v>
      </c>
      <c r="D7" s="67" t="n">
        <f aca="false">Cap_Table!D12</f>
        <v>1</v>
      </c>
    </row>
    <row r="8" customFormat="false" ht="15" hidden="false" customHeight="false" outlineLevel="0" collapsed="false">
      <c r="A8" s="6"/>
      <c r="B8" s="15" t="s">
        <v>270</v>
      </c>
      <c r="C8" s="66" t="str">
        <f aca="false">IF(ABS(Cap_Table!D21-1)&lt;0.001,"PASS","FAIL")</f>
        <v>PASS</v>
      </c>
      <c r="D8" s="67" t="n">
        <f aca="false">Cap_Table!D21</f>
        <v>1</v>
      </c>
    </row>
    <row r="9" customFormat="false" ht="15" hidden="false" customHeight="false" outlineLevel="0" collapsed="false">
      <c r="A9" s="6"/>
      <c r="B9" s="15" t="s">
        <v>271</v>
      </c>
      <c r="C9" s="66" t="str">
        <f aca="false">IF(MIN(Monthly_Forecast!C46:Z46)&gt;=0,"PASS","FAIL")</f>
        <v>FAIL</v>
      </c>
      <c r="D9" s="52" t="n">
        <f aca="false">MIN(Monthly_Forecast!C46:Z46)</f>
        <v>-946777.104204212</v>
      </c>
    </row>
    <row r="10" customFormat="false" ht="15" hidden="false" customHeight="false" outlineLevel="0" collapsed="false">
      <c r="A10" s="6"/>
      <c r="B10" s="15" t="s">
        <v>272</v>
      </c>
      <c r="C10" s="66" t="str">
        <f aca="false">IF(Monthly_Forecast!C46&gt;Min_Cash_Threshold,"PASS","FAIL")</f>
        <v>PASS</v>
      </c>
      <c r="D10" s="52" t="n">
        <f aca="false">Monthly_Forecast!C46</f>
        <v>137361.875</v>
      </c>
    </row>
    <row r="11" customFormat="false" ht="15" hidden="false" customHeight="false" outlineLevel="0" collapsed="false">
      <c r="A11" s="6"/>
      <c r="B11" s="15" t="s">
        <v>273</v>
      </c>
      <c r="C11" s="66" t="str">
        <f aca="false">IF(MIN(Monthly_Forecast!C13:Z13)&gt;0,"PASS","FAIL")</f>
        <v>PASS</v>
      </c>
      <c r="D11" s="52" t="n">
        <f aca="false">MIN(Monthly_Forecast!C13:Z13)</f>
        <v>38587.5</v>
      </c>
    </row>
    <row r="12" customFormat="false" ht="15" hidden="false" customHeight="false" outlineLevel="0" collapsed="false">
      <c r="A12" s="6"/>
      <c r="B12" s="15" t="s">
        <v>274</v>
      </c>
      <c r="C12" s="66" t="str">
        <f aca="false">IF(ABS(Monthly_Forecast!C35-(Monthly_Forecast!C20+Monthly_Forecast!C25+Monthly_Forecast!C29+Monthly_Forecast!C33))&lt;1,"PASS","FAIL")</f>
        <v>PASS</v>
      </c>
      <c r="D12" s="52" t="n">
        <f aca="false">Monthly_Forecast!C35-(Monthly_Forecast!C20+Monthly_Forecast!C25+Monthly_Forecast!C29+Monthly_Forecast!C33)</f>
        <v>0</v>
      </c>
    </row>
    <row r="13" customFormat="false" ht="15" hidden="false" customHeight="false" outlineLevel="0" collapsed="false">
      <c r="A13" s="6"/>
      <c r="B13" s="15" t="s">
        <v>275</v>
      </c>
      <c r="C13" s="66" t="str">
        <f aca="false">IF(Convert_Toggle=FALSE(),"PASS",IF(ABS(INDEX(Balance_Sheet!C14:Z14,1,Next_Round_Month))&lt;1,"PASS","FAIL"))</f>
        <v>PASS</v>
      </c>
      <c r="D13" s="52" t="n">
        <f aca="false">INDEX(Balance_Sheet!C14:Z14,1,Next_Round_Month)</f>
        <v>0</v>
      </c>
    </row>
    <row r="14" customFormat="false" ht="15" hidden="false" customHeight="false" outlineLevel="0" collapsed="false">
      <c r="A14" s="6"/>
      <c r="B14" s="15" t="s">
        <v>276</v>
      </c>
      <c r="C14" s="66" t="str">
        <f aca="false">IF(Bridge_Total_Amount&gt;0,"PASS","FAIL")</f>
        <v>PASS</v>
      </c>
      <c r="D14" s="52" t="n">
        <f aca="false">Bridge_Total_Amount</f>
        <v>750000</v>
      </c>
    </row>
    <row r="15" customFormat="false" ht="15" hidden="false" customHeight="false" outlineLevel="0" collapsed="false">
      <c r="A15" s="6"/>
      <c r="B15" s="15" t="s">
        <v>277</v>
      </c>
      <c r="C15" s="66" t="str">
        <f aca="false">IF(Cap_Table!D15&lt;Cap_Table!D9,"PASS","FAIL")</f>
        <v>PASS</v>
      </c>
      <c r="D15" s="67" t="n">
        <f aca="false">Cap_Table!D9-Cap_Table!D15</f>
        <v>0.181673510564231</v>
      </c>
    </row>
    <row r="16" customFormat="false" ht="15" hidden="false" customHeight="false" outlineLevel="0" collapsed="false">
      <c r="A16" s="6"/>
      <c r="B16" s="15" t="s">
        <v>278</v>
      </c>
      <c r="C16" s="66" t="str">
        <f aca="false">IF(ABS(Bridge_Total_ConvShares*Live_Effective_PPS-Bridge_Total_MatVal)&lt;1,"PASS","FAIL")</f>
        <v>PASS</v>
      </c>
      <c r="D16" s="52" t="n">
        <f aca="false">Bridge_Total_ConvShares*Live_Effective_PPS-Bridge_Total_MatVal</f>
        <v>0</v>
      </c>
    </row>
  </sheetData>
  <conditionalFormatting sqref="C7:C16">
    <cfRule type="cellIs" priority="2" operator="equal" aboveAverage="0" equalAverage="0" bottom="0" percent="0" rank="0" text="" dxfId="0">
      <formula>"PASS"</formula>
    </cfRule>
    <cfRule type="cellIs" priority="3" operator="equal" aboveAverage="0" equalAverage="0" bottom="0" percent="0" rank="0" text="" dxfId="1">
      <formula>"FAIL"</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2026-05-15T18:52:50Z</dcterms:created>
  <dc:creator>openpyxl</dc:creator>
  <dc:description/>
  <dc:language>en-GB</dc:language>
  <cp:lastModifiedBy/>
  <dcterms:modified xsi:type="dcterms:W3CDTF">2026-05-15T18:52:50Z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