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Premium_Build" sheetId="3" state="visible" r:id="rId5"/>
    <sheet name="Claims_Reserves" sheetId="4" state="visible" r:id="rId6"/>
    <sheet name="Operating_Expenses" sheetId="5" state="visible" r:id="rId7"/>
    <sheet name="Capital_Returns" sheetId="6" state="visible" r:id="rId8"/>
    <sheet name="Investments" sheetId="7" state="visible" r:id="rId9"/>
    <sheet name="Income_Statement" sheetId="8" state="visible" r:id="rId10"/>
    <sheet name="Balance_Sheet" sheetId="9" state="visible" r:id="rId11"/>
    <sheet name="Cash_Flow" sheetId="10" state="visible" r:id="rId12"/>
    <sheet name="Checks" sheetId="11" state="visible" r:id="rId13"/>
    <sheet name="Disclaimer" sheetId="12" state="visible" r:id="rId14"/>
  </sheets>
  <definedNames>
    <definedName function="false" hidden="false" name="Actuarial_Fee_Pct" vbProcedure="false">Assumptions!$D$21:$I$21</definedName>
    <definedName function="false" hidden="false" name="Audit_Fee_Pct" vbProcedure="false">Assumptions!$D$22:$I$22</definedName>
    <definedName function="false" hidden="false" name="Base_GWP" vbProcedure="false">Assumptions!$C$6</definedName>
    <definedName function="false" hidden="false" name="BS_Balance_Check" vbProcedure="false">Balance_Sheet!$D$21:$I$21</definedName>
    <definedName function="false" hidden="false" name="Capital_Buffer" vbProcedure="false">Assumptions!$C$36</definedName>
    <definedName function="false" hidden="false" name="CAP_Div_Capacity" vbProcedure="false">Capital_Returns!$D$12:$I$12</definedName>
    <definedName function="false" hidden="false" name="CAP_Div_Paid" vbProcedure="false">Capital_Returns!$D$14:$I$14</definedName>
    <definedName function="false" hidden="false" name="CAP_Prem_Surplus" vbProcedure="false">Capital_Returns!$D$18:$I$18</definedName>
    <definedName function="false" hidden="false" name="CAP_ROE" vbProcedure="false">Capital_Returns!$D$20:$I$20</definedName>
    <definedName function="false" hidden="false" name="Ceding_Comm_Rate" vbProcedure="false">Assumptions!$D$9:$I$9</definedName>
    <definedName function="false" hidden="false" name="Cession_Rate" vbProcedure="false">Assumptions!$D$8:$I$8</definedName>
    <definedName function="false" hidden="false" name="CF_Close_Cash" vbProcedure="false">Cash_Flow!$D$22:$I$22</definedName>
    <definedName function="false" hidden="false" name="Claim_Payout_Y1" vbProcedure="false">Assumptions!$C$15</definedName>
    <definedName function="false" hidden="false" name="Claim_Payout_Y2" vbProcedure="false">Assumptions!$C$16</definedName>
    <definedName function="false" hidden="false" name="Claim_Payout_Y3" vbProcedure="false">Assumptions!$C$17</definedName>
    <definedName function="false" hidden="false" name="CR_Incurred_Losses" vbProcedure="false">Claims_Reserves!$D$6:$I$6</definedName>
    <definedName function="false" hidden="false" name="CR_LAE" vbProcedure="false">Claims_Reserves!$D$7:$I$7</definedName>
    <definedName function="false" hidden="false" name="CR_Reserves_Chg" vbProcedure="false">Claims_Reserves!$D$23:$I$23</definedName>
    <definedName function="false" hidden="false" name="CR_Reserves_Close" vbProcedure="false">Claims_Reserves!$D$22:$I$22</definedName>
    <definedName function="false" hidden="false" name="CR_Total_Paid" vbProcedure="false">Claims_Reserves!$D$18:$I$18</definedName>
    <definedName function="false" hidden="false" name="Directors_Fee_Pct" vbProcedure="false">Assumptions!$D$25:$I$25</definedName>
    <definedName function="false" hidden="false" name="Dividend_Pct" vbProcedure="false">Assumptions!$D$37:$I$37</definedName>
    <definedName function="false" hidden="false" name="GWP_Growth" vbProcedure="false">Assumptions!$D$7:$I$7</definedName>
    <definedName function="false" hidden="false" name="Initial_Capital" vbProcedure="false">Assumptions!$C$34</definedName>
    <definedName function="false" hidden="false" name="INV_Close" vbProcedure="false">Investments!$D$10:$I$10</definedName>
    <definedName function="false" hidden="false" name="INV_Inv_Income" vbProcedure="false">Investments!$D$9:$I$9</definedName>
    <definedName function="false" hidden="false" name="IS_Combined_Ratio" vbProcedure="false">Income_Statement!$D$27:$I$27</definedName>
    <definedName function="false" hidden="false" name="IS_Net_Income" vbProcedure="false">Income_Statement!$D$20:$I$20</definedName>
    <definedName function="false" hidden="false" name="IS_Tax" vbProcedure="false">Income_Statement!$D$19:$I$19</definedName>
    <definedName function="false" hidden="false" name="LAE_Rate" vbProcedure="false">Assumptions!$D$14:$I$14</definedName>
    <definedName function="false" hidden="false" name="Legal_Fee_Pct" vbProcedure="false">Assumptions!$D$23:$I$23</definedName>
    <definedName function="false" hidden="false" name="Loss_Ratio" vbProcedure="false">Assumptions!$D$13:$I$13</definedName>
    <definedName function="false" hidden="false" name="Max_Prem_Surplus" vbProcedure="false">Assumptions!$C$38</definedName>
    <definedName function="false" hidden="false" name="Mgmt_Fee_Pct" vbProcedure="false">Assumptions!$D$20:$I$20</definedName>
    <definedName function="false" hidden="false" name="Min_Capital" vbProcedure="false">Assumptions!$C$35</definedName>
    <definedName function="false" hidden="false" name="OE_Total" vbProcedure="false">Operating_Expenses!$D$13:$I$13</definedName>
    <definedName function="false" hidden="false" name="PB_Ceding_Income" vbProcedure="false">Premium_Build!$D$19:$I$19</definedName>
    <definedName function="false" hidden="false" name="PB_GWP" vbProcedure="false">Premium_Build!$D$6:$I$6</definedName>
    <definedName function="false" hidden="false" name="PB_NEP" vbProcedure="false">Premium_Build!$D$16:$I$16</definedName>
    <definedName function="false" hidden="false" name="PB_NWP" vbProcedure="false">Premium_Build!$D$8:$I$8</definedName>
    <definedName function="false" hidden="false" name="PB_UPR_Chg" vbProcedure="false">Premium_Build!$D$13:$I$13</definedName>
    <definedName function="false" hidden="false" name="PB_UPR_Close" vbProcedure="false">Premium_Build!$D$12:$I$12</definedName>
    <definedName function="false" hidden="false" name="Portfolio_Yield" vbProcedure="false">Assumptions!$D$28:$I$28</definedName>
    <definedName function="false" hidden="false" name="Prem_Tax_Pct" vbProcedure="false">Assumptions!$D$24:$I$24</definedName>
    <definedName function="false" hidden="false" name="Tax_Rate" vbProcedure="false">Assumptions!$D$31:$I$31</definedName>
    <definedName function="false" hidden="false" name="UPR_Factor" vbProcedure="false">Assumptions!$D$10:$I$10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<sst xmlns="http://schemas.openxmlformats.org/spreadsheetml/2006/main" count="364" uniqueCount="212">
  <si>
    <t xml:space="preserve">FINAMODEL.com</t>
  </si>
  <si>
    <t xml:space="preserve">CAPTIVE INSURANCE COMPANY</t>
  </si>
  <si>
    <t xml:space="preserve">Financial Model</t>
  </si>
  <si>
    <t xml:space="preserve">Domicile:</t>
  </si>
  <si>
    <t xml:space="preserve">Vermont, USA</t>
  </si>
  <si>
    <t xml:space="preserve">Structure:</t>
  </si>
  <si>
    <t xml:space="preserve">Pure Single-Parent Captive</t>
  </si>
  <si>
    <t xml:space="preserve">Lines:</t>
  </si>
  <si>
    <t xml:space="preserve">Property &amp; Casualty</t>
  </si>
  <si>
    <t xml:space="preserve">Date:</t>
  </si>
  <si>
    <t xml:space="preserve">April 2026</t>
  </si>
  <si>
    <t xml:space="preserve">Version:</t>
  </si>
  <si>
    <t xml:space="preserve">2.0</t>
  </si>
  <si>
    <t xml:space="preserve">SHEET INDEX</t>
  </si>
  <si>
    <t xml:space="preserve">Assumptions</t>
  </si>
  <si>
    <t xml:space="preserve">All model inputs and drivers</t>
  </si>
  <si>
    <t xml:space="preserve">Premium_Build</t>
  </si>
  <si>
    <t xml:space="preserve">GWP to NEP waterfall</t>
  </si>
  <si>
    <t xml:space="preserve">Claims_Reserves</t>
  </si>
  <si>
    <t xml:space="preserve">Incurred losses, vintage triangle, reserves</t>
  </si>
  <si>
    <t xml:space="preserve">Operating_Expenses</t>
  </si>
  <si>
    <t xml:space="preserve">Management fees and operating costs</t>
  </si>
  <si>
    <t xml:space="preserve">Capital_Returns</t>
  </si>
  <si>
    <t xml:space="preserve">Surplus, dividends, leverage metrics</t>
  </si>
  <si>
    <t xml:space="preserve">Investments</t>
  </si>
  <si>
    <t xml:space="preserve">Portfolio roll-forward</t>
  </si>
  <si>
    <t xml:space="preserve">Income_Statement</t>
  </si>
  <si>
    <t xml:space="preserve">Revenue to net income</t>
  </si>
  <si>
    <t xml:space="preserve">Balance_Sheet</t>
  </si>
  <si>
    <t xml:space="preserve">Assets, liabilities, equity</t>
  </si>
  <si>
    <t xml:space="preserve">Cash_Flow</t>
  </si>
  <si>
    <t xml:space="preserve">Operating, investing, financing</t>
  </si>
  <si>
    <t xml:space="preserve">Checks</t>
  </si>
  <si>
    <t xml:space="preserve">Model integrity checks</t>
  </si>
  <si>
    <t xml:space="preserve">About this model</t>
  </si>
  <si>
    <t xml:space="preserve">A captive insurance company model projects underwriting profit, investment income, claims reserves, and dividend capacity to show whether the parent company can save money by self-insuring its own risks through a captive subsidiary rather than buying commercial policies. The model answers how much capital is required at formation, how quickly the captive returns profit to the parent through dividends, and whether the target return on invested assets (float income) is achievable.
Premium revenue flows in from the parent, calculated using actuarial transfer pricing to reflect the true cost of the parent's insurable risks. Net earned premium equals gross written premium less the reinsurance cession to a fronting carrier. Incurred losses and loss adjustment expenses (LAE) are modelled using a vintage-based payout pattern: 50% in the year of loss, 30% in year +1, 20% in year +2 (tail). Investment income is earned on the float (the lag between premium collection and claims payment), scaled by a bond portfolio yield (4.5% typical on short-duration investment-grade bonds). Operating expenses include captive management fees (10% of GWP), actuarial and audit (2.5% combined), legal and regulatory compliance, directors' fees, and Vermont insurance premium tax (0.214%). Dividend capacity is calculated from prior-year surplus and is constrained by Vermont's ordinary dividend rule (maximum 10% of surplus or prior-year net income, whichever is less).
Parent companies, risk managers, and insurance brokers use captive models to quantify premium savings vs. commercial insurance, stress-test the captive under catastrophe scenarios (spike in incurred losses, extended reserves), and project the cumulative dividend stream back to the parent over a 10-year time horizon.</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</si>
  <si>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</si>
  <si>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</si>
  <si>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</si>
  <si>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</si>
  <si>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Year 0</t>
  </si>
  <si>
    <t xml:space="preserve">Year 1</t>
  </si>
  <si>
    <t xml:space="preserve">Year 2</t>
  </si>
  <si>
    <t xml:space="preserve">Year 3</t>
  </si>
  <si>
    <t xml:space="preserve">Year 4</t>
  </si>
  <si>
    <t xml:space="preserve">Year 5</t>
  </si>
  <si>
    <t xml:space="preserve">Year 6</t>
  </si>
  <si>
    <t xml:space="preserve">Formation</t>
  </si>
  <si>
    <t xml:space="preserve">Premium Assumptions</t>
  </si>
  <si>
    <t xml:space="preserve">Base Gross Written Premium ($)</t>
  </si>
  <si>
    <t xml:space="preserve">GWP Annual Growth Rate</t>
  </si>
  <si>
    <t xml:space="preserve">Reinsurance Cession Rate</t>
  </si>
  <si>
    <t xml:space="preserve">Ceding Commission Rate</t>
  </si>
  <si>
    <t xml:space="preserve">UPR Factor (% of NWP)</t>
  </si>
  <si>
    <t xml:space="preserve">Claims Assumptions</t>
  </si>
  <si>
    <t xml:space="preserve">Loss Ratio (% of NEP)</t>
  </si>
  <si>
    <t xml:space="preserve">LAE Rate (% of Incurred Losses)</t>
  </si>
  <si>
    <t xml:space="preserve">Claim Payout Year 1 (Y+0)</t>
  </si>
  <si>
    <t xml:space="preserve">Claim Payout Year 2 (Y+1)</t>
  </si>
  <si>
    <t xml:space="preserve">Claim Payout Year 3 (Y+2)</t>
  </si>
  <si>
    <t xml:space="preserve">Operating Expense Assumptions</t>
  </si>
  <si>
    <t xml:space="preserve">Captive Management Fee (% GWP)</t>
  </si>
  <si>
    <t xml:space="preserve">Actuarial &amp; Consulting (% GWP)</t>
  </si>
  <si>
    <t xml:space="preserve">Audit &amp; Accounting (% GWP)</t>
  </si>
  <si>
    <t xml:space="preserve">Legal &amp; Regulatory (% GWP)</t>
  </si>
  <si>
    <t xml:space="preserve">Vermont Premium Tax (% GWP)</t>
  </si>
  <si>
    <t xml:space="preserve">Directors' Fees (% GWP)</t>
  </si>
  <si>
    <t xml:space="preserve">Investment Assumptions</t>
  </si>
  <si>
    <t xml:space="preserve">Portfolio Yield</t>
  </si>
  <si>
    <t xml:space="preserve">Tax Assumptions</t>
  </si>
  <si>
    <t xml:space="preserve">Corporate Tax Rate</t>
  </si>
  <si>
    <t xml:space="preserve">Capital &amp; Dividend Assumptions</t>
  </si>
  <si>
    <t xml:space="preserve">Initial Capital ($)</t>
  </si>
  <si>
    <t xml:space="preserve">Minimum Capital ($)</t>
  </si>
  <si>
    <t xml:space="preserve">Capital Buffer ($)</t>
  </si>
  <si>
    <t xml:space="preserve">Dividend Payout (% of Avail Surplus)</t>
  </si>
  <si>
    <t xml:space="preserve">Max Premium / Surplus Ratio</t>
  </si>
  <si>
    <t xml:space="preserve">Premium Build</t>
  </si>
  <si>
    <t xml:space="preserve">Gross Written Premium</t>
  </si>
  <si>
    <t xml:space="preserve">Gross Written Premium (GWP)</t>
  </si>
  <si>
    <t xml:space="preserve">Less: Ceded Premium</t>
  </si>
  <si>
    <t xml:space="preserve">Net Written Premium (NWP)</t>
  </si>
  <si>
    <t xml:space="preserve">Unearned Premium Reserve</t>
  </si>
  <si>
    <t xml:space="preserve">UPR Opening</t>
  </si>
  <si>
    <t xml:space="preserve">UPR Closing</t>
  </si>
  <si>
    <t xml:space="preserve">Change in UPR</t>
  </si>
  <si>
    <t xml:space="preserve">Net Earned Premium</t>
  </si>
  <si>
    <t xml:space="preserve">Net Earned Premium (NEP)</t>
  </si>
  <si>
    <t xml:space="preserve">Ceding Commission</t>
  </si>
  <si>
    <t xml:space="preserve">Ceding Commission Income</t>
  </si>
  <si>
    <t xml:space="preserve">Claims &amp; Reserves</t>
  </si>
  <si>
    <t xml:space="preserve">Incurred Claims</t>
  </si>
  <si>
    <t xml:space="preserve">Incurred Losses (Net)</t>
  </si>
  <si>
    <t xml:space="preserve">Loss Adjustment Expenses</t>
  </si>
  <si>
    <t xml:space="preserve">Total Incurred (Losses + LAE)</t>
  </si>
  <si>
    <t xml:space="preserve">Claim Payment Triangle</t>
  </si>
  <si>
    <t xml:space="preserve">Accident Year Payments</t>
  </si>
  <si>
    <t xml:space="preserve">AY1 Payments</t>
  </si>
  <si>
    <t xml:space="preserve">AY2 Payments</t>
  </si>
  <si>
    <t xml:space="preserve">AY3 Payments</t>
  </si>
  <si>
    <t xml:space="preserve">AY4 Payments</t>
  </si>
  <si>
    <t xml:space="preserve">AY5 Payments</t>
  </si>
  <si>
    <t xml:space="preserve">AY6 Payments</t>
  </si>
  <si>
    <t xml:space="preserve">Total Paid Claims</t>
  </si>
  <si>
    <t xml:space="preserve">Loss Reserves</t>
  </si>
  <si>
    <t xml:space="preserve">Reserves Opening</t>
  </si>
  <si>
    <t xml:space="preserve">Reserves Closing</t>
  </si>
  <si>
    <t xml:space="preserve">Change in Reserves</t>
  </si>
  <si>
    <t xml:space="preserve">Operating Expenses</t>
  </si>
  <si>
    <t xml:space="preserve">Captive Management Fee</t>
  </si>
  <si>
    <t xml:space="preserve">Actuarial &amp; Consulting</t>
  </si>
  <si>
    <t xml:space="preserve">Audit &amp; Accounting</t>
  </si>
  <si>
    <t xml:space="preserve">Legal &amp; Regulatory</t>
  </si>
  <si>
    <t xml:space="preserve">Vermont Premium Tax</t>
  </si>
  <si>
    <t xml:space="preserve">Directors' Fees</t>
  </si>
  <si>
    <t xml:space="preserve">Total Operating Expenses</t>
  </si>
  <si>
    <t xml:space="preserve">Capital Returns</t>
  </si>
  <si>
    <t xml:space="preserve">Available Surplus</t>
  </si>
  <si>
    <t xml:space="preserve">Prior Period Total Equity</t>
  </si>
  <si>
    <t xml:space="preserve">Less: Minimum Capital</t>
  </si>
  <si>
    <t xml:space="preserve">Less: Capital Buffer</t>
  </si>
  <si>
    <t xml:space="preserve">Dividends</t>
  </si>
  <si>
    <t xml:space="preserve">Dividend Capacity</t>
  </si>
  <si>
    <t xml:space="preserve">Prior Period Net Income</t>
  </si>
  <si>
    <t xml:space="preserve">Dividends Paid</t>
  </si>
  <si>
    <t xml:space="preserve">Cumulative Dividends</t>
  </si>
  <si>
    <t xml:space="preserve">Capital Metrics</t>
  </si>
  <si>
    <t xml:space="preserve">Premium / Surplus Ratio</t>
  </si>
  <si>
    <t xml:space="preserve">Leverage Check (&lt;=3.0x)</t>
  </si>
  <si>
    <t xml:space="preserve">Return on Equity</t>
  </si>
  <si>
    <t xml:space="preserve">Cumulative Net Income</t>
  </si>
  <si>
    <t xml:space="preserve">Payback Check</t>
  </si>
  <si>
    <t xml:space="preserve">Investment Portfolio</t>
  </si>
  <si>
    <t xml:space="preserve">Portfolio Opening</t>
  </si>
  <si>
    <t xml:space="preserve">Net Operating Cash Inflow</t>
  </si>
  <si>
    <t xml:space="preserve">Less: Dividends Paid</t>
  </si>
  <si>
    <t xml:space="preserve">Investment Income</t>
  </si>
  <si>
    <t xml:space="preserve">Portfolio Closing</t>
  </si>
  <si>
    <t xml:space="preserve">Income Statement</t>
  </si>
  <si>
    <t xml:space="preserve">Revenue</t>
  </si>
  <si>
    <t xml:space="preserve">Total Revenue</t>
  </si>
  <si>
    <t xml:space="preserve">Costs</t>
  </si>
  <si>
    <t xml:space="preserve">Incurred Losses</t>
  </si>
  <si>
    <t xml:space="preserve">Total Costs</t>
  </si>
  <si>
    <t xml:space="preserve">Underwriting Profit / (Loss)</t>
  </si>
  <si>
    <t xml:space="preserve">Profit Before Tax</t>
  </si>
  <si>
    <t xml:space="preserve">Tax</t>
  </si>
  <si>
    <t xml:space="preserve">Net Income</t>
  </si>
  <si>
    <t xml:space="preserve">Key Ratios</t>
  </si>
  <si>
    <t xml:space="preserve">Loss Ratio</t>
  </si>
  <si>
    <t xml:space="preserve">LAE Ratio</t>
  </si>
  <si>
    <t xml:space="preserve">Loss &amp; LAE Ratio</t>
  </si>
  <si>
    <t xml:space="preserve">Expense Ratio (on NEP)</t>
  </si>
  <si>
    <t xml:space="preserve">Combined Ratio</t>
  </si>
  <si>
    <t xml:space="preserve">Net Margin</t>
  </si>
  <si>
    <t xml:space="preserve">Balance Sheet</t>
  </si>
  <si>
    <t xml:space="preserve">Assets</t>
  </si>
  <si>
    <t xml:space="preserve">Cash</t>
  </si>
  <si>
    <t xml:space="preserve">Total Assets</t>
  </si>
  <si>
    <t xml:space="preserve">Liabilities</t>
  </si>
  <si>
    <t xml:space="preserve">Total Liabilities</t>
  </si>
  <si>
    <t xml:space="preserve">Equity</t>
  </si>
  <si>
    <t xml:space="preserve">Initial Capital</t>
  </si>
  <si>
    <t xml:space="preserve">Retained Earnings</t>
  </si>
  <si>
    <t xml:space="preserve">Total Equity</t>
  </si>
  <si>
    <t xml:space="preserve">Total Liabilities + Equity</t>
  </si>
  <si>
    <t xml:space="preserve">Balance Check (A - L&amp;E)</t>
  </si>
  <si>
    <t xml:space="preserve">Cash Flow Statement</t>
  </si>
  <si>
    <t xml:space="preserve">Operating Activities</t>
  </si>
  <si>
    <t xml:space="preserve">Add: Change in Loss Reserves</t>
  </si>
  <si>
    <t xml:space="preserve">Add: Change in UPR</t>
  </si>
  <si>
    <t xml:space="preserve">Cash from Operations</t>
  </si>
  <si>
    <t xml:space="preserve">Investing Activities</t>
  </si>
  <si>
    <t xml:space="preserve">Change in Investments</t>
  </si>
  <si>
    <t xml:space="preserve">Cash from Investing</t>
  </si>
  <si>
    <t xml:space="preserve">Financing Activities</t>
  </si>
  <si>
    <t xml:space="preserve">Capital Injection</t>
  </si>
  <si>
    <t xml:space="preserve">Cash from Financing</t>
  </si>
  <si>
    <t xml:space="preserve">Net Change in Cash</t>
  </si>
  <si>
    <t xml:space="preserve">Opening Cash</t>
  </si>
  <si>
    <t xml:space="preserve">Closing Cash</t>
  </si>
  <si>
    <t xml:space="preserve">Model Checks</t>
  </si>
  <si>
    <t xml:space="preserve">Integrity Checks</t>
  </si>
  <si>
    <t xml:space="preserve">BS Balances (A=L+E)</t>
  </si>
  <si>
    <t xml:space="preserve">Combined Ratio 60-110%</t>
  </si>
  <si>
    <t xml:space="preserve">N/A</t>
  </si>
  <si>
    <t xml:space="preserve">Premium/Surplus &lt;=3.0x</t>
  </si>
  <si>
    <t xml:space="preserve">Reserves Non-Negative</t>
  </si>
  <si>
    <t xml:space="preserve">PASS</t>
  </si>
  <si>
    <t xml:space="preserve">Cash Non-Negative</t>
  </si>
  <si>
    <t xml:space="preserve">NEP &lt;= GWP</t>
  </si>
  <si>
    <t xml:space="preserve">Dividends &lt;= Capacity</t>
  </si>
  <si>
    <t xml:space="preserve">ROE 0-40%</t>
  </si>
  <si>
    <t xml:space="preserve">Payout Pattern = 100%</t>
  </si>
  <si>
    <t xml:space="preserve">Reserves = Vintage Sum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</si>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</sst>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
    <numFmt numFmtId="166" formatCode="#,##0.00"/>
    <numFmt numFmtId="167" formatCode="0.00%"/>
    <numFmt numFmtId="168" formatCode="0.00\x"/>
    <numFmt numFmtId="169" formatCode="#,##0.00;\(#,##0.00\)"/>
  </numFmts>
  <fonts count="29">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u val="single"/>
      <sz val="11"/>
      <color theme="0"/>
      <name val="Arial"/>
      <family val="0"/>
      <charset val="1"/>
    </font>
    <font>
      <b val="true"/>
      <sz val="11"/>
      <color theme="0"/>
      <name val="Arial"/>
      <family val="0"/>
      <charset val="1"/>
    </font>
    <font>
      <sz val="11"/>
      <color theme="1"/>
      <name val="Arial"/>
      <family val="0"/>
      <charset val="1"/>
    </font>
    <font>
      <sz val="10"/>
      <name val="Arial"/>
      <family val="0"/>
      <charset val="1"/>
    </font>
    <font>
      <b val="true"/>
      <sz val="10"/>
      <color rgb="FF1F1F1F"/>
      <name val="Arial"/>
      <family val="0"/>
      <charset val="1"/>
    </font>
    <font>
      <sz val="10"/>
      <color rgb="FF1F1F1F"/>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sz val="10"/>
      <color theme="0"/>
      <name val="Arial"/>
      <family val="0"/>
      <charset val="1"/>
    </font>
    <font>
      <i val="true"/>
      <sz val="10"/>
      <color theme="0"/>
      <name val="Arial"/>
      <family val="0"/>
      <charset val="1"/>
    </font>
    <font>
      <sz val="10"/>
      <color rgb="FF0000CC"/>
      <name val="Arial"/>
      <family val="0"/>
      <charset val="1"/>
    </font>
    <font>
      <i val="true"/>
      <sz val="10"/>
      <color rgb="FF1F1F1F"/>
      <name val="Arial"/>
      <family val="0"/>
      <charset val="1"/>
    </font>
    <font>
      <b val="true"/>
      <sz val="10"/>
      <name val="Arial"/>
      <family val="0"/>
      <charset val="1"/>
    </font>
    <font>
      <b val="true"/>
      <sz val="10"/>
      <color rgb="FFFF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8">
    <fill>
      <patternFill patternType="none"/>
    </fill>
    <fill>
      <patternFill patternType="gray125"/>
    </fill>
    <fill>
      <patternFill patternType="solid">
        <fgColor theme="3"/>
        <bgColor rgb="FF1F4E79"/>
      </patternFill>
    </fill>
    <fill>
      <patternFill patternType="solid">
        <fgColor rgb="FFF2F2F2"/>
        <bgColor rgb="FFFFFFFF"/>
      </patternFill>
    </fill>
    <fill>
      <patternFill patternType="solid">
        <fgColor rgb="FFD6E4F0"/>
        <bgColor rgb="FFD9E2F3"/>
      </patternFill>
    </fill>
    <fill>
      <patternFill patternType="solid">
        <fgColor rgb="FFFFF2CC"/>
        <bgColor rgb="FFF2F2F2"/>
      </patternFill>
    </fill>
    <fill>
      <patternFill patternType="solid">
        <fgColor rgb="FFD9E2F3"/>
        <bgColor rgb="FFD6E4F0"/>
      </patternFill>
    </fill>
    <fill>
      <patternFill patternType="solid">
        <fgColor rgb="FF1F4E79"/>
        <bgColor rgb="FF1F497D"/>
      </patternFill>
    </fill>
  </fills>
  <borders count="2">
    <border diagonalUp="false" diagonalDown="false">
      <left/>
      <right/>
      <top/>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12" fillId="4" borderId="0" xfId="0" applyFont="true" applyBorder="false" applyAlignment="true" applyProtection="false">
      <alignment horizontal="left" vertical="center" textRotation="0" wrapText="false" indent="0" shrinkToFit="false"/>
      <protection locked="true" hidden="false"/>
    </xf>
    <xf numFmtId="164" fontId="13" fillId="4"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5" fontId="7" fillId="2" borderId="0" xfId="0" applyFont="true" applyBorder="false" applyAlignment="true" applyProtection="false">
      <alignment horizontal="center" vertical="center"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true" applyProtection="false">
      <alignment horizontal="center" vertical="center" textRotation="0" wrapText="false" indent="0" shrinkToFit="false"/>
      <protection locked="true" hidden="false"/>
    </xf>
    <xf numFmtId="164" fontId="10" fillId="3" borderId="0" xfId="0" applyFont="true" applyBorder="false" applyAlignment="true" applyProtection="false">
      <alignment horizontal="left" vertical="center" textRotation="0" wrapText="false" indent="0" shrinkToFit="false"/>
      <protection locked="true" hidden="false"/>
    </xf>
    <xf numFmtId="166" fontId="19" fillId="5" borderId="0" xfId="0" applyFont="true" applyBorder="false" applyAlignment="true" applyProtection="false">
      <alignment horizontal="right" vertical="center" textRotation="0" wrapText="false" indent="0" shrinkToFit="false"/>
      <protection locked="true" hidden="false"/>
    </xf>
    <xf numFmtId="167" fontId="19" fillId="5" borderId="0" xfId="0" applyFont="true" applyBorder="false" applyAlignment="true" applyProtection="false">
      <alignment horizontal="right" vertical="center" textRotation="0" wrapText="false" indent="0" shrinkToFit="false"/>
      <protection locked="true" hidden="false"/>
    </xf>
    <xf numFmtId="168" fontId="19" fillId="5" borderId="0" xfId="0" applyFont="true" applyBorder="false" applyAlignment="true" applyProtection="false">
      <alignment horizontal="right"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6" fontId="11"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6" fontId="10" fillId="6" borderId="0" xfId="0" applyFont="true" applyBorder="false" applyAlignment="true" applyProtection="false">
      <alignment horizontal="right" vertical="center" textRotation="0" wrapText="false" indent="0" shrinkToFit="false"/>
      <protection locked="true" hidden="false"/>
    </xf>
    <xf numFmtId="169" fontId="11" fillId="0" borderId="0" xfId="0" applyFont="true" applyBorder="false" applyAlignment="true" applyProtection="false">
      <alignment horizontal="right" vertical="center"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8" fontId="11" fillId="0" borderId="0" xfId="0" applyFont="true" applyBorder="false" applyAlignment="true" applyProtection="false">
      <alignment horizontal="right" vertical="center"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67" fontId="11" fillId="0" borderId="0" xfId="0" applyFont="true" applyBorder="false" applyAlignment="true" applyProtection="false">
      <alignment horizontal="right" vertical="center" textRotation="0" wrapText="false" indent="0" shrinkToFit="false"/>
      <protection locked="true" hidden="false"/>
    </xf>
    <xf numFmtId="164" fontId="11" fillId="0" borderId="0" xfId="0" applyFont="true" applyBorder="false" applyAlignment="true" applyProtection="false">
      <alignment horizontal="left" vertical="bottom" textRotation="0" wrapText="false" indent="1"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9" fontId="22" fillId="0" borderId="0" xfId="0" applyFont="true" applyBorder="false" applyAlignment="true" applyProtection="false">
      <alignment horizontal="right" vertical="center" textRotation="0" wrapText="false" indent="0" shrinkToFit="false"/>
      <protection locked="true" hidden="false"/>
    </xf>
    <xf numFmtId="169" fontId="10" fillId="6" borderId="0" xfId="0" applyFont="true" applyBorder="false" applyAlignment="true" applyProtection="false">
      <alignment horizontal="right" vertical="center"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13" fillId="0" borderId="1" xfId="0" applyFont="true" applyBorder="true" applyAlignment="false" applyProtection="false">
      <alignment horizontal="general" vertical="bottom" textRotation="0" wrapText="false" indent="0" shrinkToFit="false"/>
      <protection locked="true" hidden="false"/>
    </xf>
    <xf numFmtId="164" fontId="24" fillId="7" borderId="0" xfId="0" applyFont="true" applyBorder="false" applyAlignment="true" applyProtection="false">
      <alignment horizontal="left" vertical="center" textRotation="0" wrapText="false" indent="1" shrinkToFit="false"/>
      <protection locked="true" hidden="false"/>
    </xf>
    <xf numFmtId="164" fontId="25" fillId="0" borderId="0" xfId="0" applyFont="true" applyBorder="false" applyAlignment="true" applyProtection="false">
      <alignment horizontal="left" vertical="top" textRotation="0" wrapText="true" indent="1" shrinkToFit="false"/>
      <protection locked="true" hidden="false"/>
    </xf>
    <xf numFmtId="164" fontId="26"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7" fillId="3" borderId="0" xfId="0" applyFont="true" applyBorder="false" applyAlignment="true" applyProtection="false">
      <alignment horizontal="left" vertical="top" textRotation="0" wrapText="true" indent="1" shrinkToFit="false"/>
      <protection locked="true" hidden="false"/>
    </xf>
    <xf numFmtId="164" fontId="28"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bgColor rgb="FFC6EFCE"/>
        </patternFill>
      </fill>
    </dxf>
    <dxf>
      <fill>
        <patternFill>
          <bgColor rgb="FFFFC7CE"/>
        </patternFill>
      </fill>
    </dxf>
  </dxfs>
  <colors>
    <indexedColors>
      <rgbColor rgb="FF000000"/>
      <rgbColor rgb="FFFFFFFF"/>
      <rgbColor rgb="FFFF0000"/>
      <rgbColor rgb="FF00FF00"/>
      <rgbColor rgb="FF0000CC"/>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D6E4F0"/>
      <rgbColor rgb="FF660066"/>
      <rgbColor rgb="FFFF6B6B"/>
      <rgbColor rgb="FF1F4E79"/>
      <rgbColor rgb="FFBDD7EE"/>
      <rgbColor rgb="FF000080"/>
      <rgbColor rgb="FFFF00FF"/>
      <rgbColor rgb="FFFFFF00"/>
      <rgbColor rgb="FF00FFFF"/>
      <rgbColor rgb="FF800080"/>
      <rgbColor rgb="FF800000"/>
      <rgbColor rgb="FF008080"/>
      <rgbColor rgb="FF0000FF"/>
      <rgbColor rgb="FF00CCFF"/>
      <rgbColor rgb="FFF2F2F2"/>
      <rgbColor rgb="FFC6EFCE"/>
      <rgbColor rgb="FFD9E2F3"/>
      <rgbColor rgb="FFA9D18E"/>
      <rgbColor rgb="FFF4B183"/>
      <rgbColor rgb="FFCC99FF"/>
      <rgbColor rgb="FFFFC7CE"/>
      <rgbColor rgb="FF3366FF"/>
      <rgbColor rgb="FF33CCCC"/>
      <rgbColor rgb="FF99CC00"/>
      <rgbColor rgb="FFFFCC00"/>
      <rgbColor rgb="FFFF9900"/>
      <rgbColor rgb="FFFF6600"/>
      <rgbColor rgb="FF595959"/>
      <rgbColor rgb="FF969696"/>
      <rgbColor rgb="FF1F3864"/>
      <rgbColor rgb="FF339966"/>
      <rgbColor rgb="FF404040"/>
      <rgbColor rgb="FF1F1F1F"/>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3864"/>
    <pageSetUpPr fitToPage="false"/>
  </sheetPr>
  <dimension ref="A1:AD3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9"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
      <c r="C2" s="1"/>
      <c r="D2" s="3" t="s">
        <v>0</v>
      </c>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4" t="s">
        <v>1</v>
      </c>
      <c r="D3" s="4"/>
      <c r="E3" s="4"/>
      <c r="F3" s="4"/>
      <c r="G3" s="4"/>
      <c r="H3" s="4"/>
      <c r="I3" s="4"/>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5"/>
      <c r="C4" s="6" t="s">
        <v>2</v>
      </c>
      <c r="D4" s="6"/>
      <c r="E4" s="6"/>
      <c r="F4" s="6"/>
      <c r="G4" s="6"/>
      <c r="H4" s="6"/>
      <c r="I4" s="6"/>
    </row>
    <row r="5" customFormat="false" ht="15" hidden="false" customHeight="false" outlineLevel="0" collapsed="false">
      <c r="A5" s="5"/>
      <c r="B5" s="5"/>
      <c r="C5" s="5"/>
      <c r="D5" s="5"/>
      <c r="E5" s="5"/>
      <c r="F5" s="5"/>
      <c r="G5" s="5"/>
      <c r="H5" s="5"/>
      <c r="I5" s="5"/>
    </row>
    <row r="6" customFormat="false" ht="15" hidden="false" customHeight="false" outlineLevel="0" collapsed="false">
      <c r="A6" s="5"/>
      <c r="B6" s="7" t="s">
        <v>3</v>
      </c>
      <c r="C6" s="8" t="s">
        <v>4</v>
      </c>
      <c r="D6" s="5"/>
      <c r="E6" s="5"/>
      <c r="F6" s="5"/>
      <c r="G6" s="5"/>
      <c r="H6" s="5"/>
      <c r="I6" s="5"/>
    </row>
    <row r="7" customFormat="false" ht="15" hidden="false" customHeight="false" outlineLevel="0" collapsed="false">
      <c r="A7" s="5"/>
      <c r="B7" s="7" t="s">
        <v>5</v>
      </c>
      <c r="C7" s="8" t="s">
        <v>6</v>
      </c>
      <c r="D7" s="5"/>
      <c r="E7" s="5"/>
      <c r="F7" s="5"/>
      <c r="G7" s="5"/>
      <c r="H7" s="5"/>
      <c r="I7" s="5"/>
    </row>
    <row r="8" customFormat="false" ht="15" hidden="false" customHeight="false" outlineLevel="0" collapsed="false">
      <c r="A8" s="5"/>
      <c r="B8" s="7" t="s">
        <v>7</v>
      </c>
      <c r="C8" s="8" t="s">
        <v>8</v>
      </c>
      <c r="D8" s="5"/>
      <c r="E8" s="5"/>
      <c r="F8" s="5"/>
      <c r="G8" s="5"/>
      <c r="H8" s="5"/>
      <c r="I8" s="5"/>
    </row>
    <row r="9" customFormat="false" ht="15" hidden="false" customHeight="false" outlineLevel="0" collapsed="false">
      <c r="A9" s="5"/>
      <c r="B9" s="7" t="s">
        <v>9</v>
      </c>
      <c r="C9" s="8" t="s">
        <v>10</v>
      </c>
      <c r="D9" s="5"/>
      <c r="E9" s="5"/>
      <c r="F9" s="5"/>
      <c r="G9" s="5"/>
      <c r="H9" s="5"/>
      <c r="I9" s="5"/>
    </row>
    <row r="10" customFormat="false" ht="15" hidden="false" customHeight="false" outlineLevel="0" collapsed="false">
      <c r="A10" s="5"/>
      <c r="B10" s="7" t="s">
        <v>11</v>
      </c>
      <c r="C10" s="8" t="s">
        <v>12</v>
      </c>
      <c r="D10" s="5"/>
      <c r="E10" s="5"/>
      <c r="F10" s="5"/>
      <c r="G10" s="5"/>
      <c r="H10" s="5"/>
      <c r="I10" s="5"/>
    </row>
    <row r="11" customFormat="false" ht="15" hidden="false" customHeight="false" outlineLevel="0" collapsed="false">
      <c r="A11" s="5"/>
      <c r="B11" s="5"/>
      <c r="C11" s="5"/>
      <c r="D11" s="5"/>
      <c r="E11" s="5"/>
      <c r="F11" s="5"/>
      <c r="G11" s="5"/>
      <c r="H11" s="5"/>
      <c r="I11" s="5"/>
    </row>
    <row r="12" customFormat="false" ht="15" hidden="false" customHeight="false" outlineLevel="0" collapsed="false">
      <c r="A12" s="5"/>
      <c r="B12" s="5"/>
      <c r="C12" s="5"/>
      <c r="D12" s="5"/>
      <c r="E12" s="5"/>
      <c r="F12" s="5"/>
      <c r="G12" s="5"/>
      <c r="H12" s="5"/>
      <c r="I12" s="5"/>
    </row>
    <row r="13" customFormat="false" ht="15" hidden="false" customHeight="false" outlineLevel="0" collapsed="false">
      <c r="A13" s="5"/>
      <c r="B13" s="9" t="s">
        <v>13</v>
      </c>
      <c r="C13" s="10"/>
      <c r="D13" s="10"/>
      <c r="E13" s="10"/>
      <c r="F13" s="10"/>
      <c r="G13" s="10"/>
      <c r="H13" s="10"/>
      <c r="I13" s="10"/>
    </row>
    <row r="14" customFormat="false" ht="15" hidden="false" customHeight="false" outlineLevel="0" collapsed="false">
      <c r="A14" s="5"/>
      <c r="B14" s="7" t="s">
        <v>14</v>
      </c>
      <c r="C14" s="8" t="s">
        <v>15</v>
      </c>
      <c r="D14" s="5"/>
      <c r="E14" s="5"/>
      <c r="F14" s="5"/>
      <c r="G14" s="5"/>
      <c r="H14" s="5"/>
      <c r="I14" s="5"/>
    </row>
    <row r="15" customFormat="false" ht="15" hidden="false" customHeight="false" outlineLevel="0" collapsed="false">
      <c r="A15" s="5"/>
      <c r="B15" s="7" t="s">
        <v>16</v>
      </c>
      <c r="C15" s="8" t="s">
        <v>17</v>
      </c>
      <c r="D15" s="5"/>
      <c r="E15" s="5"/>
      <c r="F15" s="5"/>
      <c r="G15" s="5"/>
      <c r="H15" s="5"/>
      <c r="I15" s="5"/>
    </row>
    <row r="16" customFormat="false" ht="15" hidden="false" customHeight="false" outlineLevel="0" collapsed="false">
      <c r="A16" s="5"/>
      <c r="B16" s="7" t="s">
        <v>18</v>
      </c>
      <c r="C16" s="8" t="s">
        <v>19</v>
      </c>
      <c r="D16" s="5"/>
      <c r="E16" s="5"/>
      <c r="F16" s="5"/>
      <c r="G16" s="5"/>
      <c r="H16" s="5"/>
      <c r="I16" s="5"/>
    </row>
    <row r="17" customFormat="false" ht="15" hidden="false" customHeight="false" outlineLevel="0" collapsed="false">
      <c r="A17" s="5"/>
      <c r="B17" s="7" t="s">
        <v>20</v>
      </c>
      <c r="C17" s="8" t="s">
        <v>21</v>
      </c>
      <c r="D17" s="5"/>
      <c r="E17" s="5"/>
      <c r="F17" s="5"/>
      <c r="G17" s="5"/>
      <c r="H17" s="5"/>
      <c r="I17" s="5"/>
    </row>
    <row r="18" customFormat="false" ht="15" hidden="false" customHeight="false" outlineLevel="0" collapsed="false">
      <c r="A18" s="5"/>
      <c r="B18" s="7" t="s">
        <v>22</v>
      </c>
      <c r="C18" s="8" t="s">
        <v>23</v>
      </c>
      <c r="D18" s="5"/>
      <c r="E18" s="5"/>
      <c r="F18" s="5"/>
      <c r="G18" s="5"/>
      <c r="H18" s="5"/>
      <c r="I18" s="5"/>
    </row>
    <row r="19" customFormat="false" ht="15" hidden="false" customHeight="false" outlineLevel="0" collapsed="false">
      <c r="A19" s="5"/>
      <c r="B19" s="7" t="s">
        <v>24</v>
      </c>
      <c r="C19" s="8" t="s">
        <v>25</v>
      </c>
      <c r="D19" s="5"/>
      <c r="E19" s="5"/>
      <c r="F19" s="5"/>
      <c r="G19" s="5"/>
      <c r="H19" s="5"/>
      <c r="I19" s="5"/>
    </row>
    <row r="20" customFormat="false" ht="15" hidden="false" customHeight="false" outlineLevel="0" collapsed="false">
      <c r="A20" s="5"/>
      <c r="B20" s="7" t="s">
        <v>26</v>
      </c>
      <c r="C20" s="8" t="s">
        <v>27</v>
      </c>
      <c r="D20" s="5"/>
      <c r="E20" s="5"/>
      <c r="F20" s="5"/>
      <c r="G20" s="5"/>
      <c r="H20" s="5"/>
      <c r="I20" s="5"/>
    </row>
    <row r="21" customFormat="false" ht="15" hidden="false" customHeight="false" outlineLevel="0" collapsed="false">
      <c r="A21" s="5"/>
      <c r="B21" s="7" t="s">
        <v>28</v>
      </c>
      <c r="C21" s="8" t="s">
        <v>29</v>
      </c>
      <c r="D21" s="5"/>
      <c r="E21" s="5"/>
      <c r="F21" s="5"/>
      <c r="G21" s="5"/>
      <c r="H21" s="5"/>
      <c r="I21" s="5"/>
    </row>
    <row r="22" customFormat="false" ht="15" hidden="false" customHeight="false" outlineLevel="0" collapsed="false">
      <c r="A22" s="5"/>
      <c r="B22" s="7" t="s">
        <v>30</v>
      </c>
      <c r="C22" s="8" t="s">
        <v>31</v>
      </c>
      <c r="D22" s="5"/>
      <c r="E22" s="5"/>
      <c r="F22" s="5"/>
      <c r="G22" s="5"/>
      <c r="H22" s="5"/>
      <c r="I22" s="5"/>
    </row>
    <row r="23" customFormat="false" ht="15" hidden="false" customHeight="false" outlineLevel="0" collapsed="false">
      <c r="A23" s="5"/>
      <c r="B23" s="7" t="s">
        <v>32</v>
      </c>
      <c r="C23" s="8" t="s">
        <v>33</v>
      </c>
      <c r="D23" s="5"/>
      <c r="E23" s="5"/>
      <c r="F23" s="5"/>
      <c r="G23" s="5"/>
      <c r="H23" s="5"/>
      <c r="I23" s="5"/>
    </row>
    <row r="26" customFormat="false" ht="19.5" hidden="false" customHeight="true" outlineLevel="0" collapsed="false">
      <c r="B26" s="11" t="s">
        <v>34</v>
      </c>
      <c r="C26" s="12"/>
      <c r="D26" s="12"/>
      <c r="E26" s="12"/>
      <c r="F26" s="12"/>
      <c r="G26" s="12"/>
    </row>
    <row r="27" customFormat="false" ht="246" hidden="false" customHeight="true" outlineLevel="0" collapsed="false">
      <c r="B27" s="13" t="s">
        <v>35</v>
      </c>
      <c r="C27" s="13"/>
      <c r="D27" s="13"/>
      <c r="E27" s="13"/>
      <c r="F27" s="13"/>
      <c r="G27" s="13"/>
    </row>
    <row r="29" customFormat="false" ht="19.5" hidden="false" customHeight="true" outlineLevel="0" collapsed="false">
      <c r="B29" s="11" t="s">
        <v>36</v>
      </c>
      <c r="C29" s="12"/>
      <c r="D29" s="12"/>
      <c r="E29" s="12"/>
      <c r="F29" s="12"/>
      <c r="G29" s="12"/>
    </row>
    <row r="30" customFormat="false" ht="57" hidden="false" customHeight="true" outlineLevel="0" collapsed="false">
      <c r="B30" s="13" t="s">
        <v>37</v>
      </c>
      <c r="C30" s="13"/>
      <c r="D30" s="13"/>
      <c r="E30" s="13"/>
      <c r="F30" s="13"/>
      <c r="G30" s="13"/>
    </row>
    <row r="31" customFormat="false" ht="15" hidden="false" customHeight="false" outlineLevel="0" collapsed="false">
      <c r="B31" s="14" t="s">
        <v>38</v>
      </c>
      <c r="C31" s="14"/>
      <c r="D31" s="14"/>
      <c r="E31" s="14"/>
      <c r="F31" s="14"/>
      <c r="G31" s="14"/>
    </row>
    <row r="32" customFormat="false" ht="15" hidden="false" customHeight="false" outlineLevel="0" collapsed="false">
      <c r="B32" s="15" t="s">
        <v>39</v>
      </c>
    </row>
  </sheetData>
  <mergeCells count="5">
    <mergeCell ref="C3:I3"/>
    <mergeCell ref="C4:I4"/>
    <mergeCell ref="B27:G27"/>
    <mergeCell ref="B30:G30"/>
    <mergeCell ref="B31:G31"/>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0CECE"/>
    <pageSetUpPr fitToPage="false"/>
  </sheetPr>
  <dimension ref="A1:AD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9"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6" t="s">
        <v>167</v>
      </c>
      <c r="C2" s="17" t="s">
        <v>40</v>
      </c>
      <c r="D2" s="17" t="s">
        <v>41</v>
      </c>
      <c r="E2" s="17" t="s">
        <v>42</v>
      </c>
      <c r="F2" s="17" t="s">
        <v>43</v>
      </c>
      <c r="G2" s="17" t="s">
        <v>44</v>
      </c>
      <c r="H2" s="17" t="s">
        <v>45</v>
      </c>
      <c r="I2" s="17" t="s">
        <v>46</v>
      </c>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9" t="s">
        <v>47</v>
      </c>
      <c r="D3" s="19" t="s">
        <v>41</v>
      </c>
      <c r="E3" s="19" t="s">
        <v>42</v>
      </c>
      <c r="F3" s="19" t="s">
        <v>43</v>
      </c>
      <c r="G3" s="19" t="s">
        <v>44</v>
      </c>
      <c r="H3" s="19" t="s">
        <v>45</v>
      </c>
      <c r="I3" s="19" t="s">
        <v>46</v>
      </c>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20" t="s">
        <v>168</v>
      </c>
      <c r="C5" s="10"/>
      <c r="D5" s="10"/>
      <c r="E5" s="10"/>
      <c r="F5" s="10"/>
      <c r="G5" s="10"/>
      <c r="H5" s="10"/>
      <c r="I5" s="10"/>
    </row>
    <row r="6" customFormat="false" ht="15" hidden="false" customHeight="false" outlineLevel="0" collapsed="false">
      <c r="A6" s="5"/>
      <c r="B6" s="30" t="s">
        <v>147</v>
      </c>
      <c r="C6" s="25" t="n">
        <v>0</v>
      </c>
      <c r="D6" s="25" t="n">
        <f aca="false">IS_Net_Income</f>
        <v>287978.7</v>
      </c>
      <c r="E6" s="25" t="n">
        <f aca="false">IS_Net_Income</f>
        <v>1455601.102785</v>
      </c>
      <c r="F6" s="25" t="n">
        <f aca="false">IS_Net_Income</f>
        <v>1638775.40720401</v>
      </c>
      <c r="G6" s="25" t="n">
        <f aca="false">IS_Net_Income</f>
        <v>1740657.5231261</v>
      </c>
      <c r="H6" s="25" t="n">
        <f aca="false">IS_Net_Income</f>
        <v>1825533.61808018</v>
      </c>
      <c r="I6" s="25" t="n">
        <f aca="false">IS_Net_Income</f>
        <v>1914322.10981134</v>
      </c>
    </row>
    <row r="7" customFormat="false" ht="15" hidden="false" customHeight="false" outlineLevel="0" collapsed="false">
      <c r="A7" s="5"/>
      <c r="B7" s="30" t="s">
        <v>169</v>
      </c>
      <c r="C7" s="28" t="n">
        <v>0</v>
      </c>
      <c r="D7" s="28" t="n">
        <f aca="false">CR_Reserves_Chg</f>
        <v>1501500</v>
      </c>
      <c r="E7" s="28" t="n">
        <f aca="false">CR_Reserves_Chg</f>
        <v>2177175</v>
      </c>
      <c r="F7" s="28" t="n">
        <f aca="false">CR_Reserves_Chg</f>
        <v>784533.75</v>
      </c>
      <c r="G7" s="28" t="n">
        <f aca="false">CR_Reserves_Chg</f>
        <v>223160.437500001</v>
      </c>
      <c r="H7" s="28" t="n">
        <f aca="false">CR_Reserves_Chg</f>
        <v>234318.459375002</v>
      </c>
      <c r="I7" s="28" t="n">
        <f aca="false">CR_Reserves_Chg</f>
        <v>246034.38234375</v>
      </c>
    </row>
    <row r="8" customFormat="false" ht="15" hidden="false" customHeight="false" outlineLevel="0" collapsed="false">
      <c r="A8" s="5"/>
      <c r="B8" s="30" t="s">
        <v>170</v>
      </c>
      <c r="C8" s="28" t="n">
        <v>0</v>
      </c>
      <c r="D8" s="28" t="n">
        <f aca="false">PB_UPR_Chg</f>
        <v>4200000</v>
      </c>
      <c r="E8" s="28" t="n">
        <f aca="false">PB_UPR_Chg</f>
        <v>210000</v>
      </c>
      <c r="F8" s="28" t="n">
        <f aca="false">PB_UPR_Chg</f>
        <v>220500.000000001</v>
      </c>
      <c r="G8" s="28" t="n">
        <f aca="false">PB_UPR_Chg</f>
        <v>231525</v>
      </c>
      <c r="H8" s="28" t="n">
        <f aca="false">PB_UPR_Chg</f>
        <v>243101.250000001</v>
      </c>
      <c r="I8" s="28" t="n">
        <f aca="false">PB_UPR_Chg</f>
        <v>255256.3125</v>
      </c>
    </row>
    <row r="9" customFormat="false" ht="15" hidden="false" customHeight="false" outlineLevel="0" collapsed="false">
      <c r="A9" s="5"/>
      <c r="B9" s="26" t="s">
        <v>171</v>
      </c>
      <c r="C9" s="27" t="n">
        <v>0</v>
      </c>
      <c r="D9" s="27" t="n">
        <f aca="false">D6+D7+D8</f>
        <v>5989478.7</v>
      </c>
      <c r="E9" s="27" t="n">
        <f aca="false">E6+E7+E8</f>
        <v>3842776.102785</v>
      </c>
      <c r="F9" s="27" t="n">
        <f aca="false">F6+F7+F8</f>
        <v>2643809.15720401</v>
      </c>
      <c r="G9" s="27" t="n">
        <f aca="false">G6+G7+G8</f>
        <v>2195342.9606261</v>
      </c>
      <c r="H9" s="27" t="n">
        <f aca="false">H6+H7+H8</f>
        <v>2302953.32745519</v>
      </c>
      <c r="I9" s="27" t="n">
        <f aca="false">I6+I7+I8</f>
        <v>2415612.80465509</v>
      </c>
    </row>
    <row r="10" customFormat="false" ht="15" hidden="false" customHeight="false" outlineLevel="0" collapsed="false">
      <c r="A10" s="5"/>
      <c r="B10" s="5"/>
      <c r="C10" s="5"/>
      <c r="D10" s="5"/>
      <c r="E10" s="5"/>
      <c r="F10" s="5"/>
      <c r="G10" s="5"/>
      <c r="H10" s="5"/>
      <c r="I10" s="5"/>
    </row>
    <row r="11" customFormat="false" ht="15" hidden="false" customHeight="false" outlineLevel="0" collapsed="false">
      <c r="A11" s="5"/>
      <c r="B11" s="20" t="s">
        <v>172</v>
      </c>
      <c r="C11" s="10"/>
      <c r="D11" s="10"/>
      <c r="E11" s="10"/>
      <c r="F11" s="10"/>
      <c r="G11" s="10"/>
      <c r="H11" s="10"/>
      <c r="I11" s="10"/>
    </row>
    <row r="12" customFormat="false" ht="15" hidden="false" customHeight="false" outlineLevel="0" collapsed="false">
      <c r="A12" s="5"/>
      <c r="B12" s="34" t="s">
        <v>173</v>
      </c>
      <c r="C12" s="28" t="n">
        <f aca="false">-Investments!C10</f>
        <v>-3000000</v>
      </c>
      <c r="D12" s="28" t="n">
        <f aca="false">-(Investments!D10-Investments!C10)</f>
        <v>-5989478.7</v>
      </c>
      <c r="E12" s="28" t="n">
        <f aca="false">-(Investments!E10-Investments!D10)</f>
        <v>-3554797.402785</v>
      </c>
      <c r="F12" s="28" t="n">
        <f aca="false">-(Investments!F10-Investments!E10)</f>
        <v>-1188208.05441901</v>
      </c>
      <c r="G12" s="28" t="n">
        <f aca="false">-(Investments!G10-Investments!F10)</f>
        <v>-625955.2570241</v>
      </c>
      <c r="H12" s="28" t="n">
        <f aca="false">-(Investments!H10-Investments!G10)</f>
        <v>-647930.714091133</v>
      </c>
      <c r="I12" s="28" t="n">
        <f aca="false">-(Investments!I10-Investments!H10)</f>
        <v>-675334.688932976</v>
      </c>
    </row>
    <row r="13" customFormat="false" ht="15" hidden="false" customHeight="false" outlineLevel="0" collapsed="false">
      <c r="A13" s="5"/>
      <c r="B13" s="26" t="s">
        <v>174</v>
      </c>
      <c r="C13" s="27" t="n">
        <f aca="false">C12</f>
        <v>-3000000</v>
      </c>
      <c r="D13" s="27" t="n">
        <f aca="false">D12</f>
        <v>-5989478.7</v>
      </c>
      <c r="E13" s="27" t="n">
        <f aca="false">E12</f>
        <v>-3554797.402785</v>
      </c>
      <c r="F13" s="27" t="n">
        <f aca="false">F12</f>
        <v>-1188208.05441901</v>
      </c>
      <c r="G13" s="27" t="n">
        <f aca="false">G12</f>
        <v>-625955.2570241</v>
      </c>
      <c r="H13" s="27" t="n">
        <f aca="false">H12</f>
        <v>-647930.714091133</v>
      </c>
      <c r="I13" s="27" t="n">
        <f aca="false">I12</f>
        <v>-675334.688932976</v>
      </c>
    </row>
    <row r="14" customFormat="false" ht="15" hidden="false" customHeight="false" outlineLevel="0" collapsed="false">
      <c r="A14" s="5"/>
      <c r="B14" s="5"/>
      <c r="C14" s="5"/>
      <c r="D14" s="5"/>
      <c r="E14" s="5"/>
      <c r="F14" s="5"/>
      <c r="G14" s="5"/>
      <c r="H14" s="5"/>
      <c r="I14" s="5"/>
    </row>
    <row r="15" customFormat="false" ht="15" hidden="false" customHeight="false" outlineLevel="0" collapsed="false">
      <c r="A15" s="5"/>
      <c r="B15" s="20" t="s">
        <v>175</v>
      </c>
      <c r="C15" s="10"/>
      <c r="D15" s="10"/>
      <c r="E15" s="10"/>
      <c r="F15" s="10"/>
      <c r="G15" s="10"/>
      <c r="H15" s="10"/>
      <c r="I15" s="10"/>
    </row>
    <row r="16" customFormat="false" ht="15" hidden="false" customHeight="false" outlineLevel="0" collapsed="false">
      <c r="A16" s="5"/>
      <c r="B16" s="30" t="s">
        <v>176</v>
      </c>
      <c r="C16" s="25" t="n">
        <f aca="false">Initial_Capital</f>
        <v>3000000</v>
      </c>
      <c r="D16" s="25" t="n">
        <v>0</v>
      </c>
      <c r="E16" s="25" t="n">
        <v>0</v>
      </c>
      <c r="F16" s="25" t="n">
        <v>0</v>
      </c>
      <c r="G16" s="25" t="n">
        <v>0</v>
      </c>
      <c r="H16" s="25" t="n">
        <v>0</v>
      </c>
      <c r="I16" s="25" t="n">
        <v>0</v>
      </c>
    </row>
    <row r="17" customFormat="false" ht="15" hidden="false" customHeight="false" outlineLevel="0" collapsed="false">
      <c r="A17" s="5"/>
      <c r="B17" s="30" t="s">
        <v>124</v>
      </c>
      <c r="C17" s="28" t="n">
        <v>0</v>
      </c>
      <c r="D17" s="28" t="n">
        <f aca="false">-CAP_Div_Paid</f>
        <v>-0</v>
      </c>
      <c r="E17" s="28" t="n">
        <f aca="false">-CAP_Div_Paid</f>
        <v>-287978.7</v>
      </c>
      <c r="F17" s="28" t="n">
        <f aca="false">-CAP_Div_Paid</f>
        <v>-1455601.102785</v>
      </c>
      <c r="G17" s="28" t="n">
        <f aca="false">-CAP_Div_Paid</f>
        <v>-1569387.703602</v>
      </c>
      <c r="H17" s="28" t="n">
        <f aca="false">-CAP_Div_Paid</f>
        <v>-1655022.61336405</v>
      </c>
      <c r="I17" s="28" t="n">
        <f aca="false">-CAP_Div_Paid</f>
        <v>-1740278.11572212</v>
      </c>
    </row>
    <row r="18" customFormat="false" ht="15" hidden="false" customHeight="false" outlineLevel="0" collapsed="false">
      <c r="A18" s="5"/>
      <c r="B18" s="26" t="s">
        <v>177</v>
      </c>
      <c r="C18" s="27" t="n">
        <f aca="false">C16+C17</f>
        <v>3000000</v>
      </c>
      <c r="D18" s="27" t="n">
        <f aca="false">D16+D17</f>
        <v>0</v>
      </c>
      <c r="E18" s="27" t="n">
        <f aca="false">E16+E17</f>
        <v>-287978.7</v>
      </c>
      <c r="F18" s="27" t="n">
        <f aca="false">F16+F17</f>
        <v>-1455601.102785</v>
      </c>
      <c r="G18" s="27" t="n">
        <f aca="false">G16+G17</f>
        <v>-1569387.703602</v>
      </c>
      <c r="H18" s="27" t="n">
        <f aca="false">H16+H17</f>
        <v>-1655022.61336405</v>
      </c>
      <c r="I18" s="27" t="n">
        <f aca="false">I16+I17</f>
        <v>-1740278.11572212</v>
      </c>
    </row>
    <row r="19" customFormat="false" ht="15" hidden="false" customHeight="false" outlineLevel="0" collapsed="false">
      <c r="A19" s="5"/>
      <c r="B19" s="5"/>
      <c r="C19" s="5"/>
      <c r="D19" s="5"/>
      <c r="E19" s="5"/>
      <c r="F19" s="5"/>
      <c r="G19" s="5"/>
      <c r="H19" s="5"/>
      <c r="I19" s="5"/>
    </row>
    <row r="20" customFormat="false" ht="15" hidden="false" customHeight="false" outlineLevel="0" collapsed="false">
      <c r="A20" s="5"/>
      <c r="B20" s="26" t="s">
        <v>178</v>
      </c>
      <c r="C20" s="37" t="n">
        <f aca="false">C9+C13+C18</f>
        <v>0</v>
      </c>
      <c r="D20" s="37" t="n">
        <f aca="false">D9+D13+D18</f>
        <v>0</v>
      </c>
      <c r="E20" s="37" t="n">
        <f aca="false">E9+E13+E18</f>
        <v>-1.68802216649055E-009</v>
      </c>
      <c r="F20" s="37" t="n">
        <f aca="false">F9+F13+F18</f>
        <v>0</v>
      </c>
      <c r="G20" s="37" t="n">
        <f aca="false">G9+G13+G18</f>
        <v>0</v>
      </c>
      <c r="H20" s="37" t="n">
        <f aca="false">H9+H13+H18</f>
        <v>0</v>
      </c>
      <c r="I20" s="37" t="n">
        <f aca="false">I9+I13+I18</f>
        <v>0</v>
      </c>
    </row>
    <row r="21" customFormat="false" ht="15" hidden="false" customHeight="false" outlineLevel="0" collapsed="false">
      <c r="A21" s="5"/>
      <c r="B21" s="24" t="s">
        <v>179</v>
      </c>
      <c r="C21" s="25" t="n">
        <v>0</v>
      </c>
      <c r="D21" s="25" t="n">
        <f aca="false">C22</f>
        <v>0</v>
      </c>
      <c r="E21" s="25" t="n">
        <f aca="false">D22</f>
        <v>0</v>
      </c>
      <c r="F21" s="25" t="n">
        <f aca="false">E22</f>
        <v>-1.68802216649055E-009</v>
      </c>
      <c r="G21" s="25" t="n">
        <f aca="false">F22</f>
        <v>-1.68802216649055E-009</v>
      </c>
      <c r="H21" s="25" t="n">
        <f aca="false">G22</f>
        <v>-1.68802216649055E-009</v>
      </c>
      <c r="I21" s="25" t="n">
        <f aca="false">H22</f>
        <v>-1.68802216649055E-009</v>
      </c>
    </row>
    <row r="22" customFormat="false" ht="15" hidden="false" customHeight="false" outlineLevel="0" collapsed="false">
      <c r="A22" s="5"/>
      <c r="B22" s="26" t="s">
        <v>180</v>
      </c>
      <c r="C22" s="27" t="n">
        <f aca="false">C21+C20</f>
        <v>0</v>
      </c>
      <c r="D22" s="27" t="n">
        <f aca="false">D21+D20</f>
        <v>0</v>
      </c>
      <c r="E22" s="27" t="n">
        <f aca="false">E21+E20</f>
        <v>-1.68802216649055E-009</v>
      </c>
      <c r="F22" s="27" t="n">
        <f aca="false">F21+F20</f>
        <v>-1.68802216649055E-009</v>
      </c>
      <c r="G22" s="27" t="n">
        <f aca="false">G21+G20</f>
        <v>-1.68802216649055E-009</v>
      </c>
      <c r="H22" s="27" t="n">
        <f aca="false">H21+H20</f>
        <v>-1.68802216649055E-009</v>
      </c>
      <c r="I22" s="27" t="n">
        <f aca="false">I21+I20</f>
        <v>-1.68802216649055E-009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6B6B"/>
    <pageSetUpPr fitToPage="false"/>
  </sheetPr>
  <dimension ref="A1:AD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9"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6" t="s">
        <v>181</v>
      </c>
      <c r="C2" s="17" t="s">
        <v>40</v>
      </c>
      <c r="D2" s="17" t="s">
        <v>41</v>
      </c>
      <c r="E2" s="17" t="s">
        <v>42</v>
      </c>
      <c r="F2" s="17" t="s">
        <v>43</v>
      </c>
      <c r="G2" s="17" t="s">
        <v>44</v>
      </c>
      <c r="H2" s="17" t="s">
        <v>45</v>
      </c>
      <c r="I2" s="17" t="s">
        <v>46</v>
      </c>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9" t="s">
        <v>47</v>
      </c>
      <c r="D3" s="19" t="s">
        <v>41</v>
      </c>
      <c r="E3" s="19" t="s">
        <v>42</v>
      </c>
      <c r="F3" s="19" t="s">
        <v>43</v>
      </c>
      <c r="G3" s="19" t="s">
        <v>44</v>
      </c>
      <c r="H3" s="19" t="s">
        <v>45</v>
      </c>
      <c r="I3" s="19" t="s">
        <v>46</v>
      </c>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20" t="s">
        <v>182</v>
      </c>
      <c r="C5" s="10"/>
      <c r="D5" s="10"/>
      <c r="E5" s="10"/>
      <c r="F5" s="10"/>
      <c r="G5" s="10"/>
      <c r="H5" s="10"/>
      <c r="I5" s="10"/>
    </row>
    <row r="6" customFormat="false" ht="15" hidden="false" customHeight="false" outlineLevel="0" collapsed="false">
      <c r="A6" s="5"/>
      <c r="B6" s="38" t="s">
        <v>183</v>
      </c>
      <c r="C6" s="32" t="str">
        <f aca="false">IF(ABS(Balance_Sheet!C21)&lt;0.01,"PASS","FAIL")</f>
        <v>PASS</v>
      </c>
      <c r="D6" s="32" t="str">
        <f aca="false">IF(ABS(BS_Balance_Check)&lt;0.01,"PASS","FAIL")</f>
        <v>PASS</v>
      </c>
      <c r="E6" s="32" t="str">
        <f aca="false">IF(ABS(BS_Balance_Check)&lt;0.01,"PASS","FAIL")</f>
        <v>PASS</v>
      </c>
      <c r="F6" s="32" t="str">
        <f aca="false">IF(ABS(BS_Balance_Check)&lt;0.01,"PASS","FAIL")</f>
        <v>PASS</v>
      </c>
      <c r="G6" s="32" t="str">
        <f aca="false">IF(ABS(BS_Balance_Check)&lt;0.01,"PASS","FAIL")</f>
        <v>PASS</v>
      </c>
      <c r="H6" s="32" t="str">
        <f aca="false">IF(ABS(BS_Balance_Check)&lt;0.01,"PASS","FAIL")</f>
        <v>PASS</v>
      </c>
      <c r="I6" s="32" t="str">
        <f aca="false">IF(ABS(BS_Balance_Check)&lt;0.01,"PASS","FAIL")</f>
        <v>PASS</v>
      </c>
    </row>
    <row r="7" customFormat="false" ht="15" hidden="false" customHeight="false" outlineLevel="0" collapsed="false">
      <c r="A7" s="5"/>
      <c r="B7" s="38" t="s">
        <v>184</v>
      </c>
      <c r="C7" s="32" t="s">
        <v>185</v>
      </c>
      <c r="D7" s="32" t="str">
        <f aca="false">IF(IS_Combined_Ratio="","N/A",IF(AND(IS_Combined_Ratio&gt;=0.6,IS_Combined_Ratio&lt;=1.1),"PASS","FAIL"))</f>
        <v>PASS</v>
      </c>
      <c r="E7" s="32" t="str">
        <f aca="false">IF(IS_Combined_Ratio="","N/A",IF(AND(IS_Combined_Ratio&gt;=0.6,IS_Combined_Ratio&lt;=1.1),"PASS","FAIL"))</f>
        <v>PASS</v>
      </c>
      <c r="F7" s="32" t="str">
        <f aca="false">IF(IS_Combined_Ratio="","N/A",IF(AND(IS_Combined_Ratio&gt;=0.6,IS_Combined_Ratio&lt;=1.1),"PASS","FAIL"))</f>
        <v>PASS</v>
      </c>
      <c r="G7" s="32" t="str">
        <f aca="false">IF(IS_Combined_Ratio="","N/A",IF(AND(IS_Combined_Ratio&gt;=0.6,IS_Combined_Ratio&lt;=1.1),"PASS","FAIL"))</f>
        <v>PASS</v>
      </c>
      <c r="H7" s="32" t="str">
        <f aca="false">IF(IS_Combined_Ratio="","N/A",IF(AND(IS_Combined_Ratio&gt;=0.6,IS_Combined_Ratio&lt;=1.1),"PASS","FAIL"))</f>
        <v>PASS</v>
      </c>
      <c r="I7" s="32" t="str">
        <f aca="false">IF(IS_Combined_Ratio="","N/A",IF(AND(IS_Combined_Ratio&gt;=0.6,IS_Combined_Ratio&lt;=1.1),"PASS","FAIL"))</f>
        <v>PASS</v>
      </c>
    </row>
    <row r="8" customFormat="false" ht="15" hidden="false" customHeight="false" outlineLevel="0" collapsed="false">
      <c r="A8" s="5"/>
      <c r="B8" s="38" t="s">
        <v>186</v>
      </c>
      <c r="C8" s="32" t="s">
        <v>185</v>
      </c>
      <c r="D8" s="32" t="str">
        <f aca="false">IF(CAP_Prem_Surplus="","N/A",IF(CAP_Prem_Surplus&lt;=Max_Prem_Surplus,"PASS","FAIL"))</f>
        <v>PASS</v>
      </c>
      <c r="E8" s="32" t="str">
        <f aca="false">IF(CAP_Prem_Surplus="","N/A",IF(CAP_Prem_Surplus&lt;=Max_Prem_Surplus,"PASS","FAIL"))</f>
        <v>PASS</v>
      </c>
      <c r="F8" s="32" t="str">
        <f aca="false">IF(CAP_Prem_Surplus="","N/A",IF(CAP_Prem_Surplus&lt;=Max_Prem_Surplus,"PASS","FAIL"))</f>
        <v>PASS</v>
      </c>
      <c r="G8" s="32" t="str">
        <f aca="false">IF(CAP_Prem_Surplus="","N/A",IF(CAP_Prem_Surplus&lt;=Max_Prem_Surplus,"PASS","FAIL"))</f>
        <v>PASS</v>
      </c>
      <c r="H8" s="32" t="str">
        <f aca="false">IF(CAP_Prem_Surplus="","N/A",IF(CAP_Prem_Surplus&lt;=Max_Prem_Surplus,"PASS","FAIL"))</f>
        <v>PASS</v>
      </c>
      <c r="I8" s="32" t="str">
        <f aca="false">IF(CAP_Prem_Surplus="","N/A",IF(CAP_Prem_Surplus&lt;=Max_Prem_Surplus,"PASS","FAIL"))</f>
        <v>PASS</v>
      </c>
    </row>
    <row r="9" customFormat="false" ht="15" hidden="false" customHeight="false" outlineLevel="0" collapsed="false">
      <c r="A9" s="5"/>
      <c r="B9" s="38" t="s">
        <v>187</v>
      </c>
      <c r="C9" s="32" t="s">
        <v>188</v>
      </c>
      <c r="D9" s="32" t="str">
        <f aca="false">IF(CR_Reserves_Close&gt;=0,"PASS","FAIL")</f>
        <v>PASS</v>
      </c>
      <c r="E9" s="32" t="str">
        <f aca="false">IF(CR_Reserves_Close&gt;=0,"PASS","FAIL")</f>
        <v>PASS</v>
      </c>
      <c r="F9" s="32" t="str">
        <f aca="false">IF(CR_Reserves_Close&gt;=0,"PASS","FAIL")</f>
        <v>PASS</v>
      </c>
      <c r="G9" s="32" t="str">
        <f aca="false">IF(CR_Reserves_Close&gt;=0,"PASS","FAIL")</f>
        <v>PASS</v>
      </c>
      <c r="H9" s="32" t="str">
        <f aca="false">IF(CR_Reserves_Close&gt;=0,"PASS","FAIL")</f>
        <v>PASS</v>
      </c>
      <c r="I9" s="32" t="str">
        <f aca="false">IF(CR_Reserves_Close&gt;=0,"PASS","FAIL")</f>
        <v>PASS</v>
      </c>
    </row>
    <row r="10" customFormat="false" ht="15" hidden="false" customHeight="false" outlineLevel="0" collapsed="false">
      <c r="A10" s="5"/>
      <c r="B10" s="38" t="s">
        <v>189</v>
      </c>
      <c r="C10" s="32" t="s">
        <v>188</v>
      </c>
      <c r="D10" s="32" t="str">
        <f aca="false">IF(CF_Close_Cash&gt;=-0.01,"PASS","FAIL")</f>
        <v>PASS</v>
      </c>
      <c r="E10" s="32" t="str">
        <f aca="false">IF(CF_Close_Cash&gt;=-0.01,"PASS","FAIL")</f>
        <v>PASS</v>
      </c>
      <c r="F10" s="32" t="str">
        <f aca="false">IF(CF_Close_Cash&gt;=-0.01,"PASS","FAIL")</f>
        <v>PASS</v>
      </c>
      <c r="G10" s="32" t="str">
        <f aca="false">IF(CF_Close_Cash&gt;=-0.01,"PASS","FAIL")</f>
        <v>PASS</v>
      </c>
      <c r="H10" s="32" t="str">
        <f aca="false">IF(CF_Close_Cash&gt;=-0.01,"PASS","FAIL")</f>
        <v>PASS</v>
      </c>
      <c r="I10" s="32" t="str">
        <f aca="false">IF(CF_Close_Cash&gt;=-0.01,"PASS","FAIL")</f>
        <v>PASS</v>
      </c>
    </row>
    <row r="11" customFormat="false" ht="15" hidden="false" customHeight="false" outlineLevel="0" collapsed="false">
      <c r="A11" s="5"/>
      <c r="B11" s="38" t="s">
        <v>190</v>
      </c>
      <c r="C11" s="32" t="s">
        <v>188</v>
      </c>
      <c r="D11" s="32" t="str">
        <f aca="false">IF(PB_NEP&lt;=PB_GWP+0.01,"PASS","FAIL")</f>
        <v>PASS</v>
      </c>
      <c r="E11" s="32" t="str">
        <f aca="false">IF(PB_NEP&lt;=PB_GWP+0.01,"PASS","FAIL")</f>
        <v>PASS</v>
      </c>
      <c r="F11" s="32" t="str">
        <f aca="false">IF(PB_NEP&lt;=PB_GWP+0.01,"PASS","FAIL")</f>
        <v>PASS</v>
      </c>
      <c r="G11" s="32" t="str">
        <f aca="false">IF(PB_NEP&lt;=PB_GWP+0.01,"PASS","FAIL")</f>
        <v>PASS</v>
      </c>
      <c r="H11" s="32" t="str">
        <f aca="false">IF(PB_NEP&lt;=PB_GWP+0.01,"PASS","FAIL")</f>
        <v>PASS</v>
      </c>
      <c r="I11" s="32" t="str">
        <f aca="false">IF(PB_NEP&lt;=PB_GWP+0.01,"PASS","FAIL")</f>
        <v>PASS</v>
      </c>
    </row>
    <row r="12" customFormat="false" ht="15" hidden="false" customHeight="false" outlineLevel="0" collapsed="false">
      <c r="A12" s="5"/>
      <c r="B12" s="38" t="s">
        <v>191</v>
      </c>
      <c r="C12" s="32" t="s">
        <v>188</v>
      </c>
      <c r="D12" s="32" t="str">
        <f aca="false">IF(CAP_Div_Paid&lt;=CAP_Div_Capacity+0.01,"PASS","FAIL")</f>
        <v>PASS</v>
      </c>
      <c r="E12" s="32" t="str">
        <f aca="false">IF(CAP_Div_Paid&lt;=CAP_Div_Capacity+0.01,"PASS","FAIL")</f>
        <v>PASS</v>
      </c>
      <c r="F12" s="32" t="str">
        <f aca="false">IF(CAP_Div_Paid&lt;=CAP_Div_Capacity+0.01,"PASS","FAIL")</f>
        <v>PASS</v>
      </c>
      <c r="G12" s="32" t="str">
        <f aca="false">IF(CAP_Div_Paid&lt;=CAP_Div_Capacity+0.01,"PASS","FAIL")</f>
        <v>PASS</v>
      </c>
      <c r="H12" s="32" t="str">
        <f aca="false">IF(CAP_Div_Paid&lt;=CAP_Div_Capacity+0.01,"PASS","FAIL")</f>
        <v>PASS</v>
      </c>
      <c r="I12" s="32" t="str">
        <f aca="false">IF(CAP_Div_Paid&lt;=CAP_Div_Capacity+0.01,"PASS","FAIL")</f>
        <v>PASS</v>
      </c>
    </row>
    <row r="13" customFormat="false" ht="15" hidden="false" customHeight="false" outlineLevel="0" collapsed="false">
      <c r="A13" s="5"/>
      <c r="B13" s="38" t="s">
        <v>192</v>
      </c>
      <c r="C13" s="32" t="s">
        <v>185</v>
      </c>
      <c r="D13" s="32" t="str">
        <f aca="false">IF(CAP_ROE="","N/A",IF(AND(CAP_ROE&gt;=0,CAP_ROE&lt;=0.4),"PASS","FAIL"))</f>
        <v>PASS</v>
      </c>
      <c r="E13" s="32" t="str">
        <f aca="false">IF(CAP_ROE="","N/A",IF(AND(CAP_ROE&gt;=0,CAP_ROE&lt;=0.4),"PASS","FAIL"))</f>
        <v>PASS</v>
      </c>
      <c r="F13" s="32" t="str">
        <f aca="false">IF(CAP_ROE="","N/A",IF(AND(CAP_ROE&gt;=0,CAP_ROE&lt;=0.4),"PASS","FAIL"))</f>
        <v>PASS</v>
      </c>
      <c r="G13" s="32" t="str">
        <f aca="false">IF(CAP_ROE="","N/A",IF(AND(CAP_ROE&gt;=0,CAP_ROE&lt;=0.4),"PASS","FAIL"))</f>
        <v>PASS</v>
      </c>
      <c r="H13" s="32" t="str">
        <f aca="false">IF(CAP_ROE="","N/A",IF(AND(CAP_ROE&gt;=0,CAP_ROE&lt;=0.4),"PASS","FAIL"))</f>
        <v>PASS</v>
      </c>
      <c r="I13" s="32" t="str">
        <f aca="false">IF(CAP_ROE="","N/A",IF(AND(CAP_ROE&gt;=0,CAP_ROE&lt;=0.4),"PASS","FAIL"))</f>
        <v>PASS</v>
      </c>
    </row>
    <row r="14" customFormat="false" ht="15" hidden="false" customHeight="false" outlineLevel="0" collapsed="false">
      <c r="A14" s="5"/>
      <c r="B14" s="38" t="s">
        <v>193</v>
      </c>
      <c r="C14" s="32" t="str">
        <f aca="false">IF(ABS(Claim_Payout_Y1+Claim_Payout_Y2+Claim_Payout_Y3-1)&lt;0.001,"PASS","FAIL")</f>
        <v>PASS</v>
      </c>
      <c r="D14" s="5"/>
      <c r="E14" s="5"/>
      <c r="F14" s="5"/>
      <c r="G14" s="5"/>
      <c r="H14" s="5"/>
      <c r="I14" s="5"/>
    </row>
    <row r="15" customFormat="false" ht="15" hidden="false" customHeight="false" outlineLevel="0" collapsed="false">
      <c r="A15" s="5"/>
      <c r="B15" s="38" t="s">
        <v>194</v>
      </c>
      <c r="C15" s="32" t="s">
        <v>185</v>
      </c>
      <c r="D15" s="32" t="str">
        <f aca="false">IF(ABS(CR_Reserves_Close-(Claims_Reserves!$D$8*(1-Claim_Payout_Y1)))&lt;0.01,"PASS","FAIL")</f>
        <v>PASS</v>
      </c>
      <c r="E15" s="32" t="str">
        <f aca="false">IF(ABS(CR_Reserves_Close-(Claims_Reserves!$D$8*(1-Claim_Payout_Y1-Claim_Payout_Y2)+Claims_Reserves!$E$8*(1-Claim_Payout_Y1)))&lt;0.01,"PASS","FAIL")</f>
        <v>PASS</v>
      </c>
      <c r="F15" s="32" t="str">
        <f aca="false">IF(ABS(CR_Reserves_Close-(Claims_Reserves!$D$8*(1-Claim_Payout_Y1-Claim_Payout_Y2-Claim_Payout_Y3)+Claims_Reserves!$E$8*(1-Claim_Payout_Y1-Claim_Payout_Y2)+Claims_Reserves!$F$8*(1-Claim_Payout_Y1)))&lt;0.01,"PASS","FAIL")</f>
        <v>PASS</v>
      </c>
      <c r="G15" s="32" t="str">
        <f aca="false">IF(ABS(CR_Reserves_Close-(Claims_Reserves!$E$8*(1-Claim_Payout_Y1-Claim_Payout_Y2-Claim_Payout_Y3)+Claims_Reserves!$F$8*(1-Claim_Payout_Y1-Claim_Payout_Y2)+Claims_Reserves!$G$8*(1-Claim_Payout_Y1)))&lt;0.01,"PASS","FAIL")</f>
        <v>PASS</v>
      </c>
      <c r="H15" s="32" t="str">
        <f aca="false">IF(ABS(CR_Reserves_Close-(Claims_Reserves!$F$8*(1-Claim_Payout_Y1-Claim_Payout_Y2-Claim_Payout_Y3)+Claims_Reserves!$G$8*(1-Claim_Payout_Y1-Claim_Payout_Y2)+Claims_Reserves!$H$8*(1-Claim_Payout_Y1)))&lt;0.01,"PASS","FAIL")</f>
        <v>PASS</v>
      </c>
      <c r="I15" s="32" t="str">
        <f aca="false">IF(ABS(CR_Reserves_Close-(Claims_Reserves!$G$8*(1-Claim_Payout_Y1-Claim_Payout_Y2-Claim_Payout_Y3)+Claims_Reserves!$H$8*(1-Claim_Payout_Y1-Claim_Payout_Y2)+Claims_Reserves!$I$8*(1-Claim_Payout_Y1)))&lt;0.01,"PASS","FAIL")</f>
        <v>PASS</v>
      </c>
    </row>
  </sheetData>
  <conditionalFormatting sqref="C6:I15">
    <cfRule type="cellIs" priority="2" operator="equal" aboveAverage="0" equalAverage="0" bottom="0" percent="0" rank="0" text="" dxfId="0">
      <formula>"PASS"</formula>
    </cfRule>
    <cfRule type="cellIs" priority="3" operator="equal" aboveAverage="0" equalAverage="0" bottom="0" percent="0" rank="0" text="" dxfId="1">
      <formula>"FAIL"</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9" t="s">
        <v>195</v>
      </c>
    </row>
    <row r="3" customFormat="false" ht="3.75" hidden="false" customHeight="true" outlineLevel="0" collapsed="false">
      <c r="B3" s="40"/>
    </row>
    <row r="5" customFormat="false" ht="19.5" hidden="false" customHeight="true" outlineLevel="0" collapsed="false">
      <c r="B5" s="41" t="s">
        <v>196</v>
      </c>
    </row>
    <row r="6" customFormat="false" ht="48" hidden="false" customHeight="true" outlineLevel="0" collapsed="false">
      <c r="B6" s="42" t="s">
        <v>197</v>
      </c>
    </row>
    <row r="8" customFormat="false" ht="19.5" hidden="false" customHeight="true" outlineLevel="0" collapsed="false">
      <c r="B8" s="41" t="s">
        <v>198</v>
      </c>
    </row>
    <row r="9" customFormat="false" ht="61.5" hidden="false" customHeight="true" outlineLevel="0" collapsed="false">
      <c r="B9" s="42" t="s">
        <v>199</v>
      </c>
    </row>
    <row r="11" customFormat="false" ht="19.5" hidden="false" customHeight="true" outlineLevel="0" collapsed="false">
      <c r="B11" s="41" t="s">
        <v>200</v>
      </c>
    </row>
    <row r="12" customFormat="false" ht="75.75" hidden="false" customHeight="true" outlineLevel="0" collapsed="false">
      <c r="B12" s="42" t="s">
        <v>201</v>
      </c>
    </row>
    <row r="14" customFormat="false" ht="19.5" hidden="false" customHeight="true" outlineLevel="0" collapsed="false">
      <c r="B14" s="41" t="s">
        <v>202</v>
      </c>
    </row>
    <row r="15" customFormat="false" ht="61.5" hidden="false" customHeight="true" outlineLevel="0" collapsed="false">
      <c r="B15" s="42" t="s">
        <v>203</v>
      </c>
    </row>
    <row r="17" customFormat="false" ht="19.5" hidden="false" customHeight="true" outlineLevel="0" collapsed="false">
      <c r="B17" s="41" t="s">
        <v>204</v>
      </c>
    </row>
    <row r="18" customFormat="false" ht="33.75" hidden="false" customHeight="true" outlineLevel="0" collapsed="false">
      <c r="B18" s="42" t="s">
        <v>205</v>
      </c>
    </row>
    <row r="20" customFormat="false" ht="19.5" hidden="false" customHeight="true" outlineLevel="0" collapsed="false">
      <c r="B20" s="41" t="s">
        <v>206</v>
      </c>
    </row>
    <row r="21" customFormat="false" ht="33.75" hidden="false" customHeight="true" outlineLevel="0" collapsed="false">
      <c r="B21" s="42" t="s">
        <v>207</v>
      </c>
    </row>
    <row r="23" customFormat="false" ht="21.75" hidden="false" customHeight="true" outlineLevel="0" collapsed="false">
      <c r="B23" s="43" t="s">
        <v>208</v>
      </c>
    </row>
    <row r="25" customFormat="false" ht="18" hidden="false" customHeight="true" outlineLevel="0" collapsed="false">
      <c r="B25" s="44" t="s">
        <v>209</v>
      </c>
    </row>
    <row r="26" customFormat="false" ht="201.75" hidden="false" customHeight="true" outlineLevel="0" collapsed="false">
      <c r="B26" s="45" t="s">
        <v>210</v>
      </c>
    </row>
    <row r="28" customFormat="false" ht="18" hidden="false" customHeight="true" outlineLevel="0" collapsed="false">
      <c r="B28" s="46" t="s">
        <v>211</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DD7EE"/>
    <pageSetUpPr fitToPage="false"/>
  </sheetPr>
  <dimension ref="A1:AD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9"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6" t="s">
        <v>14</v>
      </c>
      <c r="C2" s="17" t="s">
        <v>40</v>
      </c>
      <c r="D2" s="17" t="s">
        <v>41</v>
      </c>
      <c r="E2" s="17" t="s">
        <v>42</v>
      </c>
      <c r="F2" s="17" t="s">
        <v>43</v>
      </c>
      <c r="G2" s="17" t="s">
        <v>44</v>
      </c>
      <c r="H2" s="17" t="s">
        <v>45</v>
      </c>
      <c r="I2" s="17" t="s">
        <v>46</v>
      </c>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8"/>
      <c r="C3" s="19" t="s">
        <v>47</v>
      </c>
      <c r="D3" s="19" t="s">
        <v>41</v>
      </c>
      <c r="E3" s="19" t="s">
        <v>42</v>
      </c>
      <c r="F3" s="19" t="s">
        <v>43</v>
      </c>
      <c r="G3" s="19" t="s">
        <v>44</v>
      </c>
      <c r="H3" s="19" t="s">
        <v>45</v>
      </c>
      <c r="I3" s="19" t="s">
        <v>46</v>
      </c>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20" t="s">
        <v>48</v>
      </c>
      <c r="C5" s="10"/>
      <c r="D5" s="10"/>
      <c r="E5" s="10"/>
      <c r="F5" s="10"/>
      <c r="G5" s="10"/>
      <c r="H5" s="10"/>
      <c r="I5" s="10"/>
    </row>
    <row r="6" customFormat="false" ht="15" hidden="false" customHeight="false" outlineLevel="0" collapsed="false">
      <c r="A6" s="5"/>
      <c r="B6" s="8" t="s">
        <v>49</v>
      </c>
      <c r="C6" s="21" t="n">
        <v>10000000</v>
      </c>
      <c r="D6" s="5"/>
      <c r="E6" s="5"/>
      <c r="F6" s="5"/>
      <c r="G6" s="5"/>
      <c r="H6" s="5"/>
      <c r="I6" s="5"/>
    </row>
    <row r="7" customFormat="false" ht="15" hidden="false" customHeight="false" outlineLevel="0" collapsed="false">
      <c r="A7" s="5"/>
      <c r="B7" s="8" t="s">
        <v>50</v>
      </c>
      <c r="C7" s="5"/>
      <c r="D7" s="22" t="n">
        <v>0.05</v>
      </c>
      <c r="E7" s="22" t="n">
        <v>0.05</v>
      </c>
      <c r="F7" s="22" t="n">
        <v>0.05</v>
      </c>
      <c r="G7" s="22" t="n">
        <v>0.05</v>
      </c>
      <c r="H7" s="22" t="n">
        <v>0.05</v>
      </c>
      <c r="I7" s="22" t="n">
        <v>0.05</v>
      </c>
    </row>
    <row r="8" customFormat="false" ht="15" hidden="false" customHeight="false" outlineLevel="0" collapsed="false">
      <c r="A8" s="5"/>
      <c r="B8" s="8" t="s">
        <v>51</v>
      </c>
      <c r="C8" s="5"/>
      <c r="D8" s="22" t="n">
        <v>0.2</v>
      </c>
      <c r="E8" s="22" t="n">
        <v>0.2</v>
      </c>
      <c r="F8" s="22" t="n">
        <v>0.2</v>
      </c>
      <c r="G8" s="22" t="n">
        <v>0.2</v>
      </c>
      <c r="H8" s="22" t="n">
        <v>0.2</v>
      </c>
      <c r="I8" s="22" t="n">
        <v>0.2</v>
      </c>
    </row>
    <row r="9" customFormat="false" ht="15" hidden="false" customHeight="false" outlineLevel="0" collapsed="false">
      <c r="A9" s="5"/>
      <c r="B9" s="8" t="s">
        <v>52</v>
      </c>
      <c r="C9" s="5"/>
      <c r="D9" s="22" t="n">
        <v>0.25</v>
      </c>
      <c r="E9" s="22" t="n">
        <v>0.25</v>
      </c>
      <c r="F9" s="22" t="n">
        <v>0.25</v>
      </c>
      <c r="G9" s="22" t="n">
        <v>0.25</v>
      </c>
      <c r="H9" s="22" t="n">
        <v>0.25</v>
      </c>
      <c r="I9" s="22" t="n">
        <v>0.25</v>
      </c>
    </row>
    <row r="10" customFormat="false" ht="15" hidden="false" customHeight="false" outlineLevel="0" collapsed="false">
      <c r="A10" s="5"/>
      <c r="B10" s="8" t="s">
        <v>53</v>
      </c>
      <c r="C10" s="5"/>
      <c r="D10" s="22" t="n">
        <v>0.5</v>
      </c>
      <c r="E10" s="22" t="n">
        <v>0.5</v>
      </c>
      <c r="F10" s="22" t="n">
        <v>0.5</v>
      </c>
      <c r="G10" s="22" t="n">
        <v>0.5</v>
      </c>
      <c r="H10" s="22" t="n">
        <v>0.5</v>
      </c>
      <c r="I10" s="22" t="n">
        <v>0.5</v>
      </c>
    </row>
    <row r="11" customFormat="false" ht="15" hidden="false" customHeight="false" outlineLevel="0" collapsed="false">
      <c r="A11" s="5"/>
      <c r="B11" s="5"/>
      <c r="C11" s="5"/>
      <c r="D11" s="5"/>
      <c r="E11" s="5"/>
      <c r="F11" s="5"/>
      <c r="G11" s="5"/>
      <c r="H11" s="5"/>
      <c r="I11" s="5"/>
    </row>
    <row r="12" customFormat="false" ht="15" hidden="false" customHeight="false" outlineLevel="0" collapsed="false">
      <c r="A12" s="5"/>
      <c r="B12" s="20" t="s">
        <v>54</v>
      </c>
      <c r="C12" s="10"/>
      <c r="D12" s="10"/>
      <c r="E12" s="10"/>
      <c r="F12" s="10"/>
      <c r="G12" s="10"/>
      <c r="H12" s="10"/>
      <c r="I12" s="10"/>
    </row>
    <row r="13" customFormat="false" ht="15" hidden="false" customHeight="false" outlineLevel="0" collapsed="false">
      <c r="A13" s="5"/>
      <c r="B13" s="8" t="s">
        <v>55</v>
      </c>
      <c r="C13" s="5"/>
      <c r="D13" s="22" t="n">
        <v>0.65</v>
      </c>
      <c r="E13" s="22" t="n">
        <v>0.65</v>
      </c>
      <c r="F13" s="22" t="n">
        <v>0.65</v>
      </c>
      <c r="G13" s="22" t="n">
        <v>0.65</v>
      </c>
      <c r="H13" s="22" t="n">
        <v>0.65</v>
      </c>
      <c r="I13" s="22" t="n">
        <v>0.65</v>
      </c>
    </row>
    <row r="14" customFormat="false" ht="15" hidden="false" customHeight="false" outlineLevel="0" collapsed="false">
      <c r="A14" s="5"/>
      <c r="B14" s="8" t="s">
        <v>56</v>
      </c>
      <c r="C14" s="5"/>
      <c r="D14" s="22" t="n">
        <v>0.1</v>
      </c>
      <c r="E14" s="22" t="n">
        <v>0.1</v>
      </c>
      <c r="F14" s="22" t="n">
        <v>0.1</v>
      </c>
      <c r="G14" s="22" t="n">
        <v>0.1</v>
      </c>
      <c r="H14" s="22" t="n">
        <v>0.1</v>
      </c>
      <c r="I14" s="22" t="n">
        <v>0.1</v>
      </c>
    </row>
    <row r="15" customFormat="false" ht="15" hidden="false" customHeight="false" outlineLevel="0" collapsed="false">
      <c r="A15" s="5"/>
      <c r="B15" s="8" t="s">
        <v>57</v>
      </c>
      <c r="C15" s="22" t="n">
        <v>0.5</v>
      </c>
      <c r="D15" s="5"/>
      <c r="E15" s="5"/>
      <c r="F15" s="5"/>
      <c r="G15" s="5"/>
      <c r="H15" s="5"/>
      <c r="I15" s="5"/>
    </row>
    <row r="16" customFormat="false" ht="15" hidden="false" customHeight="false" outlineLevel="0" collapsed="false">
      <c r="A16" s="5"/>
      <c r="B16" s="8" t="s">
        <v>58</v>
      </c>
      <c r="C16" s="22" t="n">
        <v>0.3</v>
      </c>
      <c r="D16" s="5"/>
      <c r="E16" s="5"/>
      <c r="F16" s="5"/>
      <c r="G16" s="5"/>
      <c r="H16" s="5"/>
      <c r="I16" s="5"/>
    </row>
    <row r="17" customFormat="false" ht="15" hidden="false" customHeight="false" outlineLevel="0" collapsed="false">
      <c r="A17" s="5"/>
      <c r="B17" s="8" t="s">
        <v>59</v>
      </c>
      <c r="C17" s="22" t="n">
        <v>0.2</v>
      </c>
      <c r="D17" s="5"/>
      <c r="E17" s="5"/>
      <c r="F17" s="5"/>
      <c r="G17" s="5"/>
      <c r="H17" s="5"/>
      <c r="I17" s="5"/>
    </row>
    <row r="18" customFormat="false" ht="15" hidden="false" customHeight="false" outlineLevel="0" collapsed="false">
      <c r="A18" s="5"/>
      <c r="B18" s="5"/>
      <c r="C18" s="5"/>
      <c r="D18" s="5"/>
      <c r="E18" s="5"/>
      <c r="F18" s="5"/>
      <c r="G18" s="5"/>
      <c r="H18" s="5"/>
      <c r="I18" s="5"/>
    </row>
    <row r="19" customFormat="false" ht="15" hidden="false" customHeight="false" outlineLevel="0" collapsed="false">
      <c r="A19" s="5"/>
      <c r="B19" s="20" t="s">
        <v>60</v>
      </c>
      <c r="C19" s="10"/>
      <c r="D19" s="10"/>
      <c r="E19" s="10"/>
      <c r="F19" s="10"/>
      <c r="G19" s="10"/>
      <c r="H19" s="10"/>
      <c r="I19" s="10"/>
    </row>
    <row r="20" customFormat="false" ht="15" hidden="false" customHeight="false" outlineLevel="0" collapsed="false">
      <c r="A20" s="5"/>
      <c r="B20" s="8" t="s">
        <v>61</v>
      </c>
      <c r="C20" s="5"/>
      <c r="D20" s="22" t="n">
        <v>0.1</v>
      </c>
      <c r="E20" s="22" t="n">
        <v>0.1</v>
      </c>
      <c r="F20" s="22" t="n">
        <v>0.1</v>
      </c>
      <c r="G20" s="22" t="n">
        <v>0.1</v>
      </c>
      <c r="H20" s="22" t="n">
        <v>0.1</v>
      </c>
      <c r="I20" s="22" t="n">
        <v>0.1</v>
      </c>
    </row>
    <row r="21" customFormat="false" ht="15" hidden="false" customHeight="false" outlineLevel="0" collapsed="false">
      <c r="A21" s="5"/>
      <c r="B21" s="8" t="s">
        <v>62</v>
      </c>
      <c r="C21" s="5"/>
      <c r="D21" s="22" t="n">
        <v>0.015</v>
      </c>
      <c r="E21" s="22" t="n">
        <v>0.015</v>
      </c>
      <c r="F21" s="22" t="n">
        <v>0.015</v>
      </c>
      <c r="G21" s="22" t="n">
        <v>0.015</v>
      </c>
      <c r="H21" s="22" t="n">
        <v>0.015</v>
      </c>
      <c r="I21" s="22" t="n">
        <v>0.015</v>
      </c>
    </row>
    <row r="22" customFormat="false" ht="15" hidden="false" customHeight="false" outlineLevel="0" collapsed="false">
      <c r="A22" s="5"/>
      <c r="B22" s="8" t="s">
        <v>63</v>
      </c>
      <c r="C22" s="5"/>
      <c r="D22" s="22" t="n">
        <v>0.01</v>
      </c>
      <c r="E22" s="22" t="n">
        <v>0.01</v>
      </c>
      <c r="F22" s="22" t="n">
        <v>0.01</v>
      </c>
      <c r="G22" s="22" t="n">
        <v>0.01</v>
      </c>
      <c r="H22" s="22" t="n">
        <v>0.01</v>
      </c>
      <c r="I22" s="22" t="n">
        <v>0.01</v>
      </c>
    </row>
    <row r="23" customFormat="false" ht="15" hidden="false" customHeight="false" outlineLevel="0" collapsed="false">
      <c r="A23" s="5"/>
      <c r="B23" s="8" t="s">
        <v>64</v>
      </c>
      <c r="C23" s="5"/>
      <c r="D23" s="22" t="n">
        <v>0.01</v>
      </c>
      <c r="E23" s="22" t="n">
        <v>0.01</v>
      </c>
      <c r="F23" s="22" t="n">
        <v>0.01</v>
      </c>
      <c r="G23" s="22" t="n">
        <v>0.01</v>
      </c>
      <c r="H23" s="22" t="n">
        <v>0.01</v>
      </c>
      <c r="I23" s="22" t="n">
        <v>0.01</v>
      </c>
    </row>
    <row r="24" customFormat="false" ht="15" hidden="false" customHeight="false" outlineLevel="0" collapsed="false">
      <c r="A24" s="5"/>
      <c r="B24" s="8" t="s">
        <v>65</v>
      </c>
      <c r="C24" s="5"/>
      <c r="D24" s="22" t="n">
        <v>0.00214</v>
      </c>
      <c r="E24" s="22" t="n">
        <v>0.00214</v>
      </c>
      <c r="F24" s="22" t="n">
        <v>0.00214</v>
      </c>
      <c r="G24" s="22" t="n">
        <v>0.00214</v>
      </c>
      <c r="H24" s="22" t="n">
        <v>0.00214</v>
      </c>
      <c r="I24" s="22" t="n">
        <v>0.00214</v>
      </c>
    </row>
    <row r="25" customFormat="false" ht="15" hidden="false" customHeight="false" outlineLevel="0" collapsed="false">
      <c r="A25" s="5"/>
      <c r="B25" s="8" t="s">
        <v>66</v>
      </c>
      <c r="C25" s="5"/>
      <c r="D25" s="22" t="n">
        <v>0.005</v>
      </c>
      <c r="E25" s="22" t="n">
        <v>0.005</v>
      </c>
      <c r="F25" s="22" t="n">
        <v>0.005</v>
      </c>
      <c r="G25" s="22" t="n">
        <v>0.005</v>
      </c>
      <c r="H25" s="22" t="n">
        <v>0.005</v>
      </c>
      <c r="I25" s="22" t="n">
        <v>0.005</v>
      </c>
    </row>
    <row r="26" customFormat="false" ht="15" hidden="false" customHeight="false" outlineLevel="0" collapsed="false">
      <c r="A26" s="5"/>
      <c r="B26" s="5"/>
      <c r="C26" s="5"/>
      <c r="D26" s="5"/>
      <c r="E26" s="5"/>
      <c r="F26" s="5"/>
      <c r="G26" s="5"/>
      <c r="H26" s="5"/>
      <c r="I26" s="5"/>
    </row>
    <row r="27" customFormat="false" ht="15" hidden="false" customHeight="false" outlineLevel="0" collapsed="false">
      <c r="A27" s="5"/>
      <c r="B27" s="20" t="s">
        <v>67</v>
      </c>
      <c r="C27" s="10"/>
      <c r="D27" s="10"/>
      <c r="E27" s="10"/>
      <c r="F27" s="10"/>
      <c r="G27" s="10"/>
      <c r="H27" s="10"/>
      <c r="I27" s="10"/>
    </row>
    <row r="28" customFormat="false" ht="15" hidden="false" customHeight="false" outlineLevel="0" collapsed="false">
      <c r="A28" s="5"/>
      <c r="B28" s="8" t="s">
        <v>68</v>
      </c>
      <c r="C28" s="5"/>
      <c r="D28" s="22" t="n">
        <v>0.045</v>
      </c>
      <c r="E28" s="22" t="n">
        <v>0.045</v>
      </c>
      <c r="F28" s="22" t="n">
        <v>0.045</v>
      </c>
      <c r="G28" s="22" t="n">
        <v>0.045</v>
      </c>
      <c r="H28" s="22" t="n">
        <v>0.045</v>
      </c>
      <c r="I28" s="22" t="n">
        <v>0.045</v>
      </c>
    </row>
    <row r="29" customFormat="false" ht="15" hidden="false" customHeight="false" outlineLevel="0" collapsed="false">
      <c r="A29" s="5"/>
      <c r="B29" s="5"/>
      <c r="C29" s="5"/>
      <c r="D29" s="5"/>
      <c r="E29" s="5"/>
      <c r="F29" s="5"/>
      <c r="G29" s="5"/>
      <c r="H29" s="5"/>
      <c r="I29" s="5"/>
    </row>
    <row r="30" customFormat="false" ht="15" hidden="false" customHeight="false" outlineLevel="0" collapsed="false">
      <c r="A30" s="5"/>
      <c r="B30" s="20" t="s">
        <v>69</v>
      </c>
      <c r="C30" s="10"/>
      <c r="D30" s="10"/>
      <c r="E30" s="10"/>
      <c r="F30" s="10"/>
      <c r="G30" s="10"/>
      <c r="H30" s="10"/>
      <c r="I30" s="10"/>
    </row>
    <row r="31" customFormat="false" ht="15" hidden="false" customHeight="false" outlineLevel="0" collapsed="false">
      <c r="A31" s="5"/>
      <c r="B31" s="8" t="s">
        <v>70</v>
      </c>
      <c r="C31" s="5"/>
      <c r="D31" s="22" t="n">
        <v>0.21</v>
      </c>
      <c r="E31" s="22" t="n">
        <v>0.21</v>
      </c>
      <c r="F31" s="22" t="n">
        <v>0.21</v>
      </c>
      <c r="G31" s="22" t="n">
        <v>0.21</v>
      </c>
      <c r="H31" s="22" t="n">
        <v>0.21</v>
      </c>
      <c r="I31" s="22" t="n">
        <v>0.21</v>
      </c>
    </row>
    <row r="32" customFormat="false" ht="15" hidden="false" customHeight="false" outlineLevel="0" collapsed="false">
      <c r="A32" s="5"/>
      <c r="B32" s="5"/>
      <c r="C32" s="5"/>
      <c r="D32" s="5"/>
      <c r="E32" s="5"/>
      <c r="F32" s="5"/>
      <c r="G32" s="5"/>
      <c r="H32" s="5"/>
      <c r="I32" s="5"/>
    </row>
    <row r="33" customFormat="false" ht="15" hidden="false" customHeight="false" outlineLevel="0" collapsed="false">
      <c r="A33" s="5"/>
      <c r="B33" s="20" t="s">
        <v>71</v>
      </c>
      <c r="C33" s="10"/>
      <c r="D33" s="10"/>
      <c r="E33" s="10"/>
      <c r="F33" s="10"/>
      <c r="G33" s="10"/>
      <c r="H33" s="10"/>
      <c r="I33" s="10"/>
    </row>
    <row r="34" customFormat="false" ht="15" hidden="false" customHeight="false" outlineLevel="0" collapsed="false">
      <c r="A34" s="5"/>
      <c r="B34" s="8" t="s">
        <v>72</v>
      </c>
      <c r="C34" s="21" t="n">
        <v>3000000</v>
      </c>
      <c r="D34" s="5"/>
      <c r="E34" s="5"/>
      <c r="F34" s="5"/>
      <c r="G34" s="5"/>
      <c r="H34" s="5"/>
      <c r="I34" s="5"/>
    </row>
    <row r="35" customFormat="false" ht="15" hidden="false" customHeight="false" outlineLevel="0" collapsed="false">
      <c r="A35" s="5"/>
      <c r="B35" s="8" t="s">
        <v>73</v>
      </c>
      <c r="C35" s="21" t="n">
        <v>500000</v>
      </c>
      <c r="D35" s="5"/>
      <c r="E35" s="5"/>
      <c r="F35" s="5"/>
      <c r="G35" s="5"/>
      <c r="H35" s="5"/>
      <c r="I35" s="5"/>
    </row>
    <row r="36" customFormat="false" ht="15" hidden="false" customHeight="false" outlineLevel="0" collapsed="false">
      <c r="A36" s="5"/>
      <c r="B36" s="8" t="s">
        <v>74</v>
      </c>
      <c r="C36" s="21" t="n">
        <v>1000000</v>
      </c>
      <c r="D36" s="5"/>
      <c r="E36" s="5"/>
      <c r="F36" s="5"/>
      <c r="G36" s="5"/>
      <c r="H36" s="5"/>
      <c r="I36" s="5"/>
    </row>
    <row r="37" customFormat="false" ht="15" hidden="false" customHeight="false" outlineLevel="0" collapsed="false">
      <c r="A37" s="5"/>
      <c r="B37" s="8" t="s">
        <v>75</v>
      </c>
      <c r="C37" s="5"/>
      <c r="D37" s="22" t="n">
        <v>0.5</v>
      </c>
      <c r="E37" s="22" t="n">
        <v>0.5</v>
      </c>
      <c r="F37" s="22" t="n">
        <v>0.5</v>
      </c>
      <c r="G37" s="22" t="n">
        <v>0.5</v>
      </c>
      <c r="H37" s="22" t="n">
        <v>0.5</v>
      </c>
      <c r="I37" s="22" t="n">
        <v>0.5</v>
      </c>
    </row>
    <row r="38" customFormat="false" ht="15" hidden="false" customHeight="false" outlineLevel="0" collapsed="false">
      <c r="A38" s="5"/>
      <c r="B38" s="8" t="s">
        <v>76</v>
      </c>
      <c r="C38" s="23" t="n">
        <v>3</v>
      </c>
      <c r="D38" s="5"/>
      <c r="E38" s="5"/>
      <c r="F38" s="5"/>
      <c r="G38" s="5"/>
      <c r="H38" s="5"/>
      <c r="I38"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9"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6" t="s">
        <v>77</v>
      </c>
      <c r="C2" s="17" t="s">
        <v>40</v>
      </c>
      <c r="D2" s="17" t="s">
        <v>41</v>
      </c>
      <c r="E2" s="17" t="s">
        <v>42</v>
      </c>
      <c r="F2" s="17" t="s">
        <v>43</v>
      </c>
      <c r="G2" s="17" t="s">
        <v>44</v>
      </c>
      <c r="H2" s="17" t="s">
        <v>45</v>
      </c>
      <c r="I2" s="17" t="s">
        <v>46</v>
      </c>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9" t="s">
        <v>47</v>
      </c>
      <c r="D3" s="19" t="s">
        <v>41</v>
      </c>
      <c r="E3" s="19" t="s">
        <v>42</v>
      </c>
      <c r="F3" s="19" t="s">
        <v>43</v>
      </c>
      <c r="G3" s="19" t="s">
        <v>44</v>
      </c>
      <c r="H3" s="19" t="s">
        <v>45</v>
      </c>
      <c r="I3" s="19" t="s">
        <v>46</v>
      </c>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20" t="s">
        <v>78</v>
      </c>
      <c r="C5" s="10"/>
      <c r="D5" s="10"/>
      <c r="E5" s="10"/>
      <c r="F5" s="10"/>
      <c r="G5" s="10"/>
      <c r="H5" s="10"/>
      <c r="I5" s="10"/>
    </row>
    <row r="6" customFormat="false" ht="15" hidden="false" customHeight="false" outlineLevel="0" collapsed="false">
      <c r="A6" s="5"/>
      <c r="B6" s="24" t="s">
        <v>79</v>
      </c>
      <c r="C6" s="25" t="n">
        <v>0</v>
      </c>
      <c r="D6" s="25" t="n">
        <f aca="false">Base_GWP*(1+GWP_Growth)^1</f>
        <v>10500000</v>
      </c>
      <c r="E6" s="25" t="n">
        <f aca="false">Base_GWP*(1+GWP_Growth)^2</f>
        <v>11025000</v>
      </c>
      <c r="F6" s="25" t="n">
        <f aca="false">Base_GWP*(1+GWP_Growth)^3</f>
        <v>11576250</v>
      </c>
      <c r="G6" s="25" t="n">
        <f aca="false">Base_GWP*(1+GWP_Growth)^4</f>
        <v>12155062.5</v>
      </c>
      <c r="H6" s="25" t="n">
        <f aca="false">Base_GWP*(1+GWP_Growth)^5</f>
        <v>12762815.625</v>
      </c>
      <c r="I6" s="25" t="n">
        <f aca="false">Base_GWP*(1+GWP_Growth)^6</f>
        <v>13400956.40625</v>
      </c>
    </row>
    <row r="7" customFormat="false" ht="15" hidden="false" customHeight="false" outlineLevel="0" collapsed="false">
      <c r="A7" s="5"/>
      <c r="B7" s="24" t="s">
        <v>80</v>
      </c>
      <c r="C7" s="25" t="n">
        <v>0</v>
      </c>
      <c r="D7" s="25" t="n">
        <f aca="false">D$6*Cession_Rate</f>
        <v>2100000</v>
      </c>
      <c r="E7" s="25" t="n">
        <f aca="false">E$6*Cession_Rate</f>
        <v>2205000</v>
      </c>
      <c r="F7" s="25" t="n">
        <f aca="false">F$6*Cession_Rate</f>
        <v>2315250</v>
      </c>
      <c r="G7" s="25" t="n">
        <f aca="false">G$6*Cession_Rate</f>
        <v>2431012.5</v>
      </c>
      <c r="H7" s="25" t="n">
        <f aca="false">H$6*Cession_Rate</f>
        <v>2552563.125</v>
      </c>
      <c r="I7" s="25" t="n">
        <f aca="false">I$6*Cession_Rate</f>
        <v>2680191.28125</v>
      </c>
    </row>
    <row r="8" customFormat="false" ht="15" hidden="false" customHeight="false" outlineLevel="0" collapsed="false">
      <c r="A8" s="5"/>
      <c r="B8" s="26" t="s">
        <v>81</v>
      </c>
      <c r="C8" s="27" t="n">
        <v>0</v>
      </c>
      <c r="D8" s="27" t="n">
        <f aca="false">D$6-D$7</f>
        <v>8400000</v>
      </c>
      <c r="E8" s="27" t="n">
        <f aca="false">E$6-E$7</f>
        <v>8820000</v>
      </c>
      <c r="F8" s="27" t="n">
        <f aca="false">F$6-F$7</f>
        <v>9261000</v>
      </c>
      <c r="G8" s="27" t="n">
        <f aca="false">G$6-G$7</f>
        <v>9724050</v>
      </c>
      <c r="H8" s="27" t="n">
        <f aca="false">H$6-H$7</f>
        <v>10210252.5</v>
      </c>
      <c r="I8" s="27" t="n">
        <f aca="false">I$6-I$7</f>
        <v>10720765.125</v>
      </c>
    </row>
    <row r="9" customFormat="false" ht="15" hidden="false" customHeight="false" outlineLevel="0" collapsed="false">
      <c r="A9" s="5"/>
      <c r="B9" s="5"/>
      <c r="C9" s="5"/>
      <c r="D9" s="5"/>
      <c r="E9" s="5"/>
      <c r="F9" s="5"/>
      <c r="G9" s="5"/>
      <c r="H9" s="5"/>
      <c r="I9" s="5"/>
    </row>
    <row r="10" customFormat="false" ht="15" hidden="false" customHeight="false" outlineLevel="0" collapsed="false">
      <c r="A10" s="5"/>
      <c r="B10" s="20" t="s">
        <v>82</v>
      </c>
      <c r="C10" s="10"/>
      <c r="D10" s="10"/>
      <c r="E10" s="10"/>
      <c r="F10" s="10"/>
      <c r="G10" s="10"/>
      <c r="H10" s="10"/>
      <c r="I10" s="10"/>
    </row>
    <row r="11" customFormat="false" ht="15" hidden="false" customHeight="false" outlineLevel="0" collapsed="false">
      <c r="A11" s="5"/>
      <c r="B11" s="24" t="s">
        <v>83</v>
      </c>
      <c r="C11" s="25" t="n">
        <v>0</v>
      </c>
      <c r="D11" s="25" t="n">
        <f aca="false">C$12</f>
        <v>0</v>
      </c>
      <c r="E11" s="25" t="n">
        <f aca="false">D$12</f>
        <v>4200000</v>
      </c>
      <c r="F11" s="25" t="n">
        <f aca="false">E$12</f>
        <v>4410000</v>
      </c>
      <c r="G11" s="25" t="n">
        <f aca="false">F$12</f>
        <v>4630500</v>
      </c>
      <c r="H11" s="25" t="n">
        <f aca="false">G$12</f>
        <v>4862025</v>
      </c>
      <c r="I11" s="25" t="n">
        <f aca="false">H$12</f>
        <v>5105126.25</v>
      </c>
    </row>
    <row r="12" customFormat="false" ht="15" hidden="false" customHeight="false" outlineLevel="0" collapsed="false">
      <c r="A12" s="5"/>
      <c r="B12" s="24" t="s">
        <v>84</v>
      </c>
      <c r="C12" s="25" t="n">
        <v>0</v>
      </c>
      <c r="D12" s="25" t="n">
        <f aca="false">D$8*UPR_Factor</f>
        <v>4200000</v>
      </c>
      <c r="E12" s="25" t="n">
        <f aca="false">E$8*UPR_Factor</f>
        <v>4410000</v>
      </c>
      <c r="F12" s="25" t="n">
        <f aca="false">F$8*UPR_Factor</f>
        <v>4630500</v>
      </c>
      <c r="G12" s="25" t="n">
        <f aca="false">G$8*UPR_Factor</f>
        <v>4862025</v>
      </c>
      <c r="H12" s="25" t="n">
        <f aca="false">H$8*UPR_Factor</f>
        <v>5105126.25</v>
      </c>
      <c r="I12" s="25" t="n">
        <f aca="false">I$8*UPR_Factor</f>
        <v>5360382.5625</v>
      </c>
    </row>
    <row r="13" customFormat="false" ht="15" hidden="false" customHeight="false" outlineLevel="0" collapsed="false">
      <c r="A13" s="5"/>
      <c r="B13" s="24" t="s">
        <v>85</v>
      </c>
      <c r="C13" s="28" t="n">
        <v>0</v>
      </c>
      <c r="D13" s="28" t="n">
        <f aca="false">D$12-D$11</f>
        <v>4200000</v>
      </c>
      <c r="E13" s="28" t="n">
        <f aca="false">E$12-E$11</f>
        <v>210000</v>
      </c>
      <c r="F13" s="28" t="n">
        <f aca="false">F$12-F$11</f>
        <v>220500.000000001</v>
      </c>
      <c r="G13" s="28" t="n">
        <f aca="false">G$12-G$11</f>
        <v>231525</v>
      </c>
      <c r="H13" s="28" t="n">
        <f aca="false">H$12-H$11</f>
        <v>243101.250000001</v>
      </c>
      <c r="I13" s="28" t="n">
        <f aca="false">I$12-I$11</f>
        <v>255256.3125</v>
      </c>
    </row>
    <row r="14" customFormat="false" ht="15" hidden="false" customHeight="false" outlineLevel="0" collapsed="false">
      <c r="A14" s="5"/>
      <c r="B14" s="5"/>
      <c r="C14" s="5"/>
      <c r="D14" s="5"/>
      <c r="E14" s="5"/>
      <c r="F14" s="5"/>
      <c r="G14" s="5"/>
      <c r="H14" s="5"/>
      <c r="I14" s="5"/>
    </row>
    <row r="15" customFormat="false" ht="15" hidden="false" customHeight="false" outlineLevel="0" collapsed="false">
      <c r="A15" s="5"/>
      <c r="B15" s="20" t="s">
        <v>86</v>
      </c>
      <c r="C15" s="10"/>
      <c r="D15" s="10"/>
      <c r="E15" s="10"/>
      <c r="F15" s="10"/>
      <c r="G15" s="10"/>
      <c r="H15" s="10"/>
      <c r="I15" s="10"/>
    </row>
    <row r="16" customFormat="false" ht="15" hidden="false" customHeight="false" outlineLevel="0" collapsed="false">
      <c r="A16" s="5"/>
      <c r="B16" s="26" t="s">
        <v>87</v>
      </c>
      <c r="C16" s="27" t="n">
        <v>0</v>
      </c>
      <c r="D16" s="27" t="n">
        <f aca="false">D$8-D$13</f>
        <v>4200000</v>
      </c>
      <c r="E16" s="27" t="n">
        <f aca="false">E$8-E$13</f>
        <v>8610000</v>
      </c>
      <c r="F16" s="27" t="n">
        <f aca="false">F$8-F$13</f>
        <v>9040500</v>
      </c>
      <c r="G16" s="27" t="n">
        <f aca="false">G$8-G$13</f>
        <v>9492525</v>
      </c>
      <c r="H16" s="27" t="n">
        <f aca="false">H$8-H$13</f>
        <v>9967151.25</v>
      </c>
      <c r="I16" s="27" t="n">
        <f aca="false">I$8-I$13</f>
        <v>10465508.8125</v>
      </c>
    </row>
    <row r="17" customFormat="false" ht="15" hidden="false" customHeight="false" outlineLevel="0" collapsed="false">
      <c r="A17" s="5"/>
      <c r="B17" s="5"/>
      <c r="C17" s="5"/>
      <c r="D17" s="5"/>
      <c r="E17" s="5"/>
      <c r="F17" s="5"/>
      <c r="G17" s="5"/>
      <c r="H17" s="5"/>
      <c r="I17" s="5"/>
    </row>
    <row r="18" customFormat="false" ht="15" hidden="false" customHeight="false" outlineLevel="0" collapsed="false">
      <c r="A18" s="5"/>
      <c r="B18" s="20" t="s">
        <v>88</v>
      </c>
      <c r="C18" s="10"/>
      <c r="D18" s="10"/>
      <c r="E18" s="10"/>
      <c r="F18" s="10"/>
      <c r="G18" s="10"/>
      <c r="H18" s="10"/>
      <c r="I18" s="10"/>
    </row>
    <row r="19" customFormat="false" ht="15" hidden="false" customHeight="false" outlineLevel="0" collapsed="false">
      <c r="A19" s="5"/>
      <c r="B19" s="24" t="s">
        <v>89</v>
      </c>
      <c r="C19" s="25" t="n">
        <v>0</v>
      </c>
      <c r="D19" s="25" t="n">
        <f aca="false">D$7*Ceding_Comm_Rate</f>
        <v>525000</v>
      </c>
      <c r="E19" s="25" t="n">
        <f aca="false">E$7*Ceding_Comm_Rate</f>
        <v>551250</v>
      </c>
      <c r="F19" s="25" t="n">
        <f aca="false">F$7*Ceding_Comm_Rate</f>
        <v>578812.5</v>
      </c>
      <c r="G19" s="25" t="n">
        <f aca="false">G$7*Ceding_Comm_Rate</f>
        <v>607753.125</v>
      </c>
      <c r="H19" s="25" t="n">
        <f aca="false">H$7*Ceding_Comm_Rate</f>
        <v>638140.78125</v>
      </c>
      <c r="I19" s="25" t="n">
        <f aca="false">I$7*Ceding_Comm_Rate</f>
        <v>670047.8203125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4B183"/>
    <pageSetUpPr fitToPage="false"/>
  </sheetPr>
  <dimension ref="A1:AD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9"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6" t="s">
        <v>90</v>
      </c>
      <c r="C2" s="17" t="s">
        <v>40</v>
      </c>
      <c r="D2" s="17" t="s">
        <v>41</v>
      </c>
      <c r="E2" s="17" t="s">
        <v>42</v>
      </c>
      <c r="F2" s="17" t="s">
        <v>43</v>
      </c>
      <c r="G2" s="17" t="s">
        <v>44</v>
      </c>
      <c r="H2" s="17" t="s">
        <v>45</v>
      </c>
      <c r="I2" s="17" t="s">
        <v>46</v>
      </c>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9" t="s">
        <v>47</v>
      </c>
      <c r="D3" s="19" t="s">
        <v>41</v>
      </c>
      <c r="E3" s="19" t="s">
        <v>42</v>
      </c>
      <c r="F3" s="19" t="s">
        <v>43</v>
      </c>
      <c r="G3" s="19" t="s">
        <v>44</v>
      </c>
      <c r="H3" s="19" t="s">
        <v>45</v>
      </c>
      <c r="I3" s="19" t="s">
        <v>46</v>
      </c>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20" t="s">
        <v>91</v>
      </c>
      <c r="C5" s="10"/>
      <c r="D5" s="10"/>
      <c r="E5" s="10"/>
      <c r="F5" s="10"/>
      <c r="G5" s="10"/>
      <c r="H5" s="10"/>
      <c r="I5" s="10"/>
    </row>
    <row r="6" customFormat="false" ht="15" hidden="false" customHeight="false" outlineLevel="0" collapsed="false">
      <c r="A6" s="5"/>
      <c r="B6" s="24" t="s">
        <v>92</v>
      </c>
      <c r="C6" s="25" t="n">
        <v>0</v>
      </c>
      <c r="D6" s="25" t="n">
        <f aca="false">PB_NEP*Loss_Ratio</f>
        <v>2730000</v>
      </c>
      <c r="E6" s="25" t="n">
        <f aca="false">PB_NEP*Loss_Ratio</f>
        <v>5596500</v>
      </c>
      <c r="F6" s="25" t="n">
        <f aca="false">PB_NEP*Loss_Ratio</f>
        <v>5876325</v>
      </c>
      <c r="G6" s="25" t="n">
        <f aca="false">PB_NEP*Loss_Ratio</f>
        <v>6170141.25</v>
      </c>
      <c r="H6" s="25" t="n">
        <f aca="false">PB_NEP*Loss_Ratio</f>
        <v>6478648.3125</v>
      </c>
      <c r="I6" s="25" t="n">
        <f aca="false">PB_NEP*Loss_Ratio</f>
        <v>6802580.728125</v>
      </c>
    </row>
    <row r="7" customFormat="false" ht="15" hidden="false" customHeight="false" outlineLevel="0" collapsed="false">
      <c r="A7" s="5"/>
      <c r="B7" s="24" t="s">
        <v>93</v>
      </c>
      <c r="C7" s="25" t="n">
        <v>0</v>
      </c>
      <c r="D7" s="25" t="n">
        <f aca="false">D$6*LAE_Rate</f>
        <v>273000</v>
      </c>
      <c r="E7" s="25" t="n">
        <f aca="false">E$6*LAE_Rate</f>
        <v>559650</v>
      </c>
      <c r="F7" s="25" t="n">
        <f aca="false">F$6*LAE_Rate</f>
        <v>587632.5</v>
      </c>
      <c r="G7" s="25" t="n">
        <f aca="false">G$6*LAE_Rate</f>
        <v>617014.125</v>
      </c>
      <c r="H7" s="25" t="n">
        <f aca="false">H$6*LAE_Rate</f>
        <v>647864.83125</v>
      </c>
      <c r="I7" s="25" t="n">
        <f aca="false">I$6*LAE_Rate</f>
        <v>680258.0728125</v>
      </c>
    </row>
    <row r="8" customFormat="false" ht="15" hidden="false" customHeight="false" outlineLevel="0" collapsed="false">
      <c r="A8" s="5"/>
      <c r="B8" s="26" t="s">
        <v>94</v>
      </c>
      <c r="C8" s="27" t="n">
        <v>0</v>
      </c>
      <c r="D8" s="27" t="n">
        <f aca="false">D$6+D$7</f>
        <v>3003000</v>
      </c>
      <c r="E8" s="27" t="n">
        <f aca="false">E$6+E$7</f>
        <v>6156150</v>
      </c>
      <c r="F8" s="27" t="n">
        <f aca="false">F$6+F$7</f>
        <v>6463957.5</v>
      </c>
      <c r="G8" s="27" t="n">
        <f aca="false">G$6+G$7</f>
        <v>6787155.375</v>
      </c>
      <c r="H8" s="27" t="n">
        <f aca="false">H$6+H$7</f>
        <v>7126513.14375</v>
      </c>
      <c r="I8" s="27" t="n">
        <f aca="false">I$6+I$7</f>
        <v>7482838.8009375</v>
      </c>
    </row>
    <row r="9" customFormat="false" ht="15" hidden="false" customHeight="false" outlineLevel="0" collapsed="false">
      <c r="A9" s="5"/>
      <c r="B9" s="5"/>
      <c r="C9" s="5"/>
      <c r="D9" s="5"/>
      <c r="E9" s="5"/>
      <c r="F9" s="5"/>
      <c r="G9" s="5"/>
      <c r="H9" s="5"/>
      <c r="I9" s="5"/>
    </row>
    <row r="10" customFormat="false" ht="15" hidden="false" customHeight="false" outlineLevel="0" collapsed="false">
      <c r="A10" s="5"/>
      <c r="B10" s="20" t="s">
        <v>95</v>
      </c>
      <c r="C10" s="10"/>
      <c r="D10" s="10"/>
      <c r="E10" s="10"/>
      <c r="F10" s="10"/>
      <c r="G10" s="10"/>
      <c r="H10" s="10"/>
      <c r="I10" s="10"/>
    </row>
    <row r="11" customFormat="false" ht="15" hidden="false" customHeight="false" outlineLevel="0" collapsed="false">
      <c r="A11" s="5"/>
      <c r="B11" s="29" t="s">
        <v>96</v>
      </c>
      <c r="C11" s="5"/>
      <c r="D11" s="5"/>
      <c r="E11" s="5"/>
      <c r="F11" s="5"/>
      <c r="G11" s="5"/>
      <c r="H11" s="5"/>
      <c r="I11" s="5"/>
    </row>
    <row r="12" customFormat="false" ht="15" hidden="false" customHeight="false" outlineLevel="0" collapsed="false">
      <c r="A12" s="5"/>
      <c r="B12" s="24" t="s">
        <v>97</v>
      </c>
      <c r="C12" s="25" t="n">
        <v>0</v>
      </c>
      <c r="D12" s="25" t="n">
        <f aca="false">$D$8*Claim_Payout_Y1</f>
        <v>1501500</v>
      </c>
      <c r="E12" s="25" t="n">
        <f aca="false">$D$8*Claim_Payout_Y2</f>
        <v>900900</v>
      </c>
      <c r="F12" s="25" t="n">
        <f aca="false">$D$8*Claim_Payout_Y3</f>
        <v>600600</v>
      </c>
      <c r="G12" s="25" t="n">
        <v>0</v>
      </c>
      <c r="H12" s="25" t="n">
        <v>0</v>
      </c>
      <c r="I12" s="25" t="n">
        <v>0</v>
      </c>
    </row>
    <row r="13" customFormat="false" ht="15" hidden="false" customHeight="false" outlineLevel="0" collapsed="false">
      <c r="A13" s="5"/>
      <c r="B13" s="24" t="s">
        <v>98</v>
      </c>
      <c r="C13" s="25" t="n">
        <v>0</v>
      </c>
      <c r="D13" s="25" t="n">
        <v>0</v>
      </c>
      <c r="E13" s="25" t="n">
        <f aca="false">$E$8*Claim_Payout_Y1</f>
        <v>3078075</v>
      </c>
      <c r="F13" s="25" t="n">
        <f aca="false">$E$8*Claim_Payout_Y2</f>
        <v>1846845</v>
      </c>
      <c r="G13" s="25" t="n">
        <f aca="false">$E$8*Claim_Payout_Y3</f>
        <v>1231230</v>
      </c>
      <c r="H13" s="25" t="n">
        <v>0</v>
      </c>
      <c r="I13" s="25" t="n">
        <v>0</v>
      </c>
    </row>
    <row r="14" customFormat="false" ht="15" hidden="false" customHeight="false" outlineLevel="0" collapsed="false">
      <c r="A14" s="5"/>
      <c r="B14" s="24" t="s">
        <v>99</v>
      </c>
      <c r="C14" s="25" t="n">
        <v>0</v>
      </c>
      <c r="D14" s="25" t="n">
        <v>0</v>
      </c>
      <c r="E14" s="25" t="n">
        <v>0</v>
      </c>
      <c r="F14" s="25" t="n">
        <f aca="false">$F$8*Claim_Payout_Y1</f>
        <v>3231978.75</v>
      </c>
      <c r="G14" s="25" t="n">
        <f aca="false">$F$8*Claim_Payout_Y2</f>
        <v>1939187.25</v>
      </c>
      <c r="H14" s="25" t="n">
        <f aca="false">$F$8*Claim_Payout_Y3</f>
        <v>1292791.5</v>
      </c>
      <c r="I14" s="25" t="n">
        <v>0</v>
      </c>
    </row>
    <row r="15" customFormat="false" ht="15" hidden="false" customHeight="false" outlineLevel="0" collapsed="false">
      <c r="A15" s="5"/>
      <c r="B15" s="24" t="s">
        <v>100</v>
      </c>
      <c r="C15" s="25" t="n">
        <v>0</v>
      </c>
      <c r="D15" s="25" t="n">
        <v>0</v>
      </c>
      <c r="E15" s="25" t="n">
        <v>0</v>
      </c>
      <c r="F15" s="25" t="n">
        <v>0</v>
      </c>
      <c r="G15" s="25" t="n">
        <f aca="false">$G$8*Claim_Payout_Y1</f>
        <v>3393577.6875</v>
      </c>
      <c r="H15" s="25" t="n">
        <f aca="false">$G$8*Claim_Payout_Y2</f>
        <v>2036146.6125</v>
      </c>
      <c r="I15" s="25" t="n">
        <f aca="false">$G$8*Claim_Payout_Y3</f>
        <v>1357431.075</v>
      </c>
    </row>
    <row r="16" customFormat="false" ht="15" hidden="false" customHeight="false" outlineLevel="0" collapsed="false">
      <c r="A16" s="5"/>
      <c r="B16" s="24" t="s">
        <v>101</v>
      </c>
      <c r="C16" s="25" t="n">
        <v>0</v>
      </c>
      <c r="D16" s="25" t="n">
        <v>0</v>
      </c>
      <c r="E16" s="25" t="n">
        <v>0</v>
      </c>
      <c r="F16" s="25" t="n">
        <v>0</v>
      </c>
      <c r="G16" s="25" t="n">
        <v>0</v>
      </c>
      <c r="H16" s="25" t="n">
        <f aca="false">$H$8*Claim_Payout_Y1</f>
        <v>3563256.571875</v>
      </c>
      <c r="I16" s="25" t="n">
        <f aca="false">$H$8*Claim_Payout_Y2</f>
        <v>2137953.943125</v>
      </c>
    </row>
    <row r="17" customFormat="false" ht="15" hidden="false" customHeight="false" outlineLevel="0" collapsed="false">
      <c r="A17" s="5"/>
      <c r="B17" s="24" t="s">
        <v>102</v>
      </c>
      <c r="C17" s="25" t="n">
        <v>0</v>
      </c>
      <c r="D17" s="25" t="n">
        <v>0</v>
      </c>
      <c r="E17" s="25" t="n">
        <v>0</v>
      </c>
      <c r="F17" s="25" t="n">
        <v>0</v>
      </c>
      <c r="G17" s="25" t="n">
        <v>0</v>
      </c>
      <c r="H17" s="25" t="n">
        <v>0</v>
      </c>
      <c r="I17" s="25" t="n">
        <f aca="false">$I$8*Claim_Payout_Y1</f>
        <v>3741419.40046875</v>
      </c>
    </row>
    <row r="18" customFormat="false" ht="15" hidden="false" customHeight="false" outlineLevel="0" collapsed="false">
      <c r="A18" s="5"/>
      <c r="B18" s="7" t="s">
        <v>103</v>
      </c>
      <c r="C18" s="27" t="n">
        <v>0</v>
      </c>
      <c r="D18" s="27" t="n">
        <f aca="false">SUM(D12:D17)</f>
        <v>1501500</v>
      </c>
      <c r="E18" s="27" t="n">
        <f aca="false">SUM(E12:E17)</f>
        <v>3978975</v>
      </c>
      <c r="F18" s="27" t="n">
        <f aca="false">SUM(F12:F17)</f>
        <v>5679423.75</v>
      </c>
      <c r="G18" s="27" t="n">
        <f aca="false">SUM(G12:G17)</f>
        <v>6563994.9375</v>
      </c>
      <c r="H18" s="27" t="n">
        <f aca="false">SUM(H12:H17)</f>
        <v>6892194.684375</v>
      </c>
      <c r="I18" s="27" t="n">
        <f aca="false">SUM(I12:I17)</f>
        <v>7236804.41859375</v>
      </c>
    </row>
    <row r="19" customFormat="false" ht="15" hidden="false" customHeight="false" outlineLevel="0" collapsed="false">
      <c r="A19" s="5"/>
      <c r="B19" s="5"/>
      <c r="C19" s="5"/>
      <c r="D19" s="5"/>
      <c r="E19" s="5"/>
      <c r="F19" s="5"/>
      <c r="G19" s="5"/>
      <c r="H19" s="5"/>
      <c r="I19" s="5"/>
    </row>
    <row r="20" customFormat="false" ht="15" hidden="false" customHeight="false" outlineLevel="0" collapsed="false">
      <c r="A20" s="5"/>
      <c r="B20" s="20" t="s">
        <v>104</v>
      </c>
      <c r="C20" s="10"/>
      <c r="D20" s="10"/>
      <c r="E20" s="10"/>
      <c r="F20" s="10"/>
      <c r="G20" s="10"/>
      <c r="H20" s="10"/>
      <c r="I20" s="10"/>
    </row>
    <row r="21" customFormat="false" ht="15" hidden="false" customHeight="false" outlineLevel="0" collapsed="false">
      <c r="A21" s="5"/>
      <c r="B21" s="24" t="s">
        <v>105</v>
      </c>
      <c r="C21" s="25" t="n">
        <v>0</v>
      </c>
      <c r="D21" s="25" t="n">
        <f aca="false">C$22</f>
        <v>0</v>
      </c>
      <c r="E21" s="25" t="n">
        <f aca="false">D$22</f>
        <v>1501500</v>
      </c>
      <c r="F21" s="25" t="n">
        <f aca="false">E$22</f>
        <v>3678675</v>
      </c>
      <c r="G21" s="25" t="n">
        <f aca="false">F$22</f>
        <v>4463208.75</v>
      </c>
      <c r="H21" s="25" t="n">
        <f aca="false">G$22</f>
        <v>4686369.1875</v>
      </c>
      <c r="I21" s="25" t="n">
        <f aca="false">H$22</f>
        <v>4920687.646875</v>
      </c>
    </row>
    <row r="22" customFormat="false" ht="15" hidden="false" customHeight="false" outlineLevel="0" collapsed="false">
      <c r="A22" s="5"/>
      <c r="B22" s="24" t="s">
        <v>106</v>
      </c>
      <c r="C22" s="25" t="n">
        <v>0</v>
      </c>
      <c r="D22" s="25" t="n">
        <f aca="false">D$21+D$8-D$18</f>
        <v>1501500</v>
      </c>
      <c r="E22" s="25" t="n">
        <f aca="false">E$21+E$8-E$18</f>
        <v>3678675</v>
      </c>
      <c r="F22" s="25" t="n">
        <f aca="false">F$21+F$8-F$18</f>
        <v>4463208.75</v>
      </c>
      <c r="G22" s="25" t="n">
        <f aca="false">G$21+G$8-G$18</f>
        <v>4686369.1875</v>
      </c>
      <c r="H22" s="25" t="n">
        <f aca="false">H$21+H$8-H$18</f>
        <v>4920687.646875</v>
      </c>
      <c r="I22" s="25" t="n">
        <f aca="false">I$21+I$8-I$18</f>
        <v>5166722.02921875</v>
      </c>
    </row>
    <row r="23" customFormat="false" ht="15" hidden="false" customHeight="false" outlineLevel="0" collapsed="false">
      <c r="A23" s="5"/>
      <c r="B23" s="24" t="s">
        <v>107</v>
      </c>
      <c r="C23" s="28" t="n">
        <v>0</v>
      </c>
      <c r="D23" s="28" t="n">
        <f aca="false">D$22-D$21</f>
        <v>1501500</v>
      </c>
      <c r="E23" s="28" t="n">
        <f aca="false">E$22-E$21</f>
        <v>2177175</v>
      </c>
      <c r="F23" s="28" t="n">
        <f aca="false">F$22-F$21</f>
        <v>784533.75</v>
      </c>
      <c r="G23" s="28" t="n">
        <f aca="false">G$22-G$21</f>
        <v>223160.437500001</v>
      </c>
      <c r="H23" s="28" t="n">
        <f aca="false">H$22-H$21</f>
        <v>234318.459375002</v>
      </c>
      <c r="I23" s="28" t="n">
        <f aca="false">I$22-I$21</f>
        <v>246034.38234375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4B183"/>
    <pageSetUpPr fitToPage="false"/>
  </sheetPr>
  <dimension ref="A1:AD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9"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6" t="s">
        <v>108</v>
      </c>
      <c r="C2" s="17" t="s">
        <v>40</v>
      </c>
      <c r="D2" s="17" t="s">
        <v>41</v>
      </c>
      <c r="E2" s="17" t="s">
        <v>42</v>
      </c>
      <c r="F2" s="17" t="s">
        <v>43</v>
      </c>
      <c r="G2" s="17" t="s">
        <v>44</v>
      </c>
      <c r="H2" s="17" t="s">
        <v>45</v>
      </c>
      <c r="I2" s="17" t="s">
        <v>46</v>
      </c>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9" t="s">
        <v>47</v>
      </c>
      <c r="D3" s="19" t="s">
        <v>41</v>
      </c>
      <c r="E3" s="19" t="s">
        <v>42</v>
      </c>
      <c r="F3" s="19" t="s">
        <v>43</v>
      </c>
      <c r="G3" s="19" t="s">
        <v>44</v>
      </c>
      <c r="H3" s="19" t="s">
        <v>45</v>
      </c>
      <c r="I3" s="19" t="s">
        <v>46</v>
      </c>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20" t="s">
        <v>108</v>
      </c>
      <c r="C5" s="10"/>
      <c r="D5" s="10"/>
      <c r="E5" s="10"/>
      <c r="F5" s="10"/>
      <c r="G5" s="10"/>
      <c r="H5" s="10"/>
      <c r="I5" s="10"/>
    </row>
    <row r="6" customFormat="false" ht="15" hidden="false" customHeight="false" outlineLevel="0" collapsed="false">
      <c r="A6" s="5"/>
      <c r="B6" s="30" t="s">
        <v>109</v>
      </c>
      <c r="C6" s="25" t="n">
        <v>0</v>
      </c>
      <c r="D6" s="25" t="n">
        <f aca="false">PB_GWP*Mgmt_Fee_Pct</f>
        <v>1050000</v>
      </c>
      <c r="E6" s="25" t="n">
        <f aca="false">PB_GWP*Mgmt_Fee_Pct</f>
        <v>1102500</v>
      </c>
      <c r="F6" s="25" t="n">
        <f aca="false">PB_GWP*Mgmt_Fee_Pct</f>
        <v>1157625</v>
      </c>
      <c r="G6" s="25" t="n">
        <f aca="false">PB_GWP*Mgmt_Fee_Pct</f>
        <v>1215506.25</v>
      </c>
      <c r="H6" s="25" t="n">
        <f aca="false">PB_GWP*Mgmt_Fee_Pct</f>
        <v>1276281.5625</v>
      </c>
      <c r="I6" s="25" t="n">
        <f aca="false">PB_GWP*Mgmt_Fee_Pct</f>
        <v>1340095.640625</v>
      </c>
    </row>
    <row r="7" customFormat="false" ht="15" hidden="false" customHeight="false" outlineLevel="0" collapsed="false">
      <c r="A7" s="5"/>
      <c r="B7" s="30" t="s">
        <v>110</v>
      </c>
      <c r="C7" s="25" t="n">
        <v>0</v>
      </c>
      <c r="D7" s="25" t="n">
        <f aca="false">PB_GWP*Actuarial_Fee_Pct</f>
        <v>157500</v>
      </c>
      <c r="E7" s="25" t="n">
        <f aca="false">PB_GWP*Actuarial_Fee_Pct</f>
        <v>165375</v>
      </c>
      <c r="F7" s="25" t="n">
        <f aca="false">PB_GWP*Actuarial_Fee_Pct</f>
        <v>173643.75</v>
      </c>
      <c r="G7" s="25" t="n">
        <f aca="false">PB_GWP*Actuarial_Fee_Pct</f>
        <v>182325.9375</v>
      </c>
      <c r="H7" s="25" t="n">
        <f aca="false">PB_GWP*Actuarial_Fee_Pct</f>
        <v>191442.234375</v>
      </c>
      <c r="I7" s="25" t="n">
        <f aca="false">PB_GWP*Actuarial_Fee_Pct</f>
        <v>201014.34609375</v>
      </c>
    </row>
    <row r="8" customFormat="false" ht="15" hidden="false" customHeight="false" outlineLevel="0" collapsed="false">
      <c r="A8" s="5"/>
      <c r="B8" s="30" t="s">
        <v>111</v>
      </c>
      <c r="C8" s="25" t="n">
        <v>0</v>
      </c>
      <c r="D8" s="25" t="n">
        <f aca="false">PB_GWP*Audit_Fee_Pct</f>
        <v>105000</v>
      </c>
      <c r="E8" s="25" t="n">
        <f aca="false">PB_GWP*Audit_Fee_Pct</f>
        <v>110250</v>
      </c>
      <c r="F8" s="25" t="n">
        <f aca="false">PB_GWP*Audit_Fee_Pct</f>
        <v>115762.5</v>
      </c>
      <c r="G8" s="25" t="n">
        <f aca="false">PB_GWP*Audit_Fee_Pct</f>
        <v>121550.625</v>
      </c>
      <c r="H8" s="25" t="n">
        <f aca="false">PB_GWP*Audit_Fee_Pct</f>
        <v>127628.15625</v>
      </c>
      <c r="I8" s="25" t="n">
        <f aca="false">PB_GWP*Audit_Fee_Pct</f>
        <v>134009.5640625</v>
      </c>
    </row>
    <row r="9" customFormat="false" ht="15" hidden="false" customHeight="false" outlineLevel="0" collapsed="false">
      <c r="A9" s="5"/>
      <c r="B9" s="30" t="s">
        <v>112</v>
      </c>
      <c r="C9" s="25" t="n">
        <v>0</v>
      </c>
      <c r="D9" s="25" t="n">
        <f aca="false">PB_GWP*Legal_Fee_Pct</f>
        <v>105000</v>
      </c>
      <c r="E9" s="25" t="n">
        <f aca="false">PB_GWP*Legal_Fee_Pct</f>
        <v>110250</v>
      </c>
      <c r="F9" s="25" t="n">
        <f aca="false">PB_GWP*Legal_Fee_Pct</f>
        <v>115762.5</v>
      </c>
      <c r="G9" s="25" t="n">
        <f aca="false">PB_GWP*Legal_Fee_Pct</f>
        <v>121550.625</v>
      </c>
      <c r="H9" s="25" t="n">
        <f aca="false">PB_GWP*Legal_Fee_Pct</f>
        <v>127628.15625</v>
      </c>
      <c r="I9" s="25" t="n">
        <f aca="false">PB_GWP*Legal_Fee_Pct</f>
        <v>134009.5640625</v>
      </c>
    </row>
    <row r="10" customFormat="false" ht="15" hidden="false" customHeight="false" outlineLevel="0" collapsed="false">
      <c r="A10" s="5"/>
      <c r="B10" s="30" t="s">
        <v>113</v>
      </c>
      <c r="C10" s="25" t="n">
        <v>0</v>
      </c>
      <c r="D10" s="25" t="n">
        <f aca="false">PB_GWP*Prem_Tax_Pct</f>
        <v>22470</v>
      </c>
      <c r="E10" s="25" t="n">
        <f aca="false">PB_GWP*Prem_Tax_Pct</f>
        <v>23593.5</v>
      </c>
      <c r="F10" s="25" t="n">
        <f aca="false">PB_GWP*Prem_Tax_Pct</f>
        <v>24773.175</v>
      </c>
      <c r="G10" s="25" t="n">
        <f aca="false">PB_GWP*Prem_Tax_Pct</f>
        <v>26011.83375</v>
      </c>
      <c r="H10" s="25" t="n">
        <f aca="false">PB_GWP*Prem_Tax_Pct</f>
        <v>27312.4254375</v>
      </c>
      <c r="I10" s="25" t="n">
        <f aca="false">PB_GWP*Prem_Tax_Pct</f>
        <v>28678.046709375</v>
      </c>
    </row>
    <row r="11" customFormat="false" ht="15" hidden="false" customHeight="false" outlineLevel="0" collapsed="false">
      <c r="A11" s="5"/>
      <c r="B11" s="30" t="s">
        <v>114</v>
      </c>
      <c r="C11" s="25" t="n">
        <v>0</v>
      </c>
      <c r="D11" s="25" t="n">
        <f aca="false">PB_GWP*Directors_Fee_Pct</f>
        <v>52500</v>
      </c>
      <c r="E11" s="25" t="n">
        <f aca="false">PB_GWP*Directors_Fee_Pct</f>
        <v>55125</v>
      </c>
      <c r="F11" s="25" t="n">
        <f aca="false">PB_GWP*Directors_Fee_Pct</f>
        <v>57881.25</v>
      </c>
      <c r="G11" s="25" t="n">
        <f aca="false">PB_GWP*Directors_Fee_Pct</f>
        <v>60775.3125</v>
      </c>
      <c r="H11" s="25" t="n">
        <f aca="false">PB_GWP*Directors_Fee_Pct</f>
        <v>63814.078125</v>
      </c>
      <c r="I11" s="25" t="n">
        <f aca="false">PB_GWP*Directors_Fee_Pct</f>
        <v>67004.78203125</v>
      </c>
    </row>
    <row r="12" customFormat="false" ht="15" hidden="false" customHeight="false" outlineLevel="0" collapsed="false">
      <c r="A12" s="5"/>
      <c r="B12" s="5"/>
      <c r="C12" s="5"/>
      <c r="D12" s="5"/>
      <c r="E12" s="5"/>
      <c r="F12" s="5"/>
      <c r="G12" s="5"/>
      <c r="H12" s="5"/>
      <c r="I12" s="5"/>
    </row>
    <row r="13" customFormat="false" ht="15" hidden="false" customHeight="false" outlineLevel="0" collapsed="false">
      <c r="A13" s="5"/>
      <c r="B13" s="26" t="s">
        <v>115</v>
      </c>
      <c r="C13" s="27" t="n">
        <v>0</v>
      </c>
      <c r="D13" s="27" t="n">
        <f aca="false">SUM(D6:D11)</f>
        <v>1492470</v>
      </c>
      <c r="E13" s="27" t="n">
        <f aca="false">SUM(E6:E11)</f>
        <v>1567093.5</v>
      </c>
      <c r="F13" s="27" t="n">
        <f aca="false">SUM(F6:F11)</f>
        <v>1645448.175</v>
      </c>
      <c r="G13" s="27" t="n">
        <f aca="false">SUM(G6:G11)</f>
        <v>1727720.58375</v>
      </c>
      <c r="H13" s="27" t="n">
        <f aca="false">SUM(H6:H11)</f>
        <v>1814106.6129375</v>
      </c>
      <c r="I13" s="27" t="n">
        <f aca="false">SUM(I6:I11)</f>
        <v>1904811.94358438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0CECE"/>
    <pageSetUpPr fitToPage="false"/>
  </sheetPr>
  <dimension ref="A1:AD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9"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6" t="s">
        <v>116</v>
      </c>
      <c r="C2" s="17" t="s">
        <v>40</v>
      </c>
      <c r="D2" s="17" t="s">
        <v>41</v>
      </c>
      <c r="E2" s="17" t="s">
        <v>42</v>
      </c>
      <c r="F2" s="17" t="s">
        <v>43</v>
      </c>
      <c r="G2" s="17" t="s">
        <v>44</v>
      </c>
      <c r="H2" s="17" t="s">
        <v>45</v>
      </c>
      <c r="I2" s="17" t="s">
        <v>46</v>
      </c>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9" t="s">
        <v>47</v>
      </c>
      <c r="D3" s="19" t="s">
        <v>41</v>
      </c>
      <c r="E3" s="19" t="s">
        <v>42</v>
      </c>
      <c r="F3" s="19" t="s">
        <v>43</v>
      </c>
      <c r="G3" s="19" t="s">
        <v>44</v>
      </c>
      <c r="H3" s="19" t="s">
        <v>45</v>
      </c>
      <c r="I3" s="19" t="s">
        <v>46</v>
      </c>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20" t="s">
        <v>117</v>
      </c>
      <c r="C5" s="10"/>
      <c r="D5" s="10"/>
      <c r="E5" s="10"/>
      <c r="F5" s="10"/>
      <c r="G5" s="10"/>
      <c r="H5" s="10"/>
      <c r="I5" s="10"/>
    </row>
    <row r="6" customFormat="false" ht="15" hidden="false" customHeight="false" outlineLevel="0" collapsed="false">
      <c r="A6" s="5"/>
      <c r="B6" s="8" t="s">
        <v>118</v>
      </c>
      <c r="C6" s="25" t="n">
        <v>0</v>
      </c>
      <c r="D6" s="25" t="n">
        <f aca="false">Balance_Sheet!C$18</f>
        <v>3000000</v>
      </c>
      <c r="E6" s="25" t="n">
        <f aca="false">Balance_Sheet!D$18</f>
        <v>3287978.7</v>
      </c>
      <c r="F6" s="25" t="n">
        <f aca="false">Balance_Sheet!E$18</f>
        <v>4455601.102785</v>
      </c>
      <c r="G6" s="25" t="n">
        <f aca="false">Balance_Sheet!F$18</f>
        <v>4638775.40720401</v>
      </c>
      <c r="H6" s="25" t="n">
        <f aca="false">Balance_Sheet!G$18</f>
        <v>4810045.22672811</v>
      </c>
      <c r="I6" s="25" t="n">
        <f aca="false">Balance_Sheet!H$18</f>
        <v>4980556.23144424</v>
      </c>
    </row>
    <row r="7" customFormat="false" ht="15" hidden="false" customHeight="false" outlineLevel="0" collapsed="false">
      <c r="A7" s="5"/>
      <c r="B7" s="24" t="s">
        <v>119</v>
      </c>
      <c r="C7" s="25" t="n">
        <f aca="false">Min_Capital</f>
        <v>500000</v>
      </c>
      <c r="D7" s="25" t="n">
        <f aca="false">Min_Capital</f>
        <v>500000</v>
      </c>
      <c r="E7" s="25" t="n">
        <f aca="false">Min_Capital</f>
        <v>500000</v>
      </c>
      <c r="F7" s="25" t="n">
        <f aca="false">Min_Capital</f>
        <v>500000</v>
      </c>
      <c r="G7" s="25" t="n">
        <f aca="false">Min_Capital</f>
        <v>500000</v>
      </c>
      <c r="H7" s="25" t="n">
        <f aca="false">Min_Capital</f>
        <v>500000</v>
      </c>
      <c r="I7" s="25" t="n">
        <f aca="false">Min_Capital</f>
        <v>500000</v>
      </c>
    </row>
    <row r="8" customFormat="false" ht="15" hidden="false" customHeight="false" outlineLevel="0" collapsed="false">
      <c r="A8" s="5"/>
      <c r="B8" s="24" t="s">
        <v>120</v>
      </c>
      <c r="C8" s="25" t="n">
        <f aca="false">Capital_Buffer</f>
        <v>1000000</v>
      </c>
      <c r="D8" s="25" t="n">
        <f aca="false">Capital_Buffer</f>
        <v>1000000</v>
      </c>
      <c r="E8" s="25" t="n">
        <f aca="false">Capital_Buffer</f>
        <v>1000000</v>
      </c>
      <c r="F8" s="25" t="n">
        <f aca="false">Capital_Buffer</f>
        <v>1000000</v>
      </c>
      <c r="G8" s="25" t="n">
        <f aca="false">Capital_Buffer</f>
        <v>1000000</v>
      </c>
      <c r="H8" s="25" t="n">
        <f aca="false">Capital_Buffer</f>
        <v>1000000</v>
      </c>
      <c r="I8" s="25" t="n">
        <f aca="false">Capital_Buffer</f>
        <v>1000000</v>
      </c>
    </row>
    <row r="9" customFormat="false" ht="15" hidden="false" customHeight="false" outlineLevel="0" collapsed="false">
      <c r="A9" s="5"/>
      <c r="B9" s="24" t="s">
        <v>117</v>
      </c>
      <c r="C9" s="25" t="n">
        <v>0</v>
      </c>
      <c r="D9" s="25" t="n">
        <f aca="false">MAX(0,D6-D7-D8)</f>
        <v>1500000</v>
      </c>
      <c r="E9" s="25" t="n">
        <f aca="false">MAX(0,E6-E7-E8)</f>
        <v>1787978.7</v>
      </c>
      <c r="F9" s="25" t="n">
        <f aca="false">MAX(0,F6-F7-F8)</f>
        <v>2955601.102785</v>
      </c>
      <c r="G9" s="25" t="n">
        <f aca="false">MAX(0,G6-G7-G8)</f>
        <v>3138775.40720401</v>
      </c>
      <c r="H9" s="25" t="n">
        <f aca="false">MAX(0,H6-H7-H8)</f>
        <v>3310045.22672811</v>
      </c>
      <c r="I9" s="25" t="n">
        <f aca="false">MAX(0,I6-I7-I8)</f>
        <v>3480556.23144424</v>
      </c>
    </row>
    <row r="10" customFormat="false" ht="15" hidden="false" customHeight="false" outlineLevel="0" collapsed="false">
      <c r="A10" s="5"/>
      <c r="B10" s="5"/>
      <c r="C10" s="5"/>
      <c r="D10" s="5"/>
      <c r="E10" s="5"/>
      <c r="F10" s="5"/>
      <c r="G10" s="5"/>
      <c r="H10" s="5"/>
      <c r="I10" s="5"/>
    </row>
    <row r="11" customFormat="false" ht="15" hidden="false" customHeight="false" outlineLevel="0" collapsed="false">
      <c r="A11" s="5"/>
      <c r="B11" s="20" t="s">
        <v>121</v>
      </c>
      <c r="C11" s="10"/>
      <c r="D11" s="10"/>
      <c r="E11" s="10"/>
      <c r="F11" s="10"/>
      <c r="G11" s="10"/>
      <c r="H11" s="10"/>
      <c r="I11" s="10"/>
    </row>
    <row r="12" customFormat="false" ht="15" hidden="false" customHeight="false" outlineLevel="0" collapsed="false">
      <c r="A12" s="5"/>
      <c r="B12" s="24" t="s">
        <v>122</v>
      </c>
      <c r="C12" s="25" t="n">
        <v>0</v>
      </c>
      <c r="D12" s="25" t="n">
        <f aca="false">D9*Dividend_Pct</f>
        <v>750000</v>
      </c>
      <c r="E12" s="25" t="n">
        <f aca="false">E9*Dividend_Pct</f>
        <v>893989.35</v>
      </c>
      <c r="F12" s="25" t="n">
        <f aca="false">F9*Dividend_Pct</f>
        <v>1477800.5513925</v>
      </c>
      <c r="G12" s="25" t="n">
        <f aca="false">G9*Dividend_Pct</f>
        <v>1569387.703602</v>
      </c>
      <c r="H12" s="25" t="n">
        <f aca="false">H9*Dividend_Pct</f>
        <v>1655022.61336405</v>
      </c>
      <c r="I12" s="25" t="n">
        <f aca="false">I9*Dividend_Pct</f>
        <v>1740278.11572212</v>
      </c>
    </row>
    <row r="13" customFormat="false" ht="15" hidden="false" customHeight="false" outlineLevel="0" collapsed="false">
      <c r="A13" s="5"/>
      <c r="B13" s="8" t="s">
        <v>123</v>
      </c>
      <c r="C13" s="25" t="n">
        <v>0</v>
      </c>
      <c r="D13" s="25" t="n">
        <v>0</v>
      </c>
      <c r="E13" s="25" t="n">
        <f aca="false">Income_Statement!D$20</f>
        <v>287978.7</v>
      </c>
      <c r="F13" s="25" t="n">
        <f aca="false">Income_Statement!E$20</f>
        <v>1455601.102785</v>
      </c>
      <c r="G13" s="25" t="n">
        <f aca="false">Income_Statement!F$20</f>
        <v>1638775.40720401</v>
      </c>
      <c r="H13" s="25" t="n">
        <f aca="false">Income_Statement!G$20</f>
        <v>1740657.5231261</v>
      </c>
      <c r="I13" s="25" t="n">
        <f aca="false">Income_Statement!H$20</f>
        <v>1825533.61808018</v>
      </c>
    </row>
    <row r="14" customFormat="false" ht="15" hidden="false" customHeight="false" outlineLevel="0" collapsed="false">
      <c r="A14" s="5"/>
      <c r="B14" s="24" t="s">
        <v>124</v>
      </c>
      <c r="C14" s="25" t="n">
        <v>0</v>
      </c>
      <c r="D14" s="25" t="n">
        <f aca="false">MIN(D12,MAX(0,D13))</f>
        <v>0</v>
      </c>
      <c r="E14" s="25" t="n">
        <f aca="false">MIN(E12,MAX(0,E13))</f>
        <v>287978.7</v>
      </c>
      <c r="F14" s="25" t="n">
        <f aca="false">MIN(F12,MAX(0,F13))</f>
        <v>1455601.102785</v>
      </c>
      <c r="G14" s="25" t="n">
        <f aca="false">MIN(G12,MAX(0,G13))</f>
        <v>1569387.703602</v>
      </c>
      <c r="H14" s="25" t="n">
        <f aca="false">MIN(H12,MAX(0,H13))</f>
        <v>1655022.61336405</v>
      </c>
      <c r="I14" s="25" t="n">
        <f aca="false">MIN(I12,MAX(0,I13))</f>
        <v>1740278.11572212</v>
      </c>
    </row>
    <row r="15" customFormat="false" ht="15" hidden="false" customHeight="false" outlineLevel="0" collapsed="false">
      <c r="A15" s="5"/>
      <c r="B15" s="24" t="s">
        <v>125</v>
      </c>
      <c r="C15" s="25" t="n">
        <v>0</v>
      </c>
      <c r="D15" s="25" t="n">
        <f aca="false">C15+D14</f>
        <v>0</v>
      </c>
      <c r="E15" s="25" t="n">
        <f aca="false">D15+E14</f>
        <v>287978.7</v>
      </c>
      <c r="F15" s="25" t="n">
        <f aca="false">E15+F14</f>
        <v>1743579.802785</v>
      </c>
      <c r="G15" s="25" t="n">
        <f aca="false">F15+G14</f>
        <v>3312967.506387</v>
      </c>
      <c r="H15" s="25" t="n">
        <f aca="false">G15+H14</f>
        <v>4967990.11975106</v>
      </c>
      <c r="I15" s="25" t="n">
        <f aca="false">H15+I14</f>
        <v>6708268.23547318</v>
      </c>
    </row>
    <row r="16" customFormat="false" ht="15" hidden="false" customHeight="false" outlineLevel="0" collapsed="false">
      <c r="A16" s="5"/>
      <c r="B16" s="5"/>
      <c r="C16" s="5"/>
      <c r="D16" s="5"/>
      <c r="E16" s="5"/>
      <c r="F16" s="5"/>
      <c r="G16" s="5"/>
      <c r="H16" s="5"/>
      <c r="I16" s="5"/>
    </row>
    <row r="17" customFormat="false" ht="15" hidden="false" customHeight="false" outlineLevel="0" collapsed="false">
      <c r="A17" s="5"/>
      <c r="B17" s="20" t="s">
        <v>126</v>
      </c>
      <c r="C17" s="10"/>
      <c r="D17" s="10"/>
      <c r="E17" s="10"/>
      <c r="F17" s="10"/>
      <c r="G17" s="10"/>
      <c r="H17" s="10"/>
      <c r="I17" s="10"/>
    </row>
    <row r="18" customFormat="false" ht="15" hidden="false" customHeight="false" outlineLevel="0" collapsed="false">
      <c r="A18" s="5"/>
      <c r="B18" s="24" t="s">
        <v>127</v>
      </c>
      <c r="C18" s="31"/>
      <c r="D18" s="31" t="n">
        <f aca="false">IF(D6=0,"",PB_NWP/D6)</f>
        <v>2.8</v>
      </c>
      <c r="E18" s="31" t="n">
        <f aca="false">IF(E6=0,"",PB_NWP/E6)</f>
        <v>2.6824991293283</v>
      </c>
      <c r="F18" s="31" t="n">
        <f aca="false">IF(F6=0,"",PB_NWP/F6)</f>
        <v>2.07850743061612</v>
      </c>
      <c r="G18" s="31" t="n">
        <f aca="false">IF(G6=0,"",PB_NWP/G6)</f>
        <v>2.09625367610999</v>
      </c>
      <c r="H18" s="31" t="n">
        <f aca="false">IF(H6=0,"",PB_NWP/H6)</f>
        <v>2.12269365852621</v>
      </c>
      <c r="I18" s="31" t="n">
        <f aca="false">IF(I6=0,"",PB_NWP/I6)</f>
        <v>2.15252365936871</v>
      </c>
    </row>
    <row r="19" customFormat="false" ht="15" hidden="false" customHeight="false" outlineLevel="0" collapsed="false">
      <c r="A19" s="5"/>
      <c r="B19" s="8" t="s">
        <v>128</v>
      </c>
      <c r="C19" s="32"/>
      <c r="D19" s="32" t="str">
        <f aca="false">IF(D18="","",IF(D18&lt;=Max_Prem_Surplus,"PASS","FAIL"))</f>
        <v>PASS</v>
      </c>
      <c r="E19" s="32" t="str">
        <f aca="false">IF(E18="","",IF(E18&lt;=Max_Prem_Surplus,"PASS","FAIL"))</f>
        <v>PASS</v>
      </c>
      <c r="F19" s="32" t="str">
        <f aca="false">IF(F18="","",IF(F18&lt;=Max_Prem_Surplus,"PASS","FAIL"))</f>
        <v>PASS</v>
      </c>
      <c r="G19" s="32" t="str">
        <f aca="false">IF(G18="","",IF(G18&lt;=Max_Prem_Surplus,"PASS","FAIL"))</f>
        <v>PASS</v>
      </c>
      <c r="H19" s="32" t="str">
        <f aca="false">IF(H18="","",IF(H18&lt;=Max_Prem_Surplus,"PASS","FAIL"))</f>
        <v>PASS</v>
      </c>
      <c r="I19" s="32" t="str">
        <f aca="false">IF(I18="","",IF(I18&lt;=Max_Prem_Surplus,"PASS","FAIL"))</f>
        <v>PASS</v>
      </c>
    </row>
    <row r="20" customFormat="false" ht="15" hidden="false" customHeight="false" outlineLevel="0" collapsed="false">
      <c r="A20" s="5"/>
      <c r="B20" s="8" t="s">
        <v>129</v>
      </c>
      <c r="C20" s="33"/>
      <c r="D20" s="33" t="n">
        <f aca="false">IF(D6=0,"",Income_Statement!D$20/((D6+Balance_Sheet!D$18)/2))</f>
        <v>0.091596588900659</v>
      </c>
      <c r="E20" s="33" t="n">
        <f aca="false">IF(E6=0,"",Income_Statement!E$20/((E6+Balance_Sheet!E$18)/2))</f>
        <v>0.375950436324422</v>
      </c>
      <c r="F20" s="33" t="n">
        <f aca="false">IF(F6=0,"",Income_Statement!F$20/((F6+Balance_Sheet!F$18)/2))</f>
        <v>0.360393129843266</v>
      </c>
      <c r="G20" s="33" t="n">
        <f aca="false">IF(G6=0,"",Income_Statement!G$20/((G6+Balance_Sheet!G$18)/2))</f>
        <v>0.368439108024793</v>
      </c>
      <c r="H20" s="33" t="n">
        <f aca="false">IF(H6=0,"",Income_Statement!H$20/((H6+Balance_Sheet!H$18)/2))</f>
        <v>0.372915520232189</v>
      </c>
      <c r="I20" s="33" t="n">
        <f aca="false">IF(I6=0,"",Income_Statement!I$20/((I6+Balance_Sheet!I$18)/2))</f>
        <v>0.377758768290824</v>
      </c>
    </row>
    <row r="21" customFormat="false" ht="15" hidden="false" customHeight="false" outlineLevel="0" collapsed="false">
      <c r="A21" s="5"/>
      <c r="B21" s="8" t="s">
        <v>130</v>
      </c>
      <c r="C21" s="25" t="n">
        <v>0</v>
      </c>
      <c r="D21" s="25" t="n">
        <f aca="false">C21+Income_Statement!D$20</f>
        <v>287978.7</v>
      </c>
      <c r="E21" s="25" t="n">
        <f aca="false">D21+Income_Statement!E$20</f>
        <v>1743579.802785</v>
      </c>
      <c r="F21" s="25" t="n">
        <f aca="false">E21+Income_Statement!F$20</f>
        <v>3382355.20998901</v>
      </c>
      <c r="G21" s="25" t="n">
        <f aca="false">F21+Income_Statement!G$20</f>
        <v>5123012.73311511</v>
      </c>
      <c r="H21" s="25" t="n">
        <f aca="false">G21+Income_Statement!H$20</f>
        <v>6948546.35119529</v>
      </c>
      <c r="I21" s="25" t="n">
        <f aca="false">H21+Income_Statement!I$20</f>
        <v>8862868.46100664</v>
      </c>
    </row>
    <row r="22" customFormat="false" ht="15" hidden="false" customHeight="false" outlineLevel="0" collapsed="false">
      <c r="A22" s="5"/>
      <c r="B22" s="8" t="s">
        <v>131</v>
      </c>
      <c r="C22" s="32"/>
      <c r="D22" s="32" t="str">
        <f aca="false">IF(D21&gt;=Initial_Capital,"ACHIEVED","")</f>
        <v/>
      </c>
      <c r="E22" s="32" t="str">
        <f aca="false">IF(E21&gt;=Initial_Capital,"ACHIEVED","")</f>
        <v/>
      </c>
      <c r="F22" s="32" t="str">
        <f aca="false">IF(F21&gt;=Initial_Capital,"ACHIEVED","")</f>
        <v>ACHIEVED</v>
      </c>
      <c r="G22" s="32" t="str">
        <f aca="false">IF(G21&gt;=Initial_Capital,"ACHIEVED","")</f>
        <v>ACHIEVED</v>
      </c>
      <c r="H22" s="32" t="str">
        <f aca="false">IF(H21&gt;=Initial_Capital,"ACHIEVED","")</f>
        <v>ACHIEVED</v>
      </c>
      <c r="I22" s="32" t="str">
        <f aca="false">IF(I21&gt;=Initial_Capital,"ACHIEVED","")</f>
        <v>ACHIEVED</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AD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9"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6" t="s">
        <v>132</v>
      </c>
      <c r="C2" s="17" t="s">
        <v>40</v>
      </c>
      <c r="D2" s="17" t="s">
        <v>41</v>
      </c>
      <c r="E2" s="17" t="s">
        <v>42</v>
      </c>
      <c r="F2" s="17" t="s">
        <v>43</v>
      </c>
      <c r="G2" s="17" t="s">
        <v>44</v>
      </c>
      <c r="H2" s="17" t="s">
        <v>45</v>
      </c>
      <c r="I2" s="17" t="s">
        <v>46</v>
      </c>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9" t="s">
        <v>47</v>
      </c>
      <c r="D3" s="19" t="s">
        <v>41</v>
      </c>
      <c r="E3" s="19" t="s">
        <v>42</v>
      </c>
      <c r="F3" s="19" t="s">
        <v>43</v>
      </c>
      <c r="G3" s="19" t="s">
        <v>44</v>
      </c>
      <c r="H3" s="19" t="s">
        <v>45</v>
      </c>
      <c r="I3" s="19" t="s">
        <v>46</v>
      </c>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20" t="s">
        <v>132</v>
      </c>
      <c r="C5" s="10"/>
      <c r="D5" s="10"/>
      <c r="E5" s="10"/>
      <c r="F5" s="10"/>
      <c r="G5" s="10"/>
      <c r="H5" s="10"/>
      <c r="I5" s="10"/>
    </row>
    <row r="6" customFormat="false" ht="15" hidden="false" customHeight="false" outlineLevel="0" collapsed="false">
      <c r="A6" s="5"/>
      <c r="B6" s="24" t="s">
        <v>133</v>
      </c>
      <c r="C6" s="25" t="n">
        <v>0</v>
      </c>
      <c r="D6" s="25" t="n">
        <f aca="false">C$10</f>
        <v>3000000</v>
      </c>
      <c r="E6" s="25" t="n">
        <f aca="false">D$10</f>
        <v>8989478.7</v>
      </c>
      <c r="F6" s="25" t="n">
        <f aca="false">E$10</f>
        <v>12544276.102785</v>
      </c>
      <c r="G6" s="25" t="n">
        <f aca="false">F$10</f>
        <v>13732484.157204</v>
      </c>
      <c r="H6" s="25" t="n">
        <f aca="false">G$10</f>
        <v>14358439.4142281</v>
      </c>
      <c r="I6" s="25" t="n">
        <f aca="false">H$10</f>
        <v>15006370.1283192</v>
      </c>
    </row>
    <row r="7" customFormat="false" ht="15" hidden="false" customHeight="false" outlineLevel="0" collapsed="false">
      <c r="A7" s="5"/>
      <c r="B7" s="8" t="s">
        <v>134</v>
      </c>
      <c r="C7" s="25" t="n">
        <f aca="false">Initial_Capital</f>
        <v>3000000</v>
      </c>
      <c r="D7" s="25" t="n">
        <f aca="false">PB_NWP+PB_Ceding_Income-CR_Total_Paid-OE_Total-IS_Tax</f>
        <v>5854478.7</v>
      </c>
      <c r="E7" s="25" t="n">
        <f aca="false">PB_NWP+PB_Ceding_Income-CR_Total_Paid-OE_Total-IS_Tax</f>
        <v>3438249.561285</v>
      </c>
      <c r="F7" s="25" t="n">
        <f aca="false">PB_NWP+PB_Ceding_Income-CR_Total_Paid-OE_Total-IS_Tax</f>
        <v>2079316.73257868</v>
      </c>
      <c r="G7" s="25" t="n">
        <f aca="false">PB_NWP+PB_Ceding_Income-CR_Total_Paid-OE_Total-IS_Tax</f>
        <v>1577381.17355192</v>
      </c>
      <c r="H7" s="25" t="n">
        <f aca="false">PB_NWP+PB_Ceding_Income-CR_Total_Paid-OE_Total-IS_Tax</f>
        <v>1656823.55381492</v>
      </c>
      <c r="I7" s="25" t="n">
        <f aca="false">PB_NWP+PB_Ceding_Income-CR_Total_Paid-OE_Total-IS_Tax</f>
        <v>1740326.14888073</v>
      </c>
    </row>
    <row r="8" customFormat="false" ht="15" hidden="false" customHeight="false" outlineLevel="0" collapsed="false">
      <c r="A8" s="5"/>
      <c r="B8" s="24" t="s">
        <v>135</v>
      </c>
      <c r="C8" s="28" t="n">
        <v>0</v>
      </c>
      <c r="D8" s="28" t="n">
        <f aca="false">-CAP_Div_Paid</f>
        <v>-0</v>
      </c>
      <c r="E8" s="28" t="n">
        <f aca="false">-CAP_Div_Paid</f>
        <v>-287978.7</v>
      </c>
      <c r="F8" s="28" t="n">
        <f aca="false">-CAP_Div_Paid</f>
        <v>-1455601.102785</v>
      </c>
      <c r="G8" s="28" t="n">
        <f aca="false">-CAP_Div_Paid</f>
        <v>-1569387.703602</v>
      </c>
      <c r="H8" s="28" t="n">
        <f aca="false">-CAP_Div_Paid</f>
        <v>-1655022.61336405</v>
      </c>
      <c r="I8" s="28" t="n">
        <f aca="false">-CAP_Div_Paid</f>
        <v>-1740278.11572212</v>
      </c>
    </row>
    <row r="9" customFormat="false" ht="15" hidden="false" customHeight="false" outlineLevel="0" collapsed="false">
      <c r="A9" s="5"/>
      <c r="B9" s="24" t="s">
        <v>136</v>
      </c>
      <c r="C9" s="25" t="n">
        <v>0</v>
      </c>
      <c r="D9" s="25" t="n">
        <f aca="false">D$6*Portfolio_Yield</f>
        <v>135000</v>
      </c>
      <c r="E9" s="25" t="n">
        <f aca="false">E$6*Portfolio_Yield</f>
        <v>404526.5415</v>
      </c>
      <c r="F9" s="25" t="n">
        <f aca="false">F$6*Portfolio_Yield</f>
        <v>564492.424625325</v>
      </c>
      <c r="G9" s="25" t="n">
        <f aca="false">G$6*Portfolio_Yield</f>
        <v>617961.78707418</v>
      </c>
      <c r="H9" s="25" t="n">
        <f aca="false">H$6*Portfolio_Yield</f>
        <v>646129.773640265</v>
      </c>
      <c r="I9" s="25" t="n">
        <f aca="false">I$6*Portfolio_Yield</f>
        <v>675286.655774366</v>
      </c>
    </row>
    <row r="10" customFormat="false" ht="15" hidden="false" customHeight="false" outlineLevel="0" collapsed="false">
      <c r="A10" s="5"/>
      <c r="B10" s="7" t="s">
        <v>137</v>
      </c>
      <c r="C10" s="27" t="n">
        <f aca="false">C6+C7+C8+C9</f>
        <v>3000000</v>
      </c>
      <c r="D10" s="27" t="n">
        <f aca="false">D6+D7+D8+D9</f>
        <v>8989478.7</v>
      </c>
      <c r="E10" s="27" t="n">
        <f aca="false">E6+E7+E8+E9</f>
        <v>12544276.102785</v>
      </c>
      <c r="F10" s="27" t="n">
        <f aca="false">F6+F7+F8+F9</f>
        <v>13732484.157204</v>
      </c>
      <c r="G10" s="27" t="n">
        <f aca="false">G6+G7+G8+G9</f>
        <v>14358439.4142281</v>
      </c>
      <c r="H10" s="27" t="n">
        <f aca="false">H6+H7+H8+H9</f>
        <v>15006370.1283192</v>
      </c>
      <c r="I10" s="27" t="n">
        <f aca="false">I6+I7+I8+I9</f>
        <v>15681704.8172522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0CECE"/>
    <pageSetUpPr fitToPage="false"/>
  </sheetPr>
  <dimension ref="A1:AD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9"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6" t="s">
        <v>138</v>
      </c>
      <c r="C2" s="17" t="s">
        <v>40</v>
      </c>
      <c r="D2" s="17" t="s">
        <v>41</v>
      </c>
      <c r="E2" s="17" t="s">
        <v>42</v>
      </c>
      <c r="F2" s="17" t="s">
        <v>43</v>
      </c>
      <c r="G2" s="17" t="s">
        <v>44</v>
      </c>
      <c r="H2" s="17" t="s">
        <v>45</v>
      </c>
      <c r="I2" s="17" t="s">
        <v>46</v>
      </c>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9" t="s">
        <v>47</v>
      </c>
      <c r="D3" s="19" t="s">
        <v>41</v>
      </c>
      <c r="E3" s="19" t="s">
        <v>42</v>
      </c>
      <c r="F3" s="19" t="s">
        <v>43</v>
      </c>
      <c r="G3" s="19" t="s">
        <v>44</v>
      </c>
      <c r="H3" s="19" t="s">
        <v>45</v>
      </c>
      <c r="I3" s="19" t="s">
        <v>46</v>
      </c>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20" t="s">
        <v>139</v>
      </c>
      <c r="C5" s="10"/>
      <c r="D5" s="10"/>
      <c r="E5" s="10"/>
      <c r="F5" s="10"/>
      <c r="G5" s="10"/>
      <c r="H5" s="10"/>
      <c r="I5" s="10"/>
    </row>
    <row r="6" customFormat="false" ht="15" hidden="false" customHeight="false" outlineLevel="0" collapsed="false">
      <c r="A6" s="5"/>
      <c r="B6" s="30" t="s">
        <v>86</v>
      </c>
      <c r="C6" s="25" t="n">
        <v>0</v>
      </c>
      <c r="D6" s="25" t="n">
        <f aca="false">PB_NEP</f>
        <v>4200000</v>
      </c>
      <c r="E6" s="25" t="n">
        <f aca="false">PB_NEP</f>
        <v>8610000</v>
      </c>
      <c r="F6" s="25" t="n">
        <f aca="false">PB_NEP</f>
        <v>9040500</v>
      </c>
      <c r="G6" s="25" t="n">
        <f aca="false">PB_NEP</f>
        <v>9492525</v>
      </c>
      <c r="H6" s="25" t="n">
        <f aca="false">PB_NEP</f>
        <v>9967151.25</v>
      </c>
      <c r="I6" s="25" t="n">
        <f aca="false">PB_NEP</f>
        <v>10465508.8125</v>
      </c>
    </row>
    <row r="7" customFormat="false" ht="15" hidden="false" customHeight="false" outlineLevel="0" collapsed="false">
      <c r="A7" s="5"/>
      <c r="B7" s="30" t="s">
        <v>136</v>
      </c>
      <c r="C7" s="25" t="n">
        <v>0</v>
      </c>
      <c r="D7" s="25" t="n">
        <f aca="false">INV_Inv_Income</f>
        <v>135000</v>
      </c>
      <c r="E7" s="25" t="n">
        <f aca="false">INV_Inv_Income</f>
        <v>404526.5415</v>
      </c>
      <c r="F7" s="25" t="n">
        <f aca="false">INV_Inv_Income</f>
        <v>564492.424625325</v>
      </c>
      <c r="G7" s="25" t="n">
        <f aca="false">INV_Inv_Income</f>
        <v>617961.78707418</v>
      </c>
      <c r="H7" s="25" t="n">
        <f aca="false">INV_Inv_Income</f>
        <v>646129.773640265</v>
      </c>
      <c r="I7" s="25" t="n">
        <f aca="false">INV_Inv_Income</f>
        <v>675286.655774366</v>
      </c>
    </row>
    <row r="8" customFormat="false" ht="15" hidden="false" customHeight="false" outlineLevel="0" collapsed="false">
      <c r="A8" s="5"/>
      <c r="B8" s="30" t="s">
        <v>89</v>
      </c>
      <c r="C8" s="25" t="n">
        <v>0</v>
      </c>
      <c r="D8" s="25" t="n">
        <f aca="false">PB_Ceding_Income</f>
        <v>525000</v>
      </c>
      <c r="E8" s="25" t="n">
        <f aca="false">PB_Ceding_Income</f>
        <v>551250</v>
      </c>
      <c r="F8" s="25" t="n">
        <f aca="false">PB_Ceding_Income</f>
        <v>578812.5</v>
      </c>
      <c r="G8" s="25" t="n">
        <f aca="false">PB_Ceding_Income</f>
        <v>607753.125</v>
      </c>
      <c r="H8" s="25" t="n">
        <f aca="false">PB_Ceding_Income</f>
        <v>638140.78125</v>
      </c>
      <c r="I8" s="25" t="n">
        <f aca="false">PB_Ceding_Income</f>
        <v>670047.8203125</v>
      </c>
    </row>
    <row r="9" customFormat="false" ht="15" hidden="false" customHeight="false" outlineLevel="0" collapsed="false">
      <c r="A9" s="5"/>
      <c r="B9" s="26" t="s">
        <v>140</v>
      </c>
      <c r="C9" s="27" t="n">
        <v>0</v>
      </c>
      <c r="D9" s="27" t="n">
        <f aca="false">D6+D7+D8</f>
        <v>4860000</v>
      </c>
      <c r="E9" s="27" t="n">
        <f aca="false">E6+E7+E8</f>
        <v>9565776.5415</v>
      </c>
      <c r="F9" s="27" t="n">
        <f aca="false">F6+F7+F8</f>
        <v>10183804.9246253</v>
      </c>
      <c r="G9" s="27" t="n">
        <f aca="false">G6+G7+G8</f>
        <v>10718239.9120742</v>
      </c>
      <c r="H9" s="27" t="n">
        <f aca="false">H6+H7+H8</f>
        <v>11251421.8048903</v>
      </c>
      <c r="I9" s="27" t="n">
        <f aca="false">I6+I7+I8</f>
        <v>11810843.2885869</v>
      </c>
    </row>
    <row r="10" customFormat="false" ht="15" hidden="false" customHeight="false" outlineLevel="0" collapsed="false">
      <c r="A10" s="5"/>
      <c r="B10" s="5"/>
      <c r="C10" s="5"/>
      <c r="D10" s="5"/>
      <c r="E10" s="5"/>
      <c r="F10" s="5"/>
      <c r="G10" s="5"/>
      <c r="H10" s="5"/>
      <c r="I10" s="5"/>
    </row>
    <row r="11" customFormat="false" ht="15" hidden="false" customHeight="false" outlineLevel="0" collapsed="false">
      <c r="A11" s="5"/>
      <c r="B11" s="20" t="s">
        <v>141</v>
      </c>
      <c r="C11" s="10"/>
      <c r="D11" s="10"/>
      <c r="E11" s="10"/>
      <c r="F11" s="10"/>
      <c r="G11" s="10"/>
      <c r="H11" s="10"/>
      <c r="I11" s="10"/>
    </row>
    <row r="12" customFormat="false" ht="15" hidden="false" customHeight="false" outlineLevel="0" collapsed="false">
      <c r="A12" s="5"/>
      <c r="B12" s="30" t="s">
        <v>142</v>
      </c>
      <c r="C12" s="25" t="n">
        <v>0</v>
      </c>
      <c r="D12" s="25" t="n">
        <f aca="false">CR_Incurred_Losses</f>
        <v>2730000</v>
      </c>
      <c r="E12" s="25" t="n">
        <f aca="false">CR_Incurred_Losses</f>
        <v>5596500</v>
      </c>
      <c r="F12" s="25" t="n">
        <f aca="false">CR_Incurred_Losses</f>
        <v>5876325</v>
      </c>
      <c r="G12" s="25" t="n">
        <f aca="false">CR_Incurred_Losses</f>
        <v>6170141.25</v>
      </c>
      <c r="H12" s="25" t="n">
        <f aca="false">CR_Incurred_Losses</f>
        <v>6478648.3125</v>
      </c>
      <c r="I12" s="25" t="n">
        <f aca="false">CR_Incurred_Losses</f>
        <v>6802580.728125</v>
      </c>
    </row>
    <row r="13" customFormat="false" ht="15" hidden="false" customHeight="false" outlineLevel="0" collapsed="false">
      <c r="A13" s="5"/>
      <c r="B13" s="30" t="s">
        <v>93</v>
      </c>
      <c r="C13" s="25" t="n">
        <v>0</v>
      </c>
      <c r="D13" s="25" t="n">
        <f aca="false">CR_LAE</f>
        <v>273000</v>
      </c>
      <c r="E13" s="25" t="n">
        <f aca="false">CR_LAE</f>
        <v>559650</v>
      </c>
      <c r="F13" s="25" t="n">
        <f aca="false">CR_LAE</f>
        <v>587632.5</v>
      </c>
      <c r="G13" s="25" t="n">
        <f aca="false">CR_LAE</f>
        <v>617014.125</v>
      </c>
      <c r="H13" s="25" t="n">
        <f aca="false">CR_LAE</f>
        <v>647864.83125</v>
      </c>
      <c r="I13" s="25" t="n">
        <f aca="false">CR_LAE</f>
        <v>680258.0728125</v>
      </c>
    </row>
    <row r="14" customFormat="false" ht="15" hidden="false" customHeight="false" outlineLevel="0" collapsed="false">
      <c r="A14" s="5"/>
      <c r="B14" s="30" t="s">
        <v>108</v>
      </c>
      <c r="C14" s="25" t="n">
        <v>0</v>
      </c>
      <c r="D14" s="25" t="n">
        <f aca="false">OE_Total</f>
        <v>1492470</v>
      </c>
      <c r="E14" s="25" t="n">
        <f aca="false">OE_Total</f>
        <v>1567093.5</v>
      </c>
      <c r="F14" s="25" t="n">
        <f aca="false">OE_Total</f>
        <v>1645448.175</v>
      </c>
      <c r="G14" s="25" t="n">
        <f aca="false">OE_Total</f>
        <v>1727720.58375</v>
      </c>
      <c r="H14" s="25" t="n">
        <f aca="false">OE_Total</f>
        <v>1814106.6129375</v>
      </c>
      <c r="I14" s="25" t="n">
        <f aca="false">OE_Total</f>
        <v>1904811.94358438</v>
      </c>
    </row>
    <row r="15" customFormat="false" ht="15" hidden="false" customHeight="false" outlineLevel="0" collapsed="false">
      <c r="A15" s="5"/>
      <c r="B15" s="26" t="s">
        <v>143</v>
      </c>
      <c r="C15" s="27" t="n">
        <v>0</v>
      </c>
      <c r="D15" s="27" t="n">
        <f aca="false">D12+D13+D14</f>
        <v>4495470</v>
      </c>
      <c r="E15" s="27" t="n">
        <f aca="false">E12+E13+E14</f>
        <v>7723243.5</v>
      </c>
      <c r="F15" s="27" t="n">
        <f aca="false">F12+F13+F14</f>
        <v>8109405.675</v>
      </c>
      <c r="G15" s="27" t="n">
        <f aca="false">G12+G13+G14</f>
        <v>8514875.95875</v>
      </c>
      <c r="H15" s="27" t="n">
        <f aca="false">H12+H13+H14</f>
        <v>8940619.7566875</v>
      </c>
      <c r="I15" s="27" t="n">
        <f aca="false">I12+I13+I14</f>
        <v>9387650.74452188</v>
      </c>
    </row>
    <row r="16" customFormat="false" ht="15" hidden="false" customHeight="false" outlineLevel="0" collapsed="false">
      <c r="A16" s="5"/>
      <c r="B16" s="5"/>
      <c r="C16" s="5"/>
      <c r="D16" s="5"/>
      <c r="E16" s="5"/>
      <c r="F16" s="5"/>
      <c r="G16" s="5"/>
      <c r="H16" s="5"/>
      <c r="I16" s="5"/>
    </row>
    <row r="17" customFormat="false" ht="15" hidden="false" customHeight="false" outlineLevel="0" collapsed="false">
      <c r="A17" s="5"/>
      <c r="B17" s="24" t="s">
        <v>144</v>
      </c>
      <c r="C17" s="28" t="n">
        <v>0</v>
      </c>
      <c r="D17" s="28" t="n">
        <f aca="false">D6-D12-D13-D14</f>
        <v>-295470</v>
      </c>
      <c r="E17" s="28" t="n">
        <f aca="false">E6-E12-E13-E14</f>
        <v>886756.5</v>
      </c>
      <c r="F17" s="28" t="n">
        <f aca="false">F6-F12-F13-F14</f>
        <v>931094.325</v>
      </c>
      <c r="G17" s="28" t="n">
        <f aca="false">G6-G12-G13-G14</f>
        <v>977649.04125</v>
      </c>
      <c r="H17" s="28" t="n">
        <f aca="false">H6-H12-H13-H14</f>
        <v>1026531.4933125</v>
      </c>
      <c r="I17" s="28" t="n">
        <f aca="false">I6-I12-I13-I14</f>
        <v>1077858.06797813</v>
      </c>
    </row>
    <row r="18" customFormat="false" ht="15" hidden="false" customHeight="false" outlineLevel="0" collapsed="false">
      <c r="A18" s="5"/>
      <c r="B18" s="24" t="s">
        <v>145</v>
      </c>
      <c r="C18" s="25" t="n">
        <v>0</v>
      </c>
      <c r="D18" s="25" t="n">
        <f aca="false">D17+D7+D8</f>
        <v>364530</v>
      </c>
      <c r="E18" s="25" t="n">
        <f aca="false">E17+E7+E8</f>
        <v>1842533.0415</v>
      </c>
      <c r="F18" s="25" t="n">
        <f aca="false">F17+F7+F8</f>
        <v>2074399.24962532</v>
      </c>
      <c r="G18" s="25" t="n">
        <f aca="false">G17+G7+G8</f>
        <v>2203363.95332418</v>
      </c>
      <c r="H18" s="25" t="n">
        <f aca="false">H17+H7+H8</f>
        <v>2310802.04820277</v>
      </c>
      <c r="I18" s="25" t="n">
        <f aca="false">I17+I7+I8</f>
        <v>2423192.54406499</v>
      </c>
    </row>
    <row r="19" customFormat="false" ht="15" hidden="false" customHeight="false" outlineLevel="0" collapsed="false">
      <c r="A19" s="5"/>
      <c r="B19" s="24" t="s">
        <v>146</v>
      </c>
      <c r="C19" s="25" t="n">
        <v>0</v>
      </c>
      <c r="D19" s="25" t="n">
        <f aca="false">MAX(0,D18)*Tax_Rate</f>
        <v>76551.3</v>
      </c>
      <c r="E19" s="25" t="n">
        <f aca="false">MAX(0,E18)*Tax_Rate</f>
        <v>386931.938715</v>
      </c>
      <c r="F19" s="25" t="n">
        <f aca="false">MAX(0,F18)*Tax_Rate</f>
        <v>435623.842421318</v>
      </c>
      <c r="G19" s="25" t="n">
        <f aca="false">MAX(0,G18)*Tax_Rate</f>
        <v>462706.430198078</v>
      </c>
      <c r="H19" s="25" t="n">
        <f aca="false">MAX(0,H18)*Tax_Rate</f>
        <v>485268.430122581</v>
      </c>
      <c r="I19" s="25" t="n">
        <f aca="false">MAX(0,I18)*Tax_Rate</f>
        <v>508870.434253648</v>
      </c>
    </row>
    <row r="20" customFormat="false" ht="15" hidden="false" customHeight="false" outlineLevel="0" collapsed="false">
      <c r="A20" s="5"/>
      <c r="B20" s="26" t="s">
        <v>147</v>
      </c>
      <c r="C20" s="27" t="n">
        <v>0</v>
      </c>
      <c r="D20" s="27" t="n">
        <f aca="false">D18-D19</f>
        <v>287978.7</v>
      </c>
      <c r="E20" s="27" t="n">
        <f aca="false">E18-E19</f>
        <v>1455601.102785</v>
      </c>
      <c r="F20" s="27" t="n">
        <f aca="false">F18-F19</f>
        <v>1638775.40720401</v>
      </c>
      <c r="G20" s="27" t="n">
        <f aca="false">G18-G19</f>
        <v>1740657.5231261</v>
      </c>
      <c r="H20" s="27" t="n">
        <f aca="false">H18-H19</f>
        <v>1825533.61808018</v>
      </c>
      <c r="I20" s="27" t="n">
        <f aca="false">I18-I19</f>
        <v>1914322.10981134</v>
      </c>
    </row>
    <row r="21" customFormat="false" ht="15" hidden="false" customHeight="false" outlineLevel="0" collapsed="false">
      <c r="A21" s="5"/>
      <c r="B21" s="5"/>
      <c r="C21" s="5"/>
      <c r="D21" s="5"/>
      <c r="E21" s="5"/>
      <c r="F21" s="5"/>
      <c r="G21" s="5"/>
      <c r="H21" s="5"/>
      <c r="I21" s="5"/>
    </row>
    <row r="22" customFormat="false" ht="15" hidden="false" customHeight="false" outlineLevel="0" collapsed="false">
      <c r="A22" s="5"/>
      <c r="B22" s="20" t="s">
        <v>148</v>
      </c>
      <c r="C22" s="10"/>
      <c r="D22" s="10"/>
      <c r="E22" s="10"/>
      <c r="F22" s="10"/>
      <c r="G22" s="10"/>
      <c r="H22" s="10"/>
      <c r="I22" s="10"/>
    </row>
    <row r="23" customFormat="false" ht="15" hidden="false" customHeight="false" outlineLevel="0" collapsed="false">
      <c r="A23" s="5"/>
      <c r="B23" s="24" t="s">
        <v>149</v>
      </c>
      <c r="C23" s="33"/>
      <c r="D23" s="33" t="n">
        <f aca="false">IF(D6=0,"",D12/D6)</f>
        <v>0.65</v>
      </c>
      <c r="E23" s="33" t="n">
        <f aca="false">IF(E6=0,"",E12/E6)</f>
        <v>0.65</v>
      </c>
      <c r="F23" s="33" t="n">
        <f aca="false">IF(F6=0,"",F12/F6)</f>
        <v>0.65</v>
      </c>
      <c r="G23" s="33" t="n">
        <f aca="false">IF(G6=0,"",G12/G6)</f>
        <v>0.65</v>
      </c>
      <c r="H23" s="33" t="n">
        <f aca="false">IF(H6=0,"",H12/H6)</f>
        <v>0.65</v>
      </c>
      <c r="I23" s="33" t="n">
        <f aca="false">IF(I6=0,"",I12/I6)</f>
        <v>0.65</v>
      </c>
    </row>
    <row r="24" customFormat="false" ht="15" hidden="false" customHeight="false" outlineLevel="0" collapsed="false">
      <c r="A24" s="5"/>
      <c r="B24" s="24" t="s">
        <v>150</v>
      </c>
      <c r="C24" s="33"/>
      <c r="D24" s="33" t="n">
        <f aca="false">IF(D6=0,"",D13/D6)</f>
        <v>0.065</v>
      </c>
      <c r="E24" s="33" t="n">
        <f aca="false">IF(E6=0,"",E13/E6)</f>
        <v>0.065</v>
      </c>
      <c r="F24" s="33" t="n">
        <f aca="false">IF(F6=0,"",F13/F6)</f>
        <v>0.065</v>
      </c>
      <c r="G24" s="33" t="n">
        <f aca="false">IF(G6=0,"",G13/G6)</f>
        <v>0.065</v>
      </c>
      <c r="H24" s="33" t="n">
        <f aca="false">IF(H6=0,"",H13/H6)</f>
        <v>0.065</v>
      </c>
      <c r="I24" s="33" t="n">
        <f aca="false">IF(I6=0,"",I13/I6)</f>
        <v>0.065</v>
      </c>
    </row>
    <row r="25" customFormat="false" ht="15" hidden="false" customHeight="false" outlineLevel="0" collapsed="false">
      <c r="A25" s="5"/>
      <c r="B25" s="24" t="s">
        <v>151</v>
      </c>
      <c r="C25" s="33"/>
      <c r="D25" s="33" t="n">
        <f aca="false">IF(D6=0,"",(D12+D13)/D6)</f>
        <v>0.715</v>
      </c>
      <c r="E25" s="33" t="n">
        <f aca="false">IF(E6=0,"",(E12+E13)/E6)</f>
        <v>0.715</v>
      </c>
      <c r="F25" s="33" t="n">
        <f aca="false">IF(F6=0,"",(F12+F13)/F6)</f>
        <v>0.715</v>
      </c>
      <c r="G25" s="33" t="n">
        <f aca="false">IF(G6=0,"",(G12+G13)/G6)</f>
        <v>0.715</v>
      </c>
      <c r="H25" s="33" t="n">
        <f aca="false">IF(H6=0,"",(H12+H13)/H6)</f>
        <v>0.715</v>
      </c>
      <c r="I25" s="33" t="n">
        <f aca="false">IF(I6=0,"",(I12+I13)/I6)</f>
        <v>0.715</v>
      </c>
    </row>
    <row r="26" customFormat="false" ht="15" hidden="false" customHeight="false" outlineLevel="0" collapsed="false">
      <c r="A26" s="5"/>
      <c r="B26" s="24" t="s">
        <v>152</v>
      </c>
      <c r="C26" s="33"/>
      <c r="D26" s="33" t="n">
        <f aca="false">IF(D6=0,"",D14/D6)</f>
        <v>0.35535</v>
      </c>
      <c r="E26" s="33" t="n">
        <f aca="false">IF(E6=0,"",E14/E6)</f>
        <v>0.182008536585366</v>
      </c>
      <c r="F26" s="33" t="n">
        <f aca="false">IF(F6=0,"",F14/F6)</f>
        <v>0.182008536585366</v>
      </c>
      <c r="G26" s="33" t="n">
        <f aca="false">IF(G6=0,"",G14/G6)</f>
        <v>0.182008536585366</v>
      </c>
      <c r="H26" s="33" t="n">
        <f aca="false">IF(H6=0,"",H14/H6)</f>
        <v>0.182008536585366</v>
      </c>
      <c r="I26" s="33" t="n">
        <f aca="false">IF(I6=0,"",I14/I6)</f>
        <v>0.182008536585366</v>
      </c>
    </row>
    <row r="27" customFormat="false" ht="15" hidden="false" customHeight="false" outlineLevel="0" collapsed="false">
      <c r="A27" s="5"/>
      <c r="B27" s="24" t="s">
        <v>153</v>
      </c>
      <c r="C27" s="33"/>
      <c r="D27" s="33" t="n">
        <f aca="false">IF(D6=0,"",(D12+D13+D14)/D6)</f>
        <v>1.07035</v>
      </c>
      <c r="E27" s="33" t="n">
        <f aca="false">IF(E6=0,"",(E12+E13+E14)/E6)</f>
        <v>0.897008536585366</v>
      </c>
      <c r="F27" s="33" t="n">
        <f aca="false">IF(F6=0,"",(F12+F13+F14)/F6)</f>
        <v>0.897008536585366</v>
      </c>
      <c r="G27" s="33" t="n">
        <f aca="false">IF(G6=0,"",(G12+G13+G14)/G6)</f>
        <v>0.897008536585366</v>
      </c>
      <c r="H27" s="33" t="n">
        <f aca="false">IF(H6=0,"",(H12+H13+H14)/H6)</f>
        <v>0.897008536585366</v>
      </c>
      <c r="I27" s="33" t="n">
        <f aca="false">IF(I6=0,"",(I12+I13+I14)/I6)</f>
        <v>0.897008536585366</v>
      </c>
    </row>
    <row r="28" customFormat="false" ht="15" hidden="false" customHeight="false" outlineLevel="0" collapsed="false">
      <c r="A28" s="5"/>
      <c r="B28" s="24" t="s">
        <v>154</v>
      </c>
      <c r="C28" s="33"/>
      <c r="D28" s="33" t="n">
        <f aca="false">IF(D6=0,"",D20/D6)</f>
        <v>0.0685663571428572</v>
      </c>
      <c r="E28" s="33" t="n">
        <f aca="false">IF(E6=0,"",E20/E6)</f>
        <v>0.169059361531359</v>
      </c>
      <c r="F28" s="33" t="n">
        <f aca="false">IF(F6=0,"",F20/F6)</f>
        <v>0.181270439378796</v>
      </c>
      <c r="G28" s="33" t="n">
        <f aca="false">IF(G6=0,"",G20/G6)</f>
        <v>0.183371392029634</v>
      </c>
      <c r="H28" s="33" t="n">
        <f aca="false">IF(H6=0,"",H20/H6)</f>
        <v>0.183155003098823</v>
      </c>
      <c r="I28" s="33" t="n">
        <f aca="false">IF(I6=0,"",I20/I6)</f>
        <v>0.182917251717841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0CECE"/>
    <pageSetUpPr fitToPage="false"/>
  </sheetPr>
  <dimension ref="A1:AD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9" min="3" style="0" width="16"/>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6" t="s">
        <v>155</v>
      </c>
      <c r="C2" s="17" t="s">
        <v>40</v>
      </c>
      <c r="D2" s="17" t="s">
        <v>41</v>
      </c>
      <c r="E2" s="17" t="s">
        <v>42</v>
      </c>
      <c r="F2" s="17" t="s">
        <v>43</v>
      </c>
      <c r="G2" s="17" t="s">
        <v>44</v>
      </c>
      <c r="H2" s="17" t="s">
        <v>45</v>
      </c>
      <c r="I2" s="17" t="s">
        <v>46</v>
      </c>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9" t="s">
        <v>47</v>
      </c>
      <c r="D3" s="19" t="s">
        <v>41</v>
      </c>
      <c r="E3" s="19" t="s">
        <v>42</v>
      </c>
      <c r="F3" s="19" t="s">
        <v>43</v>
      </c>
      <c r="G3" s="19" t="s">
        <v>44</v>
      </c>
      <c r="H3" s="19" t="s">
        <v>45</v>
      </c>
      <c r="I3" s="19" t="s">
        <v>46</v>
      </c>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20" t="s">
        <v>156</v>
      </c>
      <c r="C5" s="10"/>
      <c r="D5" s="10"/>
      <c r="E5" s="10"/>
      <c r="F5" s="10"/>
      <c r="G5" s="10"/>
      <c r="H5" s="10"/>
      <c r="I5" s="10"/>
    </row>
    <row r="6" customFormat="false" ht="15" hidden="false" customHeight="false" outlineLevel="0" collapsed="false">
      <c r="A6" s="5"/>
      <c r="B6" s="34" t="s">
        <v>24</v>
      </c>
      <c r="C6" s="25" t="n">
        <f aca="false">Investments!C10</f>
        <v>3000000</v>
      </c>
      <c r="D6" s="25" t="n">
        <f aca="false">INV_Close</f>
        <v>8989478.7</v>
      </c>
      <c r="E6" s="25" t="n">
        <f aca="false">INV_Close</f>
        <v>12544276.102785</v>
      </c>
      <c r="F6" s="25" t="n">
        <f aca="false">INV_Close</f>
        <v>13732484.157204</v>
      </c>
      <c r="G6" s="25" t="n">
        <f aca="false">INV_Close</f>
        <v>14358439.4142281</v>
      </c>
      <c r="H6" s="25" t="n">
        <f aca="false">INV_Close</f>
        <v>15006370.1283192</v>
      </c>
      <c r="I6" s="25" t="n">
        <f aca="false">INV_Close</f>
        <v>15681704.8172522</v>
      </c>
    </row>
    <row r="7" customFormat="false" ht="15" hidden="false" customHeight="false" outlineLevel="0" collapsed="false">
      <c r="A7" s="5"/>
      <c r="B7" s="30" t="s">
        <v>157</v>
      </c>
      <c r="C7" s="25" t="n">
        <v>0</v>
      </c>
      <c r="D7" s="25" t="n">
        <f aca="false">CF_Close_Cash</f>
        <v>0</v>
      </c>
      <c r="E7" s="25" t="n">
        <f aca="false">CF_Close_Cash</f>
        <v>-1.68802216649055E-009</v>
      </c>
      <c r="F7" s="25" t="n">
        <f aca="false">CF_Close_Cash</f>
        <v>-1.68802216649055E-009</v>
      </c>
      <c r="G7" s="25" t="n">
        <f aca="false">CF_Close_Cash</f>
        <v>-1.68802216649055E-009</v>
      </c>
      <c r="H7" s="25" t="n">
        <f aca="false">CF_Close_Cash</f>
        <v>-1.68802216649055E-009</v>
      </c>
      <c r="I7" s="25" t="n">
        <f aca="false">CF_Close_Cash</f>
        <v>-1.68802216649055E-009</v>
      </c>
    </row>
    <row r="8" customFormat="false" ht="15" hidden="false" customHeight="false" outlineLevel="0" collapsed="false">
      <c r="A8" s="5"/>
      <c r="B8" s="26" t="s">
        <v>158</v>
      </c>
      <c r="C8" s="27" t="n">
        <f aca="false">C6+C7</f>
        <v>3000000</v>
      </c>
      <c r="D8" s="27" t="n">
        <f aca="false">D6+D7</f>
        <v>8989478.7</v>
      </c>
      <c r="E8" s="27" t="n">
        <f aca="false">E6+E7</f>
        <v>12544276.102785</v>
      </c>
      <c r="F8" s="27" t="n">
        <f aca="false">F6+F7</f>
        <v>13732484.157204</v>
      </c>
      <c r="G8" s="27" t="n">
        <f aca="false">G6+G7</f>
        <v>14358439.4142281</v>
      </c>
      <c r="H8" s="27" t="n">
        <f aca="false">H6+H7</f>
        <v>15006370.1283192</v>
      </c>
      <c r="I8" s="27" t="n">
        <f aca="false">I6+I7</f>
        <v>15681704.8172522</v>
      </c>
    </row>
    <row r="9" customFormat="false" ht="15" hidden="false" customHeight="false" outlineLevel="0" collapsed="false">
      <c r="A9" s="5"/>
      <c r="B9" s="5"/>
      <c r="C9" s="5"/>
      <c r="D9" s="5"/>
      <c r="E9" s="5"/>
      <c r="F9" s="5"/>
      <c r="G9" s="5"/>
      <c r="H9" s="5"/>
      <c r="I9" s="5"/>
    </row>
    <row r="10" customFormat="false" ht="15" hidden="false" customHeight="false" outlineLevel="0" collapsed="false">
      <c r="A10" s="5"/>
      <c r="B10" s="20" t="s">
        <v>159</v>
      </c>
      <c r="C10" s="10"/>
      <c r="D10" s="10"/>
      <c r="E10" s="10"/>
      <c r="F10" s="10"/>
      <c r="G10" s="10"/>
      <c r="H10" s="10"/>
      <c r="I10" s="10"/>
    </row>
    <row r="11" customFormat="false" ht="15" hidden="false" customHeight="false" outlineLevel="0" collapsed="false">
      <c r="A11" s="5"/>
      <c r="B11" s="30" t="s">
        <v>104</v>
      </c>
      <c r="C11" s="25" t="n">
        <v>0</v>
      </c>
      <c r="D11" s="25" t="n">
        <f aca="false">CR_Reserves_Close</f>
        <v>1501500</v>
      </c>
      <c r="E11" s="25" t="n">
        <f aca="false">CR_Reserves_Close</f>
        <v>3678675</v>
      </c>
      <c r="F11" s="25" t="n">
        <f aca="false">CR_Reserves_Close</f>
        <v>4463208.75</v>
      </c>
      <c r="G11" s="25" t="n">
        <f aca="false">CR_Reserves_Close</f>
        <v>4686369.1875</v>
      </c>
      <c r="H11" s="25" t="n">
        <f aca="false">CR_Reserves_Close</f>
        <v>4920687.646875</v>
      </c>
      <c r="I11" s="25" t="n">
        <f aca="false">CR_Reserves_Close</f>
        <v>5166722.02921875</v>
      </c>
    </row>
    <row r="12" customFormat="false" ht="15" hidden="false" customHeight="false" outlineLevel="0" collapsed="false">
      <c r="A12" s="5"/>
      <c r="B12" s="30" t="s">
        <v>82</v>
      </c>
      <c r="C12" s="25" t="n">
        <v>0</v>
      </c>
      <c r="D12" s="25" t="n">
        <f aca="false">PB_UPR_Close</f>
        <v>4200000</v>
      </c>
      <c r="E12" s="25" t="n">
        <f aca="false">PB_UPR_Close</f>
        <v>4410000</v>
      </c>
      <c r="F12" s="25" t="n">
        <f aca="false">PB_UPR_Close</f>
        <v>4630500</v>
      </c>
      <c r="G12" s="25" t="n">
        <f aca="false">PB_UPR_Close</f>
        <v>4862025</v>
      </c>
      <c r="H12" s="25" t="n">
        <f aca="false">PB_UPR_Close</f>
        <v>5105126.25</v>
      </c>
      <c r="I12" s="25" t="n">
        <f aca="false">PB_UPR_Close</f>
        <v>5360382.5625</v>
      </c>
    </row>
    <row r="13" customFormat="false" ht="15" hidden="false" customHeight="false" outlineLevel="0" collapsed="false">
      <c r="A13" s="5"/>
      <c r="B13" s="26" t="s">
        <v>160</v>
      </c>
      <c r="C13" s="27" t="n">
        <f aca="false">SUM(C11:C12)</f>
        <v>0</v>
      </c>
      <c r="D13" s="27" t="n">
        <f aca="false">SUM(D11:D12)</f>
        <v>5701500</v>
      </c>
      <c r="E13" s="27" t="n">
        <f aca="false">SUM(E11:E12)</f>
        <v>8088675</v>
      </c>
      <c r="F13" s="27" t="n">
        <f aca="false">SUM(F11:F12)</f>
        <v>9093708.75</v>
      </c>
      <c r="G13" s="27" t="n">
        <f aca="false">SUM(G11:G12)</f>
        <v>9548394.1875</v>
      </c>
      <c r="H13" s="27" t="n">
        <f aca="false">SUM(H11:H12)</f>
        <v>10025813.896875</v>
      </c>
      <c r="I13" s="27" t="n">
        <f aca="false">SUM(I11:I12)</f>
        <v>10527104.5917188</v>
      </c>
    </row>
    <row r="14" customFormat="false" ht="15" hidden="false" customHeight="false" outlineLevel="0" collapsed="false">
      <c r="A14" s="5"/>
      <c r="B14" s="5"/>
      <c r="C14" s="5"/>
      <c r="D14" s="5"/>
      <c r="E14" s="5"/>
      <c r="F14" s="5"/>
      <c r="G14" s="5"/>
      <c r="H14" s="5"/>
      <c r="I14" s="5"/>
    </row>
    <row r="15" customFormat="false" ht="15" hidden="false" customHeight="false" outlineLevel="0" collapsed="false">
      <c r="A15" s="5"/>
      <c r="B15" s="20" t="s">
        <v>161</v>
      </c>
      <c r="C15" s="10"/>
      <c r="D15" s="10"/>
      <c r="E15" s="10"/>
      <c r="F15" s="10"/>
      <c r="G15" s="10"/>
      <c r="H15" s="10"/>
      <c r="I15" s="10"/>
    </row>
    <row r="16" customFormat="false" ht="15" hidden="false" customHeight="false" outlineLevel="0" collapsed="false">
      <c r="A16" s="5"/>
      <c r="B16" s="30" t="s">
        <v>162</v>
      </c>
      <c r="C16" s="25" t="n">
        <f aca="false">Initial_Capital</f>
        <v>3000000</v>
      </c>
      <c r="D16" s="25" t="n">
        <f aca="false">Initial_Capital</f>
        <v>3000000</v>
      </c>
      <c r="E16" s="25" t="n">
        <f aca="false">Initial_Capital</f>
        <v>3000000</v>
      </c>
      <c r="F16" s="25" t="n">
        <f aca="false">Initial_Capital</f>
        <v>3000000</v>
      </c>
      <c r="G16" s="25" t="n">
        <f aca="false">Initial_Capital</f>
        <v>3000000</v>
      </c>
      <c r="H16" s="25" t="n">
        <f aca="false">Initial_Capital</f>
        <v>3000000</v>
      </c>
      <c r="I16" s="25" t="n">
        <f aca="false">Initial_Capital</f>
        <v>3000000</v>
      </c>
    </row>
    <row r="17" customFormat="false" ht="15" hidden="false" customHeight="false" outlineLevel="0" collapsed="false">
      <c r="A17" s="5"/>
      <c r="B17" s="34" t="s">
        <v>163</v>
      </c>
      <c r="C17" s="25" t="n">
        <v>0</v>
      </c>
      <c r="D17" s="25" t="n">
        <f aca="false">C17+Income_Statement!D$20-Capital_Returns!D$14</f>
        <v>287978.7</v>
      </c>
      <c r="E17" s="25" t="n">
        <f aca="false">D17+Income_Statement!E$20-Capital_Returns!E$14</f>
        <v>1455601.102785</v>
      </c>
      <c r="F17" s="25" t="n">
        <f aca="false">E17+Income_Statement!F$20-Capital_Returns!F$14</f>
        <v>1638775.40720401</v>
      </c>
      <c r="G17" s="25" t="n">
        <f aca="false">F17+Income_Statement!G$20-Capital_Returns!G$14</f>
        <v>1810045.22672811</v>
      </c>
      <c r="H17" s="25" t="n">
        <f aca="false">G17+Income_Statement!H$20-Capital_Returns!H$14</f>
        <v>1980556.23144424</v>
      </c>
      <c r="I17" s="25" t="n">
        <f aca="false">H17+Income_Statement!I$20-Capital_Returns!I$14</f>
        <v>2154600.22553346</v>
      </c>
    </row>
    <row r="18" customFormat="false" ht="15" hidden="false" customHeight="false" outlineLevel="0" collapsed="false">
      <c r="A18" s="5"/>
      <c r="B18" s="26" t="s">
        <v>164</v>
      </c>
      <c r="C18" s="27" t="n">
        <f aca="false">C16+C17</f>
        <v>3000000</v>
      </c>
      <c r="D18" s="27" t="n">
        <f aca="false">D16+D17</f>
        <v>3287978.7</v>
      </c>
      <c r="E18" s="27" t="n">
        <f aca="false">E16+E17</f>
        <v>4455601.102785</v>
      </c>
      <c r="F18" s="27" t="n">
        <f aca="false">F16+F17</f>
        <v>4638775.40720401</v>
      </c>
      <c r="G18" s="27" t="n">
        <f aca="false">G16+G17</f>
        <v>4810045.22672811</v>
      </c>
      <c r="H18" s="27" t="n">
        <f aca="false">H16+H17</f>
        <v>4980556.23144424</v>
      </c>
      <c r="I18" s="27" t="n">
        <f aca="false">I16+I17</f>
        <v>5154600.22553346</v>
      </c>
    </row>
    <row r="19" customFormat="false" ht="15" hidden="false" customHeight="false" outlineLevel="0" collapsed="false">
      <c r="A19" s="5"/>
      <c r="B19" s="5"/>
      <c r="C19" s="5"/>
      <c r="D19" s="5"/>
      <c r="E19" s="5"/>
      <c r="F19" s="5"/>
      <c r="G19" s="5"/>
      <c r="H19" s="5"/>
      <c r="I19" s="5"/>
    </row>
    <row r="20" customFormat="false" ht="15" hidden="false" customHeight="false" outlineLevel="0" collapsed="false">
      <c r="A20" s="5"/>
      <c r="B20" s="26" t="s">
        <v>165</v>
      </c>
      <c r="C20" s="27" t="n">
        <f aca="false">C13+C18</f>
        <v>3000000</v>
      </c>
      <c r="D20" s="27" t="n">
        <f aca="false">D13+D18</f>
        <v>8989478.7</v>
      </c>
      <c r="E20" s="27" t="n">
        <f aca="false">E13+E18</f>
        <v>12544276.102785</v>
      </c>
      <c r="F20" s="27" t="n">
        <f aca="false">F13+F18</f>
        <v>13732484.157204</v>
      </c>
      <c r="G20" s="27" t="n">
        <f aca="false">G13+G18</f>
        <v>14358439.4142281</v>
      </c>
      <c r="H20" s="27" t="n">
        <f aca="false">H13+H18</f>
        <v>15006370.1283192</v>
      </c>
      <c r="I20" s="27" t="n">
        <f aca="false">I13+I18</f>
        <v>15681704.8172522</v>
      </c>
    </row>
    <row r="21" customFormat="false" ht="15" hidden="false" customHeight="false" outlineLevel="0" collapsed="false">
      <c r="A21" s="5"/>
      <c r="B21" s="35" t="s">
        <v>166</v>
      </c>
      <c r="C21" s="36" t="n">
        <f aca="false">C8-C20</f>
        <v>0</v>
      </c>
      <c r="D21" s="36" t="n">
        <f aca="false">D8-D20</f>
        <v>0</v>
      </c>
      <c r="E21" s="36" t="n">
        <f aca="false">E8-E20</f>
        <v>0</v>
      </c>
      <c r="F21" s="36" t="n">
        <f aca="false">F8-F20</f>
        <v>0</v>
      </c>
      <c r="G21" s="36" t="n">
        <f aca="false">G8-G20</f>
        <v>0</v>
      </c>
      <c r="H21" s="36" t="n">
        <f aca="false">H8-H20</f>
        <v>0</v>
      </c>
      <c r="I21" s="36" t="n">
        <f aca="false">I8-I20</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2026-05-15T18:52:51Z</dcterms:created>
  <dc:creator>openpyxl</dc:creator>
  <dc:description/>
  <dc:language>en-GB</dc:language>
  <cp:lastModifiedBy/>
  <dcterms:modified xsi:type="dcterms:W3CDTF">2026-05-15T18:52:51Z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