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Fleet_Roll_Forward" sheetId="3" state="visible" r:id="rId5"/>
    <sheet name="Revenue_Build" sheetId="4" state="visible" r:id="rId6"/>
    <sheet name="Operating_Costs" sheetId="5" state="visible" r:id="rId7"/>
    <sheet name="Fleet_Financing" sheetId="6" state="visible" r:id="rId8"/>
    <sheet name="Corporate_Debt" sheetId="7" state="visible" r:id="rId9"/>
    <sheet name="Income_Statement" sheetId="8" state="visible" r:id="rId10"/>
    <sheet name="Balance_Sheet" sheetId="9" state="visible" r:id="rId11"/>
    <sheet name="Cash_Flow" sheetId="10" state="visible" r:id="rId12"/>
    <sheet name="KPIs" sheetId="11" state="visible" r:id="rId13"/>
    <sheet name="Checks" sheetId="12" state="visible" r:id="rId14"/>
    <sheet name="Disclaimer" sheetId="13" state="visible" r:id="rId15"/>
  </sheets>
  <definedNames>
    <definedName function="false" hidden="false" name="Ancillary_Pct" vbProcedure="false">Assumptions!$C$30</definedName>
    <definedName function="false" hidden="false" name="BS_AP" vbProcedure="false">Balance_Sheet!$D$24</definedName>
    <definedName function="false" hidden="false" name="BS_AR" vbProcedure="false">Balance_Sheet!$D$11</definedName>
    <definedName function="false" hidden="false" name="BS_Cash" vbProcedure="false">Balance_Sheet!$D$10</definedName>
    <definedName function="false" hidden="false" name="BS_Check" vbProcedure="false">Balance_Sheet!$D$39</definedName>
    <definedName function="false" hidden="false" name="BS_Corp_LT" vbProcedure="false">Balance_Sheet!$D$29</definedName>
    <definedName function="false" hidden="false" name="BS_CPLTD" vbProcedure="false">Balance_Sheet!$D$26</definedName>
    <definedName function="false" hidden="false" name="BS_Fleet_AD" vbProcedure="false">Balance_Sheet!$D$14</definedName>
    <definedName function="false" hidden="false" name="BS_Fleet_Debt" vbProcedure="false">Balance_Sheet!$D$28</definedName>
    <definedName function="false" hidden="false" name="BS_Fleet_Gross" vbProcedure="false">Balance_Sheet!$D$13</definedName>
    <definedName function="false" hidden="false" name="BS_Fleet_NBV" vbProcedure="false">Balance_Sheet!$D$15</definedName>
    <definedName function="false" hidden="false" name="BS_Net_PPE" vbProcedure="false">Balance_Sheet!$D$19</definedName>
    <definedName function="false" hidden="false" name="BS_PPE_AD" vbProcedure="false">Balance_Sheet!$D$18</definedName>
    <definedName function="false" hidden="false" name="BS_PPE_Gross" vbProcedure="false">Balance_Sheet!$D$17</definedName>
    <definedName function="false" hidden="false" name="BS_RE" vbProcedure="false">Balance_Sheet!$D$35</definedName>
    <definedName function="false" hidden="false" name="BS_Share_Cap" vbProcedure="false">Balance_Sheet!$D$34</definedName>
    <definedName function="false" hidden="false" name="BS_Tax_Pay" vbProcedure="false">Balance_Sheet!$D$25</definedName>
    <definedName function="false" hidden="false" name="BS_Total_Assets" vbProcedure="false">Balance_Sheet!$D$21</definedName>
    <definedName function="false" hidden="false" name="BS_Total_Equity" vbProcedure="false">Balance_Sheet!$D$36</definedName>
    <definedName function="false" hidden="false" name="BS_Total_LE" vbProcedure="false">Balance_Sheet!$D$38</definedName>
    <definedName function="false" hidden="false" name="BS_Total_Liab" vbProcedure="false">Balance_Sheet!$D$31</definedName>
    <definedName function="false" hidden="false" name="CD_Closing" vbProcedure="false">Corporate_Debt!$C$12</definedName>
    <definedName function="false" hidden="false" name="CD_Current_Portion" vbProcedure="false">Corporate_Debt!$C$16</definedName>
    <definedName function="false" hidden="false" name="CD_Interest" vbProcedure="false">Corporate_Debt!$C$13</definedName>
    <definedName function="false" hidden="false" name="CD_LT_Portion" vbProcedure="false">Corporate_Debt!$C$17</definedName>
    <definedName function="false" hidden="false" name="CD_Opening" vbProcedure="false">Corporate_Debt!$C$10</definedName>
    <definedName function="false" hidden="false" name="CD_Repayment" vbProcedure="false">Corporate_Debt!$C$11</definedName>
    <definedName function="false" hidden="false" name="CF_CFF" vbProcedure="false">Cash_Flow!$C$30</definedName>
    <definedName function="false" hidden="false" name="CF_CFI" vbProcedure="false">Cash_Flow!$C$24</definedName>
    <definedName function="false" hidden="false" name="CF_CFO" vbProcedure="false">Cash_Flow!$C$17</definedName>
    <definedName function="false" hidden="false" name="CF_Closing" vbProcedure="false">Cash_Flow!$C$35</definedName>
    <definedName function="false" hidden="false" name="CF_Net_Change" vbProcedure="false">Cash_Flow!$C$33</definedName>
    <definedName function="false" hidden="false" name="CF_NI" vbProcedure="false">Cash_Flow!$C$10</definedName>
    <definedName function="false" hidden="false" name="CF_Opening" vbProcedure="false">Cash_Flow!$C$34</definedName>
    <definedName function="false" hidden="false" name="Corp_Debt_Amt" vbProcedure="false">Assumptions!$C$46</definedName>
    <definedName function="false" hidden="false" name="Corp_Debt_Rate" vbProcedure="false">Assumptions!$C$48</definedName>
    <definedName function="false" hidden="false" name="Corp_Debt_Tenor" vbProcedure="false">Assumptions!$C$47</definedName>
    <definedName function="false" hidden="false" name="Damage_Loss_Pct" vbProcedure="false">Assumptions!$C$37</definedName>
    <definedName function="false" hidden="false" name="Discount_Rate" vbProcedure="false">Assumptions!$C$58</definedName>
    <definedName function="false" hidden="false" name="Dividend_Payout" vbProcedure="false">Assumptions!$C$73</definedName>
    <definedName function="false" hidden="false" name="DOE_Pct" vbProcedure="false">Assumptions!$C$33</definedName>
    <definedName function="false" hidden="false" name="DPO" vbProcedure="false">Assumptions!$C$53</definedName>
    <definedName function="false" hidden="false" name="DSO" vbProcedure="false">Assumptions!$C$52</definedName>
    <definedName function="false" hidden="false" name="FF_Closing" vbProcedure="false">Fleet_Financing!$C$13</definedName>
    <definedName function="false" hidden="false" name="FF_Disp_Payoff" vbProcedure="false">Fleet_Financing!$C$12</definedName>
    <definedName function="false" hidden="false" name="FF_Draws" vbProcedure="false">Fleet_Financing!$C$11</definedName>
    <definedName function="false" hidden="false" name="FF_DSCR" vbProcedure="false">Fleet_Financing!$C$19</definedName>
    <definedName function="false" hidden="false" name="FF_Interest" vbProcedure="false">Fleet_Financing!$C$17</definedName>
    <definedName function="false" hidden="false" name="FF_LTV_Helper" vbProcedure="false">Fleet_Financing!$C$14</definedName>
    <definedName function="false" hidden="false" name="FF_Mand_Amort" vbProcedure="false">Fleet_Financing!$C$18</definedName>
    <definedName function="false" hidden="false" name="FF_Opening" vbProcedure="false">Fleet_Financing!$C$10</definedName>
    <definedName function="false" hidden="false" name="Fleet_Age_Months" vbProcedure="false">Assumptions!$C$14</definedName>
    <definedName function="false" hidden="false" name="Fleet_Debt_Rate" vbProcedure="false">Assumptions!$C$45</definedName>
    <definedName function="false" hidden="false" name="Fleet_Growth_Rate" vbProcedure="false">Assumptions!$C$9</definedName>
    <definedName function="false" hidden="false" name="Fleet_LTV" vbProcedure="false">Assumptions!$C$43</definedName>
    <definedName function="false" hidden="false" name="FR_Adds_Cost" vbProcedure="false">Fleet_Roll_Forward!$C$26</definedName>
    <definedName function="false" hidden="false" name="FR_AD_Close" vbProcedure="false">Fleet_Roll_Forward!$C$34</definedName>
    <definedName function="false" hidden="false" name="FR_AD_Open" vbProcedure="false">Fleet_Roll_Forward!$C$31</definedName>
    <definedName function="false" hidden="false" name="FR_AD_Released" vbProcedure="false">Fleet_Roll_Forward!$C$33</definedName>
    <definedName function="false" hidden="false" name="FR_Avg_Fleet" vbProcedure="false">Fleet_Roll_Forward!$C$16</definedName>
    <definedName function="false" hidden="false" name="FR_Avg_NBV_Veh" vbProcedure="false">Fleet_Roll_Forward!$C$38</definedName>
    <definedName function="false" hidden="false" name="FR_Closing_Fleet" vbProcedure="false">Fleet_Roll_Forward!$C$15</definedName>
    <definedName function="false" hidden="false" name="FR_Cur_Depr" vbProcedure="false">Fleet_Roll_Forward!$C$32</definedName>
    <definedName function="false" hidden="false" name="FR_Depr_Per_Veh" vbProcedure="false">Fleet_Roll_Forward!$C$21</definedName>
    <definedName function="false" hidden="false" name="FR_Disposals" vbProcedure="false">Fleet_Roll_Forward!$C$11</definedName>
    <definedName function="false" hidden="false" name="FR_Disp_Cost" vbProcedure="false">Fleet_Roll_Forward!$C$27</definedName>
    <definedName function="false" hidden="false" name="FR_Disp_Revenue" vbProcedure="false">Fleet_Roll_Forward!$C$43</definedName>
    <definedName function="false" hidden="false" name="FR_Gain_Loss" vbProcedure="false">Fleet_Roll_Forward!$C$45</definedName>
    <definedName function="false" hidden="false" name="FR_Gross_Close" vbProcedure="false">Fleet_Roll_Forward!$C$28</definedName>
    <definedName function="false" hidden="false" name="FR_Gross_Open" vbProcedure="false">Fleet_Roll_Forward!$C$25</definedName>
    <definedName function="false" hidden="false" name="FR_Growth_Adds" vbProcedure="false">Fleet_Roll_Forward!$C$13</definedName>
    <definedName function="false" hidden="false" name="FR_NBV" vbProcedure="false">Fleet_Roll_Forward!$C$37</definedName>
    <definedName function="false" hidden="false" name="FR_NBV_Sold" vbProcedure="false">Fleet_Roll_Forward!$C$39</definedName>
    <definedName function="false" hidden="false" name="FR_NBV_Sold_Ref" vbProcedure="false">Fleet_Roll_Forward!$C$44</definedName>
    <definedName function="false" hidden="false" name="FR_Opening_Fleet" vbProcedure="false">Fleet_Roll_Forward!$C$10</definedName>
    <definedName function="false" hidden="false" name="FR_PP_Disposed" vbProcedure="false">Fleet_Roll_Forward!$C$22</definedName>
    <definedName function="false" hidden="false" name="FR_Purchase_Price" vbProcedure="false">Fleet_Roll_Forward!$C$19</definedName>
    <definedName function="false" hidden="false" name="FR_Replacements" vbProcedure="false">Fleet_Roll_Forward!$C$12</definedName>
    <definedName function="false" hidden="false" name="FR_Residual_Val" vbProcedure="false">Fleet_Roll_Forward!$C$20</definedName>
    <definedName function="false" hidden="false" name="FR_Total_Adds" vbProcedure="false">Fleet_Roll_Forward!$C$14</definedName>
    <definedName function="false" hidden="false" name="Holding_Period_Yrs" vbProcedure="false">Assumptions!$C$10</definedName>
    <definedName function="false" hidden="false" name="Insurance_Recovery_Rate" vbProcedure="false">Assumptions!$C$38</definedName>
    <definedName function="false" hidden="false" name="IS_Adj_EBITDA" vbProcedure="false">Income_Statement!$C$24</definedName>
    <definedName function="false" hidden="false" name="IS_Adj_EBITDA_Margin" vbProcedure="false">Income_Statement!$C$25</definedName>
    <definedName function="false" hidden="false" name="IS_Anc_Rev" vbProcedure="false">Income_Statement!$C$11</definedName>
    <definedName function="false" hidden="false" name="IS_Corp_Int" vbProcedure="false">Income_Statement!$C$35</definedName>
    <definedName function="false" hidden="false" name="IS_Disp_Rev" vbProcedure="false">Income_Statement!$C$29</definedName>
    <definedName function="false" hidden="false" name="IS_Dividends" vbProcedure="false">Income_Statement!$C$47</definedName>
    <definedName function="false" hidden="false" name="IS_DOE" vbProcedure="false">Income_Statement!$C$15</definedName>
    <definedName function="false" hidden="false" name="IS_EBIT" vbProcedure="false">Income_Statement!$C$26</definedName>
    <definedName function="false" hidden="false" name="IS_EBT" vbProcedure="false">Income_Statement!$C$39</definedName>
    <definedName function="false" hidden="false" name="IS_Fleet_Depr" vbProcedure="false">Income_Statement!$C$21</definedName>
    <definedName function="false" hidden="false" name="IS_Fleet_Int" vbProcedure="false">Income_Statement!$C$34</definedName>
    <definedName function="false" hidden="false" name="IS_Gain_Loss" vbProcedure="false">Income_Statement!$C$31</definedName>
    <definedName function="false" hidden="false" name="IS_NBV_Sold" vbProcedure="false">Income_Statement!$C$30</definedName>
    <definedName function="false" hidden="false" name="IS_Net_Income" vbProcedure="false">Income_Statement!$C$46</definedName>
    <definedName function="false" hidden="false" name="IS_NF_Depr" vbProcedure="false">Income_Statement!$C$22</definedName>
    <definedName function="false" hidden="false" name="IS_NOL_Add" vbProcedure="false">Income_Statement!$C$44</definedName>
    <definedName function="false" hidden="false" name="IS_NOL_Close" vbProcedure="false">Income_Statement!$C$45</definedName>
    <definedName function="false" hidden="false" name="IS_NOL_Open" vbProcedure="false">Income_Statement!$C$40</definedName>
    <definedName function="false" hidden="false" name="IS_NOL_Used" vbProcedure="false">Income_Statement!$C$41</definedName>
    <definedName function="false" hidden="false" name="IS_Op_Profit" vbProcedure="false">Income_Statement!$C$20</definedName>
    <definedName function="false" hidden="false" name="IS_SGA" vbProcedure="false">Income_Statement!$C$16</definedName>
    <definedName function="false" hidden="false" name="IS_Tax" vbProcedure="false">Income_Statement!$C$43</definedName>
    <definedName function="false" hidden="false" name="IS_Taxable" vbProcedure="false">Income_Statement!$C$42</definedName>
    <definedName function="false" hidden="false" name="IS_TM_Rev" vbProcedure="false">Income_Statement!$C$10</definedName>
    <definedName function="false" hidden="false" name="IS_Total_Depr" vbProcedure="false">Income_Statement!$C$23</definedName>
    <definedName function="false" hidden="false" name="IS_Total_Int" vbProcedure="false">Income_Statement!$C$36</definedName>
    <definedName function="false" hidden="false" name="IS_Total_OC" vbProcedure="false">Income_Statement!$C$17</definedName>
    <definedName function="false" hidden="false" name="IS_Total_Op_Rev" vbProcedure="false">Income_Statement!$C$12</definedName>
    <definedName function="false" hidden="false" name="KPI_FCPU" vbProcedure="false">KPIs!$D$14</definedName>
    <definedName function="false" hidden="false" name="KPI_Fleet_LTV" vbProcedure="false">KPIs!$D$25</definedName>
    <definedName function="false" hidden="false" name="KPI_Fleet_Yield" vbProcedure="false">KPIs!$D$15</definedName>
    <definedName function="false" hidden="false" name="KPI_IRR" vbProcedure="false">KPIs!$D$34</definedName>
    <definedName function="false" hidden="false" name="KPI_MOIC" vbProcedure="false">KPIs!$D$35</definedName>
    <definedName function="false" hidden="false" name="KPI_ROIC" vbProcedure="false">KPIs!$D$33</definedName>
    <definedName function="false" hidden="false" name="Market_Residual_Pct" vbProcedure="false">Assumptions!$C$15</definedName>
    <definedName function="false" hidden="false" name="Max_Fleet_LTV" vbProcedure="false">Assumptions!$C$44</definedName>
    <definedName function="false" hidden="false" name="Min_DSCR" vbProcedure="false">Assumptions!$C$49</definedName>
    <definedName function="false" hidden="false" name="Mix_Economy" vbProcedure="false">Assumptions!$C$18</definedName>
    <definedName function="false" hidden="false" name="Mix_Midsize" vbProcedure="false">Assumptions!$C$19</definedName>
    <definedName function="false" hidden="false" name="Mix_Premium" vbProcedure="false">Assumptions!$C$20</definedName>
    <definedName function="false" hidden="false" name="Model_Start_Year" vbProcedure="false">Assumptions!$C$74</definedName>
    <definedName function="false" hidden="false" name="NOL_Opening" vbProcedure="false">Assumptions!$C$57</definedName>
    <definedName function="false" hidden="false" name="NonFleet_Capex_Pct" vbProcedure="false">Assumptions!$C$35</definedName>
    <definedName function="false" hidden="false" name="NonFleet_Useful_Life" vbProcedure="false">Assumptions!$C$36</definedName>
    <definedName function="false" hidden="false" name="OC_Cumul_PPE" vbProcedure="false">Operating_Costs!$C$24</definedName>
    <definedName function="false" hidden="false" name="OC_Damage" vbProcedure="false">Operating_Costs!$C$11</definedName>
    <definedName function="false" hidden="false" name="OC_DOE" vbProcedure="false">Operating_Costs!$C$12</definedName>
    <definedName function="false" hidden="false" name="OC_DOE_Base" vbProcedure="false">Operating_Costs!$C$10</definedName>
    <definedName function="false" hidden="false" name="OC_Net_PPE" vbProcedure="false">Operating_Costs!$C$27</definedName>
    <definedName function="false" hidden="false" name="OC_NF_Accum_Depr" vbProcedure="false">Operating_Costs!$C$26</definedName>
    <definedName function="false" hidden="false" name="OC_NF_Capex" vbProcedure="false">Operating_Costs!$C$23</definedName>
    <definedName function="false" hidden="false" name="OC_NF_Depr" vbProcedure="false">Operating_Costs!$C$25</definedName>
    <definedName function="false" hidden="false" name="OC_OTA" vbProcedure="false">Operating_Costs!$C$16</definedName>
    <definedName function="false" hidden="false" name="OC_SGA" vbProcedure="false">Operating_Costs!$C$17</definedName>
    <definedName function="false" hidden="false" name="OC_SGA_Base" vbProcedure="false">Operating_Costs!$C$15</definedName>
    <definedName function="false" hidden="false" name="OC_Total" vbProcedure="false">Operating_Costs!$C$20</definedName>
    <definedName function="false" hidden="false" name="Opening_Accum_Depr_NF" vbProcedure="false">Assumptions!$C$69</definedName>
    <definedName function="false" hidden="false" name="Opening_Fleet" vbProcedure="false">Assumptions!$C$8</definedName>
    <definedName function="false" hidden="false" name="Opening_PPE_Gross" vbProcedure="false">Assumptions!$C$68</definedName>
    <definedName function="false" hidden="false" name="Opening_RE" vbProcedure="false">Assumptions!$C$71</definedName>
    <definedName function="false" hidden="false" name="Opening_Tax_Payable" vbProcedure="false">Assumptions!$C$72</definedName>
    <definedName function="false" hidden="false" name="Open_Cash" vbProcedure="false">Assumptions!$C$67</definedName>
    <definedName function="false" hidden="false" name="OTA_Channel_Share" vbProcedure="false">Assumptions!$C$40</definedName>
    <definedName function="false" hidden="false" name="OTA_Commission_Pct" vbProcedure="false">Assumptions!$C$39</definedName>
    <definedName function="false" hidden="false" name="Purchase_Price" vbProcedure="false">Assumptions!$C$11</definedName>
    <definedName function="false" hidden="false" name="Purchase_Price_Inflation" vbProcedure="false">Assumptions!$C$12</definedName>
    <definedName function="false" hidden="false" name="RB_Actual_Days" vbProcedure="false">Revenue_Build!$C$14</definedName>
    <definedName function="false" hidden="false" name="RB_Anc_Revenue" vbProcedure="false">Revenue_Build!$C$21</definedName>
    <definedName function="false" hidden="false" name="RB_Avg_Fleet" vbProcedure="false">Revenue_Build!$C$10</definedName>
    <definedName function="false" hidden="false" name="RB_RPD" vbProcedure="false">Revenue_Build!$C$15</definedName>
    <definedName function="false" hidden="false" name="RB_RPD_Adj" vbProcedure="false">Revenue_Build!$C$16</definedName>
    <definedName function="false" hidden="false" name="RB_TM_Revenue" vbProcedure="false">Revenue_Build!$C$17</definedName>
    <definedName function="false" hidden="false" name="RB_Total_Op_Rev" vbProcedure="false">Revenue_Build!$C$24</definedName>
    <definedName function="false" hidden="false" name="RB_Utilisation" vbProcedure="false">Revenue_Build!$C$12</definedName>
    <definedName function="false" hidden="false" name="RB_Utilisation_Adj" vbProcedure="false">Revenue_Build!$C$13</definedName>
    <definedName function="false" hidden="false" name="Residual_Shock_Pct" vbProcedure="false">Assumptions!$C$62</definedName>
    <definedName function="false" hidden="false" name="Residual_Value_Pct" vbProcedure="false">Assumptions!$C$13</definedName>
    <definedName function="false" hidden="false" name="RPD_Base" vbProcedure="false">Assumptions!$C$28</definedName>
    <definedName function="false" hidden="false" name="RPD_Economy" vbProcedure="false">Assumptions!$C$21</definedName>
    <definedName function="false" hidden="false" name="RPD_Growth" vbProcedure="false">Assumptions!$C$29</definedName>
    <definedName function="false" hidden="false" name="RPD_Midsize" vbProcedure="false">Assumptions!$C$22</definedName>
    <definedName function="false" hidden="false" name="RPD_Premium" vbProcedure="false">Assumptions!$C$23</definedName>
    <definedName function="false" hidden="false" name="RPD_Shock_Pct" vbProcedure="false">Assumptions!$C$63</definedName>
    <definedName function="false" hidden="false" name="RPD_Weighted" vbProcedure="false">Assumptions!$C$24</definedName>
    <definedName function="false" hidden="false" name="SGA_Pct" vbProcedure="false">Assumptions!$C$34</definedName>
    <definedName function="false" hidden="false" name="Share_Capital" vbProcedure="false">Assumptions!$C$70</definedName>
    <definedName function="false" hidden="false" name="Tax_Rate" vbProcedure="false">Assumptions!$C$56</definedName>
    <definedName function="false" hidden="false" name="Terminal_Growth" vbProcedure="false">Assumptions!$C$59</definedName>
    <definedName function="false" hidden="false" name="Utilisation_Rate" vbProcedure="false">Assumptions!$C$27</definedName>
    <definedName function="false" hidden="false" name="Utilisation_Shock_Pct" vbProcedure="false">Assumptions!$C$64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<sst xmlns="http://schemas.openxmlformats.org/spreadsheetml/2006/main" count="458" uniqueCount="357">
  <si>
    <t xml:space="preserve">Car Rental Financial Model</t>
  </si>
  <si>
    <t xml:space="preserve">FINAMODEL.com</t>
  </si>
  <si>
    <t xml:space="preserve">Mid-Market Operator (~500 Vehicles)</t>
  </si>
  <si>
    <t xml:space="preserve">Prepared: April 2026</t>
  </si>
  <si>
    <t xml:space="preserve">Currency: USD ($)</t>
  </si>
  <si>
    <t xml:space="preserve">Version: v1</t>
  </si>
  <si>
    <t xml:space="preserve">Status: Draft (institutional review)</t>
  </si>
  <si>
    <t xml:space="preserve">Contents</t>
  </si>
  <si>
    <t xml:space="preserve">Assumptions</t>
  </si>
  <si>
    <t xml:space="preserve">Fleet_Roll_Forward</t>
  </si>
  <si>
    <t xml:space="preserve">Revenue_Build</t>
  </si>
  <si>
    <t xml:space="preserve">Operating_Costs</t>
  </si>
  <si>
    <t xml:space="preserve">Fleet_Financing</t>
  </si>
  <si>
    <t xml:space="preserve">Corporate_Debt</t>
  </si>
  <si>
    <t xml:space="preserve">Income_Statement</t>
  </si>
  <si>
    <t xml:space="preserve">Balance_Sheet</t>
  </si>
  <si>
    <t xml:space="preserve">Cash_Flow</t>
  </si>
  <si>
    <t xml:space="preserve">KPIs</t>
  </si>
  <si>
    <t xml:space="preserve">Checks</t>
  </si>
  <si>
    <t xml:space="preserve">About this model</t>
  </si>
  <si>
    <t xml:space="preserve">A car rental operator model projects profitability by tracking fleet size, vehicle age distribution, utilisation rates, revenue per day by vehicle class, fleet depreciation, and residual value changes, to determine whether the operator can support debt service on both fleet-backed and corporate debt and maintain positive free cash flow through fleet replacement cycles. The model answers what the adjusted corporate EBITDA margin is after accounting for depreciation and depreciation cycles, and whether residual value assumptions are realistic given used car market conditions.
Revenue is driven by time-and-mileage (T&amp;M) rental revenue (fleet size Ã utilisation Ã 365 Ã revenue per day), growing as the fleet expands and RPD inflation compounds, plus ancillary revenue (insurance waivers, GPS, fuel, upgrades) which attaches to 15% of T&amp;M. Fleet depreciation is the single largest cost line: the cost per vehicle per year equals (purchase price â residual value) / holding period. For a $32,000 vehicle with 24-month holding period and 65% book residual value, annual depreciation is $5,600 per vehicle. Direct operating expenses (branch staff, maintenance, airport concessions) are modelled at 45% of T&amp;M revenue. SG&amp;A covers corporate overhead at 10% of total operating revenue. Disposal proceeds are netted as a loss or gain on sale (market residual value differs from book residual, creating a P&amp;L impact). Fleet debt is sized on an 80% LTV against gross fleet cost (not net book value), and the revolving debt structure repays as vehicles reach end-of-life. Corporate debt is a traditional amortising term loan.
Car rental operators, fleet financiers, and private equity sponsors use car rental models to project adjusted EBITDA margins (8â15% benchmark), stress residual value assumptions (critical assumption affecting profitability), and confirm the fleet debt covenants (LTV, debt service) are sustainable through fleet replacement.</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</si>
  <si>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</si>
  <si>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</si>
  <si>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</si>
  <si>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</si>
  <si>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 &amp; Drivers</t>
  </si>
  <si>
    <t xml:space="preserve">Source</t>
  </si>
  <si>
    <t xml:space="preserve">Fleet Assumptions</t>
  </si>
  <si>
    <t xml:space="preserve">Opening Fleet</t>
  </si>
  <si>
    <t xml:space="preserve">vehicles</t>
  </si>
  <si>
    <t xml:space="preserve">Operator data</t>
  </si>
  <si>
    <t xml:space="preserve">Fleet Growth Rate</t>
  </si>
  <si>
    <t xml:space="preserve">%</t>
  </si>
  <si>
    <t xml:space="preserve">Mgmt plan</t>
  </si>
  <si>
    <t xml:space="preserve">Holding Period</t>
  </si>
  <si>
    <t xml:space="preserve">years</t>
  </si>
  <si>
    <t xml:space="preserve">Hertz/Avis 10-K</t>
  </si>
  <si>
    <t xml:space="preserve">Purchase Price/Vehicle</t>
  </si>
  <si>
    <t xml:space="preserve">$</t>
  </si>
  <si>
    <t xml:space="preserve">Manheim Index</t>
  </si>
  <si>
    <t xml:space="preserve">Purchase Price Inflation</t>
  </si>
  <si>
    <t xml:space="preserve">BLS CPI Vehicles</t>
  </si>
  <si>
    <t xml:space="preserve">Residual Value %</t>
  </si>
  <si>
    <t xml:space="preserve">Book residual</t>
  </si>
  <si>
    <t xml:space="preserve">Avg Fleet Age</t>
  </si>
  <si>
    <t xml:space="preserve">months</t>
  </si>
  <si>
    <t xml:space="preserve">Mgmt data</t>
  </si>
  <si>
    <t xml:space="preserve">Market Residual %</t>
  </si>
  <si>
    <t xml:space="preserve">Used car market price</t>
  </si>
  <si>
    <t xml:space="preserve">Fleet Mix</t>
  </si>
  <si>
    <t xml:space="preserve">Mix % - Economy</t>
  </si>
  <si>
    <t xml:space="preserve">Auto Rental News</t>
  </si>
  <si>
    <t xml:space="preserve">Mix % - Midsize</t>
  </si>
  <si>
    <t xml:space="preserve">Mix % - Premium</t>
  </si>
  <si>
    <t xml:space="preserve">RPD - Economy</t>
  </si>
  <si>
    <t xml:space="preserve">RPD - Midsize</t>
  </si>
  <si>
    <t xml:space="preserve">RPD - Premium</t>
  </si>
  <si>
    <t xml:space="preserve">Weighted Avg RPD</t>
  </si>
  <si>
    <t xml:space="preserve">Drives T&amp;M Revenue</t>
  </si>
  <si>
    <t xml:space="preserve">Revenue Assumptions</t>
  </si>
  <si>
    <t xml:space="preserve">Utilisation Rate</t>
  </si>
  <si>
    <t xml:space="preserve">RPD Base (override)</t>
  </si>
  <si>
    <t xml:space="preserve">Falls back if mix unused</t>
  </si>
  <si>
    <t xml:space="preserve">RPD Growth</t>
  </si>
  <si>
    <t xml:space="preserve">BLS CPI Services</t>
  </si>
  <si>
    <t xml:space="preserve">Ancillary Revenue %</t>
  </si>
  <si>
    <t xml:space="preserve">% of T&amp;M revenue</t>
  </si>
  <si>
    <t xml:space="preserve">Cost Assumptions</t>
  </si>
  <si>
    <t xml:space="preserve">DOE %</t>
  </si>
  <si>
    <t xml:space="preserve">% of T&amp;M revenue (excl. anc)</t>
  </si>
  <si>
    <t xml:space="preserve">SG&amp;A %</t>
  </si>
  <si>
    <t xml:space="preserve">% of total op revenue</t>
  </si>
  <si>
    <t xml:space="preserve">Non-Fleet Capex %</t>
  </si>
  <si>
    <t xml:space="preserve">NF PP&amp;E Useful Life</t>
  </si>
  <si>
    <t xml:space="preserve">GAAP convention</t>
  </si>
  <si>
    <t xml:space="preserve">Damage &amp; Loss %</t>
  </si>
  <si>
    <t xml:space="preserve">% of avg fleet value</t>
  </si>
  <si>
    <t xml:space="preserve">Industry norm</t>
  </si>
  <si>
    <t xml:space="preserve">Insurance Recovery</t>
  </si>
  <si>
    <t xml:space="preserve">% of damage recovered (CDW typical)</t>
  </si>
  <si>
    <t xml:space="preserve">OTA Commission %</t>
  </si>
  <si>
    <t xml:space="preserve">% of OTA-channel T&amp;M rev</t>
  </si>
  <si>
    <t xml:space="preserve">Expedia/Booking</t>
  </si>
  <si>
    <t xml:space="preserve">OTA Channel Share</t>
  </si>
  <si>
    <t xml:space="preserve">% of T&amp;M via OTA (mid-mkt mix)</t>
  </si>
  <si>
    <t xml:space="preserve">Debt Assumptions</t>
  </si>
  <si>
    <t xml:space="preserve">Fleet LTV</t>
  </si>
  <si>
    <t xml:space="preserve">ABS market norms</t>
  </si>
  <si>
    <t xml:space="preserve">Max Fleet LTV</t>
  </si>
  <si>
    <t xml:space="preserve">Covenant</t>
  </si>
  <si>
    <t xml:space="preserve">Fleet Debt Rate</t>
  </si>
  <si>
    <t xml:space="preserve">ABS pricing</t>
  </si>
  <si>
    <t xml:space="preserve">Corp Debt Amount</t>
  </si>
  <si>
    <t xml:space="preserve">Term sheet</t>
  </si>
  <si>
    <t xml:space="preserve">Corp Debt Tenor</t>
  </si>
  <si>
    <t xml:space="preserve">Corp Debt Rate</t>
  </si>
  <si>
    <t xml:space="preserve">Min DSCR Covenant</t>
  </si>
  <si>
    <t xml:space="preserve">x</t>
  </si>
  <si>
    <t xml:space="preserve">Interest coverage; ABS norm 1.10-1.25x</t>
  </si>
  <si>
    <t xml:space="preserve">ABS covenant</t>
  </si>
  <si>
    <t xml:space="preserve">Working Capital</t>
  </si>
  <si>
    <t xml:space="preserve">DSO</t>
  </si>
  <si>
    <t xml:space="preserve">days</t>
  </si>
  <si>
    <t xml:space="preserve">Industry avg</t>
  </si>
  <si>
    <t xml:space="preserve">DPO</t>
  </si>
  <si>
    <t xml:space="preserve">Tax &amp; Returns</t>
  </si>
  <si>
    <t xml:space="preserve">Tax Rate</t>
  </si>
  <si>
    <t xml:space="preserve">US corporate</t>
  </si>
  <si>
    <t xml:space="preserve">NOL Opening</t>
  </si>
  <si>
    <t xml:space="preserve">Acquired company</t>
  </si>
  <si>
    <t xml:space="preserve">Discount Rate</t>
  </si>
  <si>
    <t xml:space="preserve">WACC estimate</t>
  </si>
  <si>
    <t xml:space="preserve">Terminal Growth</t>
  </si>
  <si>
    <t xml:space="preserve">Long-run GDP</t>
  </si>
  <si>
    <t xml:space="preserve">Stress / Sensitivity</t>
  </si>
  <si>
    <t xml:space="preserve">Residual Shock</t>
  </si>
  <si>
    <t xml:space="preserve">Applied to Market Residual %</t>
  </si>
  <si>
    <t xml:space="preserve">RPD Shock</t>
  </si>
  <si>
    <t xml:space="preserve">Applied to RPD</t>
  </si>
  <si>
    <t xml:space="preserve">Utilisation Shock</t>
  </si>
  <si>
    <t xml:space="preserve">Applied to Utilisation</t>
  </si>
  <si>
    <t xml:space="preserve">Opening Balance Sheet</t>
  </si>
  <si>
    <t xml:space="preserve">Opening Cash</t>
  </si>
  <si>
    <t xml:space="preserve">Funds growth capex incl. damage/OTA drag</t>
  </si>
  <si>
    <t xml:space="preserve">Opening NF PP&amp;E Gross</t>
  </si>
  <si>
    <t xml:space="preserve">Opening NF Accum Depr</t>
  </si>
  <si>
    <t xml:space="preserve">Share Capital</t>
  </si>
  <si>
    <t xml:space="preserve">Day 0 equity in (sized to balance)</t>
  </si>
  <si>
    <t xml:space="preserve">Cap table</t>
  </si>
  <si>
    <t xml:space="preserve">Opening RE</t>
  </si>
  <si>
    <t xml:space="preserve">Opening Tax Payable</t>
  </si>
  <si>
    <t xml:space="preserve">Dividend Payout</t>
  </si>
  <si>
    <t xml:space="preserve">Model Start Year</t>
  </si>
  <si>
    <t xml:space="preserve">Fleet Roll-Forward</t>
  </si>
  <si>
    <t xml:space="preserve">Vehicle Fleet &amp; Depreciation</t>
  </si>
  <si>
    <t xml:space="preserve">Year #</t>
  </si>
  <si>
    <t xml:space="preserve">Fleet Units</t>
  </si>
  <si>
    <t xml:space="preserve">  Opening Fleet</t>
  </si>
  <si>
    <t xml:space="preserve">  Disposals</t>
  </si>
  <si>
    <t xml:space="preserve">  Replacement Additions</t>
  </si>
  <si>
    <t xml:space="preserve">  Growth Additions</t>
  </si>
  <si>
    <t xml:space="preserve">  Total Additions</t>
  </si>
  <si>
    <t xml:space="preserve">Closing Fleet</t>
  </si>
  <si>
    <t xml:space="preserve">  Average Fleet</t>
  </si>
  <si>
    <t xml:space="preserve">Fleet Economics</t>
  </si>
  <si>
    <t xml:space="preserve">  Purchase Price/Vehicle</t>
  </si>
  <si>
    <t xml:space="preserve">  Residual Value/Vehicle</t>
  </si>
  <si>
    <t xml:space="preserve">  Depr/Vehicle/Year</t>
  </si>
  <si>
    <t xml:space="preserve">  PP - Disposed Vintage</t>
  </si>
  <si>
    <t xml:space="preserve">Gross Fleet Cost</t>
  </si>
  <si>
    <t xml:space="preserve">  Opening Gross Cost</t>
  </si>
  <si>
    <t xml:space="preserve">  Additions Cost</t>
  </si>
  <si>
    <t xml:space="preserve">  Disposals Cost Basis</t>
  </si>
  <si>
    <t xml:space="preserve">Closing Gross Cost</t>
  </si>
  <si>
    <t xml:space="preserve">Accum Fleet Depr</t>
  </si>
  <si>
    <t xml:space="preserve">  Opening Accum Depr</t>
  </si>
  <si>
    <t xml:space="preserve">  Current Year Depr</t>
  </si>
  <si>
    <t xml:space="preserve">  Accum Depr Released</t>
  </si>
  <si>
    <t xml:space="preserve">Closing Accum Depr</t>
  </si>
  <si>
    <t xml:space="preserve">Fleet NBV</t>
  </si>
  <si>
    <t xml:space="preserve">Net Fleet NBV</t>
  </si>
  <si>
    <t xml:space="preserve">  Avg NBV/Vehicle</t>
  </si>
  <si>
    <t xml:space="preserve">  NBV of Vehicles Sold</t>
  </si>
  <si>
    <t xml:space="preserve">  Avg Fleet Age (yrs)</t>
  </si>
  <si>
    <t xml:space="preserve">Fleet Disposal</t>
  </si>
  <si>
    <t xml:space="preserve">  Disposal Revenue</t>
  </si>
  <si>
    <t xml:space="preserve">  NBV of Sold (ref)</t>
  </si>
  <si>
    <t xml:space="preserve">Gain/(Loss) on Sale</t>
  </si>
  <si>
    <t xml:space="preserve">Revenue Build</t>
  </si>
  <si>
    <t xml:space="preserve">T&amp;M + Ancillary Revenue</t>
  </si>
  <si>
    <t xml:space="preserve">T&amp;M Revenue</t>
  </si>
  <si>
    <t xml:space="preserve">  Available Rental Days</t>
  </si>
  <si>
    <t xml:space="preserve">  Utilisation Rate</t>
  </si>
  <si>
    <t xml:space="preserve">  Utilisation Adj</t>
  </si>
  <si>
    <t xml:space="preserve">  Actual Rental Days</t>
  </si>
  <si>
    <t xml:space="preserve">  RPD (Weighted)</t>
  </si>
  <si>
    <t xml:space="preserve">  RPD Adj</t>
  </si>
  <si>
    <t xml:space="preserve">Ancillary Revenue</t>
  </si>
  <si>
    <t xml:space="preserve">  Ancillary Rate</t>
  </si>
  <si>
    <t xml:space="preserve">  Ancillary Revenue</t>
  </si>
  <si>
    <t xml:space="preserve">Total Operating Revenue</t>
  </si>
  <si>
    <t xml:space="preserve">Operating Costs</t>
  </si>
  <si>
    <t xml:space="preserve">DOE, SG&amp;A, Non-Fleet PP&amp;E</t>
  </si>
  <si>
    <t xml:space="preserve">Direct Operating Expenses</t>
  </si>
  <si>
    <t xml:space="preserve">  DOE - Base</t>
  </si>
  <si>
    <t xml:space="preserve">  Damage &amp; Loss (net)</t>
  </si>
  <si>
    <t xml:space="preserve">Total DOE</t>
  </si>
  <si>
    <t xml:space="preserve">SG&amp;A</t>
  </si>
  <si>
    <t xml:space="preserve">  SG&amp;A - Base</t>
  </si>
  <si>
    <t xml:space="preserve">  OTA Commissions</t>
  </si>
  <si>
    <t xml:space="preserve">Total SG&amp;A</t>
  </si>
  <si>
    <t xml:space="preserve">Total Operating Costs</t>
  </si>
  <si>
    <t xml:space="preserve">Non-Fleet Capex</t>
  </si>
  <si>
    <t xml:space="preserve">  Non-Fleet Capex</t>
  </si>
  <si>
    <t xml:space="preserve">  Cumul Gross NF PP&amp;E</t>
  </si>
  <si>
    <t xml:space="preserve">  NF Depreciation</t>
  </si>
  <si>
    <t xml:space="preserve">  NF Accum Depr</t>
  </si>
  <si>
    <t xml:space="preserve">  Net NF PP&amp;E</t>
  </si>
  <si>
    <t xml:space="preserve">Fleet Financing</t>
  </si>
  <si>
    <t xml:space="preserve">Fleet Debt Schedule</t>
  </si>
  <si>
    <t xml:space="preserve">Fleet Debt</t>
  </si>
  <si>
    <t xml:space="preserve">  Opening Balance</t>
  </si>
  <si>
    <t xml:space="preserve">  Drawdowns</t>
  </si>
  <si>
    <t xml:space="preserve">  Disposal Payoffs</t>
  </si>
  <si>
    <t xml:space="preserve">Closing Balance</t>
  </si>
  <si>
    <t xml:space="preserve">  LTV Ratio (helper)</t>
  </si>
  <si>
    <t xml:space="preserve">Fleet Interest &amp; Debt Service</t>
  </si>
  <si>
    <t xml:space="preserve">  Interest Expense</t>
  </si>
  <si>
    <t xml:space="preserve">  Mandatory Amort (disposal payoff)</t>
  </si>
  <si>
    <t xml:space="preserve">  DSCR (Interest Coverage)</t>
  </si>
  <si>
    <t xml:space="preserve">Corporate Debt</t>
  </si>
  <si>
    <t xml:space="preserve">Term Loan Schedule</t>
  </si>
  <si>
    <t xml:space="preserve">Corporate Term Loan</t>
  </si>
  <si>
    <t xml:space="preserve">  Repayment</t>
  </si>
  <si>
    <t xml:space="preserve">Current Portion Split</t>
  </si>
  <si>
    <t xml:space="preserve">  Current Portion</t>
  </si>
  <si>
    <t xml:space="preserve">  Long-Term Portion</t>
  </si>
  <si>
    <t xml:space="preserve">Income Statement</t>
  </si>
  <si>
    <t xml:space="preserve">Annual P&amp;L</t>
  </si>
  <si>
    <t xml:space="preserve">Revenue</t>
  </si>
  <si>
    <t xml:space="preserve">  T&amp;M Revenue</t>
  </si>
  <si>
    <t xml:space="preserve">  Direct Operating Expenses</t>
  </si>
  <si>
    <t xml:space="preserve">  SG&amp;A</t>
  </si>
  <si>
    <t xml:space="preserve">Profitability</t>
  </si>
  <si>
    <t xml:space="preserve">Operating Profit (pre-D&amp;A)</t>
  </si>
  <si>
    <t xml:space="preserve">  Fleet Depreciation</t>
  </si>
  <si>
    <t xml:space="preserve">  Non-Fleet Depreciation</t>
  </si>
  <si>
    <t xml:space="preserve">  Total Depreciation</t>
  </si>
  <si>
    <t xml:space="preserve">Adj Corporate EBITDA</t>
  </si>
  <si>
    <t xml:space="preserve">Adj EBITDA Margin</t>
  </si>
  <si>
    <t xml:space="preserve">EBIT</t>
  </si>
  <si>
    <t xml:space="preserve">Fleet Disposal Activity</t>
  </si>
  <si>
    <t xml:space="preserve">Interest</t>
  </si>
  <si>
    <t xml:space="preserve">  Fleet Interest</t>
  </si>
  <si>
    <t xml:space="preserve">  Corporate Interest</t>
  </si>
  <si>
    <t xml:space="preserve">Total Interest</t>
  </si>
  <si>
    <t xml:space="preserve">Earnings</t>
  </si>
  <si>
    <t xml:space="preserve">EBT</t>
  </si>
  <si>
    <t xml:space="preserve">  NOL Opening</t>
  </si>
  <si>
    <t xml:space="preserve">  NOL Utilised</t>
  </si>
  <si>
    <t xml:space="preserve">  Taxable Income</t>
  </si>
  <si>
    <t xml:space="preserve">  Tax</t>
  </si>
  <si>
    <t xml:space="preserve">  NOL Addition</t>
  </si>
  <si>
    <t xml:space="preserve">  NOL Closing</t>
  </si>
  <si>
    <t xml:space="preserve">Net Income</t>
  </si>
  <si>
    <t xml:space="preserve">  Dividends</t>
  </si>
  <si>
    <t xml:space="preserve">Balance Sheet</t>
  </si>
  <si>
    <t xml:space="preserve">Year-End Positions</t>
  </si>
  <si>
    <t xml:space="preserve">Day 0</t>
  </si>
  <si>
    <t xml:space="preserve">Assets</t>
  </si>
  <si>
    <t xml:space="preserve">  Cash</t>
  </si>
  <si>
    <t xml:space="preserve">  Accounts Receivable</t>
  </si>
  <si>
    <t xml:space="preserve">  Gross Fleet Cost</t>
  </si>
  <si>
    <t xml:space="preserve">  Fleet Accum Depr</t>
  </si>
  <si>
    <t xml:space="preserve">  Net Fleet NBV</t>
  </si>
  <si>
    <t xml:space="preserve">  Gross NF PP&amp;E</t>
  </si>
  <si>
    <t xml:space="preserve">TOTAL ASSETS</t>
  </si>
  <si>
    <t xml:space="preserve">Liabilities</t>
  </si>
  <si>
    <t xml:space="preserve">  Accounts Payable</t>
  </si>
  <si>
    <t xml:space="preserve">  Tax Payable</t>
  </si>
  <si>
    <t xml:space="preserve">  Current Portion Corp Debt</t>
  </si>
  <si>
    <t xml:space="preserve">  Fleet Debt</t>
  </si>
  <si>
    <t xml:space="preserve">  Corp Debt (LT)</t>
  </si>
  <si>
    <t xml:space="preserve">TOTAL LIABILITIES</t>
  </si>
  <si>
    <t xml:space="preserve">Equity</t>
  </si>
  <si>
    <t xml:space="preserve">  Share Capital</t>
  </si>
  <si>
    <t xml:space="preserve">  Retained Earnings</t>
  </si>
  <si>
    <t xml:space="preserve">TOTAL EQUITY</t>
  </si>
  <si>
    <t xml:space="preserve">TOTAL LIAB &amp; EQUITY</t>
  </si>
  <si>
    <t xml:space="preserve">Balance Check</t>
  </si>
  <si>
    <t xml:space="preserve">Cash Flow Statement</t>
  </si>
  <si>
    <t xml:space="preserve">Indirect Method</t>
  </si>
  <si>
    <t xml:space="preserve">Operating Activities</t>
  </si>
  <si>
    <t xml:space="preserve">  Net Income</t>
  </si>
  <si>
    <t xml:space="preserve">  (Gain)/Loss on Sale</t>
  </si>
  <si>
    <t xml:space="preserve">  Change in AR</t>
  </si>
  <si>
    <t xml:space="preserve">  Change in AP</t>
  </si>
  <si>
    <t xml:space="preserve">  Change in Tax Payable</t>
  </si>
  <si>
    <t xml:space="preserve">Cash from Operations</t>
  </si>
  <si>
    <t xml:space="preserve">Investing Activities</t>
  </si>
  <si>
    <t xml:space="preserve">  Fleet Purchases - Replacement</t>
  </si>
  <si>
    <t xml:space="preserve">  Fleet Purchases - Growth</t>
  </si>
  <si>
    <t xml:space="preserve">  Fleet Disposal Proceeds</t>
  </si>
  <si>
    <t xml:space="preserve">Cash from Investing</t>
  </si>
  <si>
    <t xml:space="preserve">Financing Activities</t>
  </si>
  <si>
    <t xml:space="preserve">  Fleet Debt Draws</t>
  </si>
  <si>
    <t xml:space="preserve">  Fleet Debt Payoffs</t>
  </si>
  <si>
    <t xml:space="preserve">  Corp Debt Repayment</t>
  </si>
  <si>
    <t xml:space="preserve">Cash from Financing</t>
  </si>
  <si>
    <t xml:space="preserve">Cash Summary</t>
  </si>
  <si>
    <t xml:space="preserve">Net Change in Cash</t>
  </si>
  <si>
    <t xml:space="preserve">  Opening Cash</t>
  </si>
  <si>
    <t xml:space="preserve">Closing Cash</t>
  </si>
  <si>
    <t xml:space="preserve">Key Performance Indicators</t>
  </si>
  <si>
    <t xml:space="preserve">Fleet KPIs</t>
  </si>
  <si>
    <t xml:space="preserve">  Fleet Size (Closing)</t>
  </si>
  <si>
    <t xml:space="preserve">  Fleet Growth (YoY)</t>
  </si>
  <si>
    <t xml:space="preserve">  Utilisation</t>
  </si>
  <si>
    <t xml:space="preserve">  RPD</t>
  </si>
  <si>
    <t xml:space="preserve">  FCPU (Annual)</t>
  </si>
  <si>
    <t xml:space="preserve">  Fleet Yield (NOI/NBV)</t>
  </si>
  <si>
    <t xml:space="preserve">  Adj EBITDA</t>
  </si>
  <si>
    <t xml:space="preserve">  Adj EBITDA Margin</t>
  </si>
  <si>
    <t xml:space="preserve">  Net Margin</t>
  </si>
  <si>
    <t xml:space="preserve">Leverage</t>
  </si>
  <si>
    <t xml:space="preserve">  Fleet LTV (Actual)</t>
  </si>
  <si>
    <t xml:space="preserve">  Corp Debt</t>
  </si>
  <si>
    <t xml:space="preserve">  Net Debt</t>
  </si>
  <si>
    <t xml:space="preserve">  Total Net Debt / EBITDA</t>
  </si>
  <si>
    <t xml:space="preserve">  Corp Net Debt / EBITDA</t>
  </si>
  <si>
    <t xml:space="preserve">  Fleet ABS Coverage</t>
  </si>
  <si>
    <t xml:space="preserve">Returns</t>
  </si>
  <si>
    <t xml:space="preserve">  ROIC</t>
  </si>
  <si>
    <t xml:space="preserve">  Equity IRR</t>
  </si>
  <si>
    <t xml:space="preserve">  Equity MOIC</t>
  </si>
  <si>
    <t xml:space="preserve">  Equity CF (helper)</t>
  </si>
  <si>
    <t xml:space="preserve">Model Checks</t>
  </si>
  <si>
    <t xml:space="preserve">Validation</t>
  </si>
  <si>
    <t xml:space="preserve">Check</t>
  </si>
  <si>
    <t xml:space="preserve">Formula</t>
  </si>
  <si>
    <t xml:space="preserve">Result</t>
  </si>
  <si>
    <t xml:space="preserve">MASTER CHECK</t>
  </si>
  <si>
    <t xml:space="preserve">BS Balance (Day 0)</t>
  </si>
  <si>
    <t xml:space="preserve">BS Balance (Yr 1)</t>
  </si>
  <si>
    <t xml:space="preserve">BS Balance (Yr 2)</t>
  </si>
  <si>
    <t xml:space="preserve">BS Balance (Yr 3)</t>
  </si>
  <si>
    <t xml:space="preserve">BS Balance (Yr 4)</t>
  </si>
  <si>
    <t xml:space="preserve">BS Balance (Yr 5)</t>
  </si>
  <si>
    <t xml:space="preserve">Cash Positive (all yrs)</t>
  </si>
  <si>
    <t xml:space="preserve">Fleet Grows (all yrs)</t>
  </si>
  <si>
    <t xml:space="preserve">Fleet LTV Covenant (per-year)</t>
  </si>
  <si>
    <t xml:space="preserve">EBITDA Margin Range (5%-16%)</t>
  </si>
  <si>
    <t xml:space="preserve">Utilisation Cap</t>
  </si>
  <si>
    <t xml:space="preserve">Fleet Depr Integrity</t>
  </si>
  <si>
    <t xml:space="preserve">Corp Debt Declines</t>
  </si>
  <si>
    <t xml:space="preserve">Cash Reconciliation</t>
  </si>
  <si>
    <t xml:space="preserve">Fleet NBV Positive</t>
  </si>
  <si>
    <t xml:space="preserve">Day 0 RE &gt;= 0</t>
  </si>
  <si>
    <t xml:space="preserve">DSCR Covenant (&gt;=Min)</t>
  </si>
  <si>
    <t xml:space="preserve">Fleet Mix Sums to 100%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</si>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</sst>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8">
    <numFmt numFmtId="164" formatCode="General"/>
    <numFmt numFmtId="165" formatCode="0"/>
    <numFmt numFmtId="166" formatCode="0.0%"/>
    <numFmt numFmtId="167" formatCode="\$#,##0"/>
    <numFmt numFmtId="168" formatCode="\$#,##0.00"/>
    <numFmt numFmtId="169" formatCode="0.00\x"/>
    <numFmt numFmtId="170" formatCode="#,##0"/>
    <numFmt numFmtId="171" formatCode="#,##0.00"/>
  </numFmts>
  <fonts count="30">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sz val="10"/>
      <color rgb="FF808080"/>
      <name val="Arial"/>
      <family val="0"/>
      <charset val="1"/>
    </font>
    <font>
      <b val="true"/>
      <sz val="10"/>
      <name val="Arial"/>
      <family val="0"/>
      <charset val="1"/>
    </font>
    <font>
      <u val="single"/>
      <sz val="10"/>
      <color rgb="FF0563C1"/>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i val="true"/>
      <sz val="10"/>
      <color rgb="FF808080"/>
      <name val="Arial"/>
      <family val="0"/>
      <charset val="1"/>
    </font>
    <font>
      <b val="true"/>
      <sz val="11"/>
      <color theme="0"/>
      <name val="Arial"/>
      <family val="0"/>
      <charset val="1"/>
    </font>
    <font>
      <sz val="10"/>
      <name val="Arial"/>
      <family val="0"/>
      <charset val="1"/>
    </font>
    <font>
      <sz val="10"/>
      <color theme="3"/>
      <name val="Arial"/>
      <family val="0"/>
      <charset val="1"/>
    </font>
    <font>
      <sz val="10"/>
      <color rgb="FF000000"/>
      <name val="Arial"/>
      <family val="0"/>
      <charset val="1"/>
    </font>
    <font>
      <b val="true"/>
      <sz val="10"/>
      <color rgb="FF000000"/>
      <name val="Arial"/>
      <family val="0"/>
      <charset val="1"/>
    </font>
    <font>
      <b val="true"/>
      <sz val="10"/>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FF2CC"/>
        <bgColor rgb="FFF2F2F2"/>
      </patternFill>
    </fill>
    <fill>
      <patternFill patternType="solid">
        <fgColor theme="3" tint="0.8"/>
        <bgColor rgb="FFD6E4F0"/>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5" fontId="21" fillId="4" borderId="0" xfId="0" applyFont="true" applyBorder="false" applyAlignment="false" applyProtection="false">
      <alignment horizontal="general" vertical="bottom" textRotation="0" wrapText="false" indent="0" shrinkToFit="false"/>
      <protection locked="true" hidden="false"/>
    </xf>
    <xf numFmtId="166" fontId="21" fillId="4" borderId="0" xfId="0" applyFont="true" applyBorder="false" applyAlignment="false" applyProtection="false">
      <alignment horizontal="general" vertical="bottom" textRotation="0" wrapText="false" indent="0" shrinkToFit="false"/>
      <protection locked="true" hidden="false"/>
    </xf>
    <xf numFmtId="167" fontId="21" fillId="4" borderId="0" xfId="0" applyFont="true" applyBorder="false" applyAlignment="false" applyProtection="false">
      <alignment horizontal="general" vertical="bottom" textRotation="0" wrapText="false" indent="0" shrinkToFit="false"/>
      <protection locked="true" hidden="false"/>
    </xf>
    <xf numFmtId="168" fontId="22" fillId="0" borderId="0" xfId="0" applyFont="true" applyBorder="false" applyAlignment="false" applyProtection="false">
      <alignment horizontal="general" vertical="bottom" textRotation="0" wrapText="false" indent="0" shrinkToFit="false"/>
      <protection locked="true" hidden="false"/>
    </xf>
    <xf numFmtId="169" fontId="21" fillId="4" borderId="0" xfId="0" applyFont="true" applyBorder="false" applyAlignment="false" applyProtection="false">
      <alignment horizontal="general" vertical="bottom" textRotation="0" wrapText="false" indent="0" shrinkToFit="false"/>
      <protection locked="true" hidden="false"/>
    </xf>
    <xf numFmtId="165" fontId="19" fillId="2" borderId="0" xfId="0" applyFont="true" applyBorder="false" applyAlignment="true" applyProtection="false">
      <alignment horizontal="center" vertical="center" textRotation="0" wrapText="false" indent="0" shrinkToFit="false"/>
      <protection locked="true" hidden="false"/>
    </xf>
    <xf numFmtId="165" fontId="18"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70" fontId="11" fillId="0" borderId="1" xfId="0" applyFont="true" applyBorder="true" applyAlignment="true" applyProtection="false">
      <alignment horizontal="right" vertical="center" textRotation="0" wrapText="false" indent="0" shrinkToFit="false"/>
      <protection locked="true" hidden="false"/>
    </xf>
    <xf numFmtId="170" fontId="11" fillId="0" borderId="2" xfId="0" applyFont="true" applyBorder="true" applyAlignment="true" applyProtection="false">
      <alignment horizontal="right" vertical="center" textRotation="0" wrapText="false" indent="0"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7" fontId="11" fillId="0" borderId="1" xfId="0" applyFont="true" applyBorder="true" applyAlignment="true" applyProtection="false">
      <alignment horizontal="right" vertical="center" textRotation="0" wrapText="false" indent="0" shrinkToFit="false"/>
      <protection locked="true" hidden="false"/>
    </xf>
    <xf numFmtId="167" fontId="11" fillId="0" borderId="2" xfId="0" applyFont="true" applyBorder="true" applyAlignment="true" applyProtection="false">
      <alignment horizontal="right" vertical="center" textRotation="0" wrapText="false" indent="0" shrinkToFit="false"/>
      <protection locked="true" hidden="false"/>
    </xf>
    <xf numFmtId="171" fontId="18"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71" fontId="11" fillId="0" borderId="1" xfId="0" applyFont="true" applyBorder="true" applyAlignment="true" applyProtection="false">
      <alignment horizontal="right" vertical="center" textRotation="0" wrapText="false" indent="0" shrinkToFit="false"/>
      <protection locked="true" hidden="false"/>
    </xf>
    <xf numFmtId="171" fontId="22" fillId="0" borderId="0" xfId="0" applyFont="true" applyBorder="false" applyAlignment="true" applyProtection="false">
      <alignment horizontal="right" vertical="center" textRotation="0" wrapText="false" indent="0" shrinkToFit="false"/>
      <protection locked="true" hidden="false"/>
    </xf>
    <xf numFmtId="171" fontId="11" fillId="0" borderId="2" xfId="0" applyFont="true" applyBorder="true" applyAlignment="true" applyProtection="false">
      <alignment horizontal="right" vertical="center" textRotation="0" wrapText="false" indent="0" shrinkToFit="false"/>
      <protection locked="true" hidden="false"/>
    </xf>
    <xf numFmtId="166" fontId="18" fillId="0" borderId="0" xfId="0" applyFont="true" applyBorder="false" applyAlignment="true" applyProtection="false">
      <alignment horizontal="right" vertical="center" textRotation="0" wrapText="false" indent="0" shrinkToFit="false"/>
      <protection locked="true" hidden="false"/>
    </xf>
    <xf numFmtId="164" fontId="23"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9" fontId="22" fillId="0" borderId="0" xfId="0" applyFont="true" applyBorder="false" applyAlignment="true" applyProtection="false">
      <alignment horizontal="right" vertical="center" textRotation="0" wrapText="fals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71" fontId="24"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6" fillId="6"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9" fillId="7"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C00000"/>
      <rgbColor rgb="FF008000"/>
      <rgbColor rgb="FF000080"/>
      <rgbColor rgb="FF548235"/>
      <rgbColor rgb="FF800080"/>
      <rgbColor rgb="FF008080"/>
      <rgbColor rgb="FFC0C0C0"/>
      <rgbColor rgb="FF808080"/>
      <rgbColor rgb="FF9999FF"/>
      <rgbColor rgb="FF993366"/>
      <rgbColor rgb="FFFFF2CC"/>
      <rgbColor rgb="FFD6E4F0"/>
      <rgbColor rgb="FF660066"/>
      <rgbColor rgb="FFFF8080"/>
      <rgbColor rgb="FF0563C1"/>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4472C4"/>
      <rgbColor rgb="FF33CCCC"/>
      <rgbColor rgb="FF99CC00"/>
      <rgbColor rgb="FFFFCC00"/>
      <rgbColor rgb="FFBF8F00"/>
      <rgbColor rgb="FFFF6600"/>
      <rgbColor rgb="FF595959"/>
      <rgbColor rgb="FFA5A5A5"/>
      <rgbColor rgb="FF1F4E79"/>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Relationship Id="rId2" Type="http://schemas.openxmlformats.org/officeDocument/2006/relationships/hyperlink" Target="car-rental.xlsx" TargetMode="External"/><Relationship Id="rId3" Type="http://schemas.openxmlformats.org/officeDocument/2006/relationships/hyperlink" Target="car-rental.xlsx" TargetMode="External"/><Relationship Id="rId4" Type="http://schemas.openxmlformats.org/officeDocument/2006/relationships/hyperlink" Target="car-rental.xlsx" TargetMode="External"/><Relationship Id="rId5" Type="http://schemas.openxmlformats.org/officeDocument/2006/relationships/hyperlink" Target="car-rental.xlsx" TargetMode="External"/><Relationship Id="rId6" Type="http://schemas.openxmlformats.org/officeDocument/2006/relationships/hyperlink" Target="car-rental.xlsx" TargetMode="External"/><Relationship Id="rId7" Type="http://schemas.openxmlformats.org/officeDocument/2006/relationships/hyperlink" Target="car-rental.xlsx" TargetMode="External"/><Relationship Id="rId8" Type="http://schemas.openxmlformats.org/officeDocument/2006/relationships/hyperlink" Target="car-rental.xlsx" TargetMode="External"/><Relationship Id="rId9" Type="http://schemas.openxmlformats.org/officeDocument/2006/relationships/hyperlink" Target="car-rental.xlsx" TargetMode="External"/><Relationship Id="rId10" Type="http://schemas.openxmlformats.org/officeDocument/2006/relationships/hyperlink" Target="car-rental.xlsx" TargetMode="External"/><Relationship Id="rId11" Type="http://schemas.openxmlformats.org/officeDocument/2006/relationships/hyperlink" Target="car-rental.xlsx" TargetMode="External"/><Relationship Id="rId12" Type="http://schemas.openxmlformats.org/officeDocument/2006/relationships/hyperlink" Target="car-rental.xls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5"/>
    <col collapsed="false" customWidth="true" hidden="false" outlineLevel="0" max="3" min="3" style="0" width="30"/>
  </cols>
  <sheetData>
    <row r="1" customFormat="false" ht="15" hidden="false" customHeight="false" outlineLevel="0" collapsed="false">
      <c r="A1" s="1"/>
      <c r="B1" s="1"/>
      <c r="C1" s="2"/>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2"/>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2"/>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row>
    <row r="5" customFormat="false" ht="15" hidden="false" customHeight="false" outlineLevel="0" collapsed="false">
      <c r="A5" s="6"/>
      <c r="B5" s="6"/>
    </row>
    <row r="6" customFormat="false" ht="15" hidden="false" customHeight="false" outlineLevel="0" collapsed="false">
      <c r="A6" s="6"/>
      <c r="B6" s="6"/>
    </row>
    <row r="7" customFormat="false" ht="15" hidden="false" customHeight="false" outlineLevel="0" collapsed="false">
      <c r="A7" s="6"/>
      <c r="B7" s="7" t="s">
        <v>3</v>
      </c>
    </row>
    <row r="8" customFormat="false" ht="15" hidden="false" customHeight="false" outlineLevel="0" collapsed="false">
      <c r="A8" s="6"/>
      <c r="B8" s="7" t="s">
        <v>4</v>
      </c>
    </row>
    <row r="9" customFormat="false" ht="15" hidden="false" customHeight="false" outlineLevel="0" collapsed="false">
      <c r="A9" s="6"/>
      <c r="B9" s="7" t="s">
        <v>5</v>
      </c>
    </row>
    <row r="10" customFormat="false" ht="15" hidden="false" customHeight="false" outlineLevel="0" collapsed="false">
      <c r="A10" s="6"/>
      <c r="B10" s="7" t="s">
        <v>6</v>
      </c>
    </row>
    <row r="11" customFormat="false" ht="15" hidden="false" customHeight="false" outlineLevel="0" collapsed="false">
      <c r="A11" s="6"/>
      <c r="B11" s="6"/>
    </row>
    <row r="12" customFormat="false" ht="15" hidden="false" customHeight="false" outlineLevel="0" collapsed="false">
      <c r="A12" s="6"/>
      <c r="B12" s="8" t="s">
        <v>7</v>
      </c>
    </row>
    <row r="13" customFormat="false" ht="15" hidden="false" customHeight="false" outlineLevel="0" collapsed="false">
      <c r="A13" s="6"/>
      <c r="B13" s="9" t="s">
        <v>8</v>
      </c>
    </row>
    <row r="14" customFormat="false" ht="15" hidden="false" customHeight="false" outlineLevel="0" collapsed="false">
      <c r="A14" s="6"/>
      <c r="B14" s="9" t="s">
        <v>9</v>
      </c>
    </row>
    <row r="15" customFormat="false" ht="15" hidden="false" customHeight="false" outlineLevel="0" collapsed="false">
      <c r="A15" s="6"/>
      <c r="B15" s="9" t="s">
        <v>10</v>
      </c>
    </row>
    <row r="16" customFormat="false" ht="15" hidden="false" customHeight="false" outlineLevel="0" collapsed="false">
      <c r="A16" s="6"/>
      <c r="B16" s="9" t="s">
        <v>11</v>
      </c>
    </row>
    <row r="17" customFormat="false" ht="15" hidden="false" customHeight="false" outlineLevel="0" collapsed="false">
      <c r="A17" s="6"/>
      <c r="B17" s="9" t="s">
        <v>12</v>
      </c>
    </row>
    <row r="18" customFormat="false" ht="15" hidden="false" customHeight="false" outlineLevel="0" collapsed="false">
      <c r="A18" s="6"/>
      <c r="B18" s="9" t="s">
        <v>13</v>
      </c>
    </row>
    <row r="19" customFormat="false" ht="15" hidden="false" customHeight="false" outlineLevel="0" collapsed="false">
      <c r="A19" s="6"/>
      <c r="B19" s="9" t="s">
        <v>14</v>
      </c>
    </row>
    <row r="20" customFormat="false" ht="15" hidden="false" customHeight="false" outlineLevel="0" collapsed="false">
      <c r="A20" s="6"/>
      <c r="B20" s="9" t="s">
        <v>15</v>
      </c>
    </row>
    <row r="21" customFormat="false" ht="15" hidden="false" customHeight="false" outlineLevel="0" collapsed="false">
      <c r="A21" s="6"/>
      <c r="B21" s="9" t="s">
        <v>16</v>
      </c>
    </row>
    <row r="22" customFormat="false" ht="15" hidden="false" customHeight="false" outlineLevel="0" collapsed="false">
      <c r="A22" s="6"/>
      <c r="B22" s="9" t="s">
        <v>17</v>
      </c>
    </row>
    <row r="23" customFormat="false" ht="15" hidden="false" customHeight="false" outlineLevel="0" collapsed="false">
      <c r="A23" s="6"/>
      <c r="B23" s="9" t="s">
        <v>18</v>
      </c>
    </row>
    <row r="26" customFormat="false" ht="19.5" hidden="false" customHeight="true" outlineLevel="0" collapsed="false">
      <c r="B26" s="10" t="s">
        <v>19</v>
      </c>
      <c r="C26" s="11"/>
      <c r="D26" s="11"/>
      <c r="E26" s="11"/>
      <c r="F26" s="11"/>
      <c r="G26" s="11"/>
    </row>
    <row r="27" customFormat="false" ht="271.5" hidden="false" customHeight="true" outlineLevel="0" collapsed="false">
      <c r="B27" s="12" t="s">
        <v>20</v>
      </c>
      <c r="C27" s="12"/>
      <c r="D27" s="12"/>
      <c r="E27" s="12"/>
      <c r="F27" s="12"/>
      <c r="G27" s="12"/>
    </row>
    <row r="29" customFormat="false" ht="19.5" hidden="false" customHeight="true" outlineLevel="0" collapsed="false">
      <c r="B29" s="10" t="s">
        <v>21</v>
      </c>
      <c r="C29" s="11"/>
      <c r="D29" s="11"/>
      <c r="E29" s="11"/>
      <c r="F29" s="11"/>
      <c r="G29" s="11"/>
    </row>
    <row r="30" customFormat="false" ht="57" hidden="false" customHeight="true" outlineLevel="0" collapsed="false">
      <c r="B30" s="12" t="s">
        <v>22</v>
      </c>
      <c r="C30" s="12"/>
      <c r="D30" s="12"/>
      <c r="E30" s="12"/>
      <c r="F30" s="12"/>
      <c r="G30" s="12"/>
    </row>
    <row r="31" customFormat="false" ht="15" hidden="false" customHeight="false" outlineLevel="0" collapsed="false">
      <c r="B31" s="13" t="s">
        <v>23</v>
      </c>
      <c r="C31" s="13"/>
      <c r="D31" s="13"/>
      <c r="E31" s="13"/>
      <c r="F31" s="13"/>
      <c r="G31" s="13"/>
    </row>
    <row r="32" customFormat="false" ht="15" hidden="false" customHeight="false" outlineLevel="0" collapsed="false">
      <c r="B32" s="14" t="s">
        <v>24</v>
      </c>
    </row>
  </sheetData>
  <mergeCells count="3">
    <mergeCell ref="B27:G27"/>
    <mergeCell ref="B30:G30"/>
    <mergeCell ref="B31:G31"/>
  </mergeCells>
  <hyperlinks>
    <hyperlink ref="D2" r:id="rId1" display="FINAMODEL.com"/>
    <hyperlink ref="B13" r:id="rId2" location="'Assumptions'!A1" display="Assumptions"/>
    <hyperlink ref="B14" r:id="rId3" location="'Fleet_Roll_Forward'!A1" display="Fleet_Roll_Forward"/>
    <hyperlink ref="B15" r:id="rId4" location="'Revenue_Build'!A1" display="Revenue_Build"/>
    <hyperlink ref="B16" r:id="rId5" location="'Operating_Costs'!A1" display="Operating_Costs"/>
    <hyperlink ref="B17" r:id="rId6" location="'Fleet_Financing'!A1" display="Fleet_Financing"/>
    <hyperlink ref="B18" r:id="rId7" location="'Corporate_Debt'!A1" display="Corporate_Debt"/>
    <hyperlink ref="B19" r:id="rId8" location="'Income_Statement'!A1" display="Income_Statement"/>
    <hyperlink ref="B20" r:id="rId9" location="'Balance_Sheet'!A1" display="Balance_Sheet"/>
    <hyperlink ref="B21" r:id="rId10" location="'Cash_Flow'!A1" display="Cash_Flow"/>
    <hyperlink ref="B22" r:id="rId11" location="'KPIs'!A1" display="KPIs"/>
    <hyperlink ref="B23" r:id="rId12" location="'Checks'!A1" display="Check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271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272</v>
      </c>
      <c r="C9" s="17"/>
      <c r="D9" s="17"/>
      <c r="E9" s="17"/>
      <c r="F9" s="17"/>
      <c r="G9" s="17"/>
    </row>
    <row r="10" customFormat="false" ht="15" hidden="false" customHeight="false" outlineLevel="0" collapsed="false">
      <c r="A10" s="6"/>
      <c r="B10" s="26" t="s">
        <v>273</v>
      </c>
      <c r="C10" s="38" t="n">
        <f aca="false">Income_Statement!C46</f>
        <v>-78568.2179571437</v>
      </c>
      <c r="D10" s="38" t="n">
        <f aca="false">Income_Statement!D46</f>
        <v>-19405.233039743</v>
      </c>
      <c r="E10" s="38" t="n">
        <f aca="false">Income_Statement!E46</f>
        <v>36816.821601782</v>
      </c>
      <c r="F10" s="38" t="n">
        <f aca="false">Income_Statement!F46</f>
        <v>76225.6052453755</v>
      </c>
      <c r="G10" s="38" t="n">
        <f aca="false">Income_Statement!G46</f>
        <v>96738.0913090663</v>
      </c>
    </row>
    <row r="11" customFormat="false" ht="15" hidden="false" customHeight="false" outlineLevel="0" collapsed="false">
      <c r="A11" s="6"/>
      <c r="B11" s="26" t="s">
        <v>225</v>
      </c>
      <c r="C11" s="38" t="n">
        <f aca="false">Income_Statement!C21</f>
        <v>2870000</v>
      </c>
      <c r="D11" s="38" t="n">
        <f aca="false">Income_Statement!D21</f>
        <v>3073056</v>
      </c>
      <c r="E11" s="38" t="n">
        <f aca="false">Income_Statement!E21</f>
        <v>3291825.6</v>
      </c>
      <c r="F11" s="38" t="n">
        <f aca="false">Income_Statement!F21</f>
        <v>3527030.9088</v>
      </c>
      <c r="G11" s="38" t="n">
        <f aca="false">Income_Statement!G21</f>
        <v>3776389.319808</v>
      </c>
    </row>
    <row r="12" customFormat="false" ht="15" hidden="false" customHeight="false" outlineLevel="0" collapsed="false">
      <c r="A12" s="6"/>
      <c r="B12" s="26" t="s">
        <v>226</v>
      </c>
      <c r="C12" s="38" t="n">
        <f aca="false">Income_Statement!C22</f>
        <v>124402.196232143</v>
      </c>
      <c r="D12" s="38" t="n">
        <f aca="false">Income_Statement!D22</f>
        <v>150658.959377929</v>
      </c>
      <c r="E12" s="38" t="n">
        <f aca="false">Income_Statement!E22</f>
        <v>178922.803163808</v>
      </c>
      <c r="F12" s="38" t="n">
        <f aca="false">Income_Statement!F22</f>
        <v>209354.583817069</v>
      </c>
      <c r="G12" s="38" t="n">
        <f aca="false">Income_Statement!G22</f>
        <v>242097.590271418</v>
      </c>
    </row>
    <row r="13" customFormat="false" ht="15" hidden="false" customHeight="false" outlineLevel="0" collapsed="false">
      <c r="A13" s="6"/>
      <c r="B13" s="26" t="s">
        <v>274</v>
      </c>
      <c r="C13" s="38" t="n">
        <f aca="false">-Income_Statement!C31</f>
        <v>240000</v>
      </c>
      <c r="D13" s="38" t="n">
        <f aca="false">-Income_Statement!D31</f>
        <v>252480</v>
      </c>
      <c r="E13" s="38" t="n">
        <f aca="false">-Income_Statement!E31</f>
        <v>264960</v>
      </c>
      <c r="F13" s="38" t="n">
        <f aca="false">-Income_Statement!F31</f>
        <v>283968</v>
      </c>
      <c r="G13" s="38" t="n">
        <f aca="false">-Income_Statement!G31</f>
        <v>303630.336</v>
      </c>
    </row>
    <row r="14" customFormat="false" ht="15" hidden="false" customHeight="false" outlineLevel="0" collapsed="false">
      <c r="A14" s="6"/>
      <c r="B14" s="18" t="s">
        <v>275</v>
      </c>
      <c r="C14" s="38" t="n">
        <f aca="false">Balance_Sheet!C11-Balance_Sheet!D11</f>
        <v>-10272.8925</v>
      </c>
      <c r="D14" s="38" t="n">
        <f aca="false">Balance_Sheet!D11-Balance_Sheet!E11</f>
        <v>-32010.33303</v>
      </c>
      <c r="E14" s="38" t="n">
        <f aca="false">Balance_Sheet!E11-Balance_Sheet!F11</f>
        <v>-34642.7617331249</v>
      </c>
      <c r="F14" s="38" t="n">
        <f aca="false">Balance_Sheet!F11-Balance_Sheet!G11</f>
        <v>-37419.184286311</v>
      </c>
      <c r="G14" s="38" t="n">
        <f aca="false">Balance_Sheet!G11-Balance_Sheet!H11</f>
        <v>-39892.3905393274</v>
      </c>
    </row>
    <row r="15" customFormat="false" ht="15" hidden="false" customHeight="false" outlineLevel="0" collapsed="false">
      <c r="A15" s="6"/>
      <c r="B15" s="18" t="s">
        <v>276</v>
      </c>
      <c r="C15" s="38" t="n">
        <f aca="false">Balance_Sheet!D24-Balance_Sheet!C24</f>
        <v>9388.93398972601</v>
      </c>
      <c r="D15" s="38" t="n">
        <f aca="false">Balance_Sheet!E24-Balance_Sheet!D24</f>
        <v>24466.9517366437</v>
      </c>
      <c r="E15" s="38" t="n">
        <f aca="false">Balance_Sheet!F24-Balance_Sheet!E24</f>
        <v>26478.4968112371</v>
      </c>
      <c r="F15" s="38" t="n">
        <f aca="false">Balance_Sheet!G24-Balance_Sheet!F24</f>
        <v>28599.9980999751</v>
      </c>
      <c r="G15" s="38" t="n">
        <f aca="false">Balance_Sheet!H24-Balance_Sheet!G24</f>
        <v>30489.5405908983</v>
      </c>
    </row>
    <row r="16" customFormat="false" ht="15" hidden="false" customHeight="false" outlineLevel="0" collapsed="false">
      <c r="A16" s="6"/>
      <c r="B16" s="18" t="s">
        <v>277</v>
      </c>
      <c r="C16" s="38" t="n">
        <f aca="false">Balance_Sheet!D25-Balance_Sheet!C25</f>
        <v>0</v>
      </c>
      <c r="D16" s="38" t="n">
        <f aca="false">Balance_Sheet!E25-Balance_Sheet!D25</f>
        <v>0</v>
      </c>
      <c r="E16" s="38" t="n">
        <f aca="false">Balance_Sheet!F25-Balance_Sheet!E25</f>
        <v>0</v>
      </c>
      <c r="F16" s="38" t="n">
        <f aca="false">Balance_Sheet!G25-Balance_Sheet!F25</f>
        <v>5022.99195009028</v>
      </c>
      <c r="G16" s="38" t="n">
        <f aca="false">Balance_Sheet!H25-Balance_Sheet!G25</f>
        <v>27223.0384862652</v>
      </c>
    </row>
    <row r="17" customFormat="false" ht="15" hidden="false" customHeight="false" outlineLevel="0" collapsed="false">
      <c r="A17" s="6"/>
      <c r="B17" s="28" t="s">
        <v>278</v>
      </c>
      <c r="C17" s="37" t="n">
        <f aca="false">SUM(C10:C16)</f>
        <v>3154950.01976473</v>
      </c>
      <c r="D17" s="37" t="n">
        <f aca="false">SUM(D10:D16)</f>
        <v>3449246.34504483</v>
      </c>
      <c r="E17" s="37" t="n">
        <f aca="false">SUM(E10:E16)</f>
        <v>3764360.9598437</v>
      </c>
      <c r="F17" s="37" t="n">
        <f aca="false">SUM(F10:F16)</f>
        <v>4092782.9036262</v>
      </c>
      <c r="G17" s="37" t="n">
        <f aca="false">SUM(G10:G16)</f>
        <v>4436675.52592632</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16" t="s">
        <v>279</v>
      </c>
      <c r="C19" s="17"/>
      <c r="D19" s="17"/>
      <c r="E19" s="17"/>
      <c r="F19" s="17"/>
      <c r="G19" s="17"/>
    </row>
    <row r="20" customFormat="false" ht="15" hidden="false" customHeight="false" outlineLevel="0" collapsed="false">
      <c r="A20" s="6"/>
      <c r="B20" s="26" t="s">
        <v>280</v>
      </c>
      <c r="C20" s="38" t="n">
        <f aca="false">-Fleet_Roll_Forward!C12*Fleet_Roll_Forward!C19</f>
        <v>-8000000</v>
      </c>
      <c r="D20" s="38" t="n">
        <f aca="false">-Fleet_Roll_Forward!D12*Fleet_Roll_Forward!D19</f>
        <v>-8584320</v>
      </c>
      <c r="E20" s="38" t="n">
        <f aca="false">-Fleet_Roll_Forward!E12*Fleet_Roll_Forward!E19</f>
        <v>-9188812.8</v>
      </c>
      <c r="F20" s="38" t="n">
        <f aca="false">-Fleet_Roll_Forward!F12*Fleet_Roll_Forward!F19</f>
        <v>-9848010.24</v>
      </c>
      <c r="G20" s="38" t="n">
        <f aca="false">-Fleet_Roll_Forward!G12*Fleet_Roll_Forward!G19</f>
        <v>-10529900.05248</v>
      </c>
    </row>
    <row r="21" customFormat="false" ht="15" hidden="false" customHeight="false" outlineLevel="0" collapsed="false">
      <c r="A21" s="6"/>
      <c r="B21" s="26" t="s">
        <v>281</v>
      </c>
      <c r="C21" s="38" t="n">
        <f aca="false">-Fleet_Roll_Forward!C13*Fleet_Roll_Forward!C19</f>
        <v>-800000</v>
      </c>
      <c r="D21" s="38" t="n">
        <f aca="false">-Fleet_Roll_Forward!D13*Fleet_Roll_Forward!D19</f>
        <v>-848640</v>
      </c>
      <c r="E21" s="38" t="n">
        <f aca="false">-Fleet_Roll_Forward!E13*Fleet_Roll_Forward!E19</f>
        <v>-932198.4</v>
      </c>
      <c r="F21" s="38" t="n">
        <f aca="false">-Fleet_Roll_Forward!F13*Fleet_Roll_Forward!F19</f>
        <v>-984801.024</v>
      </c>
      <c r="G21" s="38" t="n">
        <f aca="false">-Fleet_Roll_Forward!G13*Fleet_Roll_Forward!G19</f>
        <v>-1039134.8736</v>
      </c>
    </row>
    <row r="22" customFormat="false" ht="15" hidden="false" customHeight="false" outlineLevel="0" collapsed="false">
      <c r="A22" s="6"/>
      <c r="B22" s="26" t="s">
        <v>282</v>
      </c>
      <c r="C22" s="38" t="n">
        <f aca="false">Fleet_Roll_Forward!C43</f>
        <v>4960000</v>
      </c>
      <c r="D22" s="38" t="n">
        <f aca="false">Fleet_Roll_Forward!D43</f>
        <v>5217920</v>
      </c>
      <c r="E22" s="38" t="n">
        <f aca="false">Fleet_Roll_Forward!E43</f>
        <v>5475840</v>
      </c>
      <c r="F22" s="38" t="n">
        <f aca="false">Fleet_Roll_Forward!F43</f>
        <v>5868672</v>
      </c>
      <c r="G22" s="38" t="n">
        <f aca="false">Fleet_Roll_Forward!G43</f>
        <v>6275026.944</v>
      </c>
    </row>
    <row r="23" customFormat="false" ht="15" hidden="false" customHeight="false" outlineLevel="0" collapsed="false">
      <c r="A23" s="6"/>
      <c r="B23" s="26" t="s">
        <v>193</v>
      </c>
      <c r="C23" s="38" t="n">
        <f aca="false">-Operating_Costs!C23</f>
        <v>-170815.373625</v>
      </c>
      <c r="D23" s="38" t="n">
        <f aca="false">-Operating_Costs!D23</f>
        <v>-183797.3420205</v>
      </c>
      <c r="E23" s="38" t="n">
        <f aca="false">-Operating_Costs!E23</f>
        <v>-197846.906501156</v>
      </c>
      <c r="F23" s="38" t="n">
        <f aca="false">-Operating_Costs!F23</f>
        <v>-213022.464572827</v>
      </c>
      <c r="G23" s="38" t="n">
        <f aca="false">-Operating_Costs!G23</f>
        <v>-229201.045180443</v>
      </c>
    </row>
    <row r="24" customFormat="false" ht="15" hidden="false" customHeight="false" outlineLevel="0" collapsed="false">
      <c r="A24" s="6"/>
      <c r="B24" s="28" t="s">
        <v>283</v>
      </c>
      <c r="C24" s="37" t="n">
        <f aca="false">SUM(C20:C23)</f>
        <v>-4010815.373625</v>
      </c>
      <c r="D24" s="37" t="n">
        <f aca="false">SUM(D20:D23)</f>
        <v>-4398837.3420205</v>
      </c>
      <c r="E24" s="37" t="n">
        <f aca="false">SUM(E20:E23)</f>
        <v>-4843018.10650116</v>
      </c>
      <c r="F24" s="37" t="n">
        <f aca="false">SUM(F20:F23)</f>
        <v>-5177161.72857283</v>
      </c>
      <c r="G24" s="37" t="n">
        <f aca="false">SUM(G20:G23)</f>
        <v>-5523209.02726044</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16" t="s">
        <v>284</v>
      </c>
      <c r="C26" s="17"/>
      <c r="D26" s="17"/>
      <c r="E26" s="17"/>
      <c r="F26" s="17"/>
      <c r="G26" s="17"/>
    </row>
    <row r="27" customFormat="false" ht="15" hidden="false" customHeight="false" outlineLevel="0" collapsed="false">
      <c r="A27" s="6"/>
      <c r="B27" s="26" t="s">
        <v>285</v>
      </c>
      <c r="C27" s="38" t="n">
        <f aca="false">Fleet_Financing!C11</f>
        <v>7040000</v>
      </c>
      <c r="D27" s="38" t="n">
        <f aca="false">Fleet_Financing!D11</f>
        <v>7546368</v>
      </c>
      <c r="E27" s="38" t="n">
        <f aca="false">Fleet_Financing!E11</f>
        <v>8096808.96</v>
      </c>
      <c r="F27" s="38" t="n">
        <f aca="false">Fleet_Financing!F11</f>
        <v>8666249.0112</v>
      </c>
      <c r="G27" s="38" t="n">
        <f aca="false">Fleet_Financing!G11</f>
        <v>9255227.940864</v>
      </c>
    </row>
    <row r="28" customFormat="false" ht="15" hidden="false" customHeight="false" outlineLevel="0" collapsed="false">
      <c r="A28" s="6"/>
      <c r="B28" s="26" t="s">
        <v>286</v>
      </c>
      <c r="C28" s="38" t="n">
        <f aca="false">-Fleet_Financing!C12</f>
        <v>-6400000</v>
      </c>
      <c r="D28" s="38" t="n">
        <f aca="false">-Fleet_Financing!D12</f>
        <v>-6732800</v>
      </c>
      <c r="E28" s="38" t="n">
        <f aca="false">-Fleet_Financing!E12</f>
        <v>-7065600</v>
      </c>
      <c r="F28" s="38" t="n">
        <f aca="false">-Fleet_Financing!F12</f>
        <v>-7572480</v>
      </c>
      <c r="G28" s="38" t="n">
        <f aca="false">-Fleet_Financing!G12</f>
        <v>-8096808.96</v>
      </c>
    </row>
    <row r="29" customFormat="false" ht="15" hidden="false" customHeight="false" outlineLevel="0" collapsed="false">
      <c r="A29" s="6"/>
      <c r="B29" s="26" t="s">
        <v>287</v>
      </c>
      <c r="C29" s="38" t="n">
        <f aca="false">-Corporate_Debt!C11</f>
        <v>-285714.285714286</v>
      </c>
      <c r="D29" s="38" t="n">
        <f aca="false">-Corporate_Debt!D11</f>
        <v>-285714.285714286</v>
      </c>
      <c r="E29" s="38" t="n">
        <f aca="false">-Corporate_Debt!E11</f>
        <v>-285714.285714286</v>
      </c>
      <c r="F29" s="38" t="n">
        <f aca="false">-Corporate_Debt!F11</f>
        <v>-285714.285714286</v>
      </c>
      <c r="G29" s="38" t="n">
        <f aca="false">-Corporate_Debt!G11</f>
        <v>-285714.285714286</v>
      </c>
    </row>
    <row r="30" customFormat="false" ht="15" hidden="false" customHeight="false" outlineLevel="0" collapsed="false">
      <c r="A30" s="6"/>
      <c r="B30" s="28" t="s">
        <v>288</v>
      </c>
      <c r="C30" s="37" t="n">
        <f aca="false">SUM(C27:C29)</f>
        <v>354285.714285714</v>
      </c>
      <c r="D30" s="37" t="n">
        <f aca="false">SUM(D27:D29)</f>
        <v>527853.714285714</v>
      </c>
      <c r="E30" s="37" t="n">
        <f aca="false">SUM(E27:E29)</f>
        <v>745494.674285715</v>
      </c>
      <c r="F30" s="37" t="n">
        <f aca="false">SUM(F27:F29)</f>
        <v>808054.725485716</v>
      </c>
      <c r="G30" s="37" t="n">
        <f aca="false">SUM(G27:G29)</f>
        <v>872704.695149716</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16" t="s">
        <v>289</v>
      </c>
      <c r="C32" s="17"/>
      <c r="D32" s="17"/>
      <c r="E32" s="17"/>
      <c r="F32" s="17"/>
      <c r="G32" s="17"/>
    </row>
    <row r="33" customFormat="false" ht="15" hidden="false" customHeight="false" outlineLevel="0" collapsed="false">
      <c r="A33" s="6"/>
      <c r="B33" s="28" t="s">
        <v>290</v>
      </c>
      <c r="C33" s="39" t="n">
        <f aca="false">C17+C24+C30</f>
        <v>-501579.639574561</v>
      </c>
      <c r="D33" s="39" t="n">
        <f aca="false">D17+D24+D30</f>
        <v>-421737.282689957</v>
      </c>
      <c r="E33" s="39" t="n">
        <f aca="false">E17+E24+E30</f>
        <v>-333162.47237174</v>
      </c>
      <c r="F33" s="39" t="n">
        <f aca="false">F17+F24+F30</f>
        <v>-276324.099460912</v>
      </c>
      <c r="G33" s="39" t="n">
        <f aca="false">G17+G24+G30</f>
        <v>-213828.806184407</v>
      </c>
    </row>
    <row r="34" customFormat="false" ht="15" hidden="false" customHeight="false" outlineLevel="0" collapsed="false">
      <c r="A34" s="6"/>
      <c r="B34" s="26" t="s">
        <v>291</v>
      </c>
      <c r="C34" s="38" t="n">
        <f aca="false">Open_Cash</f>
        <v>6500000</v>
      </c>
      <c r="D34" s="38" t="n">
        <f aca="false">C35</f>
        <v>5998420.36042544</v>
      </c>
      <c r="E34" s="38" t="n">
        <f aca="false">D35</f>
        <v>5576683.07773548</v>
      </c>
      <c r="F34" s="38" t="n">
        <f aca="false">E35</f>
        <v>5243520.60536374</v>
      </c>
      <c r="G34" s="38" t="n">
        <f aca="false">F35</f>
        <v>4967196.50590283</v>
      </c>
    </row>
    <row r="35" customFormat="false" ht="15" hidden="false" customHeight="false" outlineLevel="0" collapsed="false">
      <c r="A35" s="6"/>
      <c r="B35" s="28" t="s">
        <v>292</v>
      </c>
      <c r="C35" s="39" t="n">
        <f aca="false">C34+C33</f>
        <v>5998420.36042544</v>
      </c>
      <c r="D35" s="39" t="n">
        <f aca="false">D34+D33</f>
        <v>5576683.07773548</v>
      </c>
      <c r="E35" s="39" t="n">
        <f aca="false">E34+E33</f>
        <v>5243520.60536374</v>
      </c>
      <c r="F35" s="39" t="n">
        <f aca="false">F34+F33</f>
        <v>4967196.50590283</v>
      </c>
      <c r="G35" s="39" t="n">
        <f aca="false">G34+G33</f>
        <v>4753367.69971842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17</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293</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6"/>
      <c r="C5" s="6"/>
      <c r="D5" s="6"/>
      <c r="E5" s="6"/>
      <c r="F5" s="6"/>
      <c r="G5" s="6"/>
      <c r="H5" s="6"/>
    </row>
    <row r="6" customFormat="false" ht="15" hidden="false" customHeight="false" outlineLevel="0" collapsed="false">
      <c r="A6" s="6"/>
      <c r="B6" s="16"/>
      <c r="C6" s="44" t="s">
        <v>248</v>
      </c>
      <c r="D6" s="24" t="n">
        <f aca="false">Model_Start_Year+0</f>
        <v>2026</v>
      </c>
      <c r="E6" s="24" t="n">
        <f aca="false">Model_Start_Year+1</f>
        <v>2027</v>
      </c>
      <c r="F6" s="24" t="n">
        <f aca="false">Model_Start_Year+2</f>
        <v>2028</v>
      </c>
      <c r="G6" s="24" t="n">
        <f aca="false">Model_Start_Year+3</f>
        <v>2029</v>
      </c>
      <c r="H6" s="24" t="n">
        <f aca="false">Model_Start_Year+4</f>
        <v>2030</v>
      </c>
    </row>
    <row r="7" customFormat="false" ht="15" hidden="false" customHeight="false" outlineLevel="0" collapsed="false">
      <c r="A7" s="6"/>
      <c r="B7" s="15" t="s">
        <v>135</v>
      </c>
      <c r="C7" s="6"/>
      <c r="D7" s="25" t="n">
        <v>1</v>
      </c>
      <c r="E7" s="25" t="n">
        <v>2</v>
      </c>
      <c r="F7" s="25" t="n">
        <v>3</v>
      </c>
      <c r="G7" s="25" t="n">
        <v>4</v>
      </c>
      <c r="H7" s="25" t="n">
        <v>5</v>
      </c>
    </row>
    <row r="8" customFormat="false" ht="15" hidden="false" customHeight="false" outlineLevel="0" collapsed="false">
      <c r="A8" s="6"/>
      <c r="B8" s="6"/>
      <c r="C8" s="6"/>
      <c r="D8" s="6"/>
      <c r="E8" s="6"/>
      <c r="F8" s="6"/>
      <c r="G8" s="6"/>
      <c r="H8" s="6"/>
    </row>
    <row r="9" customFormat="false" ht="15" hidden="false" customHeight="false" outlineLevel="0" collapsed="false">
      <c r="A9" s="6"/>
      <c r="B9" s="16" t="s">
        <v>294</v>
      </c>
      <c r="C9" s="17"/>
      <c r="D9" s="17"/>
      <c r="E9" s="17"/>
      <c r="F9" s="17"/>
      <c r="G9" s="17"/>
      <c r="H9" s="17"/>
    </row>
    <row r="10" customFormat="false" ht="15" hidden="false" customHeight="false" outlineLevel="0" collapsed="false">
      <c r="A10" s="6"/>
      <c r="B10" s="26" t="s">
        <v>295</v>
      </c>
      <c r="C10" s="6"/>
      <c r="D10" s="27" t="n">
        <f aca="false">Fleet_Roll_Forward!C15</f>
        <v>525</v>
      </c>
      <c r="E10" s="27" t="n">
        <f aca="false">Fleet_Roll_Forward!D15</f>
        <v>551</v>
      </c>
      <c r="F10" s="27" t="n">
        <f aca="false">Fleet_Roll_Forward!E15</f>
        <v>579</v>
      </c>
      <c r="G10" s="27" t="n">
        <f aca="false">Fleet_Roll_Forward!F15</f>
        <v>608</v>
      </c>
      <c r="H10" s="27" t="n">
        <f aca="false">Fleet_Roll_Forward!G15</f>
        <v>638</v>
      </c>
    </row>
    <row r="11" customFormat="false" ht="15" hidden="false" customHeight="false" outlineLevel="0" collapsed="false">
      <c r="A11" s="6"/>
      <c r="B11" s="26" t="s">
        <v>296</v>
      </c>
      <c r="C11" s="6"/>
      <c r="D11" s="36" t="n">
        <f aca="false">(Fleet_Roll_Forward!C15-Fleet_Roll_Forward!C10)/Fleet_Roll_Forward!C10</f>
        <v>0.05</v>
      </c>
      <c r="E11" s="36" t="n">
        <f aca="false">(Fleet_Roll_Forward!D15-Fleet_Roll_Forward!D10)/Fleet_Roll_Forward!D10</f>
        <v>0.0495238095238095</v>
      </c>
      <c r="F11" s="36" t="n">
        <f aca="false">(Fleet_Roll_Forward!E15-Fleet_Roll_Forward!E10)/Fleet_Roll_Forward!E10</f>
        <v>0.0508166969147005</v>
      </c>
      <c r="G11" s="36" t="n">
        <f aca="false">(Fleet_Roll_Forward!F15-Fleet_Roll_Forward!F10)/Fleet_Roll_Forward!F10</f>
        <v>0.0500863557858377</v>
      </c>
      <c r="H11" s="36" t="n">
        <f aca="false">(Fleet_Roll_Forward!G15-Fleet_Roll_Forward!G10)/Fleet_Roll_Forward!G10</f>
        <v>0.0493421052631579</v>
      </c>
    </row>
    <row r="12" customFormat="false" ht="15" hidden="false" customHeight="false" outlineLevel="0" collapsed="false">
      <c r="A12" s="6"/>
      <c r="B12" s="26" t="s">
        <v>297</v>
      </c>
      <c r="C12" s="6"/>
      <c r="D12" s="36" t="n">
        <f aca="false">Revenue_Build!C13</f>
        <v>0.78</v>
      </c>
      <c r="E12" s="36" t="n">
        <f aca="false">Revenue_Build!D13</f>
        <v>0.78</v>
      </c>
      <c r="F12" s="36" t="n">
        <f aca="false">Revenue_Build!E13</f>
        <v>0.78</v>
      </c>
      <c r="G12" s="36" t="n">
        <f aca="false">Revenue_Build!F13</f>
        <v>0.78</v>
      </c>
      <c r="H12" s="36" t="n">
        <f aca="false">Revenue_Build!G13</f>
        <v>0.78</v>
      </c>
    </row>
    <row r="13" customFormat="false" ht="15" hidden="false" customHeight="false" outlineLevel="0" collapsed="false">
      <c r="A13" s="6"/>
      <c r="B13" s="26" t="s">
        <v>298</v>
      </c>
      <c r="C13" s="6"/>
      <c r="D13" s="31" t="n">
        <f aca="false">Revenue_Build!C16</f>
        <v>50.9</v>
      </c>
      <c r="E13" s="31" t="n">
        <f aca="false">Revenue_Build!D16</f>
        <v>52.1725</v>
      </c>
      <c r="F13" s="31" t="n">
        <f aca="false">Revenue_Build!E16</f>
        <v>53.4768125</v>
      </c>
      <c r="G13" s="31" t="n">
        <f aca="false">Revenue_Build!F16</f>
        <v>54.8137328125</v>
      </c>
      <c r="H13" s="31" t="n">
        <f aca="false">Revenue_Build!G16</f>
        <v>56.1840761328125</v>
      </c>
    </row>
    <row r="14" customFormat="false" ht="15" hidden="false" customHeight="false" outlineLevel="0" collapsed="false">
      <c r="A14" s="6"/>
      <c r="B14" s="26" t="s">
        <v>299</v>
      </c>
      <c r="C14" s="6"/>
      <c r="D14" s="31" t="n">
        <f aca="false">(Income_Statement!C21+Income_Statement!C34-Income_Statement!C31)/Fleet_Roll_Forward!C16</f>
        <v>7691.70731707317</v>
      </c>
      <c r="E14" s="31" t="n">
        <f aca="false">(Income_Statement!D21+Income_Statement!D34-Income_Statement!D31)/Fleet_Roll_Forward!D16</f>
        <v>7805.08550185874</v>
      </c>
      <c r="F14" s="31" t="n">
        <f aca="false">(Income_Statement!E21+Income_Statement!E34-Income_Statement!E31)/Fleet_Roll_Forward!E16</f>
        <v>7934.98676106195</v>
      </c>
      <c r="G14" s="31" t="n">
        <f aca="false">(Income_Statement!F21+Income_Statement!F34-Income_Statement!F31)/Fleet_Roll_Forward!F16</f>
        <v>8095.21383521483</v>
      </c>
      <c r="H14" s="31" t="n">
        <f aca="false">(Income_Statement!G21+Income_Statement!G34-Income_Statement!G31)/Fleet_Roll_Forward!G16</f>
        <v>8257.82527116533</v>
      </c>
    </row>
    <row r="15" customFormat="false" ht="15" hidden="false" customHeight="false" outlineLevel="0" collapsed="false">
      <c r="A15" s="6"/>
      <c r="B15" s="26" t="s">
        <v>300</v>
      </c>
      <c r="C15" s="6"/>
      <c r="D15" s="36" t="n">
        <f aca="false">(Income_Statement!C12-Operating_Costs!C20-Income_Statement!C21)/Fleet_Roll_Forward!C37</f>
        <v>0.0846597507028701</v>
      </c>
      <c r="E15" s="36" t="n">
        <f aca="false">(Income_Statement!D12-Operating_Costs!D20-Income_Statement!D21)/Fleet_Roll_Forward!D37</f>
        <v>0.0870322200126403</v>
      </c>
      <c r="F15" s="36" t="n">
        <f aca="false">(Income_Statement!E12-Operating_Costs!E20-Income_Statement!E21)/Fleet_Roll_Forward!E37</f>
        <v>0.0887313825561389</v>
      </c>
      <c r="G15" s="36" t="n">
        <f aca="false">(Income_Statement!F12-Operating_Costs!F20-Income_Statement!F21)/Fleet_Roll_Forward!F37</f>
        <v>0.0905116794850884</v>
      </c>
      <c r="H15" s="36" t="n">
        <f aca="false">(Income_Statement!G12-Operating_Costs!G20-Income_Statement!G21)/Fleet_Roll_Forward!G37</f>
        <v>0.0923231870639867</v>
      </c>
    </row>
    <row r="16" customFormat="false" ht="15" hidden="false" customHeight="false" outlineLevel="0" collapsed="false">
      <c r="A16" s="6"/>
      <c r="B16" s="6"/>
      <c r="C16" s="6"/>
      <c r="D16" s="6"/>
      <c r="E16" s="6"/>
      <c r="F16" s="6"/>
      <c r="G16" s="6"/>
      <c r="H16" s="6"/>
    </row>
    <row r="17" customFormat="false" ht="15" hidden="false" customHeight="false" outlineLevel="0" collapsed="false">
      <c r="A17" s="6"/>
      <c r="B17" s="16" t="s">
        <v>223</v>
      </c>
      <c r="C17" s="17"/>
      <c r="D17" s="17"/>
      <c r="E17" s="17"/>
      <c r="F17" s="17"/>
      <c r="G17" s="17"/>
      <c r="H17" s="17"/>
    </row>
    <row r="18" customFormat="false" ht="15" hidden="false" customHeight="false" outlineLevel="0" collapsed="false">
      <c r="A18" s="6"/>
      <c r="B18" s="26" t="s">
        <v>301</v>
      </c>
      <c r="C18" s="6"/>
      <c r="D18" s="38" t="n">
        <f aca="false">Income_Statement!C24</f>
        <v>1297833.978275</v>
      </c>
      <c r="E18" s="38" t="n">
        <f aca="false">Income_Statement!D24</f>
        <v>1411619.4406239</v>
      </c>
      <c r="F18" s="38" t="n">
        <f aca="false">Income_Statement!E24</f>
        <v>1535752.97333702</v>
      </c>
      <c r="G18" s="38" t="n">
        <f aca="false">Income_Statement!F24</f>
        <v>1670938.82626968</v>
      </c>
      <c r="H18" s="38" t="n">
        <f aca="false">Income_Statement!G24</f>
        <v>1816460.3932877</v>
      </c>
    </row>
    <row r="19" customFormat="false" ht="15" hidden="false" customHeight="false" outlineLevel="0" collapsed="false">
      <c r="A19" s="6"/>
      <c r="B19" s="26" t="s">
        <v>302</v>
      </c>
      <c r="C19" s="6"/>
      <c r="D19" s="36" t="n">
        <f aca="false">Income_Statement!C25</f>
        <v>0.151957514213469</v>
      </c>
      <c r="E19" s="36" t="n">
        <f aca="false">Income_Statement!D25</f>
        <v>0.153606077770858</v>
      </c>
      <c r="F19" s="36" t="n">
        <f aca="false">Income_Statement!E25</f>
        <v>0.155246599554797</v>
      </c>
      <c r="G19" s="36" t="n">
        <f aca="false">Income_Statement!F25</f>
        <v>0.156879118793448</v>
      </c>
      <c r="H19" s="36" t="n">
        <f aca="false">Income_Statement!G25</f>
        <v>0.158503674523618</v>
      </c>
    </row>
    <row r="20" customFormat="false" ht="15" hidden="false" customHeight="false" outlineLevel="0" collapsed="false">
      <c r="A20" s="6"/>
      <c r="B20" s="26" t="s">
        <v>273</v>
      </c>
      <c r="C20" s="6"/>
      <c r="D20" s="38" t="n">
        <f aca="false">Income_Statement!C46</f>
        <v>-78568.2179571437</v>
      </c>
      <c r="E20" s="38" t="n">
        <f aca="false">Income_Statement!D46</f>
        <v>-19405.233039743</v>
      </c>
      <c r="F20" s="38" t="n">
        <f aca="false">Income_Statement!E46</f>
        <v>36816.821601782</v>
      </c>
      <c r="G20" s="38" t="n">
        <f aca="false">Income_Statement!F46</f>
        <v>76225.6052453755</v>
      </c>
      <c r="H20" s="38" t="n">
        <f aca="false">Income_Statement!G46</f>
        <v>96738.0913090663</v>
      </c>
    </row>
    <row r="21" customFormat="false" ht="15" hidden="false" customHeight="false" outlineLevel="0" collapsed="false">
      <c r="A21" s="6"/>
      <c r="B21" s="26" t="s">
        <v>303</v>
      </c>
      <c r="C21" s="6"/>
      <c r="D21" s="36" t="n">
        <f aca="false">Income_Statement!C46/Income_Statement!C12</f>
        <v>-0.00919919750661655</v>
      </c>
      <c r="E21" s="36" t="n">
        <f aca="false">Income_Statement!D46/Income_Statement!D12</f>
        <v>-0.0021115901706107</v>
      </c>
      <c r="F21" s="36" t="n">
        <f aca="false">Income_Statement!E46/Income_Statement!E12</f>
        <v>0.00372174852292339</v>
      </c>
      <c r="G21" s="36" t="n">
        <f aca="false">Income_Statement!F46/Income_Statement!F12</f>
        <v>0.00715657903951402</v>
      </c>
      <c r="H21" s="36" t="n">
        <f aca="false">Income_Statement!G46/Income_Statement!G12</f>
        <v>0.00844133073066115</v>
      </c>
    </row>
    <row r="22" customFormat="false" ht="15" hidden="false" customHeight="false" outlineLevel="0" collapsed="false">
      <c r="A22" s="6"/>
      <c r="B22" s="6"/>
      <c r="C22" s="6"/>
      <c r="D22" s="6"/>
      <c r="E22" s="6"/>
      <c r="F22" s="6"/>
      <c r="G22" s="6"/>
      <c r="H22" s="6"/>
    </row>
    <row r="23" customFormat="false" ht="15" hidden="false" customHeight="false" outlineLevel="0" collapsed="false">
      <c r="A23" s="6"/>
      <c r="B23" s="16" t="s">
        <v>304</v>
      </c>
      <c r="C23" s="17"/>
      <c r="D23" s="17"/>
      <c r="E23" s="17"/>
      <c r="F23" s="17"/>
      <c r="G23" s="17"/>
      <c r="H23" s="17"/>
    </row>
    <row r="24" customFormat="false" ht="15" hidden="false" customHeight="false" outlineLevel="0" collapsed="false">
      <c r="A24" s="6"/>
      <c r="B24" s="26" t="s">
        <v>261</v>
      </c>
      <c r="C24" s="6"/>
      <c r="D24" s="38" t="n">
        <f aca="false">Fleet_Financing!C13</f>
        <v>13440000</v>
      </c>
      <c r="E24" s="38" t="n">
        <f aca="false">Fleet_Financing!D13</f>
        <v>14253568</v>
      </c>
      <c r="F24" s="38" t="n">
        <f aca="false">Fleet_Financing!E13</f>
        <v>15284776.96</v>
      </c>
      <c r="G24" s="38" t="n">
        <f aca="false">Fleet_Financing!F13</f>
        <v>16378545.9712</v>
      </c>
      <c r="H24" s="38" t="n">
        <f aca="false">Fleet_Financing!G13</f>
        <v>17536964.952064</v>
      </c>
    </row>
    <row r="25" customFormat="false" ht="15" hidden="false" customHeight="false" outlineLevel="0" collapsed="false">
      <c r="A25" s="6"/>
      <c r="B25" s="26" t="s">
        <v>305</v>
      </c>
      <c r="C25" s="6"/>
      <c r="D25" s="36" t="n">
        <f aca="false">Fleet_Financing!C14</f>
        <v>0.8</v>
      </c>
      <c r="E25" s="36" t="n">
        <f aca="false">Fleet_Financing!D14</f>
        <v>0.8</v>
      </c>
      <c r="F25" s="36" t="n">
        <f aca="false">Fleet_Financing!E14</f>
        <v>0.8</v>
      </c>
      <c r="G25" s="36" t="n">
        <f aca="false">Fleet_Financing!F14</f>
        <v>0.8</v>
      </c>
      <c r="H25" s="36" t="n">
        <f aca="false">Fleet_Financing!G14</f>
        <v>0.8</v>
      </c>
    </row>
    <row r="26" customFormat="false" ht="15" hidden="false" customHeight="false" outlineLevel="0" collapsed="false">
      <c r="A26" s="6"/>
      <c r="B26" s="26" t="s">
        <v>306</v>
      </c>
      <c r="C26" s="6"/>
      <c r="D26" s="38" t="n">
        <f aca="false">Corporate_Debt!C12</f>
        <v>1714285.71428571</v>
      </c>
      <c r="E26" s="38" t="n">
        <f aca="false">Corporate_Debt!D12</f>
        <v>1428571.42857143</v>
      </c>
      <c r="F26" s="38" t="n">
        <f aca="false">Corporate_Debt!E12</f>
        <v>1142857.14285714</v>
      </c>
      <c r="G26" s="38" t="n">
        <f aca="false">Corporate_Debt!F12</f>
        <v>857142.857142857</v>
      </c>
      <c r="H26" s="38" t="n">
        <f aca="false">Corporate_Debt!G12</f>
        <v>571428.571428572</v>
      </c>
    </row>
    <row r="27" customFormat="false" ht="15" hidden="false" customHeight="false" outlineLevel="0" collapsed="false">
      <c r="A27" s="6"/>
      <c r="B27" s="26" t="s">
        <v>307</v>
      </c>
      <c r="C27" s="6"/>
      <c r="D27" s="38" t="n">
        <f aca="false">Fleet_Financing!C13+Corporate_Debt!C12-Balance_Sheet!D10</f>
        <v>9155865.35386027</v>
      </c>
      <c r="E27" s="38" t="n">
        <f aca="false">Fleet_Financing!D13+Corporate_Debt!D12-Balance_Sheet!E10</f>
        <v>10105456.3508359</v>
      </c>
      <c r="F27" s="38" t="n">
        <f aca="false">Fleet_Financing!E13+Corporate_Debt!E12-Balance_Sheet!F10</f>
        <v>11184113.4974934</v>
      </c>
      <c r="G27" s="38" t="n">
        <f aca="false">Fleet_Financing!F13+Corporate_Debt!F12-Balance_Sheet!G10</f>
        <v>12268492.32244</v>
      </c>
      <c r="H27" s="38" t="n">
        <f aca="false">Fleet_Financing!G13+Corporate_Debt!G12-Balance_Sheet!H10</f>
        <v>13355025.8237742</v>
      </c>
    </row>
    <row r="28" customFormat="false" ht="15" hidden="false" customHeight="false" outlineLevel="0" collapsed="false">
      <c r="A28" s="6"/>
      <c r="B28" s="26" t="s">
        <v>308</v>
      </c>
      <c r="C28" s="6"/>
      <c r="D28" s="43" t="n">
        <f aca="false">(Fleet_Financing!C13+Corporate_Debt!C12-Balance_Sheet!D10)/Income_Statement!C24</f>
        <v>7.05472772875748</v>
      </c>
      <c r="E28" s="43" t="n">
        <f aca="false">(Fleet_Financing!D13+Corporate_Debt!D12-Balance_Sheet!E10)/Income_Statement!D24</f>
        <v>7.15876819206286</v>
      </c>
      <c r="F28" s="43" t="n">
        <f aca="false">(Fleet_Financing!E13+Corporate_Debt!E12-Balance_Sheet!F10)/Income_Statement!E24</f>
        <v>7.28249509632502</v>
      </c>
      <c r="G28" s="43" t="n">
        <f aca="false">(Fleet_Financing!F13+Corporate_Debt!F12-Balance_Sheet!G10)/Income_Statement!F24</f>
        <v>7.34227497114846</v>
      </c>
      <c r="H28" s="43" t="n">
        <f aca="false">(Fleet_Financing!G13+Corporate_Debt!G12-Balance_Sheet!H10)/Income_Statement!G24</f>
        <v>7.3522251699649</v>
      </c>
    </row>
    <row r="29" customFormat="false" ht="15" hidden="false" customHeight="false" outlineLevel="0" collapsed="false">
      <c r="A29" s="6"/>
      <c r="B29" s="26" t="s">
        <v>309</v>
      </c>
      <c r="C29" s="6"/>
      <c r="D29" s="43" t="n">
        <f aca="false">MAX(0,Corporate_Debt!C12-Balance_Sheet!D10)/Income_Statement!C24</f>
        <v>0</v>
      </c>
      <c r="E29" s="43" t="n">
        <f aca="false">MAX(0,Corporate_Debt!D12-Balance_Sheet!E10)/Income_Statement!D24</f>
        <v>0</v>
      </c>
      <c r="F29" s="43" t="n">
        <f aca="false">MAX(0,Corporate_Debt!E12-Balance_Sheet!F10)/Income_Statement!E24</f>
        <v>0</v>
      </c>
      <c r="G29" s="43" t="n">
        <f aca="false">MAX(0,Corporate_Debt!F12-Balance_Sheet!G10)/Income_Statement!F24</f>
        <v>0</v>
      </c>
      <c r="H29" s="43" t="n">
        <f aca="false">MAX(0,Corporate_Debt!G12-Balance_Sheet!H10)/Income_Statement!G24</f>
        <v>0</v>
      </c>
    </row>
    <row r="30" customFormat="false" ht="15" hidden="false" customHeight="false" outlineLevel="0" collapsed="false">
      <c r="A30" s="6"/>
      <c r="B30" s="26" t="s">
        <v>310</v>
      </c>
      <c r="C30" s="6"/>
      <c r="D30" s="43" t="n">
        <f aca="false">Fleet_Roll_Forward!C28/Fleet_Financing!C13</f>
        <v>1.25</v>
      </c>
      <c r="E30" s="43" t="n">
        <f aca="false">Fleet_Roll_Forward!D28/Fleet_Financing!D13</f>
        <v>1.25</v>
      </c>
      <c r="F30" s="43" t="n">
        <f aca="false">Fleet_Roll_Forward!E28/Fleet_Financing!E13</f>
        <v>1.25</v>
      </c>
      <c r="G30" s="43" t="n">
        <f aca="false">Fleet_Roll_Forward!F28/Fleet_Financing!F13</f>
        <v>1.25</v>
      </c>
      <c r="H30" s="43" t="n">
        <f aca="false">Fleet_Roll_Forward!G28/Fleet_Financing!G13</f>
        <v>1.25</v>
      </c>
    </row>
    <row r="31" customFormat="false" ht="15" hidden="false" customHeight="false" outlineLevel="0" collapsed="false">
      <c r="A31" s="6"/>
      <c r="B31" s="6"/>
      <c r="C31" s="6"/>
      <c r="D31" s="6"/>
      <c r="E31" s="6"/>
      <c r="F31" s="6"/>
      <c r="G31" s="6"/>
      <c r="H31" s="6"/>
    </row>
    <row r="32" customFormat="false" ht="15" hidden="false" customHeight="false" outlineLevel="0" collapsed="false">
      <c r="A32" s="6"/>
      <c r="B32" s="16" t="s">
        <v>311</v>
      </c>
      <c r="C32" s="17"/>
      <c r="D32" s="17"/>
      <c r="E32" s="17"/>
      <c r="F32" s="17"/>
      <c r="G32" s="17"/>
      <c r="H32" s="17"/>
    </row>
    <row r="33" customFormat="false" ht="15" hidden="false" customHeight="false" outlineLevel="0" collapsed="false">
      <c r="A33" s="6"/>
      <c r="B33" s="26" t="s">
        <v>312</v>
      </c>
      <c r="C33" s="6"/>
      <c r="D33" s="36" t="n">
        <f aca="false">Income_Statement!C26*(1-Tax_Rate)/(Balance_Sheet!D15+Balance_Sheet!D19+Balance_Sheet!D11-Balance_Sheet!D24)</f>
        <v>0.0550887642964771</v>
      </c>
      <c r="E33" s="36" t="n">
        <f aca="false">Income_Statement!D26*(1-Tax_Rate)/(Balance_Sheet!E15+Balance_Sheet!E19+Balance_Sheet!E11-Balance_Sheet!E24)</f>
        <v>0.0559407669620128</v>
      </c>
      <c r="F33" s="36" t="n">
        <f aca="false">Income_Statement!E26*(1-Tax_Rate)/(Balance_Sheet!F15+Balance_Sheet!F19+Balance_Sheet!F11-Balance_Sheet!F24)</f>
        <v>0.0564680230381489</v>
      </c>
      <c r="G33" s="36" t="n">
        <f aca="false">Income_Statement!F26*(1-Tax_Rate)/(Balance_Sheet!G15+Balance_Sheet!G19+Balance_Sheet!G11-Balance_Sheet!G24)</f>
        <v>0.0571322738269667</v>
      </c>
      <c r="H33" s="36" t="n">
        <f aca="false">Income_Statement!G26*(1-Tax_Rate)/(Balance_Sheet!H15+Balance_Sheet!H19+Balance_Sheet!H11-Balance_Sheet!H24)</f>
        <v>0.0578885297237594</v>
      </c>
    </row>
    <row r="34" customFormat="false" ht="15" hidden="false" customHeight="false" outlineLevel="0" collapsed="false">
      <c r="A34" s="6"/>
      <c r="B34" s="18" t="s">
        <v>313</v>
      </c>
      <c r="C34" s="6"/>
      <c r="D34" s="36" t="n">
        <f aca="false">IRR(C36:H36)</f>
        <v>0.172484258840954</v>
      </c>
      <c r="E34" s="6"/>
      <c r="F34" s="6"/>
      <c r="G34" s="6"/>
      <c r="H34" s="6"/>
    </row>
    <row r="35" customFormat="false" ht="15" hidden="false" customHeight="false" outlineLevel="0" collapsed="false">
      <c r="A35" s="6"/>
      <c r="B35" s="18" t="s">
        <v>314</v>
      </c>
      <c r="C35" s="6"/>
      <c r="D35" s="43" t="n">
        <f aca="false">SUMPRODUCT((D36:H36&gt;0)*D36:H36)/ABS(C36)</f>
        <v>2.5651393163526</v>
      </c>
      <c r="E35" s="6"/>
      <c r="F35" s="6"/>
      <c r="G35" s="6"/>
      <c r="H35" s="6"/>
    </row>
    <row r="36" customFormat="false" ht="15" hidden="false" customHeight="false" outlineLevel="0" collapsed="false">
      <c r="A36" s="6"/>
      <c r="B36" s="15" t="s">
        <v>315</v>
      </c>
      <c r="C36" s="35" t="n">
        <f aca="false">-Share_Capital</f>
        <v>-6898262</v>
      </c>
      <c r="D36" s="35" t="n">
        <f aca="false">Cash_Flow!C33</f>
        <v>-501579.639574561</v>
      </c>
      <c r="E36" s="35" t="n">
        <f aca="false">Cash_Flow!D33</f>
        <v>-421737.282689957</v>
      </c>
      <c r="F36" s="35" t="n">
        <f aca="false">Cash_Flow!E33</f>
        <v>-333162.47237174</v>
      </c>
      <c r="G36" s="35" t="n">
        <f aca="false">Cash_Flow!F33</f>
        <v>-276324.099460912</v>
      </c>
      <c r="H36" s="35" t="n">
        <f aca="false">Cash_Flow!G33+Balance_Sheet!H36+6*Income_Statement!G24</f>
        <v>17695003.0707011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50"/>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80"/>
    <col collapsed="false" customWidth="true" hidden="false" outlineLevel="0" max="4" min="4" style="0" width="12"/>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316</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317</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6"/>
      <c r="C5" s="6"/>
      <c r="D5" s="6"/>
    </row>
    <row r="6" customFormat="false" ht="15" hidden="false" customHeight="false" outlineLevel="0" collapsed="false">
      <c r="A6" s="6"/>
      <c r="B6" s="16" t="s">
        <v>318</v>
      </c>
      <c r="C6" s="16" t="s">
        <v>319</v>
      </c>
      <c r="D6" s="16" t="s">
        <v>320</v>
      </c>
    </row>
    <row r="7" customFormat="false" ht="15" hidden="false" customHeight="false" outlineLevel="0" collapsed="false">
      <c r="A7" s="6"/>
      <c r="B7" s="8" t="s">
        <v>321</v>
      </c>
      <c r="C7" s="47" t="b">
        <f aca="false">AND(C9,C10,C11,C12,C13,C14,C16,C17,C18,C19,C20,C21,C22,C23,C24,C25,C26,C27)</f>
        <v>1</v>
      </c>
      <c r="D7" s="8" t="str">
        <f aca="false">IF(C7,"ALL PASS","FAIL")</f>
        <v>ALL PASS</v>
      </c>
    </row>
    <row r="8" customFormat="false" ht="15" hidden="false" customHeight="false" outlineLevel="0" collapsed="false">
      <c r="A8" s="6"/>
      <c r="B8" s="6"/>
      <c r="C8" s="6"/>
      <c r="D8" s="6"/>
    </row>
    <row r="9" customFormat="false" ht="15" hidden="false" customHeight="false" outlineLevel="0" collapsed="false">
      <c r="A9" s="6"/>
      <c r="B9" s="18" t="s">
        <v>322</v>
      </c>
      <c r="C9" s="48" t="b">
        <f aca="false">ABS(Balance_Sheet!C39)&lt;1</f>
        <v>1</v>
      </c>
      <c r="D9" s="18" t="str">
        <f aca="false">IF(C9,"PASS","FAIL")</f>
        <v>PASS</v>
      </c>
    </row>
    <row r="10" customFormat="false" ht="15" hidden="false" customHeight="false" outlineLevel="0" collapsed="false">
      <c r="A10" s="6"/>
      <c r="B10" s="18" t="s">
        <v>323</v>
      </c>
      <c r="C10" s="48" t="b">
        <f aca="false">ABS(Balance_Sheet!D39)&lt;1</f>
        <v>1</v>
      </c>
      <c r="D10" s="18" t="str">
        <f aca="false">IF(C10,"PASS","FAIL")</f>
        <v>PASS</v>
      </c>
    </row>
    <row r="11" customFormat="false" ht="15" hidden="false" customHeight="false" outlineLevel="0" collapsed="false">
      <c r="A11" s="6"/>
      <c r="B11" s="18" t="s">
        <v>324</v>
      </c>
      <c r="C11" s="48" t="b">
        <f aca="false">ABS(Balance_Sheet!E39)&lt;1</f>
        <v>1</v>
      </c>
      <c r="D11" s="18" t="str">
        <f aca="false">IF(C11,"PASS","FAIL")</f>
        <v>PASS</v>
      </c>
    </row>
    <row r="12" customFormat="false" ht="15" hidden="false" customHeight="false" outlineLevel="0" collapsed="false">
      <c r="A12" s="6"/>
      <c r="B12" s="18" t="s">
        <v>325</v>
      </c>
      <c r="C12" s="48" t="b">
        <f aca="false">ABS(Balance_Sheet!F39)&lt;1</f>
        <v>1</v>
      </c>
      <c r="D12" s="18" t="str">
        <f aca="false">IF(C12,"PASS","FAIL")</f>
        <v>PASS</v>
      </c>
    </row>
    <row r="13" customFormat="false" ht="15" hidden="false" customHeight="false" outlineLevel="0" collapsed="false">
      <c r="A13" s="6"/>
      <c r="B13" s="18" t="s">
        <v>326</v>
      </c>
      <c r="C13" s="48" t="b">
        <f aca="false">ABS(Balance_Sheet!G39)&lt;1</f>
        <v>1</v>
      </c>
      <c r="D13" s="18" t="str">
        <f aca="false">IF(C13,"PASS","FAIL")</f>
        <v>PASS</v>
      </c>
    </row>
    <row r="14" customFormat="false" ht="15" hidden="false" customHeight="false" outlineLevel="0" collapsed="false">
      <c r="A14" s="6"/>
      <c r="B14" s="18" t="s">
        <v>327</v>
      </c>
      <c r="C14" s="48" t="b">
        <f aca="false">ABS(Balance_Sheet!H39)&lt;1</f>
        <v>1</v>
      </c>
      <c r="D14" s="18" t="str">
        <f aca="false">IF(C14,"PASS","FAIL")</f>
        <v>PASS</v>
      </c>
    </row>
    <row r="15" customFormat="false" ht="15" hidden="false" customHeight="false" outlineLevel="0" collapsed="false">
      <c r="A15" s="6"/>
      <c r="B15" s="6"/>
      <c r="C15" s="6"/>
      <c r="D15" s="6"/>
    </row>
    <row r="16" customFormat="false" ht="15" hidden="false" customHeight="false" outlineLevel="0" collapsed="false">
      <c r="A16" s="6"/>
      <c r="B16" s="18" t="s">
        <v>328</v>
      </c>
      <c r="C16" s="48" t="b">
        <f aca="false">MIN(Cash_Flow!C35:G35)&gt;=0</f>
        <v>1</v>
      </c>
      <c r="D16" s="18" t="str">
        <f aca="false">IF(C16,"PASS","FAIL")</f>
        <v>PASS</v>
      </c>
    </row>
    <row r="17" customFormat="false" ht="15" hidden="false" customHeight="false" outlineLevel="0" collapsed="false">
      <c r="A17" s="6"/>
      <c r="B17" s="18" t="s">
        <v>329</v>
      </c>
      <c r="C17" s="48" t="b">
        <f aca="false">MIN(Fleet_Roll_Forward!C15:G15)&gt;=MIN(Fleet_Roll_Forward!C10:G10)</f>
        <v>1</v>
      </c>
      <c r="D17" s="18" t="str">
        <f aca="false">IF(C17,"PASS","FAIL")</f>
        <v>PASS</v>
      </c>
    </row>
    <row r="18" customFormat="false" ht="15" hidden="false" customHeight="false" outlineLevel="0" collapsed="false">
      <c r="A18" s="6"/>
      <c r="B18" s="18" t="s">
        <v>330</v>
      </c>
      <c r="C18" s="48" t="b">
        <f aca="false">MAX(Fleet_Financing!C14:G14)&lt;=Max_Fleet_LTV</f>
        <v>1</v>
      </c>
      <c r="D18" s="18" t="str">
        <f aca="false">IF(C18,"PASS","FAIL")</f>
        <v>PASS</v>
      </c>
    </row>
    <row r="19" customFormat="false" ht="15" hidden="false" customHeight="false" outlineLevel="0" collapsed="false">
      <c r="A19" s="6"/>
      <c r="B19" s="18" t="s">
        <v>331</v>
      </c>
      <c r="C19" s="48" t="b">
        <f aca="false">AND(MIN(Income_Statement!C25:G25)&gt;=0.05,MAX(Income_Statement!C25:G25)&lt;=0.16)</f>
        <v>1</v>
      </c>
      <c r="D19" s="18" t="str">
        <f aca="false">IF(C19,"PASS","FAIL")</f>
        <v>PASS</v>
      </c>
    </row>
    <row r="20" customFormat="false" ht="15" hidden="false" customHeight="false" outlineLevel="0" collapsed="false">
      <c r="A20" s="6"/>
      <c r="B20" s="18" t="s">
        <v>332</v>
      </c>
      <c r="C20" s="48" t="b">
        <f aca="false">Utilisation_Rate&lt;=0.9</f>
        <v>1</v>
      </c>
      <c r="D20" s="18" t="str">
        <f aca="false">IF(C20,"PASS","FAIL")</f>
        <v>PASS</v>
      </c>
    </row>
    <row r="21" customFormat="false" ht="15" hidden="false" customHeight="false" outlineLevel="0" collapsed="false">
      <c r="A21" s="6"/>
      <c r="B21" s="18" t="s">
        <v>333</v>
      </c>
      <c r="C21" s="48" t="b">
        <f aca="false">(Purchase_Price-Purchase_Price*Residual_Value_Pct)/Holding_Period_Yrs*Holding_Period_Yrs+Purchase_Price*Residual_Value_Pct=Purchase_Price</f>
        <v>1</v>
      </c>
      <c r="D21" s="18" t="str">
        <f aca="false">IF(C21,"PASS","FAIL")</f>
        <v>PASS</v>
      </c>
    </row>
    <row r="22" customFormat="false" ht="15" hidden="false" customHeight="false" outlineLevel="0" collapsed="false">
      <c r="A22" s="6"/>
      <c r="B22" s="18" t="s">
        <v>334</v>
      </c>
      <c r="C22" s="48" t="b">
        <f aca="false">AND(Corporate_Debt!D12&lt;=Corporate_Debt!C12,Corporate_Debt!E12&lt;=Corporate_Debt!D12,Corporate_Debt!F12&lt;=Corporate_Debt!E12,Corporate_Debt!G12&lt;=Corporate_Debt!F12)</f>
        <v>1</v>
      </c>
      <c r="D22" s="18" t="str">
        <f aca="false">IF(C22,"PASS","FAIL")</f>
        <v>PASS</v>
      </c>
    </row>
    <row r="23" customFormat="false" ht="15" hidden="false" customHeight="false" outlineLevel="0" collapsed="false">
      <c r="A23" s="6"/>
      <c r="B23" s="18" t="s">
        <v>335</v>
      </c>
      <c r="C23" s="48" t="b">
        <f aca="false">AND(ABS(Cash_Flow!C34+Cash_Flow!C33-Cash_Flow!C35)&lt;1,ABS(Cash_Flow!D34+Cash_Flow!D33-Cash_Flow!D35)&lt;1,ABS(Cash_Flow!E34+Cash_Flow!E33-Cash_Flow!E35)&lt;1,ABS(Cash_Flow!F34+Cash_Flow!F33-Cash_Flow!F35)&lt;1,ABS(Cash_Flow!G34+Cash_Flow!G33-Cash_Flow!G35)&lt;1)</f>
        <v>1</v>
      </c>
      <c r="D23" s="18" t="str">
        <f aca="false">IF(C23,"PASS","FAIL")</f>
        <v>PASS</v>
      </c>
    </row>
    <row r="24" customFormat="false" ht="15" hidden="false" customHeight="false" outlineLevel="0" collapsed="false">
      <c r="A24" s="6"/>
      <c r="B24" s="18" t="s">
        <v>336</v>
      </c>
      <c r="C24" s="48" t="b">
        <f aca="false">MIN(Fleet_Roll_Forward!C37:G37)&gt;=0</f>
        <v>1</v>
      </c>
      <c r="D24" s="18" t="str">
        <f aca="false">IF(C24,"PASS","FAIL")</f>
        <v>PASS</v>
      </c>
    </row>
    <row r="25" customFormat="false" ht="15" hidden="false" customHeight="false" outlineLevel="0" collapsed="false">
      <c r="A25" s="6"/>
      <c r="B25" s="18" t="s">
        <v>337</v>
      </c>
      <c r="C25" s="48" t="b">
        <f aca="false">Balance_Sheet!C35&gt;=-1</f>
        <v>1</v>
      </c>
      <c r="D25" s="18" t="str">
        <f aca="false">IF(C25,"PASS","FAIL")</f>
        <v>PASS</v>
      </c>
    </row>
    <row r="26" customFormat="false" ht="15" hidden="false" customHeight="false" outlineLevel="0" collapsed="false">
      <c r="A26" s="6"/>
      <c r="B26" s="18" t="s">
        <v>338</v>
      </c>
      <c r="C26" s="48" t="b">
        <f aca="false">MIN(Fleet_Financing!C19:G19)&gt;=Min_DSCR</f>
        <v>1</v>
      </c>
      <c r="D26" s="18" t="str">
        <f aca="false">IF(C26,"PASS","FAIL")</f>
        <v>PASS</v>
      </c>
    </row>
    <row r="27" customFormat="false" ht="15" hidden="false" customHeight="false" outlineLevel="0" collapsed="false">
      <c r="A27" s="6"/>
      <c r="B27" s="18" t="s">
        <v>339</v>
      </c>
      <c r="C27" s="48" t="b">
        <f aca="false">ABS(Mix_Economy+Mix_Midsize+Mix_Premium-1)&lt;0.001</f>
        <v>1</v>
      </c>
      <c r="D27" s="18" t="str">
        <f aca="false">IF(C27,"PASS","FAIL")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9" t="s">
        <v>340</v>
      </c>
    </row>
    <row r="3" customFormat="false" ht="3.75" hidden="false" customHeight="true" outlineLevel="0" collapsed="false">
      <c r="B3" s="50"/>
    </row>
    <row r="5" customFormat="false" ht="19.5" hidden="false" customHeight="true" outlineLevel="0" collapsed="false">
      <c r="B5" s="51" t="s">
        <v>341</v>
      </c>
    </row>
    <row r="6" customFormat="false" ht="48" hidden="false" customHeight="true" outlineLevel="0" collapsed="false">
      <c r="B6" s="52" t="s">
        <v>342</v>
      </c>
    </row>
    <row r="8" customFormat="false" ht="19.5" hidden="false" customHeight="true" outlineLevel="0" collapsed="false">
      <c r="B8" s="51" t="s">
        <v>343</v>
      </c>
    </row>
    <row r="9" customFormat="false" ht="61.5" hidden="false" customHeight="true" outlineLevel="0" collapsed="false">
      <c r="B9" s="52" t="s">
        <v>344</v>
      </c>
    </row>
    <row r="11" customFormat="false" ht="19.5" hidden="false" customHeight="true" outlineLevel="0" collapsed="false">
      <c r="B11" s="51" t="s">
        <v>345</v>
      </c>
    </row>
    <row r="12" customFormat="false" ht="75.75" hidden="false" customHeight="true" outlineLevel="0" collapsed="false">
      <c r="B12" s="52" t="s">
        <v>346</v>
      </c>
    </row>
    <row r="14" customFormat="false" ht="19.5" hidden="false" customHeight="true" outlineLevel="0" collapsed="false">
      <c r="B14" s="51" t="s">
        <v>347</v>
      </c>
    </row>
    <row r="15" customFormat="false" ht="61.5" hidden="false" customHeight="true" outlineLevel="0" collapsed="false">
      <c r="B15" s="52" t="s">
        <v>348</v>
      </c>
    </row>
    <row r="17" customFormat="false" ht="19.5" hidden="false" customHeight="true" outlineLevel="0" collapsed="false">
      <c r="B17" s="51" t="s">
        <v>349</v>
      </c>
    </row>
    <row r="18" customFormat="false" ht="33.75" hidden="false" customHeight="true" outlineLevel="0" collapsed="false">
      <c r="B18" s="52" t="s">
        <v>350</v>
      </c>
    </row>
    <row r="20" customFormat="false" ht="19.5" hidden="false" customHeight="true" outlineLevel="0" collapsed="false">
      <c r="B20" s="51" t="s">
        <v>351</v>
      </c>
    </row>
    <row r="21" customFormat="false" ht="33.75" hidden="false" customHeight="true" outlineLevel="0" collapsed="false">
      <c r="B21" s="52" t="s">
        <v>352</v>
      </c>
    </row>
    <row r="23" customFormat="false" ht="21.75" hidden="false" customHeight="true" outlineLevel="0" collapsed="false">
      <c r="B23" s="53" t="s">
        <v>353</v>
      </c>
    </row>
    <row r="25" customFormat="false" ht="18" hidden="false" customHeight="true" outlineLevel="0" collapsed="false">
      <c r="B25" s="54" t="s">
        <v>354</v>
      </c>
    </row>
    <row r="26" customFormat="false" ht="201.75" hidden="false" customHeight="true" outlineLevel="0" collapsed="false">
      <c r="B26" s="55" t="s">
        <v>355</v>
      </c>
    </row>
    <row r="28" customFormat="false" ht="18" hidden="false" customHeight="true" outlineLevel="0" collapsed="false">
      <c r="B28" s="56" t="s">
        <v>356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10"/>
    <col collapsed="false" customWidth="true" hidden="false" outlineLevel="0" max="5" min="5" style="0" width="35"/>
    <col collapsed="false" customWidth="true" hidden="false" outlineLevel="0" max="6" min="6" style="0" width="30"/>
  </cols>
  <sheetData>
    <row r="1" customFormat="false" ht="15" hidden="false" customHeight="false" outlineLevel="0" collapsed="false">
      <c r="A1" s="1"/>
      <c r="B1" s="1"/>
      <c r="C1" s="1"/>
      <c r="D1" s="1"/>
      <c r="E1" s="1"/>
      <c r="F1" s="1"/>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8</v>
      </c>
      <c r="C2" s="1"/>
      <c r="D2" s="1"/>
      <c r="E2" s="1"/>
      <c r="F2" s="1"/>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v>
      </c>
      <c r="C3" s="1"/>
      <c r="D3" s="1"/>
      <c r="E3" s="1"/>
      <c r="F3" s="1"/>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row>
    <row r="5" customFormat="false" ht="15" hidden="false" customHeight="false" outlineLevel="0" collapsed="false">
      <c r="A5" s="6"/>
      <c r="B5" s="6"/>
      <c r="C5" s="6"/>
      <c r="D5" s="6"/>
      <c r="E5" s="6"/>
      <c r="F5" s="6"/>
    </row>
    <row r="6" customFormat="false" ht="15" hidden="false" customHeight="false" outlineLevel="0" collapsed="false">
      <c r="A6" s="6"/>
      <c r="B6" s="6"/>
      <c r="C6" s="6"/>
      <c r="D6" s="6"/>
      <c r="E6" s="6"/>
      <c r="F6" s="15" t="s">
        <v>26</v>
      </c>
    </row>
    <row r="7" customFormat="false" ht="15" hidden="false" customHeight="false" outlineLevel="0" collapsed="false">
      <c r="A7" s="6"/>
      <c r="B7" s="16" t="s">
        <v>27</v>
      </c>
      <c r="C7" s="17"/>
      <c r="D7" s="17"/>
      <c r="E7" s="17"/>
      <c r="F7" s="17"/>
    </row>
    <row r="8" customFormat="false" ht="15" hidden="false" customHeight="false" outlineLevel="0" collapsed="false">
      <c r="A8" s="6"/>
      <c r="B8" s="18" t="s">
        <v>28</v>
      </c>
      <c r="C8" s="19" t="n">
        <v>500</v>
      </c>
      <c r="D8" s="15" t="s">
        <v>29</v>
      </c>
      <c r="E8" s="6"/>
      <c r="F8" s="15" t="s">
        <v>30</v>
      </c>
    </row>
    <row r="9" customFormat="false" ht="15" hidden="false" customHeight="false" outlineLevel="0" collapsed="false">
      <c r="A9" s="6"/>
      <c r="B9" s="18" t="s">
        <v>31</v>
      </c>
      <c r="C9" s="20" t="n">
        <v>0.05</v>
      </c>
      <c r="D9" s="15" t="s">
        <v>32</v>
      </c>
      <c r="E9" s="6"/>
      <c r="F9" s="15" t="s">
        <v>33</v>
      </c>
    </row>
    <row r="10" customFormat="false" ht="15" hidden="false" customHeight="false" outlineLevel="0" collapsed="false">
      <c r="A10" s="6"/>
      <c r="B10" s="18" t="s">
        <v>34</v>
      </c>
      <c r="C10" s="19" t="n">
        <v>2</v>
      </c>
      <c r="D10" s="15" t="s">
        <v>35</v>
      </c>
      <c r="E10" s="6"/>
      <c r="F10" s="15" t="s">
        <v>36</v>
      </c>
    </row>
    <row r="11" customFormat="false" ht="15" hidden="false" customHeight="false" outlineLevel="0" collapsed="false">
      <c r="A11" s="6"/>
      <c r="B11" s="18" t="s">
        <v>37</v>
      </c>
      <c r="C11" s="21" t="n">
        <v>32000</v>
      </c>
      <c r="D11" s="15" t="s">
        <v>38</v>
      </c>
      <c r="E11" s="6"/>
      <c r="F11" s="15" t="s">
        <v>39</v>
      </c>
    </row>
    <row r="12" customFormat="false" ht="15" hidden="false" customHeight="false" outlineLevel="0" collapsed="false">
      <c r="A12" s="6"/>
      <c r="B12" s="18" t="s">
        <v>40</v>
      </c>
      <c r="C12" s="20" t="n">
        <v>0.02</v>
      </c>
      <c r="D12" s="15" t="s">
        <v>32</v>
      </c>
      <c r="E12" s="6"/>
      <c r="F12" s="15" t="s">
        <v>41</v>
      </c>
    </row>
    <row r="13" customFormat="false" ht="15" hidden="false" customHeight="false" outlineLevel="0" collapsed="false">
      <c r="A13" s="6"/>
      <c r="B13" s="18" t="s">
        <v>42</v>
      </c>
      <c r="C13" s="20" t="n">
        <v>0.65</v>
      </c>
      <c r="D13" s="15" t="s">
        <v>32</v>
      </c>
      <c r="E13" s="15" t="s">
        <v>43</v>
      </c>
      <c r="F13" s="15" t="s">
        <v>36</v>
      </c>
    </row>
    <row r="14" customFormat="false" ht="15" hidden="false" customHeight="false" outlineLevel="0" collapsed="false">
      <c r="A14" s="6"/>
      <c r="B14" s="18" t="s">
        <v>44</v>
      </c>
      <c r="C14" s="19" t="n">
        <v>12</v>
      </c>
      <c r="D14" s="15" t="s">
        <v>45</v>
      </c>
      <c r="E14" s="6"/>
      <c r="F14" s="15" t="s">
        <v>46</v>
      </c>
    </row>
    <row r="15" customFormat="false" ht="15" hidden="false" customHeight="false" outlineLevel="0" collapsed="false">
      <c r="A15" s="6"/>
      <c r="B15" s="18" t="s">
        <v>47</v>
      </c>
      <c r="C15" s="20" t="n">
        <v>0.62</v>
      </c>
      <c r="D15" s="15" t="s">
        <v>32</v>
      </c>
      <c r="E15" s="15" t="s">
        <v>48</v>
      </c>
      <c r="F15" s="15" t="s">
        <v>39</v>
      </c>
    </row>
    <row r="16" customFormat="false" ht="15" hidden="false" customHeight="false" outlineLevel="0" collapsed="false">
      <c r="A16" s="6"/>
      <c r="B16" s="6"/>
      <c r="C16" s="6"/>
      <c r="D16" s="6"/>
      <c r="E16" s="6"/>
      <c r="F16" s="6"/>
    </row>
    <row r="17" customFormat="false" ht="15" hidden="false" customHeight="false" outlineLevel="0" collapsed="false">
      <c r="A17" s="6"/>
      <c r="B17" s="16" t="s">
        <v>49</v>
      </c>
      <c r="C17" s="17"/>
      <c r="D17" s="17"/>
      <c r="E17" s="17"/>
      <c r="F17" s="17"/>
    </row>
    <row r="18" customFormat="false" ht="15" hidden="false" customHeight="false" outlineLevel="0" collapsed="false">
      <c r="A18" s="6"/>
      <c r="B18" s="18" t="s">
        <v>50</v>
      </c>
      <c r="C18" s="20" t="n">
        <v>0.5</v>
      </c>
      <c r="D18" s="15" t="s">
        <v>32</v>
      </c>
      <c r="E18" s="6"/>
      <c r="F18" s="15" t="s">
        <v>51</v>
      </c>
    </row>
    <row r="19" customFormat="false" ht="15" hidden="false" customHeight="false" outlineLevel="0" collapsed="false">
      <c r="A19" s="6"/>
      <c r="B19" s="18" t="s">
        <v>52</v>
      </c>
      <c r="C19" s="20" t="n">
        <v>0.35</v>
      </c>
      <c r="D19" s="15" t="s">
        <v>32</v>
      </c>
      <c r="E19" s="6"/>
      <c r="F19" s="15" t="s">
        <v>51</v>
      </c>
    </row>
    <row r="20" customFormat="false" ht="15" hidden="false" customHeight="false" outlineLevel="0" collapsed="false">
      <c r="A20" s="6"/>
      <c r="B20" s="18" t="s">
        <v>53</v>
      </c>
      <c r="C20" s="20" t="n">
        <v>0.15</v>
      </c>
      <c r="D20" s="15" t="s">
        <v>32</v>
      </c>
      <c r="E20" s="6"/>
      <c r="F20" s="15" t="s">
        <v>51</v>
      </c>
    </row>
    <row r="21" customFormat="false" ht="15" hidden="false" customHeight="false" outlineLevel="0" collapsed="false">
      <c r="A21" s="6"/>
      <c r="B21" s="18" t="s">
        <v>54</v>
      </c>
      <c r="C21" s="21" t="n">
        <v>42</v>
      </c>
      <c r="D21" s="15" t="s">
        <v>38</v>
      </c>
      <c r="E21" s="6"/>
      <c r="F21" s="15" t="s">
        <v>51</v>
      </c>
    </row>
    <row r="22" customFormat="false" ht="15" hidden="false" customHeight="false" outlineLevel="0" collapsed="false">
      <c r="A22" s="6"/>
      <c r="B22" s="18" t="s">
        <v>55</v>
      </c>
      <c r="C22" s="21" t="n">
        <v>52</v>
      </c>
      <c r="D22" s="15" t="s">
        <v>38</v>
      </c>
      <c r="E22" s="6"/>
      <c r="F22" s="15" t="s">
        <v>51</v>
      </c>
    </row>
    <row r="23" customFormat="false" ht="15" hidden="false" customHeight="false" outlineLevel="0" collapsed="false">
      <c r="A23" s="6"/>
      <c r="B23" s="18" t="s">
        <v>56</v>
      </c>
      <c r="C23" s="21" t="n">
        <v>78</v>
      </c>
      <c r="D23" s="15" t="s">
        <v>38</v>
      </c>
      <c r="E23" s="6"/>
      <c r="F23" s="15" t="s">
        <v>51</v>
      </c>
    </row>
    <row r="24" customFormat="false" ht="15" hidden="false" customHeight="false" outlineLevel="0" collapsed="false">
      <c r="A24" s="6"/>
      <c r="B24" s="18" t="s">
        <v>57</v>
      </c>
      <c r="C24" s="22" t="n">
        <f aca="false">C18*C21+C19*C22+C20*C23</f>
        <v>50.9</v>
      </c>
      <c r="D24" s="15" t="s">
        <v>38</v>
      </c>
      <c r="E24" s="15" t="s">
        <v>58</v>
      </c>
      <c r="F24" s="6"/>
    </row>
    <row r="25" customFormat="false" ht="15" hidden="false" customHeight="false" outlineLevel="0" collapsed="false">
      <c r="A25" s="6"/>
      <c r="B25" s="6"/>
      <c r="C25" s="6"/>
      <c r="D25" s="6"/>
      <c r="E25" s="6"/>
      <c r="F25" s="6"/>
    </row>
    <row r="26" customFormat="false" ht="15" hidden="false" customHeight="false" outlineLevel="0" collapsed="false">
      <c r="A26" s="6"/>
      <c r="B26" s="16" t="s">
        <v>59</v>
      </c>
      <c r="C26" s="17"/>
      <c r="D26" s="17"/>
      <c r="E26" s="17"/>
      <c r="F26" s="17"/>
    </row>
    <row r="27" customFormat="false" ht="15" hidden="false" customHeight="false" outlineLevel="0" collapsed="false">
      <c r="A27" s="6"/>
      <c r="B27" s="18" t="s">
        <v>60</v>
      </c>
      <c r="C27" s="20" t="n">
        <v>0.78</v>
      </c>
      <c r="D27" s="15" t="s">
        <v>32</v>
      </c>
      <c r="E27" s="6"/>
      <c r="F27" s="15" t="s">
        <v>36</v>
      </c>
    </row>
    <row r="28" customFormat="false" ht="15" hidden="false" customHeight="false" outlineLevel="0" collapsed="false">
      <c r="A28" s="6"/>
      <c r="B28" s="18" t="s">
        <v>61</v>
      </c>
      <c r="C28" s="21" t="n">
        <v>52</v>
      </c>
      <c r="D28" s="15" t="s">
        <v>38</v>
      </c>
      <c r="E28" s="15" t="s">
        <v>62</v>
      </c>
      <c r="F28" s="15" t="s">
        <v>51</v>
      </c>
    </row>
    <row r="29" customFormat="false" ht="15" hidden="false" customHeight="false" outlineLevel="0" collapsed="false">
      <c r="A29" s="6"/>
      <c r="B29" s="18" t="s">
        <v>63</v>
      </c>
      <c r="C29" s="20" t="n">
        <v>0.025</v>
      </c>
      <c r="D29" s="15" t="s">
        <v>32</v>
      </c>
      <c r="E29" s="6"/>
      <c r="F29" s="15" t="s">
        <v>64</v>
      </c>
    </row>
    <row r="30" customFormat="false" ht="15" hidden="false" customHeight="false" outlineLevel="0" collapsed="false">
      <c r="A30" s="6"/>
      <c r="B30" s="18" t="s">
        <v>65</v>
      </c>
      <c r="C30" s="20" t="n">
        <v>0.15</v>
      </c>
      <c r="D30" s="15" t="s">
        <v>32</v>
      </c>
      <c r="E30" s="15" t="s">
        <v>66</v>
      </c>
      <c r="F30" s="15" t="s">
        <v>36</v>
      </c>
    </row>
    <row r="31" customFormat="false" ht="15" hidden="false" customHeight="false" outlineLevel="0" collapsed="false">
      <c r="A31" s="6"/>
      <c r="B31" s="6"/>
      <c r="C31" s="6"/>
      <c r="D31" s="6"/>
      <c r="E31" s="6"/>
      <c r="F31" s="6"/>
    </row>
    <row r="32" customFormat="false" ht="15" hidden="false" customHeight="false" outlineLevel="0" collapsed="false">
      <c r="A32" s="6"/>
      <c r="B32" s="16" t="s">
        <v>67</v>
      </c>
      <c r="C32" s="17"/>
      <c r="D32" s="17"/>
      <c r="E32" s="17"/>
      <c r="F32" s="17"/>
    </row>
    <row r="33" customFormat="false" ht="15" hidden="false" customHeight="false" outlineLevel="0" collapsed="false">
      <c r="A33" s="6"/>
      <c r="B33" s="18" t="s">
        <v>68</v>
      </c>
      <c r="C33" s="20" t="n">
        <v>0.45</v>
      </c>
      <c r="D33" s="15" t="s">
        <v>32</v>
      </c>
      <c r="E33" s="15" t="s">
        <v>69</v>
      </c>
      <c r="F33" s="15" t="s">
        <v>36</v>
      </c>
    </row>
    <row r="34" customFormat="false" ht="15" hidden="false" customHeight="false" outlineLevel="0" collapsed="false">
      <c r="A34" s="6"/>
      <c r="B34" s="18" t="s">
        <v>70</v>
      </c>
      <c r="C34" s="20" t="n">
        <v>0.1</v>
      </c>
      <c r="D34" s="15" t="s">
        <v>32</v>
      </c>
      <c r="E34" s="15" t="s">
        <v>71</v>
      </c>
      <c r="F34" s="15" t="s">
        <v>36</v>
      </c>
    </row>
    <row r="35" customFormat="false" ht="15" hidden="false" customHeight="false" outlineLevel="0" collapsed="false">
      <c r="A35" s="6"/>
      <c r="B35" s="18" t="s">
        <v>72</v>
      </c>
      <c r="C35" s="20" t="n">
        <v>0.02</v>
      </c>
      <c r="D35" s="15" t="s">
        <v>32</v>
      </c>
      <c r="E35" s="15" t="s">
        <v>71</v>
      </c>
      <c r="F35" s="15" t="s">
        <v>33</v>
      </c>
    </row>
    <row r="36" customFormat="false" ht="15" hidden="false" customHeight="false" outlineLevel="0" collapsed="false">
      <c r="A36" s="6"/>
      <c r="B36" s="18" t="s">
        <v>73</v>
      </c>
      <c r="C36" s="19" t="n">
        <v>7</v>
      </c>
      <c r="D36" s="15" t="s">
        <v>35</v>
      </c>
      <c r="E36" s="6"/>
      <c r="F36" s="15" t="s">
        <v>74</v>
      </c>
    </row>
    <row r="37" customFormat="false" ht="15" hidden="false" customHeight="false" outlineLevel="0" collapsed="false">
      <c r="A37" s="6"/>
      <c r="B37" s="18" t="s">
        <v>75</v>
      </c>
      <c r="C37" s="20" t="n">
        <v>0.005</v>
      </c>
      <c r="D37" s="15" t="s">
        <v>32</v>
      </c>
      <c r="E37" s="15" t="s">
        <v>76</v>
      </c>
      <c r="F37" s="15" t="s">
        <v>77</v>
      </c>
    </row>
    <row r="38" customFormat="false" ht="15" hidden="false" customHeight="false" outlineLevel="0" collapsed="false">
      <c r="A38" s="6"/>
      <c r="B38" s="18" t="s">
        <v>78</v>
      </c>
      <c r="C38" s="20" t="n">
        <v>0.8</v>
      </c>
      <c r="D38" s="15" t="s">
        <v>32</v>
      </c>
      <c r="E38" s="15" t="s">
        <v>79</v>
      </c>
      <c r="F38" s="6"/>
    </row>
    <row r="39" customFormat="false" ht="15" hidden="false" customHeight="false" outlineLevel="0" collapsed="false">
      <c r="A39" s="6"/>
      <c r="B39" s="18" t="s">
        <v>80</v>
      </c>
      <c r="C39" s="20" t="n">
        <v>0.12</v>
      </c>
      <c r="D39" s="15" t="s">
        <v>32</v>
      </c>
      <c r="E39" s="15" t="s">
        <v>81</v>
      </c>
      <c r="F39" s="15" t="s">
        <v>82</v>
      </c>
    </row>
    <row r="40" customFormat="false" ht="15" hidden="false" customHeight="false" outlineLevel="0" collapsed="false">
      <c r="A40" s="6"/>
      <c r="B40" s="18" t="s">
        <v>83</v>
      </c>
      <c r="C40" s="20" t="n">
        <v>0.18</v>
      </c>
      <c r="D40" s="15" t="s">
        <v>32</v>
      </c>
      <c r="E40" s="15" t="s">
        <v>84</v>
      </c>
      <c r="F40" s="15" t="s">
        <v>46</v>
      </c>
    </row>
    <row r="41" customFormat="false" ht="15" hidden="false" customHeight="false" outlineLevel="0" collapsed="false">
      <c r="A41" s="6"/>
      <c r="B41" s="6"/>
      <c r="C41" s="6"/>
      <c r="D41" s="6"/>
      <c r="E41" s="6"/>
      <c r="F41" s="6"/>
    </row>
    <row r="42" customFormat="false" ht="15" hidden="false" customHeight="false" outlineLevel="0" collapsed="false">
      <c r="A42" s="6"/>
      <c r="B42" s="16" t="s">
        <v>85</v>
      </c>
      <c r="C42" s="17"/>
      <c r="D42" s="17"/>
      <c r="E42" s="17"/>
      <c r="F42" s="17"/>
    </row>
    <row r="43" customFormat="false" ht="15" hidden="false" customHeight="false" outlineLevel="0" collapsed="false">
      <c r="A43" s="6"/>
      <c r="B43" s="18" t="s">
        <v>86</v>
      </c>
      <c r="C43" s="20" t="n">
        <v>0.8</v>
      </c>
      <c r="D43" s="15" t="s">
        <v>32</v>
      </c>
      <c r="E43" s="6"/>
      <c r="F43" s="15" t="s">
        <v>87</v>
      </c>
    </row>
    <row r="44" customFormat="false" ht="15" hidden="false" customHeight="false" outlineLevel="0" collapsed="false">
      <c r="A44" s="6"/>
      <c r="B44" s="18" t="s">
        <v>88</v>
      </c>
      <c r="C44" s="20" t="n">
        <v>0.85</v>
      </c>
      <c r="D44" s="15" t="s">
        <v>32</v>
      </c>
      <c r="E44" s="15" t="s">
        <v>89</v>
      </c>
      <c r="F44" s="15" t="s">
        <v>87</v>
      </c>
    </row>
    <row r="45" customFormat="false" ht="15" hidden="false" customHeight="false" outlineLevel="0" collapsed="false">
      <c r="A45" s="6"/>
      <c r="B45" s="18" t="s">
        <v>90</v>
      </c>
      <c r="C45" s="20" t="n">
        <v>0.065</v>
      </c>
      <c r="D45" s="15" t="s">
        <v>32</v>
      </c>
      <c r="E45" s="6"/>
      <c r="F45" s="15" t="s">
        <v>91</v>
      </c>
    </row>
    <row r="46" customFormat="false" ht="15" hidden="false" customHeight="false" outlineLevel="0" collapsed="false">
      <c r="A46" s="6"/>
      <c r="B46" s="18" t="s">
        <v>92</v>
      </c>
      <c r="C46" s="21" t="n">
        <v>2000000</v>
      </c>
      <c r="D46" s="15" t="s">
        <v>38</v>
      </c>
      <c r="E46" s="6"/>
      <c r="F46" s="15" t="s">
        <v>93</v>
      </c>
    </row>
    <row r="47" customFormat="false" ht="15" hidden="false" customHeight="false" outlineLevel="0" collapsed="false">
      <c r="A47" s="6"/>
      <c r="B47" s="18" t="s">
        <v>94</v>
      </c>
      <c r="C47" s="19" t="n">
        <v>7</v>
      </c>
      <c r="D47" s="15" t="s">
        <v>35</v>
      </c>
      <c r="E47" s="6"/>
      <c r="F47" s="15" t="s">
        <v>93</v>
      </c>
    </row>
    <row r="48" customFormat="false" ht="15" hidden="false" customHeight="false" outlineLevel="0" collapsed="false">
      <c r="A48" s="6"/>
      <c r="B48" s="18" t="s">
        <v>95</v>
      </c>
      <c r="C48" s="20" t="n">
        <v>0.09</v>
      </c>
      <c r="D48" s="15" t="s">
        <v>32</v>
      </c>
      <c r="E48" s="6"/>
      <c r="F48" s="15" t="s">
        <v>93</v>
      </c>
    </row>
    <row r="49" customFormat="false" ht="15" hidden="false" customHeight="false" outlineLevel="0" collapsed="false">
      <c r="A49" s="6"/>
      <c r="B49" s="18" t="s">
        <v>96</v>
      </c>
      <c r="C49" s="23" t="n">
        <v>1.05</v>
      </c>
      <c r="D49" s="15" t="s">
        <v>97</v>
      </c>
      <c r="E49" s="15" t="s">
        <v>98</v>
      </c>
      <c r="F49" s="15" t="s">
        <v>99</v>
      </c>
    </row>
    <row r="50" customFormat="false" ht="15" hidden="false" customHeight="false" outlineLevel="0" collapsed="false">
      <c r="A50" s="6"/>
      <c r="B50" s="6"/>
      <c r="C50" s="6"/>
      <c r="D50" s="6"/>
      <c r="E50" s="6"/>
      <c r="F50" s="6"/>
    </row>
    <row r="51" customFormat="false" ht="15" hidden="false" customHeight="false" outlineLevel="0" collapsed="false">
      <c r="A51" s="6"/>
      <c r="B51" s="16" t="s">
        <v>100</v>
      </c>
      <c r="C51" s="17"/>
      <c r="D51" s="17"/>
      <c r="E51" s="17"/>
      <c r="F51" s="17"/>
    </row>
    <row r="52" customFormat="false" ht="15" hidden="false" customHeight="false" outlineLevel="0" collapsed="false">
      <c r="A52" s="6"/>
      <c r="B52" s="18" t="s">
        <v>101</v>
      </c>
      <c r="C52" s="19" t="n">
        <v>18</v>
      </c>
      <c r="D52" s="15" t="s">
        <v>102</v>
      </c>
      <c r="E52" s="6"/>
      <c r="F52" s="15" t="s">
        <v>103</v>
      </c>
    </row>
    <row r="53" customFormat="false" ht="15" hidden="false" customHeight="false" outlineLevel="0" collapsed="false">
      <c r="A53" s="6"/>
      <c r="B53" s="18" t="s">
        <v>104</v>
      </c>
      <c r="C53" s="19" t="n">
        <v>35</v>
      </c>
      <c r="D53" s="15" t="s">
        <v>102</v>
      </c>
      <c r="E53" s="6"/>
      <c r="F53" s="15" t="s">
        <v>103</v>
      </c>
    </row>
    <row r="54" customFormat="false" ht="15" hidden="false" customHeight="false" outlineLevel="0" collapsed="false">
      <c r="A54" s="6"/>
      <c r="B54" s="6"/>
      <c r="C54" s="6"/>
      <c r="D54" s="6"/>
      <c r="E54" s="6"/>
      <c r="F54" s="6"/>
    </row>
    <row r="55" customFormat="false" ht="15" hidden="false" customHeight="false" outlineLevel="0" collapsed="false">
      <c r="A55" s="6"/>
      <c r="B55" s="16" t="s">
        <v>105</v>
      </c>
      <c r="C55" s="17"/>
      <c r="D55" s="17"/>
      <c r="E55" s="17"/>
      <c r="F55" s="17"/>
    </row>
    <row r="56" customFormat="false" ht="15" hidden="false" customHeight="false" outlineLevel="0" collapsed="false">
      <c r="A56" s="6"/>
      <c r="B56" s="18" t="s">
        <v>106</v>
      </c>
      <c r="C56" s="20" t="n">
        <v>0.25</v>
      </c>
      <c r="D56" s="15" t="s">
        <v>32</v>
      </c>
      <c r="E56" s="6"/>
      <c r="F56" s="15" t="s">
        <v>107</v>
      </c>
    </row>
    <row r="57" customFormat="false" ht="15" hidden="false" customHeight="false" outlineLevel="0" collapsed="false">
      <c r="A57" s="6"/>
      <c r="B57" s="18" t="s">
        <v>108</v>
      </c>
      <c r="C57" s="21" t="n">
        <v>0</v>
      </c>
      <c r="D57" s="15" t="s">
        <v>38</v>
      </c>
      <c r="E57" s="6"/>
      <c r="F57" s="15" t="s">
        <v>109</v>
      </c>
    </row>
    <row r="58" customFormat="false" ht="15" hidden="false" customHeight="false" outlineLevel="0" collapsed="false">
      <c r="A58" s="6"/>
      <c r="B58" s="18" t="s">
        <v>110</v>
      </c>
      <c r="C58" s="20" t="n">
        <v>0.105</v>
      </c>
      <c r="D58" s="15" t="s">
        <v>32</v>
      </c>
      <c r="E58" s="6"/>
      <c r="F58" s="15" t="s">
        <v>111</v>
      </c>
    </row>
    <row r="59" customFormat="false" ht="15" hidden="false" customHeight="false" outlineLevel="0" collapsed="false">
      <c r="A59" s="6"/>
      <c r="B59" s="18" t="s">
        <v>112</v>
      </c>
      <c r="C59" s="20" t="n">
        <v>0.02</v>
      </c>
      <c r="D59" s="15" t="s">
        <v>32</v>
      </c>
      <c r="E59" s="6"/>
      <c r="F59" s="15" t="s">
        <v>113</v>
      </c>
    </row>
    <row r="60" customFormat="false" ht="15" hidden="false" customHeight="false" outlineLevel="0" collapsed="false">
      <c r="A60" s="6"/>
      <c r="B60" s="6"/>
      <c r="C60" s="6"/>
      <c r="D60" s="6"/>
      <c r="E60" s="6"/>
      <c r="F60" s="6"/>
    </row>
    <row r="61" customFormat="false" ht="15" hidden="false" customHeight="false" outlineLevel="0" collapsed="false">
      <c r="A61" s="6"/>
      <c r="B61" s="16" t="s">
        <v>114</v>
      </c>
      <c r="C61" s="17"/>
      <c r="D61" s="17"/>
      <c r="E61" s="17"/>
      <c r="F61" s="17"/>
    </row>
    <row r="62" customFormat="false" ht="15" hidden="false" customHeight="false" outlineLevel="0" collapsed="false">
      <c r="A62" s="6"/>
      <c r="B62" s="18" t="s">
        <v>115</v>
      </c>
      <c r="C62" s="20" t="n">
        <v>0</v>
      </c>
      <c r="D62" s="15" t="s">
        <v>32</v>
      </c>
      <c r="E62" s="15" t="s">
        <v>116</v>
      </c>
      <c r="F62" s="6"/>
    </row>
    <row r="63" customFormat="false" ht="15" hidden="false" customHeight="false" outlineLevel="0" collapsed="false">
      <c r="A63" s="6"/>
      <c r="B63" s="18" t="s">
        <v>117</v>
      </c>
      <c r="C63" s="20" t="n">
        <v>0</v>
      </c>
      <c r="D63" s="15" t="s">
        <v>32</v>
      </c>
      <c r="E63" s="15" t="s">
        <v>118</v>
      </c>
      <c r="F63" s="6"/>
    </row>
    <row r="64" customFormat="false" ht="15" hidden="false" customHeight="false" outlineLevel="0" collapsed="false">
      <c r="A64" s="6"/>
      <c r="B64" s="18" t="s">
        <v>119</v>
      </c>
      <c r="C64" s="20" t="n">
        <v>0</v>
      </c>
      <c r="D64" s="15" t="s">
        <v>32</v>
      </c>
      <c r="E64" s="15" t="s">
        <v>120</v>
      </c>
      <c r="F64" s="6"/>
    </row>
    <row r="65" customFormat="false" ht="15" hidden="false" customHeight="false" outlineLevel="0" collapsed="false">
      <c r="A65" s="6"/>
      <c r="B65" s="6"/>
      <c r="C65" s="6"/>
      <c r="D65" s="6"/>
      <c r="E65" s="6"/>
      <c r="F65" s="6"/>
    </row>
    <row r="66" customFormat="false" ht="15" hidden="false" customHeight="false" outlineLevel="0" collapsed="false">
      <c r="A66" s="6"/>
      <c r="B66" s="16" t="s">
        <v>121</v>
      </c>
      <c r="C66" s="17"/>
      <c r="D66" s="17"/>
      <c r="E66" s="17"/>
      <c r="F66" s="17"/>
    </row>
    <row r="67" customFormat="false" ht="15" hidden="false" customHeight="false" outlineLevel="0" collapsed="false">
      <c r="A67" s="6"/>
      <c r="B67" s="18" t="s">
        <v>122</v>
      </c>
      <c r="C67" s="21" t="n">
        <v>6500000</v>
      </c>
      <c r="D67" s="15" t="s">
        <v>38</v>
      </c>
      <c r="E67" s="15" t="s">
        <v>123</v>
      </c>
      <c r="F67" s="15" t="s">
        <v>109</v>
      </c>
    </row>
    <row r="68" customFormat="false" ht="15" hidden="false" customHeight="false" outlineLevel="0" collapsed="false">
      <c r="A68" s="6"/>
      <c r="B68" s="18" t="s">
        <v>124</v>
      </c>
      <c r="C68" s="21" t="n">
        <v>700000</v>
      </c>
      <c r="D68" s="15" t="s">
        <v>38</v>
      </c>
      <c r="E68" s="6"/>
      <c r="F68" s="15" t="s">
        <v>109</v>
      </c>
    </row>
    <row r="69" customFormat="false" ht="15" hidden="false" customHeight="false" outlineLevel="0" collapsed="false">
      <c r="A69" s="6"/>
      <c r="B69" s="18" t="s">
        <v>125</v>
      </c>
      <c r="C69" s="21" t="n">
        <v>200000</v>
      </c>
      <c r="D69" s="15" t="s">
        <v>38</v>
      </c>
      <c r="E69" s="6"/>
      <c r="F69" s="15" t="s">
        <v>109</v>
      </c>
    </row>
    <row r="70" customFormat="false" ht="15" hidden="false" customHeight="false" outlineLevel="0" collapsed="false">
      <c r="A70" s="6"/>
      <c r="B70" s="18" t="s">
        <v>126</v>
      </c>
      <c r="C70" s="21" t="n">
        <v>6898262</v>
      </c>
      <c r="D70" s="15" t="s">
        <v>38</v>
      </c>
      <c r="E70" s="15" t="s">
        <v>127</v>
      </c>
      <c r="F70" s="15" t="s">
        <v>128</v>
      </c>
    </row>
    <row r="71" customFormat="false" ht="15" hidden="false" customHeight="false" outlineLevel="0" collapsed="false">
      <c r="A71" s="6"/>
      <c r="B71" s="18" t="s">
        <v>129</v>
      </c>
      <c r="C71" s="21" t="n">
        <v>0</v>
      </c>
      <c r="D71" s="15" t="s">
        <v>38</v>
      </c>
      <c r="E71" s="15" t="s">
        <v>109</v>
      </c>
      <c r="F71" s="6"/>
    </row>
    <row r="72" customFormat="false" ht="15" hidden="false" customHeight="false" outlineLevel="0" collapsed="false">
      <c r="A72" s="6"/>
      <c r="B72" s="18" t="s">
        <v>130</v>
      </c>
      <c r="C72" s="21" t="n">
        <v>0</v>
      </c>
      <c r="D72" s="15" t="s">
        <v>38</v>
      </c>
      <c r="E72" s="15" t="s">
        <v>109</v>
      </c>
      <c r="F72" s="6"/>
    </row>
    <row r="73" customFormat="false" ht="15" hidden="false" customHeight="false" outlineLevel="0" collapsed="false">
      <c r="A73" s="6"/>
      <c r="B73" s="18" t="s">
        <v>131</v>
      </c>
      <c r="C73" s="20" t="n">
        <v>0</v>
      </c>
      <c r="D73" s="15" t="s">
        <v>32</v>
      </c>
      <c r="E73" s="6"/>
      <c r="F73" s="15" t="s">
        <v>33</v>
      </c>
    </row>
    <row r="74" customFormat="false" ht="15" hidden="false" customHeight="false" outlineLevel="0" collapsed="false">
      <c r="A74" s="6"/>
      <c r="B74" s="18" t="s">
        <v>132</v>
      </c>
      <c r="C74" s="19" t="n">
        <v>2026</v>
      </c>
      <c r="D74" s="6"/>
      <c r="E74" s="6"/>
      <c r="F74"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48235"/>
    <pageSetUpPr fitToPage="false"/>
  </sheetPr>
  <dimension ref="A1:AD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136</v>
      </c>
      <c r="C9" s="17"/>
      <c r="D9" s="17"/>
      <c r="E9" s="17"/>
      <c r="F9" s="17"/>
      <c r="G9" s="17"/>
    </row>
    <row r="10" customFormat="false" ht="15" hidden="false" customHeight="false" outlineLevel="0" collapsed="false">
      <c r="A10" s="6"/>
      <c r="B10" s="26" t="s">
        <v>137</v>
      </c>
      <c r="C10" s="27" t="n">
        <f aca="false">Opening_Fleet</f>
        <v>500</v>
      </c>
      <c r="D10" s="27" t="n">
        <f aca="false">C15</f>
        <v>525</v>
      </c>
      <c r="E10" s="27" t="n">
        <f aca="false">D15</f>
        <v>551</v>
      </c>
      <c r="F10" s="27" t="n">
        <f aca="false">E15</f>
        <v>579</v>
      </c>
      <c r="G10" s="27" t="n">
        <f aca="false">F15</f>
        <v>608</v>
      </c>
    </row>
    <row r="11" customFormat="false" ht="15" hidden="false" customHeight="false" outlineLevel="0" collapsed="false">
      <c r="A11" s="6"/>
      <c r="B11" s="26" t="s">
        <v>138</v>
      </c>
      <c r="C11" s="27" t="n">
        <f aca="false">ROUND(C10/Holding_Period_Yrs,0)</f>
        <v>250</v>
      </c>
      <c r="D11" s="27" t="n">
        <f aca="false">ROUND(D10/Holding_Period_Yrs,0)</f>
        <v>263</v>
      </c>
      <c r="E11" s="27" t="n">
        <f aca="false">ROUND(E10/Holding_Period_Yrs,0)</f>
        <v>276</v>
      </c>
      <c r="F11" s="27" t="n">
        <f aca="false">ROUND(F10/Holding_Period_Yrs,0)</f>
        <v>290</v>
      </c>
      <c r="G11" s="27" t="n">
        <f aca="false">ROUND(G10/Holding_Period_Yrs,0)</f>
        <v>304</v>
      </c>
    </row>
    <row r="12" customFormat="false" ht="15" hidden="false" customHeight="false" outlineLevel="0" collapsed="false">
      <c r="A12" s="6"/>
      <c r="B12" s="26" t="s">
        <v>139</v>
      </c>
      <c r="C12" s="27" t="n">
        <f aca="false">C11</f>
        <v>250</v>
      </c>
      <c r="D12" s="27" t="n">
        <f aca="false">D11</f>
        <v>263</v>
      </c>
      <c r="E12" s="27" t="n">
        <f aca="false">E11</f>
        <v>276</v>
      </c>
      <c r="F12" s="27" t="n">
        <f aca="false">F11</f>
        <v>290</v>
      </c>
      <c r="G12" s="27" t="n">
        <f aca="false">G11</f>
        <v>304</v>
      </c>
    </row>
    <row r="13" customFormat="false" ht="15" hidden="false" customHeight="false" outlineLevel="0" collapsed="false">
      <c r="A13" s="6"/>
      <c r="B13" s="26" t="s">
        <v>140</v>
      </c>
      <c r="C13" s="27" t="n">
        <f aca="false">ROUND(C10*Fleet_Growth_Rate,0)</f>
        <v>25</v>
      </c>
      <c r="D13" s="27" t="n">
        <f aca="false">ROUND(D10*Fleet_Growth_Rate,0)</f>
        <v>26</v>
      </c>
      <c r="E13" s="27" t="n">
        <f aca="false">ROUND(E10*Fleet_Growth_Rate,0)</f>
        <v>28</v>
      </c>
      <c r="F13" s="27" t="n">
        <f aca="false">ROUND(F10*Fleet_Growth_Rate,0)</f>
        <v>29</v>
      </c>
      <c r="G13" s="27" t="n">
        <f aca="false">ROUND(G10*Fleet_Growth_Rate,0)</f>
        <v>30</v>
      </c>
    </row>
    <row r="14" customFormat="false" ht="15" hidden="false" customHeight="false" outlineLevel="0" collapsed="false">
      <c r="A14" s="6"/>
      <c r="B14" s="28" t="s">
        <v>141</v>
      </c>
      <c r="C14" s="29" t="n">
        <f aca="false">C12+C13</f>
        <v>275</v>
      </c>
      <c r="D14" s="29" t="n">
        <f aca="false">D12+D13</f>
        <v>289</v>
      </c>
      <c r="E14" s="29" t="n">
        <f aca="false">E12+E13</f>
        <v>304</v>
      </c>
      <c r="F14" s="29" t="n">
        <f aca="false">F12+F13</f>
        <v>319</v>
      </c>
      <c r="G14" s="29" t="n">
        <f aca="false">G12+G13</f>
        <v>334</v>
      </c>
    </row>
    <row r="15" customFormat="false" ht="15" hidden="false" customHeight="false" outlineLevel="0" collapsed="false">
      <c r="A15" s="6"/>
      <c r="B15" s="28" t="s">
        <v>142</v>
      </c>
      <c r="C15" s="30" t="n">
        <f aca="false">C10-C11+C14</f>
        <v>525</v>
      </c>
      <c r="D15" s="30" t="n">
        <f aca="false">D10-D11+D14</f>
        <v>551</v>
      </c>
      <c r="E15" s="30" t="n">
        <f aca="false">E10-E11+E14</f>
        <v>579</v>
      </c>
      <c r="F15" s="30" t="n">
        <f aca="false">F10-F11+F14</f>
        <v>608</v>
      </c>
      <c r="G15" s="30" t="n">
        <f aca="false">G10-G11+G14</f>
        <v>638</v>
      </c>
    </row>
    <row r="16" customFormat="false" ht="15" hidden="false" customHeight="false" outlineLevel="0" collapsed="false">
      <c r="A16" s="6"/>
      <c r="B16" s="26" t="s">
        <v>143</v>
      </c>
      <c r="C16" s="27" t="n">
        <f aca="false">(C10+C15)/2</f>
        <v>512.5</v>
      </c>
      <c r="D16" s="27" t="n">
        <f aca="false">(D10+D15)/2</f>
        <v>538</v>
      </c>
      <c r="E16" s="27" t="n">
        <f aca="false">(E10+E15)/2</f>
        <v>565</v>
      </c>
      <c r="F16" s="27" t="n">
        <f aca="false">(F10+F15)/2</f>
        <v>593.5</v>
      </c>
      <c r="G16" s="27" t="n">
        <f aca="false">(G10+G15)/2</f>
        <v>623</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16" t="s">
        <v>144</v>
      </c>
      <c r="C18" s="17"/>
      <c r="D18" s="17"/>
      <c r="E18" s="17"/>
      <c r="F18" s="17"/>
      <c r="G18" s="17"/>
    </row>
    <row r="19" customFormat="false" ht="15" hidden="false" customHeight="false" outlineLevel="0" collapsed="false">
      <c r="A19" s="6"/>
      <c r="B19" s="26" t="s">
        <v>145</v>
      </c>
      <c r="C19" s="31" t="n">
        <f aca="false">Purchase_Price*(1+Purchase_Price_Inflation)^(C7-1)</f>
        <v>32000</v>
      </c>
      <c r="D19" s="31" t="n">
        <f aca="false">Purchase_Price*(1+Purchase_Price_Inflation)^(D7-1)</f>
        <v>32640</v>
      </c>
      <c r="E19" s="31" t="n">
        <f aca="false">Purchase_Price*(1+Purchase_Price_Inflation)^(E7-1)</f>
        <v>33292.8</v>
      </c>
      <c r="F19" s="31" t="n">
        <f aca="false">Purchase_Price*(1+Purchase_Price_Inflation)^(F7-1)</f>
        <v>33958.656</v>
      </c>
      <c r="G19" s="31" t="n">
        <f aca="false">Purchase_Price*(1+Purchase_Price_Inflation)^(G7-1)</f>
        <v>34637.82912</v>
      </c>
    </row>
    <row r="20" customFormat="false" ht="15" hidden="false" customHeight="false" outlineLevel="0" collapsed="false">
      <c r="A20" s="6"/>
      <c r="B20" s="26" t="s">
        <v>146</v>
      </c>
      <c r="C20" s="31" t="n">
        <f aca="false">C19*Residual_Value_Pct</f>
        <v>20800</v>
      </c>
      <c r="D20" s="31" t="n">
        <f aca="false">D19*Residual_Value_Pct</f>
        <v>21216</v>
      </c>
      <c r="E20" s="31" t="n">
        <f aca="false">E19*Residual_Value_Pct</f>
        <v>21640.32</v>
      </c>
      <c r="F20" s="31" t="n">
        <f aca="false">F19*Residual_Value_Pct</f>
        <v>22073.1264</v>
      </c>
      <c r="G20" s="31" t="n">
        <f aca="false">G19*Residual_Value_Pct</f>
        <v>22514.588928</v>
      </c>
    </row>
    <row r="21" customFormat="false" ht="15" hidden="false" customHeight="false" outlineLevel="0" collapsed="false">
      <c r="A21" s="6"/>
      <c r="B21" s="26" t="s">
        <v>147</v>
      </c>
      <c r="C21" s="31" t="n">
        <f aca="false">(C19-C20)/Holding_Period_Yrs</f>
        <v>5600</v>
      </c>
      <c r="D21" s="31" t="n">
        <f aca="false">(D19-D20)/Holding_Period_Yrs</f>
        <v>5712</v>
      </c>
      <c r="E21" s="31" t="n">
        <f aca="false">(E19-E20)/Holding_Period_Yrs</f>
        <v>5826.24</v>
      </c>
      <c r="F21" s="31" t="n">
        <f aca="false">(F19-F20)/Holding_Period_Yrs</f>
        <v>5942.7648</v>
      </c>
      <c r="G21" s="31" t="n">
        <f aca="false">(G19-G20)/Holding_Period_Yrs</f>
        <v>6061.620096</v>
      </c>
    </row>
    <row r="22" customFormat="false" ht="15" hidden="false" customHeight="false" outlineLevel="0" collapsed="false">
      <c r="A22" s="6"/>
      <c r="B22" s="26" t="s">
        <v>148</v>
      </c>
      <c r="C22" s="31" t="n">
        <f aca="false">Purchase_Price</f>
        <v>32000</v>
      </c>
      <c r="D22" s="31" t="n">
        <f aca="false">Purchase_Price*(1+Purchase_Price_Inflation)^MAX(0,(D7-1-Holding_Period_Yrs))</f>
        <v>32000</v>
      </c>
      <c r="E22" s="31" t="n">
        <f aca="false">Purchase_Price*(1+Purchase_Price_Inflation)^MAX(0,(E7-1-Holding_Period_Yrs))</f>
        <v>32000</v>
      </c>
      <c r="F22" s="31" t="n">
        <f aca="false">Purchase_Price*(1+Purchase_Price_Inflation)^MAX(0,(F7-1-Holding_Period_Yrs))</f>
        <v>32640</v>
      </c>
      <c r="G22" s="31" t="n">
        <f aca="false">Purchase_Price*(1+Purchase_Price_Inflation)^MAX(0,(G7-1-Holding_Period_Yrs))</f>
        <v>33292.8</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16" t="s">
        <v>149</v>
      </c>
      <c r="C24" s="17"/>
      <c r="D24" s="17"/>
      <c r="E24" s="17"/>
      <c r="F24" s="17"/>
      <c r="G24" s="17"/>
    </row>
    <row r="25" customFormat="false" ht="15" hidden="false" customHeight="false" outlineLevel="0" collapsed="false">
      <c r="A25" s="6"/>
      <c r="B25" s="26" t="s">
        <v>150</v>
      </c>
      <c r="C25" s="32" t="n">
        <f aca="false">Opening_Fleet*Purchase_Price</f>
        <v>16000000</v>
      </c>
      <c r="D25" s="32" t="n">
        <f aca="false">C28</f>
        <v>16800000</v>
      </c>
      <c r="E25" s="32" t="n">
        <f aca="false">D28</f>
        <v>17816960</v>
      </c>
      <c r="F25" s="32" t="n">
        <f aca="false">E28</f>
        <v>19105971.2</v>
      </c>
      <c r="G25" s="32" t="n">
        <f aca="false">F28</f>
        <v>20473182.464</v>
      </c>
    </row>
    <row r="26" customFormat="false" ht="15" hidden="false" customHeight="false" outlineLevel="0" collapsed="false">
      <c r="A26" s="6"/>
      <c r="B26" s="26" t="s">
        <v>151</v>
      </c>
      <c r="C26" s="32" t="n">
        <f aca="false">C14*C19</f>
        <v>8800000</v>
      </c>
      <c r="D26" s="32" t="n">
        <f aca="false">D14*D19</f>
        <v>9432960</v>
      </c>
      <c r="E26" s="32" t="n">
        <f aca="false">E14*E19</f>
        <v>10121011.2</v>
      </c>
      <c r="F26" s="32" t="n">
        <f aca="false">F14*F19</f>
        <v>10832811.264</v>
      </c>
      <c r="G26" s="32" t="n">
        <f aca="false">G14*G19</f>
        <v>11569034.92608</v>
      </c>
    </row>
    <row r="27" customFormat="false" ht="15" hidden="false" customHeight="false" outlineLevel="0" collapsed="false">
      <c r="A27" s="6"/>
      <c r="B27" s="26" t="s">
        <v>152</v>
      </c>
      <c r="C27" s="32" t="n">
        <f aca="false">C11*C22</f>
        <v>8000000</v>
      </c>
      <c r="D27" s="32" t="n">
        <f aca="false">D11*D22</f>
        <v>8416000</v>
      </c>
      <c r="E27" s="32" t="n">
        <f aca="false">E11*E22</f>
        <v>8832000</v>
      </c>
      <c r="F27" s="32" t="n">
        <f aca="false">F11*F22</f>
        <v>9465600</v>
      </c>
      <c r="G27" s="32" t="n">
        <f aca="false">G11*G22</f>
        <v>10121011.2</v>
      </c>
    </row>
    <row r="28" customFormat="false" ht="15" hidden="false" customHeight="false" outlineLevel="0" collapsed="false">
      <c r="A28" s="6"/>
      <c r="B28" s="28" t="s">
        <v>153</v>
      </c>
      <c r="C28" s="33" t="n">
        <f aca="false">C25+C26-C27</f>
        <v>16800000</v>
      </c>
      <c r="D28" s="33" t="n">
        <f aca="false">D25+D26-D27</f>
        <v>17816960</v>
      </c>
      <c r="E28" s="33" t="n">
        <f aca="false">E25+E26-E27</f>
        <v>19105971.2</v>
      </c>
      <c r="F28" s="33" t="n">
        <f aca="false">F25+F26-F27</f>
        <v>20473182.464</v>
      </c>
      <c r="G28" s="33" t="n">
        <f aca="false">G25+G26-G27</f>
        <v>21921206.19008</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16" t="s">
        <v>154</v>
      </c>
      <c r="C30" s="17"/>
      <c r="D30" s="17"/>
      <c r="E30" s="17"/>
      <c r="F30" s="17"/>
      <c r="G30" s="17"/>
    </row>
    <row r="31" customFormat="false" ht="15" hidden="false" customHeight="false" outlineLevel="0" collapsed="false">
      <c r="A31" s="6"/>
      <c r="B31" s="26" t="s">
        <v>155</v>
      </c>
      <c r="C31" s="32" t="n">
        <f aca="false">Opening_Fleet*(Purchase_Price-Purchase_Price*Residual_Value_Pct)/Holding_Period_Yrs*(Fleet_Age_Months/(Holding_Period_Yrs*12))</f>
        <v>1400000</v>
      </c>
      <c r="D31" s="32" t="n">
        <f aca="false">C34</f>
        <v>1470000</v>
      </c>
      <c r="E31" s="32" t="n">
        <f aca="false">D34</f>
        <v>1597456</v>
      </c>
      <c r="F31" s="32" t="n">
        <f aca="false">E34</f>
        <v>1798081.6</v>
      </c>
      <c r="G31" s="32" t="n">
        <f aca="false">F34</f>
        <v>2012152.5088</v>
      </c>
    </row>
    <row r="32" customFormat="false" ht="15" hidden="false" customHeight="false" outlineLevel="0" collapsed="false">
      <c r="A32" s="6"/>
      <c r="B32" s="26" t="s">
        <v>156</v>
      </c>
      <c r="C32" s="32" t="n">
        <f aca="false">C16*C21</f>
        <v>2870000</v>
      </c>
      <c r="D32" s="32" t="n">
        <f aca="false">D16*D21</f>
        <v>3073056</v>
      </c>
      <c r="E32" s="32" t="n">
        <f aca="false">E16*E21</f>
        <v>3291825.6</v>
      </c>
      <c r="F32" s="32" t="n">
        <f aca="false">F16*F21</f>
        <v>3527030.9088</v>
      </c>
      <c r="G32" s="32" t="n">
        <f aca="false">G16*G21</f>
        <v>3776389.319808</v>
      </c>
    </row>
    <row r="33" customFormat="false" ht="15" hidden="false" customHeight="false" outlineLevel="0" collapsed="false">
      <c r="A33" s="6"/>
      <c r="B33" s="26" t="s">
        <v>157</v>
      </c>
      <c r="C33" s="32" t="n">
        <f aca="false">C11*C22*(1-Residual_Value_Pct)</f>
        <v>2800000</v>
      </c>
      <c r="D33" s="32" t="n">
        <f aca="false">D11*D22*(1-Residual_Value_Pct)</f>
        <v>2945600</v>
      </c>
      <c r="E33" s="32" t="n">
        <f aca="false">E11*E22*(1-Residual_Value_Pct)</f>
        <v>3091200</v>
      </c>
      <c r="F33" s="32" t="n">
        <f aca="false">F11*F22*(1-Residual_Value_Pct)</f>
        <v>3312960</v>
      </c>
      <c r="G33" s="32" t="n">
        <f aca="false">G11*G22*(1-Residual_Value_Pct)</f>
        <v>3542353.92</v>
      </c>
    </row>
    <row r="34" customFormat="false" ht="15" hidden="false" customHeight="false" outlineLevel="0" collapsed="false">
      <c r="A34" s="6"/>
      <c r="B34" s="28" t="s">
        <v>158</v>
      </c>
      <c r="C34" s="33" t="n">
        <f aca="false">C31+C32-C33</f>
        <v>1470000</v>
      </c>
      <c r="D34" s="33" t="n">
        <f aca="false">D31+D32-D33</f>
        <v>1597456</v>
      </c>
      <c r="E34" s="33" t="n">
        <f aca="false">E31+E32-E33</f>
        <v>1798081.6</v>
      </c>
      <c r="F34" s="33" t="n">
        <f aca="false">F31+F32-F33</f>
        <v>2012152.5088</v>
      </c>
      <c r="G34" s="33" t="n">
        <f aca="false">G31+G32-G33</f>
        <v>2246187.908608</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16" t="s">
        <v>159</v>
      </c>
      <c r="C36" s="17"/>
      <c r="D36" s="17"/>
      <c r="E36" s="17"/>
      <c r="F36" s="17"/>
      <c r="G36" s="17"/>
    </row>
    <row r="37" customFormat="false" ht="15" hidden="false" customHeight="false" outlineLevel="0" collapsed="false">
      <c r="A37" s="6"/>
      <c r="B37" s="28" t="s">
        <v>160</v>
      </c>
      <c r="C37" s="34" t="n">
        <f aca="false">C28-C34</f>
        <v>15330000</v>
      </c>
      <c r="D37" s="34" t="n">
        <f aca="false">D28-D34</f>
        <v>16219504</v>
      </c>
      <c r="E37" s="34" t="n">
        <f aca="false">E28-E34</f>
        <v>17307889.6</v>
      </c>
      <c r="F37" s="34" t="n">
        <f aca="false">F28-F34</f>
        <v>18461029.9552</v>
      </c>
      <c r="G37" s="34" t="n">
        <f aca="false">G28-G34</f>
        <v>19675018.281472</v>
      </c>
    </row>
    <row r="38" customFormat="false" ht="15" hidden="false" customHeight="false" outlineLevel="0" collapsed="false">
      <c r="A38" s="6"/>
      <c r="B38" s="26" t="s">
        <v>161</v>
      </c>
      <c r="C38" s="31" t="n">
        <f aca="false">C37/C15</f>
        <v>29200</v>
      </c>
      <c r="D38" s="31" t="n">
        <f aca="false">D37/D15</f>
        <v>29436.4863883848</v>
      </c>
      <c r="E38" s="31" t="n">
        <f aca="false">E37/E15</f>
        <v>29892.7281519862</v>
      </c>
      <c r="F38" s="31" t="n">
        <f aca="false">F37/F15</f>
        <v>30363.5361105263</v>
      </c>
      <c r="G38" s="31" t="n">
        <f aca="false">G37/G15</f>
        <v>30838.5866480752</v>
      </c>
    </row>
    <row r="39" customFormat="false" ht="15" hidden="false" customHeight="false" outlineLevel="0" collapsed="false">
      <c r="A39" s="6"/>
      <c r="B39" s="26" t="s">
        <v>162</v>
      </c>
      <c r="C39" s="32" t="n">
        <f aca="false">C11*C22*Residual_Value_Pct</f>
        <v>5200000</v>
      </c>
      <c r="D39" s="32" t="n">
        <f aca="false">D11*D22*Residual_Value_Pct</f>
        <v>5470400</v>
      </c>
      <c r="E39" s="32" t="n">
        <f aca="false">E11*E22*Residual_Value_Pct</f>
        <v>5740800</v>
      </c>
      <c r="F39" s="32" t="n">
        <f aca="false">F11*F22*Residual_Value_Pct</f>
        <v>6152640</v>
      </c>
      <c r="G39" s="32" t="n">
        <f aca="false">G11*G22*Residual_Value_Pct</f>
        <v>6578657.28</v>
      </c>
    </row>
    <row r="40" customFormat="false" ht="15" hidden="false" customHeight="false" outlineLevel="0" collapsed="false">
      <c r="A40" s="6"/>
      <c r="B40" s="26" t="s">
        <v>163</v>
      </c>
      <c r="C40" s="35" t="n">
        <f aca="false">Holding_Period_Yrs/2</f>
        <v>1</v>
      </c>
      <c r="D40" s="35" t="n">
        <f aca="false">Holding_Period_Yrs/2</f>
        <v>1</v>
      </c>
      <c r="E40" s="35" t="n">
        <f aca="false">Holding_Period_Yrs/2</f>
        <v>1</v>
      </c>
      <c r="F40" s="35" t="n">
        <f aca="false">Holding_Period_Yrs/2</f>
        <v>1</v>
      </c>
      <c r="G40" s="35" t="n">
        <f aca="false">Holding_Period_Yrs/2</f>
        <v>1</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16" t="s">
        <v>164</v>
      </c>
      <c r="C42" s="17"/>
      <c r="D42" s="17"/>
      <c r="E42" s="17"/>
      <c r="F42" s="17"/>
      <c r="G42" s="17"/>
    </row>
    <row r="43" customFormat="false" ht="15" hidden="false" customHeight="false" outlineLevel="0" collapsed="false">
      <c r="A43" s="6"/>
      <c r="B43" s="26" t="s">
        <v>165</v>
      </c>
      <c r="C43" s="32" t="n">
        <f aca="false">C11*C22*Market_Residual_Pct*(1+Residual_Shock_Pct)</f>
        <v>4960000</v>
      </c>
      <c r="D43" s="32" t="n">
        <f aca="false">D11*D22*Market_Residual_Pct*(1+Residual_Shock_Pct)</f>
        <v>5217920</v>
      </c>
      <c r="E43" s="32" t="n">
        <f aca="false">E11*E22*Market_Residual_Pct*(1+Residual_Shock_Pct)</f>
        <v>5475840</v>
      </c>
      <c r="F43" s="32" t="n">
        <f aca="false">F11*F22*Market_Residual_Pct*(1+Residual_Shock_Pct)</f>
        <v>5868672</v>
      </c>
      <c r="G43" s="32" t="n">
        <f aca="false">G11*G22*Market_Residual_Pct*(1+Residual_Shock_Pct)</f>
        <v>6275026.944</v>
      </c>
    </row>
    <row r="44" customFormat="false" ht="15" hidden="false" customHeight="false" outlineLevel="0" collapsed="false">
      <c r="A44" s="6"/>
      <c r="B44" s="26" t="s">
        <v>166</v>
      </c>
      <c r="C44" s="32" t="n">
        <f aca="false">C39</f>
        <v>5200000</v>
      </c>
      <c r="D44" s="32" t="n">
        <f aca="false">D39</f>
        <v>5470400</v>
      </c>
      <c r="E44" s="32" t="n">
        <f aca="false">E39</f>
        <v>5740800</v>
      </c>
      <c r="F44" s="32" t="n">
        <f aca="false">F39</f>
        <v>6152640</v>
      </c>
      <c r="G44" s="32" t="n">
        <f aca="false">G39</f>
        <v>6578657.28</v>
      </c>
    </row>
    <row r="45" customFormat="false" ht="15" hidden="false" customHeight="false" outlineLevel="0" collapsed="false">
      <c r="A45" s="6"/>
      <c r="B45" s="28" t="s">
        <v>167</v>
      </c>
      <c r="C45" s="33" t="n">
        <f aca="false">C43-C44</f>
        <v>-240000</v>
      </c>
      <c r="D45" s="33" t="n">
        <f aca="false">D43-D44</f>
        <v>-252480</v>
      </c>
      <c r="E45" s="33" t="n">
        <f aca="false">E43-E44</f>
        <v>-264960</v>
      </c>
      <c r="F45" s="33" t="n">
        <f aca="false">F43-F44</f>
        <v>-283968</v>
      </c>
      <c r="G45" s="33" t="n">
        <f aca="false">G43-G44</f>
        <v>-303630.336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168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169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170</v>
      </c>
      <c r="C9" s="17"/>
      <c r="D9" s="17"/>
      <c r="E9" s="17"/>
      <c r="F9" s="17"/>
      <c r="G9" s="17"/>
    </row>
    <row r="10" customFormat="false" ht="15" hidden="false" customHeight="false" outlineLevel="0" collapsed="false">
      <c r="A10" s="6"/>
      <c r="B10" s="26" t="s">
        <v>143</v>
      </c>
      <c r="C10" s="27" t="n">
        <f aca="false">Fleet_Roll_Forward!C16</f>
        <v>512.5</v>
      </c>
      <c r="D10" s="27" t="n">
        <f aca="false">Fleet_Roll_Forward!D16</f>
        <v>538</v>
      </c>
      <c r="E10" s="27" t="n">
        <f aca="false">Fleet_Roll_Forward!E16</f>
        <v>565</v>
      </c>
      <c r="F10" s="27" t="n">
        <f aca="false">Fleet_Roll_Forward!F16</f>
        <v>593.5</v>
      </c>
      <c r="G10" s="27" t="n">
        <f aca="false">Fleet_Roll_Forward!G16</f>
        <v>623</v>
      </c>
    </row>
    <row r="11" customFormat="false" ht="15" hidden="false" customHeight="false" outlineLevel="0" collapsed="false">
      <c r="A11" s="6"/>
      <c r="B11" s="26" t="s">
        <v>171</v>
      </c>
      <c r="C11" s="27" t="n">
        <f aca="false">C10*365</f>
        <v>187062.5</v>
      </c>
      <c r="D11" s="27" t="n">
        <f aca="false">D10*365</f>
        <v>196370</v>
      </c>
      <c r="E11" s="27" t="n">
        <f aca="false">E10*365</f>
        <v>206225</v>
      </c>
      <c r="F11" s="27" t="n">
        <f aca="false">F10*365</f>
        <v>216627.5</v>
      </c>
      <c r="G11" s="27" t="n">
        <f aca="false">G10*365</f>
        <v>227395</v>
      </c>
    </row>
    <row r="12" customFormat="false" ht="15" hidden="false" customHeight="false" outlineLevel="0" collapsed="false">
      <c r="A12" s="6"/>
      <c r="B12" s="26" t="s">
        <v>172</v>
      </c>
      <c r="C12" s="36" t="n">
        <f aca="false">Utilisation_Rate</f>
        <v>0.78</v>
      </c>
      <c r="D12" s="36" t="n">
        <f aca="false">Utilisation_Rate</f>
        <v>0.78</v>
      </c>
      <c r="E12" s="36" t="n">
        <f aca="false">Utilisation_Rate</f>
        <v>0.78</v>
      </c>
      <c r="F12" s="36" t="n">
        <f aca="false">Utilisation_Rate</f>
        <v>0.78</v>
      </c>
      <c r="G12" s="36" t="n">
        <f aca="false">Utilisation_Rate</f>
        <v>0.78</v>
      </c>
    </row>
    <row r="13" customFormat="false" ht="15" hidden="false" customHeight="false" outlineLevel="0" collapsed="false">
      <c r="A13" s="6"/>
      <c r="B13" s="26" t="s">
        <v>173</v>
      </c>
      <c r="C13" s="36" t="n">
        <f aca="false">C12*(1+Utilisation_Shock_Pct)</f>
        <v>0.78</v>
      </c>
      <c r="D13" s="36" t="n">
        <f aca="false">D12*(1+Utilisation_Shock_Pct)</f>
        <v>0.78</v>
      </c>
      <c r="E13" s="36" t="n">
        <f aca="false">E12*(1+Utilisation_Shock_Pct)</f>
        <v>0.78</v>
      </c>
      <c r="F13" s="36" t="n">
        <f aca="false">F12*(1+Utilisation_Shock_Pct)</f>
        <v>0.78</v>
      </c>
      <c r="G13" s="36" t="n">
        <f aca="false">G12*(1+Utilisation_Shock_Pct)</f>
        <v>0.78</v>
      </c>
    </row>
    <row r="14" customFormat="false" ht="15" hidden="false" customHeight="false" outlineLevel="0" collapsed="false">
      <c r="A14" s="6"/>
      <c r="B14" s="26" t="s">
        <v>174</v>
      </c>
      <c r="C14" s="27" t="n">
        <f aca="false">C11*C13</f>
        <v>145908.75</v>
      </c>
      <c r="D14" s="27" t="n">
        <f aca="false">D11*D13</f>
        <v>153168.6</v>
      </c>
      <c r="E14" s="27" t="n">
        <f aca="false">E11*E13</f>
        <v>160855.5</v>
      </c>
      <c r="F14" s="27" t="n">
        <f aca="false">F11*F13</f>
        <v>168969.45</v>
      </c>
      <c r="G14" s="27" t="n">
        <f aca="false">G11*G13</f>
        <v>177368.1</v>
      </c>
    </row>
    <row r="15" customFormat="false" ht="15" hidden="false" customHeight="false" outlineLevel="0" collapsed="false">
      <c r="A15" s="6"/>
      <c r="B15" s="26" t="s">
        <v>175</v>
      </c>
      <c r="C15" s="31" t="n">
        <f aca="false">RPD_Weighted</f>
        <v>50.9</v>
      </c>
      <c r="D15" s="31" t="n">
        <f aca="false">C15*(1+RPD_Growth)</f>
        <v>52.1725</v>
      </c>
      <c r="E15" s="31" t="n">
        <f aca="false">D15*(1+RPD_Growth)</f>
        <v>53.4768125</v>
      </c>
      <c r="F15" s="31" t="n">
        <f aca="false">E15*(1+RPD_Growth)</f>
        <v>54.8137328125</v>
      </c>
      <c r="G15" s="31" t="n">
        <f aca="false">F15*(1+RPD_Growth)</f>
        <v>56.1840761328125</v>
      </c>
    </row>
    <row r="16" customFormat="false" ht="15" hidden="false" customHeight="false" outlineLevel="0" collapsed="false">
      <c r="A16" s="6"/>
      <c r="B16" s="26" t="s">
        <v>176</v>
      </c>
      <c r="C16" s="31" t="n">
        <f aca="false">C15*(1+RPD_Shock_Pct)</f>
        <v>50.9</v>
      </c>
      <c r="D16" s="31" t="n">
        <f aca="false">D15*(1+RPD_Shock_Pct)</f>
        <v>52.1725</v>
      </c>
      <c r="E16" s="31" t="n">
        <f aca="false">E15*(1+RPD_Shock_Pct)</f>
        <v>53.4768125</v>
      </c>
      <c r="F16" s="31" t="n">
        <f aca="false">F15*(1+RPD_Shock_Pct)</f>
        <v>54.8137328125</v>
      </c>
      <c r="G16" s="31" t="n">
        <f aca="false">G15*(1+RPD_Shock_Pct)</f>
        <v>56.1840761328125</v>
      </c>
    </row>
    <row r="17" customFormat="false" ht="15" hidden="false" customHeight="false" outlineLevel="0" collapsed="false">
      <c r="A17" s="6"/>
      <c r="B17" s="28" t="s">
        <v>170</v>
      </c>
      <c r="C17" s="37" t="n">
        <f aca="false">C14*C16</f>
        <v>7426755.375</v>
      </c>
      <c r="D17" s="37" t="n">
        <f aca="false">D14*D16</f>
        <v>7991188.7835</v>
      </c>
      <c r="E17" s="37" t="n">
        <f aca="false">E14*E16</f>
        <v>8602039.41309375</v>
      </c>
      <c r="F17" s="37" t="n">
        <f aca="false">F14*F16</f>
        <v>9261846.28577508</v>
      </c>
      <c r="G17" s="37" t="n">
        <f aca="false">G14*G16</f>
        <v>9965262.8339323</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16" t="s">
        <v>177</v>
      </c>
      <c r="C19" s="17"/>
      <c r="D19" s="17"/>
      <c r="E19" s="17"/>
      <c r="F19" s="17"/>
      <c r="G19" s="17"/>
    </row>
    <row r="20" customFormat="false" ht="15" hidden="false" customHeight="false" outlineLevel="0" collapsed="false">
      <c r="A20" s="6"/>
      <c r="B20" s="26" t="s">
        <v>178</v>
      </c>
      <c r="C20" s="36" t="n">
        <f aca="false">Ancillary_Pct</f>
        <v>0.15</v>
      </c>
      <c r="D20" s="36" t="n">
        <f aca="false">Ancillary_Pct</f>
        <v>0.15</v>
      </c>
      <c r="E20" s="36" t="n">
        <f aca="false">Ancillary_Pct</f>
        <v>0.15</v>
      </c>
      <c r="F20" s="36" t="n">
        <f aca="false">Ancillary_Pct</f>
        <v>0.15</v>
      </c>
      <c r="G20" s="36" t="n">
        <f aca="false">Ancillary_Pct</f>
        <v>0.15</v>
      </c>
    </row>
    <row r="21" customFormat="false" ht="15" hidden="false" customHeight="false" outlineLevel="0" collapsed="false">
      <c r="A21" s="6"/>
      <c r="B21" s="26" t="s">
        <v>179</v>
      </c>
      <c r="C21" s="38" t="n">
        <f aca="false">C17*C20</f>
        <v>1114013.30625</v>
      </c>
      <c r="D21" s="38" t="n">
        <f aca="false">D17*D20</f>
        <v>1198678.317525</v>
      </c>
      <c r="E21" s="38" t="n">
        <f aca="false">E17*E20</f>
        <v>1290305.91196406</v>
      </c>
      <c r="F21" s="38" t="n">
        <f aca="false">F17*F20</f>
        <v>1389276.94286626</v>
      </c>
      <c r="G21" s="38" t="n">
        <f aca="false">G17*G20</f>
        <v>1494789.42508984</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16" t="s">
        <v>180</v>
      </c>
      <c r="C23" s="17"/>
      <c r="D23" s="17"/>
      <c r="E23" s="17"/>
      <c r="F23" s="17"/>
      <c r="G23" s="17"/>
    </row>
    <row r="24" customFormat="false" ht="15" hidden="false" customHeight="false" outlineLevel="0" collapsed="false">
      <c r="A24" s="6"/>
      <c r="B24" s="28" t="s">
        <v>180</v>
      </c>
      <c r="C24" s="39" t="n">
        <f aca="false">C17+C21</f>
        <v>8540768.68125</v>
      </c>
      <c r="D24" s="39" t="n">
        <f aca="false">D17+D21</f>
        <v>9189867.101025</v>
      </c>
      <c r="E24" s="39" t="n">
        <f aca="false">E17+E21</f>
        <v>9892345.32505781</v>
      </c>
      <c r="F24" s="39" t="n">
        <f aca="false">F17+F21</f>
        <v>10651123.2286413</v>
      </c>
      <c r="G24" s="39" t="n">
        <f aca="false">G17+G21</f>
        <v>11460052.2590221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8F00"/>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183</v>
      </c>
      <c r="C9" s="17"/>
      <c r="D9" s="17"/>
      <c r="E9" s="17"/>
      <c r="F9" s="17"/>
      <c r="G9" s="17"/>
    </row>
    <row r="10" customFormat="false" ht="15" hidden="false" customHeight="false" outlineLevel="0" collapsed="false">
      <c r="A10" s="6"/>
      <c r="B10" s="26" t="s">
        <v>184</v>
      </c>
      <c r="C10" s="38" t="n">
        <f aca="false">Revenue_Build!C17*DOE_Pct</f>
        <v>3342039.91875</v>
      </c>
      <c r="D10" s="38" t="n">
        <f aca="false">Revenue_Build!D17*DOE_Pct</f>
        <v>3596034.952575</v>
      </c>
      <c r="E10" s="38" t="n">
        <f aca="false">Revenue_Build!E17*DOE_Pct</f>
        <v>3870917.73589219</v>
      </c>
      <c r="F10" s="38" t="n">
        <f aca="false">Revenue_Build!F17*DOE_Pct</f>
        <v>4167830.82859878</v>
      </c>
      <c r="G10" s="38" t="n">
        <f aca="false">Revenue_Build!G17*DOE_Pct</f>
        <v>4484368.27526953</v>
      </c>
    </row>
    <row r="11" customFormat="false" ht="15" hidden="false" customHeight="false" outlineLevel="0" collapsed="false">
      <c r="A11" s="6"/>
      <c r="B11" s="26" t="s">
        <v>185</v>
      </c>
      <c r="C11" s="38" t="n">
        <f aca="false">Fleet_Roll_Forward!C16*Fleet_Roll_Forward!C19*Damage_Loss_Pct*(1-Insurance_Recovery_Rate)</f>
        <v>16400</v>
      </c>
      <c r="D11" s="38" t="n">
        <f aca="false">Fleet_Roll_Forward!D16*Fleet_Roll_Forward!D19*Damage_Loss_Pct*(1-Insurance_Recovery_Rate)</f>
        <v>17560.32</v>
      </c>
      <c r="E11" s="38" t="n">
        <f aca="false">Fleet_Roll_Forward!E16*Fleet_Roll_Forward!E19*Damage_Loss_Pct*(1-Insurance_Recovery_Rate)</f>
        <v>18810.432</v>
      </c>
      <c r="F11" s="38" t="n">
        <f aca="false">Fleet_Roll_Forward!F16*Fleet_Roll_Forward!F19*Damage_Loss_Pct*(1-Insurance_Recovery_Rate)</f>
        <v>20154.462336</v>
      </c>
      <c r="G11" s="38" t="n">
        <f aca="false">Fleet_Roll_Forward!G16*Fleet_Roll_Forward!G19*Damage_Loss_Pct*(1-Insurance_Recovery_Rate)</f>
        <v>21579.36754176</v>
      </c>
    </row>
    <row r="12" customFormat="false" ht="15" hidden="false" customHeight="false" outlineLevel="0" collapsed="false">
      <c r="A12" s="6"/>
      <c r="B12" s="28" t="s">
        <v>186</v>
      </c>
      <c r="C12" s="37" t="n">
        <f aca="false">C10+C11</f>
        <v>3358439.91875</v>
      </c>
      <c r="D12" s="37" t="n">
        <f aca="false">D10+D11</f>
        <v>3613595.272575</v>
      </c>
      <c r="E12" s="37" t="n">
        <f aca="false">E10+E11</f>
        <v>3889728.16789219</v>
      </c>
      <c r="F12" s="37" t="n">
        <f aca="false">F10+F11</f>
        <v>4187985.29093479</v>
      </c>
      <c r="G12" s="37" t="n">
        <f aca="false">G10+G11</f>
        <v>4505947.6428113</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16" t="s">
        <v>187</v>
      </c>
      <c r="C14" s="17"/>
      <c r="D14" s="17"/>
      <c r="E14" s="17"/>
      <c r="F14" s="17"/>
      <c r="G14" s="17"/>
    </row>
    <row r="15" customFormat="false" ht="15" hidden="false" customHeight="false" outlineLevel="0" collapsed="false">
      <c r="A15" s="6"/>
      <c r="B15" s="26" t="s">
        <v>188</v>
      </c>
      <c r="C15" s="38" t="n">
        <f aca="false">Revenue_Build!C24*SGA_Pct</f>
        <v>854076.868125</v>
      </c>
      <c r="D15" s="38" t="n">
        <f aca="false">Revenue_Build!D24*SGA_Pct</f>
        <v>918986.7101025</v>
      </c>
      <c r="E15" s="38" t="n">
        <f aca="false">Revenue_Build!E24*SGA_Pct</f>
        <v>989234.532505781</v>
      </c>
      <c r="F15" s="38" t="n">
        <f aca="false">Revenue_Build!F24*SGA_Pct</f>
        <v>1065112.32286413</v>
      </c>
      <c r="G15" s="38" t="n">
        <f aca="false">Revenue_Build!G24*SGA_Pct</f>
        <v>1146005.22590221</v>
      </c>
    </row>
    <row r="16" customFormat="false" ht="15" hidden="false" customHeight="false" outlineLevel="0" collapsed="false">
      <c r="A16" s="6"/>
      <c r="B16" s="26" t="s">
        <v>189</v>
      </c>
      <c r="C16" s="38" t="n">
        <f aca="false">Revenue_Build!C17*OTA_Channel_Share*OTA_Commission_Pct</f>
        <v>160417.9161</v>
      </c>
      <c r="D16" s="38" t="n">
        <f aca="false">Revenue_Build!D17*OTA_Channel_Share*OTA_Commission_Pct</f>
        <v>172609.6777236</v>
      </c>
      <c r="E16" s="38" t="n">
        <f aca="false">Revenue_Build!E17*OTA_Channel_Share*OTA_Commission_Pct</f>
        <v>185804.051322825</v>
      </c>
      <c r="F16" s="38" t="n">
        <f aca="false">Revenue_Build!F17*OTA_Channel_Share*OTA_Commission_Pct</f>
        <v>200055.879772742</v>
      </c>
      <c r="G16" s="38" t="n">
        <f aca="false">Revenue_Build!G17*OTA_Channel_Share*OTA_Commission_Pct</f>
        <v>215249.677212938</v>
      </c>
    </row>
    <row r="17" customFormat="false" ht="15" hidden="false" customHeight="false" outlineLevel="0" collapsed="false">
      <c r="A17" s="6"/>
      <c r="B17" s="28" t="s">
        <v>190</v>
      </c>
      <c r="C17" s="37" t="n">
        <f aca="false">C15+C16</f>
        <v>1014494.784225</v>
      </c>
      <c r="D17" s="37" t="n">
        <f aca="false">D15+D16</f>
        <v>1091596.3878261</v>
      </c>
      <c r="E17" s="37" t="n">
        <f aca="false">E15+E16</f>
        <v>1175038.58382861</v>
      </c>
      <c r="F17" s="37" t="n">
        <f aca="false">F15+F16</f>
        <v>1265168.20263688</v>
      </c>
      <c r="G17" s="37" t="n">
        <f aca="false">G15+G16</f>
        <v>1361254.90311515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16" t="s">
        <v>191</v>
      </c>
      <c r="C19" s="17"/>
      <c r="D19" s="17"/>
      <c r="E19" s="17"/>
      <c r="F19" s="17"/>
      <c r="G19" s="17"/>
    </row>
    <row r="20" customFormat="false" ht="15" hidden="false" customHeight="false" outlineLevel="0" collapsed="false">
      <c r="A20" s="6"/>
      <c r="B20" s="28" t="s">
        <v>191</v>
      </c>
      <c r="C20" s="39" t="n">
        <f aca="false">C12+C17</f>
        <v>4372934.702975</v>
      </c>
      <c r="D20" s="39" t="n">
        <f aca="false">D12+D17</f>
        <v>4705191.6604011</v>
      </c>
      <c r="E20" s="39" t="n">
        <f aca="false">E12+E17</f>
        <v>5064766.75172079</v>
      </c>
      <c r="F20" s="39" t="n">
        <f aca="false">F12+F17</f>
        <v>5453153.49357166</v>
      </c>
      <c r="G20" s="39" t="n">
        <f aca="false">G12+G17</f>
        <v>5867202.54592645</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16" t="s">
        <v>192</v>
      </c>
      <c r="C22" s="17"/>
      <c r="D22" s="17"/>
      <c r="E22" s="17"/>
      <c r="F22" s="17"/>
      <c r="G22" s="17"/>
    </row>
    <row r="23" customFormat="false" ht="15" hidden="false" customHeight="false" outlineLevel="0" collapsed="false">
      <c r="A23" s="6"/>
      <c r="B23" s="26" t="s">
        <v>193</v>
      </c>
      <c r="C23" s="38" t="n">
        <f aca="false">Revenue_Build!C24*NonFleet_Capex_Pct</f>
        <v>170815.373625</v>
      </c>
      <c r="D23" s="38" t="n">
        <f aca="false">Revenue_Build!D24*NonFleet_Capex_Pct</f>
        <v>183797.3420205</v>
      </c>
      <c r="E23" s="38" t="n">
        <f aca="false">Revenue_Build!E24*NonFleet_Capex_Pct</f>
        <v>197846.906501156</v>
      </c>
      <c r="F23" s="38" t="n">
        <f aca="false">Revenue_Build!F24*NonFleet_Capex_Pct</f>
        <v>213022.464572827</v>
      </c>
      <c r="G23" s="38" t="n">
        <f aca="false">Revenue_Build!G24*NonFleet_Capex_Pct</f>
        <v>229201.045180443</v>
      </c>
    </row>
    <row r="24" customFormat="false" ht="15" hidden="false" customHeight="false" outlineLevel="0" collapsed="false">
      <c r="A24" s="6"/>
      <c r="B24" s="26" t="s">
        <v>194</v>
      </c>
      <c r="C24" s="38" t="n">
        <f aca="false">Opening_PPE_Gross+SUM($C$23:C23)</f>
        <v>870815.373625</v>
      </c>
      <c r="D24" s="38" t="n">
        <f aca="false">Opening_PPE_Gross+SUM($C$23:D23)</f>
        <v>1054612.7156455</v>
      </c>
      <c r="E24" s="38" t="n">
        <f aca="false">Opening_PPE_Gross+SUM($C$23:E23)</f>
        <v>1252459.62214666</v>
      </c>
      <c r="F24" s="38" t="n">
        <f aca="false">Opening_PPE_Gross+SUM($C$23:F23)</f>
        <v>1465482.08671948</v>
      </c>
      <c r="G24" s="38" t="n">
        <f aca="false">Opening_PPE_Gross+SUM($C$23:G23)</f>
        <v>1694683.13189993</v>
      </c>
    </row>
    <row r="25" customFormat="false" ht="15" hidden="false" customHeight="false" outlineLevel="0" collapsed="false">
      <c r="A25" s="6"/>
      <c r="B25" s="26" t="s">
        <v>195</v>
      </c>
      <c r="C25" s="38" t="n">
        <f aca="false">C24/NonFleet_Useful_Life</f>
        <v>124402.196232143</v>
      </c>
      <c r="D25" s="38" t="n">
        <f aca="false">D24/NonFleet_Useful_Life</f>
        <v>150658.959377929</v>
      </c>
      <c r="E25" s="38" t="n">
        <f aca="false">E24/NonFleet_Useful_Life</f>
        <v>178922.803163808</v>
      </c>
      <c r="F25" s="38" t="n">
        <f aca="false">F24/NonFleet_Useful_Life</f>
        <v>209354.583817069</v>
      </c>
      <c r="G25" s="38" t="n">
        <f aca="false">G24/NonFleet_Useful_Life</f>
        <v>242097.590271418</v>
      </c>
    </row>
    <row r="26" customFormat="false" ht="15" hidden="false" customHeight="false" outlineLevel="0" collapsed="false">
      <c r="A26" s="6"/>
      <c r="B26" s="26" t="s">
        <v>196</v>
      </c>
      <c r="C26" s="38" t="n">
        <f aca="false">Opening_Accum_Depr_NF+SUM($C$25:C25)</f>
        <v>324402.196232143</v>
      </c>
      <c r="D26" s="38" t="n">
        <f aca="false">Opening_Accum_Depr_NF+SUM($C$25:D25)</f>
        <v>475061.155610071</v>
      </c>
      <c r="E26" s="38" t="n">
        <f aca="false">Opening_Accum_Depr_NF+SUM($C$25:E25)</f>
        <v>653983.95877388</v>
      </c>
      <c r="F26" s="38" t="n">
        <f aca="false">Opening_Accum_Depr_NF+SUM($C$25:F25)</f>
        <v>863338.542590949</v>
      </c>
      <c r="G26" s="38" t="n">
        <f aca="false">Opening_Accum_Depr_NF+SUM($C$25:G25)</f>
        <v>1105436.13286237</v>
      </c>
    </row>
    <row r="27" customFormat="false" ht="15" hidden="false" customHeight="false" outlineLevel="0" collapsed="false">
      <c r="A27" s="6"/>
      <c r="B27" s="26" t="s">
        <v>197</v>
      </c>
      <c r="C27" s="38" t="n">
        <f aca="false">C24-C26</f>
        <v>546413.177392857</v>
      </c>
      <c r="D27" s="38" t="n">
        <f aca="false">D24-D26</f>
        <v>579551.560035429</v>
      </c>
      <c r="E27" s="38" t="n">
        <f aca="false">E24-E26</f>
        <v>598475.663372777</v>
      </c>
      <c r="F27" s="38" t="n">
        <f aca="false">F24-F26</f>
        <v>602143.544128535</v>
      </c>
      <c r="G27" s="38" t="n">
        <f aca="false">G24-G26</f>
        <v>589246.999037559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198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199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200</v>
      </c>
      <c r="C9" s="17"/>
      <c r="D9" s="17"/>
      <c r="E9" s="17"/>
      <c r="F9" s="17"/>
      <c r="G9" s="17"/>
    </row>
    <row r="10" customFormat="false" ht="15" hidden="false" customHeight="false" outlineLevel="0" collapsed="false">
      <c r="A10" s="6"/>
      <c r="B10" s="26" t="s">
        <v>201</v>
      </c>
      <c r="C10" s="32" t="n">
        <f aca="false">Opening_Fleet*Purchase_Price*Fleet_LTV</f>
        <v>12800000</v>
      </c>
      <c r="D10" s="32" t="n">
        <f aca="false">C13</f>
        <v>13440000</v>
      </c>
      <c r="E10" s="32" t="n">
        <f aca="false">D13</f>
        <v>14253568</v>
      </c>
      <c r="F10" s="32" t="n">
        <f aca="false">E13</f>
        <v>15284776.96</v>
      </c>
      <c r="G10" s="32" t="n">
        <f aca="false">F13</f>
        <v>16378545.9712</v>
      </c>
    </row>
    <row r="11" customFormat="false" ht="15" hidden="false" customHeight="false" outlineLevel="0" collapsed="false">
      <c r="A11" s="6"/>
      <c r="B11" s="26" t="s">
        <v>202</v>
      </c>
      <c r="C11" s="32" t="n">
        <f aca="false">Fleet_Roll_Forward!C26*Fleet_LTV</f>
        <v>7040000</v>
      </c>
      <c r="D11" s="32" t="n">
        <f aca="false">Fleet_Roll_Forward!D26*Fleet_LTV</f>
        <v>7546368</v>
      </c>
      <c r="E11" s="32" t="n">
        <f aca="false">Fleet_Roll_Forward!E26*Fleet_LTV</f>
        <v>8096808.96</v>
      </c>
      <c r="F11" s="32" t="n">
        <f aca="false">Fleet_Roll_Forward!F26*Fleet_LTV</f>
        <v>8666249.0112</v>
      </c>
      <c r="G11" s="32" t="n">
        <f aca="false">Fleet_Roll_Forward!G26*Fleet_LTV</f>
        <v>9255227.940864</v>
      </c>
    </row>
    <row r="12" customFormat="false" ht="15" hidden="false" customHeight="false" outlineLevel="0" collapsed="false">
      <c r="A12" s="6"/>
      <c r="B12" s="26" t="s">
        <v>203</v>
      </c>
      <c r="C12" s="32" t="n">
        <f aca="false">Fleet_Roll_Forward!C11*Fleet_Roll_Forward!C22*Fleet_LTV</f>
        <v>6400000</v>
      </c>
      <c r="D12" s="32" t="n">
        <f aca="false">Fleet_Roll_Forward!D11*Fleet_Roll_Forward!D22*Fleet_LTV</f>
        <v>6732800</v>
      </c>
      <c r="E12" s="32" t="n">
        <f aca="false">Fleet_Roll_Forward!E11*Fleet_Roll_Forward!E22*Fleet_LTV</f>
        <v>7065600</v>
      </c>
      <c r="F12" s="32" t="n">
        <f aca="false">Fleet_Roll_Forward!F11*Fleet_Roll_Forward!F22*Fleet_LTV</f>
        <v>7572480</v>
      </c>
      <c r="G12" s="32" t="n">
        <f aca="false">Fleet_Roll_Forward!G11*Fleet_Roll_Forward!G22*Fleet_LTV</f>
        <v>8096808.96</v>
      </c>
    </row>
    <row r="13" customFormat="false" ht="15" hidden="false" customHeight="false" outlineLevel="0" collapsed="false">
      <c r="A13" s="6"/>
      <c r="B13" s="28" t="s">
        <v>204</v>
      </c>
      <c r="C13" s="33" t="n">
        <f aca="false">C10+C11-C12</f>
        <v>13440000</v>
      </c>
      <c r="D13" s="33" t="n">
        <f aca="false">D10+D11-D12</f>
        <v>14253568</v>
      </c>
      <c r="E13" s="33" t="n">
        <f aca="false">E10+E11-E12</f>
        <v>15284776.96</v>
      </c>
      <c r="F13" s="33" t="n">
        <f aca="false">F10+F11-F12</f>
        <v>16378545.9712</v>
      </c>
      <c r="G13" s="33" t="n">
        <f aca="false">G10+G11-G12</f>
        <v>17536964.952064</v>
      </c>
    </row>
    <row r="14" customFormat="false" ht="15" hidden="false" customHeight="false" outlineLevel="0" collapsed="false">
      <c r="A14" s="6"/>
      <c r="B14" s="26" t="s">
        <v>205</v>
      </c>
      <c r="C14" s="40" t="n">
        <f aca="false">C13/Fleet_Roll_Forward!C28</f>
        <v>0.8</v>
      </c>
      <c r="D14" s="40" t="n">
        <f aca="false">D13/Fleet_Roll_Forward!D28</f>
        <v>0.8</v>
      </c>
      <c r="E14" s="40" t="n">
        <f aca="false">E13/Fleet_Roll_Forward!E28</f>
        <v>0.8</v>
      </c>
      <c r="F14" s="40" t="n">
        <f aca="false">F13/Fleet_Roll_Forward!F28</f>
        <v>0.8</v>
      </c>
      <c r="G14" s="40" t="n">
        <f aca="false">G13/Fleet_Roll_Forward!G28</f>
        <v>0.8</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41" t="s">
        <v>206</v>
      </c>
      <c r="C16" s="42"/>
      <c r="D16" s="42"/>
      <c r="E16" s="42"/>
      <c r="F16" s="42"/>
      <c r="G16" s="42"/>
    </row>
    <row r="17" customFormat="false" ht="15" hidden="false" customHeight="false" outlineLevel="0" collapsed="false">
      <c r="A17" s="6"/>
      <c r="B17" s="26" t="s">
        <v>207</v>
      </c>
      <c r="C17" s="32" t="n">
        <f aca="false">C10*Fleet_Debt_Rate</f>
        <v>832000</v>
      </c>
      <c r="D17" s="32" t="n">
        <f aca="false">D10*Fleet_Debt_Rate</f>
        <v>873600</v>
      </c>
      <c r="E17" s="32" t="n">
        <f aca="false">E10*Fleet_Debt_Rate</f>
        <v>926481.92</v>
      </c>
      <c r="F17" s="32" t="n">
        <f aca="false">F10*Fleet_Debt_Rate</f>
        <v>993510.5024</v>
      </c>
      <c r="G17" s="32" t="n">
        <f aca="false">G10*Fleet_Debt_Rate</f>
        <v>1064605.488128</v>
      </c>
    </row>
    <row r="18" customFormat="false" ht="15" hidden="false" customHeight="false" outlineLevel="0" collapsed="false">
      <c r="A18" s="6"/>
      <c r="B18" s="26" t="s">
        <v>208</v>
      </c>
      <c r="C18" s="32" t="n">
        <f aca="false">C12</f>
        <v>6400000</v>
      </c>
      <c r="D18" s="32" t="n">
        <f aca="false">D12</f>
        <v>6732800</v>
      </c>
      <c r="E18" s="32" t="n">
        <f aca="false">E12</f>
        <v>7065600</v>
      </c>
      <c r="F18" s="32" t="n">
        <f aca="false">F12</f>
        <v>7572480</v>
      </c>
      <c r="G18" s="32" t="n">
        <f aca="false">G12</f>
        <v>8096808.96</v>
      </c>
    </row>
    <row r="19" customFormat="false" ht="15" hidden="false" customHeight="false" outlineLevel="0" collapsed="false">
      <c r="A19" s="6"/>
      <c r="B19" s="26" t="s">
        <v>209</v>
      </c>
      <c r="C19" s="43" t="n">
        <f aca="false">IFERROR((Income_Statement!C24-Operating_Costs!C23)/C17,0)</f>
        <v>1.35458966905048</v>
      </c>
      <c r="D19" s="43" t="n">
        <f aca="false">IFERROR((Income_Statement!D24-Operating_Costs!D23)/D17,0)</f>
        <v>1.40547401396909</v>
      </c>
      <c r="E19" s="43" t="n">
        <f aca="false">IFERROR((Income_Statement!E24-Operating_Costs!E23)/E17,0)</f>
        <v>1.44407142541525</v>
      </c>
      <c r="F19" s="43" t="n">
        <f aca="false">IFERROR((Income_Statement!F24-Operating_Costs!F23)/F17,0)</f>
        <v>1.46743930554835</v>
      </c>
      <c r="G19" s="43" t="n">
        <f aca="false">IFERROR((Income_Statement!G24-Operating_Costs!G23)/G17,0)</f>
        <v>1.49093665757659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212</v>
      </c>
      <c r="C9" s="17"/>
      <c r="D9" s="17"/>
      <c r="E9" s="17"/>
      <c r="F9" s="17"/>
      <c r="G9" s="17"/>
    </row>
    <row r="10" customFormat="false" ht="15" hidden="false" customHeight="false" outlineLevel="0" collapsed="false">
      <c r="A10" s="6"/>
      <c r="B10" s="26" t="s">
        <v>201</v>
      </c>
      <c r="C10" s="32" t="n">
        <f aca="false">Corp_Debt_Amt</f>
        <v>2000000</v>
      </c>
      <c r="D10" s="32" t="n">
        <f aca="false">MAX(0,C12)</f>
        <v>1714285.71428571</v>
      </c>
      <c r="E10" s="32" t="n">
        <f aca="false">MAX(0,D12)</f>
        <v>1428571.42857143</v>
      </c>
      <c r="F10" s="32" t="n">
        <f aca="false">MAX(0,E12)</f>
        <v>1142857.14285714</v>
      </c>
      <c r="G10" s="32" t="n">
        <f aca="false">MAX(0,F12)</f>
        <v>857142.857142857</v>
      </c>
    </row>
    <row r="11" customFormat="false" ht="15" hidden="false" customHeight="false" outlineLevel="0" collapsed="false">
      <c r="A11" s="6"/>
      <c r="B11" s="26" t="s">
        <v>213</v>
      </c>
      <c r="C11" s="32" t="n">
        <f aca="false">MIN(Corp_Debt_Amt/Corp_Debt_Tenor,C10)</f>
        <v>285714.285714286</v>
      </c>
      <c r="D11" s="32" t="n">
        <f aca="false">MIN(Corp_Debt_Amt/Corp_Debt_Tenor,D10)</f>
        <v>285714.285714286</v>
      </c>
      <c r="E11" s="32" t="n">
        <f aca="false">MIN(Corp_Debt_Amt/Corp_Debt_Tenor,E10)</f>
        <v>285714.285714286</v>
      </c>
      <c r="F11" s="32" t="n">
        <f aca="false">MIN(Corp_Debt_Amt/Corp_Debt_Tenor,F10)</f>
        <v>285714.285714286</v>
      </c>
      <c r="G11" s="32" t="n">
        <f aca="false">MIN(Corp_Debt_Amt/Corp_Debt_Tenor,G10)</f>
        <v>285714.285714286</v>
      </c>
    </row>
    <row r="12" customFormat="false" ht="15" hidden="false" customHeight="false" outlineLevel="0" collapsed="false">
      <c r="A12" s="6"/>
      <c r="B12" s="28" t="s">
        <v>204</v>
      </c>
      <c r="C12" s="33" t="n">
        <f aca="false">MAX(0,C10-C11)</f>
        <v>1714285.71428571</v>
      </c>
      <c r="D12" s="33" t="n">
        <f aca="false">MAX(0,D10-D11)</f>
        <v>1428571.42857143</v>
      </c>
      <c r="E12" s="33" t="n">
        <f aca="false">MAX(0,E10-E11)</f>
        <v>1142857.14285714</v>
      </c>
      <c r="F12" s="33" t="n">
        <f aca="false">MAX(0,F10-F11)</f>
        <v>857142.857142857</v>
      </c>
      <c r="G12" s="33" t="n">
        <f aca="false">MAX(0,G10-G11)</f>
        <v>571428.571428572</v>
      </c>
    </row>
    <row r="13" customFormat="false" ht="15" hidden="false" customHeight="false" outlineLevel="0" collapsed="false">
      <c r="A13" s="6"/>
      <c r="B13" s="26" t="s">
        <v>207</v>
      </c>
      <c r="C13" s="32" t="n">
        <f aca="false">C10*Corp_Debt_Rate</f>
        <v>180000</v>
      </c>
      <c r="D13" s="32" t="n">
        <f aca="false">D10*Corp_Debt_Rate</f>
        <v>154285.714285714</v>
      </c>
      <c r="E13" s="32" t="n">
        <f aca="false">E10*Corp_Debt_Rate</f>
        <v>128571.428571429</v>
      </c>
      <c r="F13" s="32" t="n">
        <f aca="false">F10*Corp_Debt_Rate</f>
        <v>102857.142857143</v>
      </c>
      <c r="G13" s="32" t="n">
        <f aca="false">G10*Corp_Debt_Rate</f>
        <v>77142.8571428571</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41" t="s">
        <v>214</v>
      </c>
      <c r="C15" s="42"/>
      <c r="D15" s="42"/>
      <c r="E15" s="42"/>
      <c r="F15" s="42"/>
      <c r="G15" s="42"/>
    </row>
    <row r="16" customFormat="false" ht="15" hidden="false" customHeight="false" outlineLevel="0" collapsed="false">
      <c r="A16" s="6"/>
      <c r="B16" s="26" t="s">
        <v>215</v>
      </c>
      <c r="C16" s="32" t="n">
        <f aca="false">MIN(C12,Corp_Debt_Amt/Corp_Debt_Tenor)</f>
        <v>285714.285714286</v>
      </c>
      <c r="D16" s="32" t="n">
        <f aca="false">MIN(D12,Corp_Debt_Amt/Corp_Debt_Tenor)</f>
        <v>285714.285714286</v>
      </c>
      <c r="E16" s="32" t="n">
        <f aca="false">MIN(E12,Corp_Debt_Amt/Corp_Debt_Tenor)</f>
        <v>285714.285714286</v>
      </c>
      <c r="F16" s="32" t="n">
        <f aca="false">MIN(F12,Corp_Debt_Amt/Corp_Debt_Tenor)</f>
        <v>285714.285714286</v>
      </c>
      <c r="G16" s="32" t="n">
        <f aca="false">MIN(G12,Corp_Debt_Amt/Corp_Debt_Tenor)</f>
        <v>285714.285714286</v>
      </c>
    </row>
    <row r="17" customFormat="false" ht="15" hidden="false" customHeight="false" outlineLevel="0" collapsed="false">
      <c r="A17" s="6"/>
      <c r="B17" s="26" t="s">
        <v>216</v>
      </c>
      <c r="C17" s="32" t="n">
        <f aca="false">MAX(0,C12-C16)</f>
        <v>1428571.42857143</v>
      </c>
      <c r="D17" s="32" t="n">
        <f aca="false">MAX(0,D12-D16)</f>
        <v>1142857.14285714</v>
      </c>
      <c r="E17" s="32" t="n">
        <f aca="false">MAX(0,E12-E16)</f>
        <v>857142.857142857</v>
      </c>
      <c r="F17" s="32" t="n">
        <f aca="false">MAX(0,F12-F16)</f>
        <v>571428.571428572</v>
      </c>
      <c r="G17" s="32" t="n">
        <f aca="false">MAX(0,G12-G16)</f>
        <v>285714.285714286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16"/>
      <c r="C6" s="24" t="n">
        <f aca="false">Model_Start_Year+0</f>
        <v>2026</v>
      </c>
      <c r="D6" s="24" t="n">
        <f aca="false">Model_Start_Year+1</f>
        <v>2027</v>
      </c>
      <c r="E6" s="24" t="n">
        <f aca="false">Model_Start_Year+2</f>
        <v>2028</v>
      </c>
      <c r="F6" s="24" t="n">
        <f aca="false">Model_Start_Year+3</f>
        <v>2029</v>
      </c>
      <c r="G6" s="24" t="n">
        <f aca="false">Model_Start_Year+4</f>
        <v>2030</v>
      </c>
    </row>
    <row r="7" customFormat="false" ht="15" hidden="false" customHeight="false" outlineLevel="0" collapsed="false">
      <c r="A7" s="6"/>
      <c r="B7" s="15" t="s">
        <v>135</v>
      </c>
      <c r="C7" s="25" t="n">
        <v>1</v>
      </c>
      <c r="D7" s="25" t="n">
        <v>2</v>
      </c>
      <c r="E7" s="25" t="n">
        <v>3</v>
      </c>
      <c r="F7" s="25" t="n">
        <v>4</v>
      </c>
      <c r="G7" s="25" t="n">
        <v>5</v>
      </c>
    </row>
    <row r="8" customFormat="false" ht="15" hidden="false" customHeight="false" outlineLevel="0" collapsed="false">
      <c r="A8" s="6"/>
      <c r="B8" s="6"/>
      <c r="C8" s="6"/>
      <c r="D8" s="6"/>
      <c r="E8" s="6"/>
      <c r="F8" s="6"/>
      <c r="G8" s="6"/>
    </row>
    <row r="9" customFormat="false" ht="15" hidden="false" customHeight="false" outlineLevel="0" collapsed="false">
      <c r="A9" s="6"/>
      <c r="B9" s="16" t="s">
        <v>219</v>
      </c>
      <c r="C9" s="17"/>
      <c r="D9" s="17"/>
      <c r="E9" s="17"/>
      <c r="F9" s="17"/>
      <c r="G9" s="17"/>
    </row>
    <row r="10" customFormat="false" ht="15" hidden="false" customHeight="false" outlineLevel="0" collapsed="false">
      <c r="A10" s="6"/>
      <c r="B10" s="26" t="s">
        <v>220</v>
      </c>
      <c r="C10" s="38" t="n">
        <f aca="false">Revenue_Build!C17</f>
        <v>7426755.375</v>
      </c>
      <c r="D10" s="38" t="n">
        <f aca="false">Revenue_Build!D17</f>
        <v>7991188.7835</v>
      </c>
      <c r="E10" s="38" t="n">
        <f aca="false">Revenue_Build!E17</f>
        <v>8602039.41309375</v>
      </c>
      <c r="F10" s="38" t="n">
        <f aca="false">Revenue_Build!F17</f>
        <v>9261846.28577508</v>
      </c>
      <c r="G10" s="38" t="n">
        <f aca="false">Revenue_Build!G17</f>
        <v>9965262.8339323</v>
      </c>
    </row>
    <row r="11" customFormat="false" ht="15" hidden="false" customHeight="false" outlineLevel="0" collapsed="false">
      <c r="A11" s="6"/>
      <c r="B11" s="26" t="s">
        <v>179</v>
      </c>
      <c r="C11" s="38" t="n">
        <f aca="false">Revenue_Build!C21</f>
        <v>1114013.30625</v>
      </c>
      <c r="D11" s="38" t="n">
        <f aca="false">Revenue_Build!D21</f>
        <v>1198678.317525</v>
      </c>
      <c r="E11" s="38" t="n">
        <f aca="false">Revenue_Build!E21</f>
        <v>1290305.91196406</v>
      </c>
      <c r="F11" s="38" t="n">
        <f aca="false">Revenue_Build!F21</f>
        <v>1389276.94286626</v>
      </c>
      <c r="G11" s="38" t="n">
        <f aca="false">Revenue_Build!G21</f>
        <v>1494789.42508984</v>
      </c>
    </row>
    <row r="12" customFormat="false" ht="15" hidden="false" customHeight="false" outlineLevel="0" collapsed="false">
      <c r="A12" s="6"/>
      <c r="B12" s="28" t="s">
        <v>180</v>
      </c>
      <c r="C12" s="37" t="n">
        <f aca="false">C10+C11</f>
        <v>8540768.68125</v>
      </c>
      <c r="D12" s="37" t="n">
        <f aca="false">D10+D11</f>
        <v>9189867.101025</v>
      </c>
      <c r="E12" s="37" t="n">
        <f aca="false">E10+E11</f>
        <v>9892345.32505781</v>
      </c>
      <c r="F12" s="37" t="n">
        <f aca="false">F10+F11</f>
        <v>10651123.2286413</v>
      </c>
      <c r="G12" s="37" t="n">
        <f aca="false">G10+G11</f>
        <v>11460052.2590221</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16" t="s">
        <v>181</v>
      </c>
      <c r="C14" s="17"/>
      <c r="D14" s="17"/>
      <c r="E14" s="17"/>
      <c r="F14" s="17"/>
      <c r="G14" s="17"/>
    </row>
    <row r="15" customFormat="false" ht="15" hidden="false" customHeight="false" outlineLevel="0" collapsed="false">
      <c r="A15" s="6"/>
      <c r="B15" s="26" t="s">
        <v>221</v>
      </c>
      <c r="C15" s="38" t="n">
        <f aca="false">Operating_Costs!C12</f>
        <v>3358439.91875</v>
      </c>
      <c r="D15" s="38" t="n">
        <f aca="false">Operating_Costs!D12</f>
        <v>3613595.272575</v>
      </c>
      <c r="E15" s="38" t="n">
        <f aca="false">Operating_Costs!E12</f>
        <v>3889728.16789219</v>
      </c>
      <c r="F15" s="38" t="n">
        <f aca="false">Operating_Costs!F12</f>
        <v>4187985.29093479</v>
      </c>
      <c r="G15" s="38" t="n">
        <f aca="false">Operating_Costs!G12</f>
        <v>4505947.6428113</v>
      </c>
    </row>
    <row r="16" customFormat="false" ht="15" hidden="false" customHeight="false" outlineLevel="0" collapsed="false">
      <c r="A16" s="6"/>
      <c r="B16" s="26" t="s">
        <v>222</v>
      </c>
      <c r="C16" s="38" t="n">
        <f aca="false">Operating_Costs!C17</f>
        <v>1014494.784225</v>
      </c>
      <c r="D16" s="38" t="n">
        <f aca="false">Operating_Costs!D17</f>
        <v>1091596.3878261</v>
      </c>
      <c r="E16" s="38" t="n">
        <f aca="false">Operating_Costs!E17</f>
        <v>1175038.58382861</v>
      </c>
      <c r="F16" s="38" t="n">
        <f aca="false">Operating_Costs!F17</f>
        <v>1265168.20263688</v>
      </c>
      <c r="G16" s="38" t="n">
        <f aca="false">Operating_Costs!G17</f>
        <v>1361254.90311515</v>
      </c>
    </row>
    <row r="17" customFormat="false" ht="15" hidden="false" customHeight="false" outlineLevel="0" collapsed="false">
      <c r="A17" s="6"/>
      <c r="B17" s="28" t="s">
        <v>191</v>
      </c>
      <c r="C17" s="37" t="n">
        <f aca="false">C15+C16</f>
        <v>4372934.702975</v>
      </c>
      <c r="D17" s="37" t="n">
        <f aca="false">D15+D16</f>
        <v>4705191.6604011</v>
      </c>
      <c r="E17" s="37" t="n">
        <f aca="false">E15+E16</f>
        <v>5064766.75172079</v>
      </c>
      <c r="F17" s="37" t="n">
        <f aca="false">F15+F16</f>
        <v>5453153.49357166</v>
      </c>
      <c r="G17" s="37" t="n">
        <f aca="false">G15+G16</f>
        <v>5867202.54592645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16" t="s">
        <v>223</v>
      </c>
      <c r="C19" s="17"/>
      <c r="D19" s="17"/>
      <c r="E19" s="17"/>
      <c r="F19" s="17"/>
      <c r="G19" s="17"/>
    </row>
    <row r="20" customFormat="false" ht="15" hidden="false" customHeight="false" outlineLevel="0" collapsed="false">
      <c r="A20" s="6"/>
      <c r="B20" s="28" t="s">
        <v>224</v>
      </c>
      <c r="C20" s="37" t="n">
        <f aca="false">C12-C17</f>
        <v>4167833.978275</v>
      </c>
      <c r="D20" s="37" t="n">
        <f aca="false">D12-D17</f>
        <v>4484675.4406239</v>
      </c>
      <c r="E20" s="37" t="n">
        <f aca="false">E12-E17</f>
        <v>4827578.57333702</v>
      </c>
      <c r="F20" s="37" t="n">
        <f aca="false">F12-F17</f>
        <v>5197969.73506968</v>
      </c>
      <c r="G20" s="37" t="n">
        <f aca="false">G12-G17</f>
        <v>5592849.7130957</v>
      </c>
    </row>
    <row r="21" customFormat="false" ht="15" hidden="false" customHeight="false" outlineLevel="0" collapsed="false">
      <c r="A21" s="6"/>
      <c r="B21" s="26" t="s">
        <v>225</v>
      </c>
      <c r="C21" s="38" t="n">
        <f aca="false">Fleet_Roll_Forward!C32</f>
        <v>2870000</v>
      </c>
      <c r="D21" s="38" t="n">
        <f aca="false">Fleet_Roll_Forward!D32</f>
        <v>3073056</v>
      </c>
      <c r="E21" s="38" t="n">
        <f aca="false">Fleet_Roll_Forward!E32</f>
        <v>3291825.6</v>
      </c>
      <c r="F21" s="38" t="n">
        <f aca="false">Fleet_Roll_Forward!F32</f>
        <v>3527030.9088</v>
      </c>
      <c r="G21" s="38" t="n">
        <f aca="false">Fleet_Roll_Forward!G32</f>
        <v>3776389.319808</v>
      </c>
    </row>
    <row r="22" customFormat="false" ht="15" hidden="false" customHeight="false" outlineLevel="0" collapsed="false">
      <c r="A22" s="6"/>
      <c r="B22" s="26" t="s">
        <v>226</v>
      </c>
      <c r="C22" s="38" t="n">
        <f aca="false">Operating_Costs!C25</f>
        <v>124402.196232143</v>
      </c>
      <c r="D22" s="38" t="n">
        <f aca="false">Operating_Costs!D25</f>
        <v>150658.959377929</v>
      </c>
      <c r="E22" s="38" t="n">
        <f aca="false">Operating_Costs!E25</f>
        <v>178922.803163808</v>
      </c>
      <c r="F22" s="38" t="n">
        <f aca="false">Operating_Costs!F25</f>
        <v>209354.583817069</v>
      </c>
      <c r="G22" s="38" t="n">
        <f aca="false">Operating_Costs!G25</f>
        <v>242097.590271418</v>
      </c>
    </row>
    <row r="23" customFormat="false" ht="15" hidden="false" customHeight="false" outlineLevel="0" collapsed="false">
      <c r="A23" s="6"/>
      <c r="B23" s="26" t="s">
        <v>227</v>
      </c>
      <c r="C23" s="38" t="n">
        <f aca="false">C21+C22</f>
        <v>2994402.19623214</v>
      </c>
      <c r="D23" s="38" t="n">
        <f aca="false">D21+D22</f>
        <v>3223714.95937793</v>
      </c>
      <c r="E23" s="38" t="n">
        <f aca="false">E21+E22</f>
        <v>3470748.40316381</v>
      </c>
      <c r="F23" s="38" t="n">
        <f aca="false">F21+F22</f>
        <v>3736385.49261707</v>
      </c>
      <c r="G23" s="38" t="n">
        <f aca="false">G21+G22</f>
        <v>4018486.91007942</v>
      </c>
    </row>
    <row r="24" customFormat="false" ht="15" hidden="false" customHeight="false" outlineLevel="0" collapsed="false">
      <c r="A24" s="6"/>
      <c r="B24" s="28" t="s">
        <v>228</v>
      </c>
      <c r="C24" s="37" t="n">
        <f aca="false">C20-C21</f>
        <v>1297833.978275</v>
      </c>
      <c r="D24" s="37" t="n">
        <f aca="false">D20-D21</f>
        <v>1411619.4406239</v>
      </c>
      <c r="E24" s="37" t="n">
        <f aca="false">E20-E21</f>
        <v>1535752.97333702</v>
      </c>
      <c r="F24" s="37" t="n">
        <f aca="false">F20-F21</f>
        <v>1670938.82626968</v>
      </c>
      <c r="G24" s="37" t="n">
        <f aca="false">G20-G21</f>
        <v>1816460.3932877</v>
      </c>
    </row>
    <row r="25" customFormat="false" ht="15" hidden="false" customHeight="false" outlineLevel="0" collapsed="false">
      <c r="A25" s="6"/>
      <c r="B25" s="26" t="s">
        <v>229</v>
      </c>
      <c r="C25" s="40" t="n">
        <f aca="false">C24/C12</f>
        <v>0.151957514213469</v>
      </c>
      <c r="D25" s="40" t="n">
        <f aca="false">D24/D12</f>
        <v>0.153606077770858</v>
      </c>
      <c r="E25" s="40" t="n">
        <f aca="false">E24/E12</f>
        <v>0.155246599554797</v>
      </c>
      <c r="F25" s="40" t="n">
        <f aca="false">F24/F12</f>
        <v>0.156879118793448</v>
      </c>
      <c r="G25" s="40" t="n">
        <f aca="false">G24/G12</f>
        <v>0.158503674523618</v>
      </c>
    </row>
    <row r="26" customFormat="false" ht="15" hidden="false" customHeight="false" outlineLevel="0" collapsed="false">
      <c r="A26" s="6"/>
      <c r="B26" s="28" t="s">
        <v>230</v>
      </c>
      <c r="C26" s="39" t="n">
        <f aca="false">C20-C23</f>
        <v>1173431.78204286</v>
      </c>
      <c r="D26" s="39" t="n">
        <f aca="false">D20-D23</f>
        <v>1260960.48124597</v>
      </c>
      <c r="E26" s="39" t="n">
        <f aca="false">E20-E23</f>
        <v>1356830.17017321</v>
      </c>
      <c r="F26" s="39" t="n">
        <f aca="false">F20-F23</f>
        <v>1461584.24245261</v>
      </c>
      <c r="G26" s="39" t="n">
        <f aca="false">G20-G23</f>
        <v>1574362.80301628</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16" t="s">
        <v>231</v>
      </c>
      <c r="C28" s="17"/>
      <c r="D28" s="17"/>
      <c r="E28" s="17"/>
      <c r="F28" s="17"/>
      <c r="G28" s="17"/>
    </row>
    <row r="29" customFormat="false" ht="15" hidden="false" customHeight="false" outlineLevel="0" collapsed="false">
      <c r="A29" s="6"/>
      <c r="B29" s="26" t="s">
        <v>165</v>
      </c>
      <c r="C29" s="38" t="n">
        <f aca="false">Fleet_Roll_Forward!C43</f>
        <v>4960000</v>
      </c>
      <c r="D29" s="38" t="n">
        <f aca="false">Fleet_Roll_Forward!D43</f>
        <v>5217920</v>
      </c>
      <c r="E29" s="38" t="n">
        <f aca="false">Fleet_Roll_Forward!E43</f>
        <v>5475840</v>
      </c>
      <c r="F29" s="38" t="n">
        <f aca="false">Fleet_Roll_Forward!F43</f>
        <v>5868672</v>
      </c>
      <c r="G29" s="38" t="n">
        <f aca="false">Fleet_Roll_Forward!G43</f>
        <v>6275026.944</v>
      </c>
    </row>
    <row r="30" customFormat="false" ht="15" hidden="false" customHeight="false" outlineLevel="0" collapsed="false">
      <c r="A30" s="6"/>
      <c r="B30" s="26" t="s">
        <v>162</v>
      </c>
      <c r="C30" s="38" t="n">
        <f aca="false">Fleet_Roll_Forward!C39</f>
        <v>5200000</v>
      </c>
      <c r="D30" s="38" t="n">
        <f aca="false">Fleet_Roll_Forward!D39</f>
        <v>5470400</v>
      </c>
      <c r="E30" s="38" t="n">
        <f aca="false">Fleet_Roll_Forward!E39</f>
        <v>5740800</v>
      </c>
      <c r="F30" s="38" t="n">
        <f aca="false">Fleet_Roll_Forward!F39</f>
        <v>6152640</v>
      </c>
      <c r="G30" s="38" t="n">
        <f aca="false">Fleet_Roll_Forward!G39</f>
        <v>6578657.28</v>
      </c>
    </row>
    <row r="31" customFormat="false" ht="15" hidden="false" customHeight="false" outlineLevel="0" collapsed="false">
      <c r="A31" s="6"/>
      <c r="B31" s="28" t="s">
        <v>167</v>
      </c>
      <c r="C31" s="37" t="n">
        <f aca="false">Fleet_Roll_Forward!C45</f>
        <v>-240000</v>
      </c>
      <c r="D31" s="37" t="n">
        <f aca="false">Fleet_Roll_Forward!D45</f>
        <v>-252480</v>
      </c>
      <c r="E31" s="37" t="n">
        <f aca="false">Fleet_Roll_Forward!E45</f>
        <v>-264960</v>
      </c>
      <c r="F31" s="37" t="n">
        <f aca="false">Fleet_Roll_Forward!F45</f>
        <v>-283968</v>
      </c>
      <c r="G31" s="37" t="n">
        <f aca="false">Fleet_Roll_Forward!G45</f>
        <v>-303630.336</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16" t="s">
        <v>232</v>
      </c>
      <c r="C33" s="17"/>
      <c r="D33" s="17"/>
      <c r="E33" s="17"/>
      <c r="F33" s="17"/>
      <c r="G33" s="17"/>
    </row>
    <row r="34" customFormat="false" ht="15" hidden="false" customHeight="false" outlineLevel="0" collapsed="false">
      <c r="A34" s="6"/>
      <c r="B34" s="26" t="s">
        <v>233</v>
      </c>
      <c r="C34" s="38" t="n">
        <f aca="false">Fleet_Financing!C17</f>
        <v>832000</v>
      </c>
      <c r="D34" s="38" t="n">
        <f aca="false">Fleet_Financing!D17</f>
        <v>873600</v>
      </c>
      <c r="E34" s="38" t="n">
        <f aca="false">Fleet_Financing!E17</f>
        <v>926481.92</v>
      </c>
      <c r="F34" s="38" t="n">
        <f aca="false">Fleet_Financing!F17</f>
        <v>993510.5024</v>
      </c>
      <c r="G34" s="38" t="n">
        <f aca="false">Fleet_Financing!G17</f>
        <v>1064605.488128</v>
      </c>
    </row>
    <row r="35" customFormat="false" ht="15" hidden="false" customHeight="false" outlineLevel="0" collapsed="false">
      <c r="A35" s="6"/>
      <c r="B35" s="26" t="s">
        <v>234</v>
      </c>
      <c r="C35" s="38" t="n">
        <f aca="false">Corporate_Debt!C13</f>
        <v>180000</v>
      </c>
      <c r="D35" s="38" t="n">
        <f aca="false">Corporate_Debt!D13</f>
        <v>154285.714285714</v>
      </c>
      <c r="E35" s="38" t="n">
        <f aca="false">Corporate_Debt!E13</f>
        <v>128571.428571429</v>
      </c>
      <c r="F35" s="38" t="n">
        <f aca="false">Corporate_Debt!F13</f>
        <v>102857.142857143</v>
      </c>
      <c r="G35" s="38" t="n">
        <f aca="false">Corporate_Debt!G13</f>
        <v>77142.8571428571</v>
      </c>
    </row>
    <row r="36" customFormat="false" ht="15" hidden="false" customHeight="false" outlineLevel="0" collapsed="false">
      <c r="A36" s="6"/>
      <c r="B36" s="28" t="s">
        <v>235</v>
      </c>
      <c r="C36" s="37" t="n">
        <f aca="false">C34+C35</f>
        <v>1012000</v>
      </c>
      <c r="D36" s="37" t="n">
        <f aca="false">D34+D35</f>
        <v>1027885.71428571</v>
      </c>
      <c r="E36" s="37" t="n">
        <f aca="false">E34+E35</f>
        <v>1055053.34857143</v>
      </c>
      <c r="F36" s="37" t="n">
        <f aca="false">F34+F35</f>
        <v>1096367.64525714</v>
      </c>
      <c r="G36" s="37" t="n">
        <f aca="false">G34+G35</f>
        <v>1141748.34527086</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16" t="s">
        <v>236</v>
      </c>
      <c r="C38" s="17"/>
      <c r="D38" s="17"/>
      <c r="E38" s="17"/>
      <c r="F38" s="17"/>
      <c r="G38" s="17"/>
    </row>
    <row r="39" customFormat="false" ht="15" hidden="false" customHeight="false" outlineLevel="0" collapsed="false">
      <c r="A39" s="6"/>
      <c r="B39" s="28" t="s">
        <v>237</v>
      </c>
      <c r="C39" s="37" t="n">
        <f aca="false">C26+C31-C36</f>
        <v>-78568.2179571437</v>
      </c>
      <c r="D39" s="37" t="n">
        <f aca="false">D26+D31-D36</f>
        <v>-19405.233039743</v>
      </c>
      <c r="E39" s="37" t="n">
        <f aca="false">E26+E31-E36</f>
        <v>36816.821601782</v>
      </c>
      <c r="F39" s="37" t="n">
        <f aca="false">F26+F31-F36</f>
        <v>81248.5971954658</v>
      </c>
      <c r="G39" s="37" t="n">
        <f aca="false">G26+G31-G36</f>
        <v>128984.121745422</v>
      </c>
    </row>
    <row r="40" customFormat="false" ht="15" hidden="false" customHeight="false" outlineLevel="0" collapsed="false">
      <c r="A40" s="6"/>
      <c r="B40" s="26" t="s">
        <v>238</v>
      </c>
      <c r="C40" s="35" t="n">
        <f aca="false">NOL_Opening</f>
        <v>0</v>
      </c>
      <c r="D40" s="35" t="n">
        <f aca="false">C45</f>
        <v>78568.2179571437</v>
      </c>
      <c r="E40" s="35" t="n">
        <f aca="false">D45</f>
        <v>97973.4509968867</v>
      </c>
      <c r="F40" s="35" t="n">
        <f aca="false">E45</f>
        <v>61156.6293951047</v>
      </c>
      <c r="G40" s="35" t="n">
        <f aca="false">F45</f>
        <v>0</v>
      </c>
    </row>
    <row r="41" customFormat="false" ht="15" hidden="false" customHeight="false" outlineLevel="0" collapsed="false">
      <c r="A41" s="6"/>
      <c r="B41" s="26" t="s">
        <v>239</v>
      </c>
      <c r="C41" s="35" t="n">
        <f aca="false">IF(C39&gt;0,MIN(C40,C39),0)</f>
        <v>0</v>
      </c>
      <c r="D41" s="35" t="n">
        <f aca="false">IF(D39&gt;0,MIN(D40,D39),0)</f>
        <v>0</v>
      </c>
      <c r="E41" s="35" t="n">
        <f aca="false">IF(E39&gt;0,MIN(E40,E39),0)</f>
        <v>36816.821601782</v>
      </c>
      <c r="F41" s="35" t="n">
        <f aca="false">IF(F39&gt;0,MIN(F40,F39),0)</f>
        <v>61156.6293951047</v>
      </c>
      <c r="G41" s="35" t="n">
        <f aca="false">IF(G39&gt;0,MIN(G40,G39),0)</f>
        <v>0</v>
      </c>
    </row>
    <row r="42" customFormat="false" ht="15" hidden="false" customHeight="false" outlineLevel="0" collapsed="false">
      <c r="A42" s="6"/>
      <c r="B42" s="26" t="s">
        <v>240</v>
      </c>
      <c r="C42" s="38" t="n">
        <f aca="false">MAX(0,C39-C41)</f>
        <v>0</v>
      </c>
      <c r="D42" s="38" t="n">
        <f aca="false">MAX(0,D39-D41)</f>
        <v>0</v>
      </c>
      <c r="E42" s="38" t="n">
        <f aca="false">MAX(0,E39-E41)</f>
        <v>0</v>
      </c>
      <c r="F42" s="38" t="n">
        <f aca="false">MAX(0,F39-F41)</f>
        <v>20091.9678003611</v>
      </c>
      <c r="G42" s="38" t="n">
        <f aca="false">MAX(0,G39-G41)</f>
        <v>128984.121745422</v>
      </c>
    </row>
    <row r="43" customFormat="false" ht="15" hidden="false" customHeight="false" outlineLevel="0" collapsed="false">
      <c r="A43" s="6"/>
      <c r="B43" s="26" t="s">
        <v>241</v>
      </c>
      <c r="C43" s="38" t="n">
        <f aca="false">C42*Tax_Rate</f>
        <v>0</v>
      </c>
      <c r="D43" s="38" t="n">
        <f aca="false">D42*Tax_Rate</f>
        <v>0</v>
      </c>
      <c r="E43" s="38" t="n">
        <f aca="false">E42*Tax_Rate</f>
        <v>0</v>
      </c>
      <c r="F43" s="38" t="n">
        <f aca="false">F42*Tax_Rate</f>
        <v>5022.99195009028</v>
      </c>
      <c r="G43" s="38" t="n">
        <f aca="false">G42*Tax_Rate</f>
        <v>32246.0304363554</v>
      </c>
    </row>
    <row r="44" customFormat="false" ht="15" hidden="false" customHeight="false" outlineLevel="0" collapsed="false">
      <c r="A44" s="6"/>
      <c r="B44" s="26" t="s">
        <v>242</v>
      </c>
      <c r="C44" s="35" t="n">
        <f aca="false">IF(C39&lt;0,-C39,0)</f>
        <v>78568.2179571437</v>
      </c>
      <c r="D44" s="35" t="n">
        <f aca="false">IF(D39&lt;0,-D39,0)</f>
        <v>19405.233039743</v>
      </c>
      <c r="E44" s="35" t="n">
        <f aca="false">IF(E39&lt;0,-E39,0)</f>
        <v>0</v>
      </c>
      <c r="F44" s="35" t="n">
        <f aca="false">IF(F39&lt;0,-F39,0)</f>
        <v>0</v>
      </c>
      <c r="G44" s="35" t="n">
        <f aca="false">IF(G39&lt;0,-G39,0)</f>
        <v>0</v>
      </c>
    </row>
    <row r="45" customFormat="false" ht="15" hidden="false" customHeight="false" outlineLevel="0" collapsed="false">
      <c r="A45" s="6"/>
      <c r="B45" s="26" t="s">
        <v>243</v>
      </c>
      <c r="C45" s="35" t="n">
        <f aca="false">C40+C44-C41</f>
        <v>78568.2179571437</v>
      </c>
      <c r="D45" s="35" t="n">
        <f aca="false">D40+D44-D41</f>
        <v>97973.4509968867</v>
      </c>
      <c r="E45" s="35" t="n">
        <f aca="false">E40+E44-E41</f>
        <v>61156.6293951047</v>
      </c>
      <c r="F45" s="35" t="n">
        <f aca="false">F40+F44-F41</f>
        <v>0</v>
      </c>
      <c r="G45" s="35" t="n">
        <f aca="false">G40+G44-G41</f>
        <v>0</v>
      </c>
    </row>
    <row r="46" customFormat="false" ht="15" hidden="false" customHeight="false" outlineLevel="0" collapsed="false">
      <c r="A46" s="6"/>
      <c r="B46" s="28" t="s">
        <v>244</v>
      </c>
      <c r="C46" s="39" t="n">
        <f aca="false">C39-C43</f>
        <v>-78568.2179571437</v>
      </c>
      <c r="D46" s="39" t="n">
        <f aca="false">D39-D43</f>
        <v>-19405.233039743</v>
      </c>
      <c r="E46" s="39" t="n">
        <f aca="false">E39-E43</f>
        <v>36816.821601782</v>
      </c>
      <c r="F46" s="39" t="n">
        <f aca="false">F39-F43</f>
        <v>76225.6052453755</v>
      </c>
      <c r="G46" s="39" t="n">
        <f aca="false">G39-G43</f>
        <v>96738.0913090663</v>
      </c>
    </row>
    <row r="47" customFormat="false" ht="15" hidden="false" customHeight="false" outlineLevel="0" collapsed="false">
      <c r="A47" s="6"/>
      <c r="B47" s="26" t="s">
        <v>245</v>
      </c>
      <c r="C47" s="35" t="n">
        <f aca="false">MAX(0,C46*Dividend_Payout)</f>
        <v>-0</v>
      </c>
      <c r="D47" s="35" t="n">
        <f aca="false">MAX(0,D46*Dividend_Payout)</f>
        <v>-0</v>
      </c>
      <c r="E47" s="35" t="n">
        <f aca="false">MAX(0,E46*Dividend_Payout)</f>
        <v>0</v>
      </c>
      <c r="F47" s="35" t="n">
        <f aca="false">MAX(0,F46*Dividend_Payout)</f>
        <v>0</v>
      </c>
      <c r="G47" s="35" t="n">
        <f aca="false">MAX(0,G46*Dividend_Payout)</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472C4"/>
    <pageSetUpPr fitToPage="false"/>
  </sheetPr>
  <dimension ref="A1:A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6"/>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246</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247</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6"/>
      <c r="C5" s="6"/>
      <c r="D5" s="6"/>
      <c r="E5" s="6"/>
      <c r="F5" s="6"/>
      <c r="G5" s="6"/>
      <c r="H5" s="6"/>
    </row>
    <row r="6" customFormat="false" ht="15" hidden="false" customHeight="false" outlineLevel="0" collapsed="false">
      <c r="A6" s="6"/>
      <c r="B6" s="16"/>
      <c r="C6" s="44" t="s">
        <v>248</v>
      </c>
      <c r="D6" s="24" t="n">
        <f aca="false">Model_Start_Year+0</f>
        <v>2026</v>
      </c>
      <c r="E6" s="24" t="n">
        <f aca="false">Model_Start_Year+1</f>
        <v>2027</v>
      </c>
      <c r="F6" s="24" t="n">
        <f aca="false">Model_Start_Year+2</f>
        <v>2028</v>
      </c>
      <c r="G6" s="24" t="n">
        <f aca="false">Model_Start_Year+3</f>
        <v>2029</v>
      </c>
      <c r="H6" s="24" t="n">
        <f aca="false">Model_Start_Year+4</f>
        <v>2030</v>
      </c>
    </row>
    <row r="7" customFormat="false" ht="15" hidden="false" customHeight="false" outlineLevel="0" collapsed="false">
      <c r="A7" s="6"/>
      <c r="B7" s="15" t="s">
        <v>135</v>
      </c>
      <c r="C7" s="25" t="n">
        <v>0</v>
      </c>
      <c r="D7" s="25" t="n">
        <v>1</v>
      </c>
      <c r="E7" s="25" t="n">
        <v>2</v>
      </c>
      <c r="F7" s="25" t="n">
        <v>3</v>
      </c>
      <c r="G7" s="25" t="n">
        <v>4</v>
      </c>
      <c r="H7" s="25" t="n">
        <v>5</v>
      </c>
    </row>
    <row r="8" customFormat="false" ht="15" hidden="false" customHeight="false" outlineLevel="0" collapsed="false">
      <c r="A8" s="6"/>
      <c r="B8" s="6"/>
      <c r="C8" s="6"/>
      <c r="D8" s="6"/>
      <c r="E8" s="6"/>
      <c r="F8" s="6"/>
      <c r="G8" s="6"/>
      <c r="H8" s="6"/>
    </row>
    <row r="9" customFormat="false" ht="15" hidden="false" customHeight="false" outlineLevel="0" collapsed="false">
      <c r="A9" s="6"/>
      <c r="B9" s="16" t="s">
        <v>249</v>
      </c>
      <c r="C9" s="17"/>
      <c r="D9" s="17"/>
      <c r="E9" s="17"/>
      <c r="F9" s="17"/>
      <c r="G9" s="17"/>
      <c r="H9" s="17"/>
    </row>
    <row r="10" customFormat="false" ht="15" hidden="false" customHeight="false" outlineLevel="0" collapsed="false">
      <c r="A10" s="6"/>
      <c r="B10" s="26" t="s">
        <v>250</v>
      </c>
      <c r="C10" s="38" t="n">
        <f aca="false">Open_Cash</f>
        <v>6500000</v>
      </c>
      <c r="D10" s="38" t="n">
        <f aca="false">Cash_Flow!C35</f>
        <v>5998420.36042544</v>
      </c>
      <c r="E10" s="38" t="n">
        <f aca="false">Cash_Flow!D35</f>
        <v>5576683.07773548</v>
      </c>
      <c r="F10" s="38" t="n">
        <f aca="false">Cash_Flow!E35</f>
        <v>5243520.60536374</v>
      </c>
      <c r="G10" s="38" t="n">
        <f aca="false">Cash_Flow!F35</f>
        <v>4967196.50590283</v>
      </c>
      <c r="H10" s="38" t="n">
        <f aca="false">Cash_Flow!G35</f>
        <v>4753367.69971842</v>
      </c>
    </row>
    <row r="11" customFormat="false" ht="15" hidden="false" customHeight="false" outlineLevel="0" collapsed="false">
      <c r="A11" s="6"/>
      <c r="B11" s="26" t="s">
        <v>251</v>
      </c>
      <c r="C11" s="38" t="n">
        <f aca="false">Opening_Fleet*Utilisation_Rate*RPD_Weighted*(1+Ancillary_Pct)*DSO</f>
        <v>410915.7</v>
      </c>
      <c r="D11" s="38" t="n">
        <f aca="false">Revenue_Build!C24*DSO/365</f>
        <v>421188.5925</v>
      </c>
      <c r="E11" s="38" t="n">
        <f aca="false">Revenue_Build!D24*DSO/365</f>
        <v>453198.92553</v>
      </c>
      <c r="F11" s="38" t="n">
        <f aca="false">Revenue_Build!E24*DSO/365</f>
        <v>487841.687263125</v>
      </c>
      <c r="G11" s="38" t="n">
        <f aca="false">Revenue_Build!F24*DSO/365</f>
        <v>525260.871549436</v>
      </c>
      <c r="H11" s="38" t="n">
        <f aca="false">Revenue_Build!G24*DSO/365</f>
        <v>565153.262088763</v>
      </c>
    </row>
    <row r="12" customFormat="false" ht="15" hidden="false" customHeight="false" outlineLevel="0" collapsed="false">
      <c r="A12" s="6"/>
      <c r="B12" s="6"/>
      <c r="C12" s="6"/>
      <c r="D12" s="6"/>
      <c r="E12" s="6"/>
      <c r="F12" s="6"/>
      <c r="G12" s="6"/>
      <c r="H12" s="6"/>
    </row>
    <row r="13" customFormat="false" ht="15" hidden="false" customHeight="false" outlineLevel="0" collapsed="false">
      <c r="A13" s="6"/>
      <c r="B13" s="26" t="s">
        <v>252</v>
      </c>
      <c r="C13" s="38" t="n">
        <f aca="false">Opening_Fleet*Purchase_Price</f>
        <v>16000000</v>
      </c>
      <c r="D13" s="38" t="n">
        <f aca="false">Fleet_Roll_Forward!C28</f>
        <v>16800000</v>
      </c>
      <c r="E13" s="38" t="n">
        <f aca="false">Fleet_Roll_Forward!D28</f>
        <v>17816960</v>
      </c>
      <c r="F13" s="38" t="n">
        <f aca="false">Fleet_Roll_Forward!E28</f>
        <v>19105971.2</v>
      </c>
      <c r="G13" s="38" t="n">
        <f aca="false">Fleet_Roll_Forward!F28</f>
        <v>20473182.464</v>
      </c>
      <c r="H13" s="38" t="n">
        <f aca="false">Fleet_Roll_Forward!G28</f>
        <v>21921206.19008</v>
      </c>
    </row>
    <row r="14" customFormat="false" ht="15" hidden="false" customHeight="false" outlineLevel="0" collapsed="false">
      <c r="A14" s="6"/>
      <c r="B14" s="26" t="s">
        <v>253</v>
      </c>
      <c r="C14" s="38" t="n">
        <f aca="false">Opening_Fleet*(Purchase_Price-Purchase_Price*Residual_Value_Pct)/Holding_Period_Yrs*(Fleet_Age_Months/(Holding_Period_Yrs*12))</f>
        <v>1400000</v>
      </c>
      <c r="D14" s="38" t="n">
        <f aca="false">Fleet_Roll_Forward!C34</f>
        <v>1470000</v>
      </c>
      <c r="E14" s="38" t="n">
        <f aca="false">Fleet_Roll_Forward!D34</f>
        <v>1597456</v>
      </c>
      <c r="F14" s="38" t="n">
        <f aca="false">Fleet_Roll_Forward!E34</f>
        <v>1798081.6</v>
      </c>
      <c r="G14" s="38" t="n">
        <f aca="false">Fleet_Roll_Forward!F34</f>
        <v>2012152.5088</v>
      </c>
      <c r="H14" s="38" t="n">
        <f aca="false">Fleet_Roll_Forward!G34</f>
        <v>2246187.908608</v>
      </c>
    </row>
    <row r="15" customFormat="false" ht="15" hidden="false" customHeight="false" outlineLevel="0" collapsed="false">
      <c r="A15" s="6"/>
      <c r="B15" s="26" t="s">
        <v>254</v>
      </c>
      <c r="C15" s="38" t="n">
        <f aca="false">C13-C14</f>
        <v>14600000</v>
      </c>
      <c r="D15" s="38" t="n">
        <f aca="false">D13-D14</f>
        <v>15330000</v>
      </c>
      <c r="E15" s="38" t="n">
        <f aca="false">E13-E14</f>
        <v>16219504</v>
      </c>
      <c r="F15" s="38" t="n">
        <f aca="false">F13-F14</f>
        <v>17307889.6</v>
      </c>
      <c r="G15" s="38" t="n">
        <f aca="false">G13-G14</f>
        <v>18461029.9552</v>
      </c>
      <c r="H15" s="38" t="n">
        <f aca="false">H13-H14</f>
        <v>19675018.281472</v>
      </c>
    </row>
    <row r="16" customFormat="false" ht="15" hidden="false" customHeight="false" outlineLevel="0" collapsed="false">
      <c r="A16" s="6"/>
      <c r="B16" s="6"/>
      <c r="C16" s="6"/>
      <c r="D16" s="6"/>
      <c r="E16" s="6"/>
      <c r="F16" s="6"/>
      <c r="G16" s="6"/>
      <c r="H16" s="6"/>
    </row>
    <row r="17" customFormat="false" ht="15" hidden="false" customHeight="false" outlineLevel="0" collapsed="false">
      <c r="A17" s="6"/>
      <c r="B17" s="26" t="s">
        <v>255</v>
      </c>
      <c r="C17" s="38" t="n">
        <f aca="false">Opening_PPE_Gross</f>
        <v>700000</v>
      </c>
      <c r="D17" s="38" t="n">
        <f aca="false">Operating_Costs!C24</f>
        <v>870815.373625</v>
      </c>
      <c r="E17" s="38" t="n">
        <f aca="false">Operating_Costs!D24</f>
        <v>1054612.7156455</v>
      </c>
      <c r="F17" s="38" t="n">
        <f aca="false">Operating_Costs!E24</f>
        <v>1252459.62214666</v>
      </c>
      <c r="G17" s="38" t="n">
        <f aca="false">Operating_Costs!F24</f>
        <v>1465482.08671948</v>
      </c>
      <c r="H17" s="38" t="n">
        <f aca="false">Operating_Costs!G24</f>
        <v>1694683.13189993</v>
      </c>
    </row>
    <row r="18" customFormat="false" ht="15" hidden="false" customHeight="false" outlineLevel="0" collapsed="false">
      <c r="A18" s="6"/>
      <c r="B18" s="26" t="s">
        <v>196</v>
      </c>
      <c r="C18" s="38" t="n">
        <f aca="false">Opening_Accum_Depr_NF</f>
        <v>200000</v>
      </c>
      <c r="D18" s="38" t="n">
        <f aca="false">Operating_Costs!C26</f>
        <v>324402.196232143</v>
      </c>
      <c r="E18" s="38" t="n">
        <f aca="false">Operating_Costs!D26</f>
        <v>475061.155610071</v>
      </c>
      <c r="F18" s="38" t="n">
        <f aca="false">Operating_Costs!E26</f>
        <v>653983.95877388</v>
      </c>
      <c r="G18" s="38" t="n">
        <f aca="false">Operating_Costs!F26</f>
        <v>863338.542590949</v>
      </c>
      <c r="H18" s="38" t="n">
        <f aca="false">Operating_Costs!G26</f>
        <v>1105436.13286237</v>
      </c>
    </row>
    <row r="19" customFormat="false" ht="15" hidden="false" customHeight="false" outlineLevel="0" collapsed="false">
      <c r="A19" s="6"/>
      <c r="B19" s="26" t="s">
        <v>197</v>
      </c>
      <c r="C19" s="38" t="n">
        <f aca="false">C17-C18</f>
        <v>500000</v>
      </c>
      <c r="D19" s="38" t="n">
        <f aca="false">D17-D18</f>
        <v>546413.177392857</v>
      </c>
      <c r="E19" s="38" t="n">
        <f aca="false">E17-E18</f>
        <v>579551.560035429</v>
      </c>
      <c r="F19" s="38" t="n">
        <f aca="false">F17-F18</f>
        <v>598475.663372777</v>
      </c>
      <c r="G19" s="38" t="n">
        <f aca="false">G17-G18</f>
        <v>602143.544128535</v>
      </c>
      <c r="H19" s="38" t="n">
        <f aca="false">H17-H18</f>
        <v>589246.999037559</v>
      </c>
    </row>
    <row r="20" customFormat="false" ht="15" hidden="false" customHeight="false" outlineLevel="0" collapsed="false">
      <c r="A20" s="6"/>
      <c r="B20" s="6"/>
      <c r="C20" s="6"/>
      <c r="D20" s="6"/>
      <c r="E20" s="6"/>
      <c r="F20" s="6"/>
      <c r="G20" s="6"/>
      <c r="H20" s="6"/>
    </row>
    <row r="21" customFormat="false" ht="15" hidden="false" customHeight="false" outlineLevel="0" collapsed="false">
      <c r="A21" s="6"/>
      <c r="B21" s="28" t="s">
        <v>256</v>
      </c>
      <c r="C21" s="39" t="n">
        <f aca="false">C10+C11+C15+C19</f>
        <v>22010915.7</v>
      </c>
      <c r="D21" s="39" t="n">
        <f aca="false">D10+D11+D15+D19</f>
        <v>22296022.1303183</v>
      </c>
      <c r="E21" s="39" t="n">
        <f aca="false">E10+E11+E15+E19</f>
        <v>22828937.5633009</v>
      </c>
      <c r="F21" s="39" t="n">
        <f aca="false">F10+F11+F15+F19</f>
        <v>23637727.5559996</v>
      </c>
      <c r="G21" s="39" t="n">
        <f aca="false">G10+G11+G15+G19</f>
        <v>24555630.8767808</v>
      </c>
      <c r="H21" s="39" t="n">
        <f aca="false">H10+H11+H15+H19</f>
        <v>25582786.2423168</v>
      </c>
    </row>
    <row r="22" customFormat="false" ht="15" hidden="false" customHeight="false" outlineLevel="0" collapsed="false">
      <c r="A22" s="6"/>
      <c r="B22" s="6"/>
      <c r="C22" s="6"/>
      <c r="D22" s="6"/>
      <c r="E22" s="6"/>
      <c r="F22" s="6"/>
      <c r="G22" s="6"/>
      <c r="H22" s="6"/>
    </row>
    <row r="23" customFormat="false" ht="15" hidden="false" customHeight="false" outlineLevel="0" collapsed="false">
      <c r="A23" s="6"/>
      <c r="B23" s="16" t="s">
        <v>257</v>
      </c>
      <c r="C23" s="17"/>
      <c r="D23" s="17"/>
      <c r="E23" s="17"/>
      <c r="F23" s="17"/>
      <c r="G23" s="17"/>
      <c r="H23" s="17"/>
    </row>
    <row r="24" customFormat="false" ht="15" hidden="false" customHeight="false" outlineLevel="0" collapsed="false">
      <c r="A24" s="6"/>
      <c r="B24" s="26" t="s">
        <v>258</v>
      </c>
      <c r="C24" s="38" t="n">
        <f aca="false">Opening_Fleet*Utilisation_Rate*RPD_Weighted*DOE_Pct*DPO</f>
        <v>312653.25</v>
      </c>
      <c r="D24" s="38" t="n">
        <f aca="false">Operating_Costs!C12*DPO/365</f>
        <v>322042.183989726</v>
      </c>
      <c r="E24" s="38" t="n">
        <f aca="false">Operating_Costs!D12*DPO/365</f>
        <v>346509.13572637</v>
      </c>
      <c r="F24" s="38" t="n">
        <f aca="false">Operating_Costs!E12*DPO/365</f>
        <v>372987.632537607</v>
      </c>
      <c r="G24" s="38" t="n">
        <f aca="false">Operating_Costs!F12*DPO/365</f>
        <v>401587.630637582</v>
      </c>
      <c r="H24" s="38" t="n">
        <f aca="false">Operating_Costs!G12*DPO/365</f>
        <v>432077.17122848</v>
      </c>
    </row>
    <row r="25" customFormat="false" ht="15" hidden="false" customHeight="false" outlineLevel="0" collapsed="false">
      <c r="A25" s="6"/>
      <c r="B25" s="26" t="s">
        <v>259</v>
      </c>
      <c r="C25" s="38" t="n">
        <f aca="false">Opening_Tax_Payable</f>
        <v>0</v>
      </c>
      <c r="D25" s="38" t="n">
        <f aca="false">Income_Statement!C43</f>
        <v>0</v>
      </c>
      <c r="E25" s="38" t="n">
        <f aca="false">Income_Statement!D43</f>
        <v>0</v>
      </c>
      <c r="F25" s="38" t="n">
        <f aca="false">Income_Statement!E43</f>
        <v>0</v>
      </c>
      <c r="G25" s="38" t="n">
        <f aca="false">Income_Statement!F43</f>
        <v>5022.99195009028</v>
      </c>
      <c r="H25" s="38" t="n">
        <f aca="false">Income_Statement!G43</f>
        <v>32246.0304363554</v>
      </c>
    </row>
    <row r="26" customFormat="false" ht="15" hidden="false" customHeight="false" outlineLevel="0" collapsed="false">
      <c r="A26" s="6"/>
      <c r="B26" s="26" t="s">
        <v>260</v>
      </c>
      <c r="C26" s="38" t="n">
        <f aca="false">Corp_Debt_Amt/Corp_Debt_Tenor</f>
        <v>285714.285714286</v>
      </c>
      <c r="D26" s="38" t="n">
        <f aca="false">Corporate_Debt!C16</f>
        <v>285714.285714286</v>
      </c>
      <c r="E26" s="38" t="n">
        <f aca="false">Corporate_Debt!D16</f>
        <v>285714.285714286</v>
      </c>
      <c r="F26" s="38" t="n">
        <f aca="false">Corporate_Debt!E16</f>
        <v>285714.285714286</v>
      </c>
      <c r="G26" s="38" t="n">
        <f aca="false">Corporate_Debt!F16</f>
        <v>285714.285714286</v>
      </c>
      <c r="H26" s="38" t="n">
        <f aca="false">Corporate_Debt!G16</f>
        <v>285714.285714286</v>
      </c>
    </row>
    <row r="27" customFormat="false" ht="15" hidden="false" customHeight="false" outlineLevel="0" collapsed="false">
      <c r="A27" s="6"/>
      <c r="B27" s="6"/>
      <c r="C27" s="6"/>
      <c r="D27" s="6"/>
      <c r="E27" s="6"/>
      <c r="F27" s="6"/>
      <c r="G27" s="6"/>
      <c r="H27" s="6"/>
    </row>
    <row r="28" customFormat="false" ht="15" hidden="false" customHeight="false" outlineLevel="0" collapsed="false">
      <c r="A28" s="6"/>
      <c r="B28" s="26" t="s">
        <v>261</v>
      </c>
      <c r="C28" s="38" t="n">
        <f aca="false">Opening_Fleet*Purchase_Price*Fleet_LTV</f>
        <v>12800000</v>
      </c>
      <c r="D28" s="38" t="n">
        <f aca="false">Fleet_Financing!C13</f>
        <v>13440000</v>
      </c>
      <c r="E28" s="38" t="n">
        <f aca="false">Fleet_Financing!D13</f>
        <v>14253568</v>
      </c>
      <c r="F28" s="38" t="n">
        <f aca="false">Fleet_Financing!E13</f>
        <v>15284776.96</v>
      </c>
      <c r="G28" s="38" t="n">
        <f aca="false">Fleet_Financing!F13</f>
        <v>16378545.9712</v>
      </c>
      <c r="H28" s="38" t="n">
        <f aca="false">Fleet_Financing!G13</f>
        <v>17536964.952064</v>
      </c>
    </row>
    <row r="29" customFormat="false" ht="15" hidden="false" customHeight="false" outlineLevel="0" collapsed="false">
      <c r="A29" s="6"/>
      <c r="B29" s="26" t="s">
        <v>262</v>
      </c>
      <c r="C29" s="38" t="n">
        <f aca="false">Corp_Debt_Amt-C26</f>
        <v>1714285.71428571</v>
      </c>
      <c r="D29" s="38" t="n">
        <f aca="false">Corporate_Debt!C17</f>
        <v>1428571.42857143</v>
      </c>
      <c r="E29" s="38" t="n">
        <f aca="false">Corporate_Debt!D17</f>
        <v>1142857.14285714</v>
      </c>
      <c r="F29" s="38" t="n">
        <f aca="false">Corporate_Debt!E17</f>
        <v>857142.857142857</v>
      </c>
      <c r="G29" s="38" t="n">
        <f aca="false">Corporate_Debt!F17</f>
        <v>571428.571428572</v>
      </c>
      <c r="H29" s="38" t="n">
        <f aca="false">Corporate_Debt!G17</f>
        <v>285714.285714286</v>
      </c>
    </row>
    <row r="30" customFormat="false" ht="15" hidden="false" customHeight="false" outlineLevel="0" collapsed="false">
      <c r="A30" s="6"/>
      <c r="B30" s="6"/>
      <c r="C30" s="6"/>
      <c r="D30" s="6"/>
      <c r="E30" s="6"/>
      <c r="F30" s="6"/>
      <c r="G30" s="6"/>
      <c r="H30" s="6"/>
    </row>
    <row r="31" customFormat="false" ht="15" hidden="false" customHeight="false" outlineLevel="0" collapsed="false">
      <c r="A31" s="6"/>
      <c r="B31" s="28" t="s">
        <v>263</v>
      </c>
      <c r="C31" s="39" t="n">
        <f aca="false">C24+C25+C26+C28+C29</f>
        <v>15112653.25</v>
      </c>
      <c r="D31" s="39" t="n">
        <f aca="false">D24+D25+D26+D28+D29</f>
        <v>15476327.8982754</v>
      </c>
      <c r="E31" s="39" t="n">
        <f aca="false">E24+E25+E26+E28+E29</f>
        <v>16028648.5642978</v>
      </c>
      <c r="F31" s="39" t="n">
        <f aca="false">F24+F25+F26+F28+F29</f>
        <v>16800621.7353948</v>
      </c>
      <c r="G31" s="39" t="n">
        <f aca="false">G24+G25+G26+G28+G29</f>
        <v>17642299.4509305</v>
      </c>
      <c r="H31" s="39" t="n">
        <f aca="false">H24+H25+H26+H28+H29</f>
        <v>18572716.7251574</v>
      </c>
    </row>
    <row r="32" customFormat="false" ht="15" hidden="false" customHeight="false" outlineLevel="0" collapsed="false">
      <c r="A32" s="6"/>
      <c r="B32" s="6"/>
      <c r="C32" s="6"/>
      <c r="D32" s="6"/>
      <c r="E32" s="6"/>
      <c r="F32" s="6"/>
      <c r="G32" s="6"/>
      <c r="H32" s="6"/>
    </row>
    <row r="33" customFormat="false" ht="15" hidden="false" customHeight="false" outlineLevel="0" collapsed="false">
      <c r="A33" s="6"/>
      <c r="B33" s="16" t="s">
        <v>264</v>
      </c>
      <c r="C33" s="17"/>
      <c r="D33" s="17"/>
      <c r="E33" s="17"/>
      <c r="F33" s="17"/>
      <c r="G33" s="17"/>
      <c r="H33" s="17"/>
    </row>
    <row r="34" customFormat="false" ht="15" hidden="false" customHeight="false" outlineLevel="0" collapsed="false">
      <c r="A34" s="6"/>
      <c r="B34" s="26" t="s">
        <v>265</v>
      </c>
      <c r="C34" s="38" t="n">
        <f aca="false">Share_Capital</f>
        <v>6898262</v>
      </c>
      <c r="D34" s="38" t="n">
        <f aca="false">Share_Capital</f>
        <v>6898262</v>
      </c>
      <c r="E34" s="38" t="n">
        <f aca="false">Share_Capital</f>
        <v>6898262</v>
      </c>
      <c r="F34" s="38" t="n">
        <f aca="false">Share_Capital</f>
        <v>6898262</v>
      </c>
      <c r="G34" s="38" t="n">
        <f aca="false">Share_Capital</f>
        <v>6898262</v>
      </c>
      <c r="H34" s="38" t="n">
        <f aca="false">Share_Capital</f>
        <v>6898262</v>
      </c>
    </row>
    <row r="35" customFormat="false" ht="15" hidden="false" customHeight="false" outlineLevel="0" collapsed="false">
      <c r="A35" s="6"/>
      <c r="B35" s="26" t="s">
        <v>266</v>
      </c>
      <c r="C35" s="38" t="n">
        <f aca="false">Opening_RE+(C21-C31-C34-Opening_RE)</f>
        <v>0.449999999254942</v>
      </c>
      <c r="D35" s="38" t="n">
        <f aca="false">C35+Income_Statement!C46-Income_Statement!C47</f>
        <v>-78567.7679571444</v>
      </c>
      <c r="E35" s="38" t="n">
        <f aca="false">D35+Income_Statement!D46-Income_Statement!D47</f>
        <v>-97973.0009968875</v>
      </c>
      <c r="F35" s="38" t="n">
        <f aca="false">E35+Income_Statement!E46-Income_Statement!E47</f>
        <v>-61156.1793951055</v>
      </c>
      <c r="G35" s="38" t="n">
        <f aca="false">F35+Income_Statement!F46-Income_Statement!F47</f>
        <v>15069.4258502701</v>
      </c>
      <c r="H35" s="38" t="n">
        <f aca="false">G35+Income_Statement!G46-Income_Statement!G47</f>
        <v>111807.517159336</v>
      </c>
    </row>
    <row r="36" customFormat="false" ht="15" hidden="false" customHeight="false" outlineLevel="0" collapsed="false">
      <c r="A36" s="6"/>
      <c r="B36" s="28" t="s">
        <v>267</v>
      </c>
      <c r="C36" s="39" t="n">
        <f aca="false">C34+C35</f>
        <v>6898262.45</v>
      </c>
      <c r="D36" s="39" t="n">
        <f aca="false">D34+D35</f>
        <v>6819694.23204286</v>
      </c>
      <c r="E36" s="39" t="n">
        <f aca="false">E34+E35</f>
        <v>6800288.99900311</v>
      </c>
      <c r="F36" s="39" t="n">
        <f aca="false">F34+F35</f>
        <v>6837105.82060489</v>
      </c>
      <c r="G36" s="39" t="n">
        <f aca="false">G34+G35</f>
        <v>6913331.42585027</v>
      </c>
      <c r="H36" s="39" t="n">
        <f aca="false">H34+H35</f>
        <v>7010069.51715934</v>
      </c>
    </row>
    <row r="37" customFormat="false" ht="15" hidden="false" customHeight="false" outlineLevel="0" collapsed="false">
      <c r="A37" s="6"/>
      <c r="B37" s="6"/>
      <c r="C37" s="6"/>
      <c r="D37" s="6"/>
      <c r="E37" s="6"/>
      <c r="F37" s="6"/>
      <c r="G37" s="6"/>
      <c r="H37" s="6"/>
    </row>
    <row r="38" customFormat="false" ht="15" hidden="false" customHeight="false" outlineLevel="0" collapsed="false">
      <c r="A38" s="6"/>
      <c r="B38" s="28" t="s">
        <v>268</v>
      </c>
      <c r="C38" s="39" t="n">
        <f aca="false">C31+C36</f>
        <v>22010915.7</v>
      </c>
      <c r="D38" s="39" t="n">
        <f aca="false">D31+D36</f>
        <v>22296022.1303183</v>
      </c>
      <c r="E38" s="39" t="n">
        <f aca="false">E31+E36</f>
        <v>22828937.5633009</v>
      </c>
      <c r="F38" s="39" t="n">
        <f aca="false">F31+F36</f>
        <v>23637727.5559996</v>
      </c>
      <c r="G38" s="39" t="n">
        <f aca="false">G31+G36</f>
        <v>24555630.8767808</v>
      </c>
      <c r="H38" s="39" t="n">
        <f aca="false">H31+H36</f>
        <v>25582786.2423168</v>
      </c>
    </row>
    <row r="39" customFormat="false" ht="15" hidden="false" customHeight="false" outlineLevel="0" collapsed="false">
      <c r="A39" s="6"/>
      <c r="B39" s="45" t="s">
        <v>269</v>
      </c>
      <c r="C39" s="46" t="n">
        <f aca="false">C21-C38</f>
        <v>0</v>
      </c>
      <c r="D39" s="46" t="n">
        <f aca="false">D21-D38</f>
        <v>0</v>
      </c>
      <c r="E39" s="46" t="n">
        <f aca="false">E21-E38</f>
        <v>0</v>
      </c>
      <c r="F39" s="46" t="n">
        <f aca="false">F21-F38</f>
        <v>0</v>
      </c>
      <c r="G39" s="46" t="n">
        <f aca="false">G21-G38</f>
        <v>0</v>
      </c>
      <c r="H39" s="46" t="n">
        <f aca="false">H21-H38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2026-05-15T18:52:52Z</dcterms:created>
  <dc:creator>openpyxl</dc:creator>
  <dc:description/>
  <dc:language>en-GB</dc:language>
  <cp:lastModifiedBy/>
  <dcterms:modified xsi:type="dcterms:W3CDTF">2026-05-15T18:52:52Z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