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Assumptions" sheetId="2" state="visible" r:id="rId4"/>
    <sheet name="Site_Count" sheetId="3" state="visible" r:id="rId5"/>
    <sheet name="Revenue" sheetId="4" state="visible" r:id="rId6"/>
    <sheet name="P&amp;L" sheetId="5" state="visible" r:id="rId7"/>
    <sheet name="Capital" sheetId="6" state="visible" r:id="rId8"/>
    <sheet name="Returns" sheetId="7" state="visible" r:id="rId9"/>
    <sheet name="Dashboard" sheetId="8" state="visible" r:id="rId10"/>
    <sheet name="Disclaimer" sheetId="9" state="visible" r:id="rId11"/>
  </sheets>
  <definedNames>
    <definedName function="false" hidden="false" name="Acquired_Y1" vbProcedure="false">Assumptions!$C$8</definedName>
    <definedName function="false" hidden="false" name="Acquired_Y2" vbProcedure="false">Assumptions!$C$9</definedName>
    <definedName function="false" hidden="false" name="Acquired_Y3" vbProcedure="false">Assumptions!$C$10</definedName>
    <definedName function="false" hidden="false" name="Acquired_Y4" vbProcedure="false">Assumptions!$C$11</definedName>
    <definedName function="false" hidden="false" name="Acquired_Y5" vbProcedure="false">Assumptions!$C$12</definedName>
    <definedName function="false" hidden="false" name="Ancillary_Pct" vbProcedure="false">Assumptions!$C$21</definedName>
    <definedName function="false" hidden="false" name="Chem_Pct" vbProcedure="false">Assumptions!$C$26</definedName>
    <definedName function="false" hidden="false" name="Closure_Rate" vbProcedure="false">Assumptions!$C$13</definedName>
    <definedName function="false" hidden="false" name="Corp_Base" vbProcedure="false">Assumptions!$C$31</definedName>
    <definedName function="false" hidden="false" name="Corp_per_Site" vbProcedure="false">Assumptions!$C$32</definedName>
    <definedName function="false" hidden="false" name="DA_Ratio" vbProcedure="false">Assumptions!$C$33</definedName>
    <definedName function="false" hidden="false" name="Debt_Rate" vbProcedure="false">Assumptions!$C$42</definedName>
    <definedName function="false" hidden="false" name="Exit_Mult" vbProcedure="false">Assumptions!$C$41</definedName>
    <definedName function="false" hidden="false" name="IRR_Amber" vbProcedure="false">Assumptions!$C$48</definedName>
    <definedName function="false" hidden="false" name="IRR_Green" vbProcedure="false">Assumptions!$C$47</definedName>
    <definedName function="false" hidden="false" name="Labour_per_Site" vbProcedure="false">Assumptions!$C$25</definedName>
    <definedName function="false" hidden="false" name="Lease_per_Site" vbProcedure="false">Assumptions!$C$28</definedName>
    <definedName function="false" hidden="false" name="Margin_Amber" vbProcedure="false">Assumptions!$C$46</definedName>
    <definedName function="false" hidden="false" name="Margin_Green" vbProcedure="false">Assumptions!$C$45</definedName>
    <definedName function="false" hidden="false" name="Marketing_Pct" vbProcedure="false">Assumptions!$C$30</definedName>
    <definedName function="false" hidden="false" name="Members_per_Site" vbProcedure="false">Assumptions!$C$16</definedName>
    <definedName function="false" hidden="false" name="Op_Days" vbProcedure="false">Assumptions!$C$19</definedName>
    <definedName function="false" hidden="false" name="Plan_Price" vbProcedure="false">Assumptions!$C$17</definedName>
    <definedName function="false" hidden="false" name="PL_EBITDA_Mgn_Y5" vbProcedure="false">'P&amp;L'!$G$29</definedName>
    <definedName function="false" hidden="false" name="PL_EBITDA_Y5" vbProcedure="false">'P&amp;L'!$G$20</definedName>
    <definedName function="false" hidden="false" name="PL_Rev_Y5" vbProcedure="false">'P&amp;L'!$G$7</definedName>
    <definedName function="false" hidden="false" name="Purchase_Mult" vbProcedure="false">Assumptions!$C$38</definedName>
    <definedName function="false" hidden="false" name="Retail_Ticket" vbProcedure="false">Assumptions!$C$20</definedName>
    <definedName function="false" hidden="false" name="Retail_Washes" vbProcedure="false">Assumptions!$C$18</definedName>
    <definedName function="false" hidden="false" name="Ret_Arb" vbProcedure="false">Returns!$C$20</definedName>
    <definedName function="false" hidden="false" name="Ret_Exit_EV" vbProcedure="false">Returns!$C$13</definedName>
    <definedName function="false" hidden="false" name="Ret_IRR" vbProcedure="false">Returns!$C$17</definedName>
    <definedName function="false" hidden="false" name="Ret_MOIC" vbProcedure="false">Returns!$C$18</definedName>
    <definedName function="false" hidden="false" name="Rev_Ancillary_Y5" vbProcedure="false">Revenue!$G$9</definedName>
    <definedName function="false" hidden="false" name="Rev_Growth" vbProcedure="false">Assumptions!$C$22</definedName>
    <definedName function="false" hidden="false" name="Rev_Member_Y5" vbProcedure="false">Revenue!$G$7</definedName>
    <definedName function="false" hidden="false" name="Rev_Retail_Y5" vbProcedure="false">Revenue!$G$8</definedName>
    <definedName function="false" hidden="false" name="RM_per_Site" vbProcedure="false">Assumptions!$C$29</definedName>
    <definedName function="false" hidden="false" name="SC_Close_Y5" vbProcedure="false">Site_Count!$G$10</definedName>
    <definedName function="false" hidden="false" name="Sponsor_Equity_Pct" vbProcedure="false">Assumptions!$C$40</definedName>
    <definedName function="false" hidden="false" name="Start_Sites" vbProcedure="false">Assumptions!$C$7</definedName>
    <definedName function="false" hidden="false" name="Tax_Rate" vbProcedure="false">Assumptions!$C$34</definedName>
    <definedName function="false" hidden="false" name="Trailing_EBITDA" vbProcedure="false">Assumptions!$C$39</definedName>
    <definedName function="false" hidden="false" name="Utilities_per_Site" vbProcedure="false">Assumptions!$C$27</definedName>
    <definedName function="false" hidden="false" name="WC_Capex_Drag" vbProcedure="false">Assumptions!$C$35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<sst xmlns="http://schemas.openxmlformats.org/spreadsheetml/2006/main" count="271" uniqueCount="197">
  <si>
    <t xml:space="preserve">Car Wash</t>
  </si>
  <si>
    <t xml:space="preserve">FINAMODEL.com</t>
  </si>
  <si>
    <t xml:space="preserve">Five-year express car-wash roll-up</t>
  </si>
  <si>
    <t xml:space="preserve">Sheet</t>
  </si>
  <si>
    <t xml:space="preserve">Purpose</t>
  </si>
  <si>
    <t xml:space="preserve">Cover</t>
  </si>
  <si>
    <t xml:space="preserve">Title and navigation.</t>
  </si>
  <si>
    <t xml:space="preserve">Assumptions</t>
  </si>
  <si>
    <t xml:space="preserve">Site panel, per-site economics, M&amp;A inputs.</t>
  </si>
  <si>
    <t xml:space="preserve">Site_Count</t>
  </si>
  <si>
    <t xml:space="preserve">Opening, acquired, closed, closing sites.</t>
  </si>
  <si>
    <t xml:space="preserve">Revenue</t>
  </si>
  <si>
    <t xml:space="preserve">Membership, retail wash, ancillary revenue.</t>
  </si>
  <si>
    <t xml:space="preserve">P&amp;L</t>
  </si>
  <si>
    <t xml:space="preserve">Revenue to net income with margins.</t>
  </si>
  <si>
    <t xml:space="preserve">Capital</t>
  </si>
  <si>
    <t xml:space="preserve">Acquisition spend and capital deployment.</t>
  </si>
  <si>
    <t xml:space="preserve">Returns</t>
  </si>
  <si>
    <t xml:space="preserve">Sponsor equity IRR and MOIC.</t>
  </si>
  <si>
    <t xml:space="preserve">Dashboard</t>
  </si>
  <si>
    <t xml:space="preserve">Headline metrics and Y5 revenue mix.</t>
  </si>
  <si>
    <t xml:space="preserve">Tab colour legend</t>
  </si>
  <si>
    <t xml:space="preserve">Dark blue</t>
  </si>
  <si>
    <t xml:space="preserve">Light blue</t>
  </si>
  <si>
    <t xml:space="preserve">Green</t>
  </si>
  <si>
    <t xml:space="preserve">Site_Count, Revenue</t>
  </si>
  <si>
    <t xml:space="preserve">Orange</t>
  </si>
  <si>
    <t xml:space="preserve">Yellow</t>
  </si>
  <si>
    <t xml:space="preserve">Red</t>
  </si>
  <si>
    <t xml:space="preserve">Grey</t>
  </si>
  <si>
    <t xml:space="preserve">About this model</t>
  </si>
  <si>
    <t xml:space="preserve">A car-wash operating model captures the five-year arc of an express car-wash roll-up — the PE thesis of acquiring single-site express tunnels at a low single-digit EBITDA multiple, converting pay-per-wash customers to unlimited monthly membership plans, running them through a shared platform (Mister Car Wash, Driven Brands, ZIPS, Whistle Express, GO Car Wash), and exiting the portfolio at a premium multiple. The workbook runs across eight sheets — Cover, Assumptions, Site_Count, Revenue, P&amp;L, Capital, Returns, Dashboard — plus the shared Disclaimer. Every input is a named-range cell, every formula is one or two operations long, and the workbook passes static-value, self-reference, dead-assumption, and unused-named-range scans.
The Site_Count sheet builds the panel roll-forward: opening sites carry from prior closing, acquired sites from the per-year acquisition input, closed sites from a small annual attrition input, and closing sites fall out as opening + acquired − closed. Average site count (opening / closing mean) drives the per-site revenue and cost lines so a mid-year acquisition isn't double-counted. The Revenue sheet runs three streams off the average site count: membership (members per site × monthly plan price × 12 × sites), retail wash (washes per day × operating days × ticket × sites), and ancillary (a fixed percent of wash revenue covering vacuums and vending). Per-site member counts, plan price, and retail throughput sit on Assumptions so the user can flex unit economics independently of the M&amp;A pace.
The P&amp;L sheet is the cost stack express-car-wash diligence cares about. Site labour, utilities, land lease, and repairs &amp; maintenance are per-site costs scaled by average site count. Chemicals &amp; water and marketing are percent-of-revenue lines. Corporate overhead is a base plus per-site add-on — the platform drag PE diligence flexes hardest. EBITDA, D&amp;A, EBIT, tax (positive EBIT only), and net income flow out, with EBITDA and net margins below and a P&amp;L identity check.
The Capital sheet is the deployment view. Acquisition spend per year = sites acquired × trailing EBITDA per site × purchase multiple; sponsor equity = spend × sponsor equity percent; acquisition debt is the balance, accruing interest paid-in-kind into a cumulative debt balance across the hold. The Returns sheet runs the sponsor's IRR stream: per-year equity outflows and a Year 5 inflow equal to the exit enterprise value (Y5 EBITDA × exit multiple) less the cumulative acquisition debt. Sponsor IRR, MOIC, blended entry multiple, and the entry-vs-exit multiple-arbitrage spread — the headline value driver of the roll-up — fall out.
The Dashboard collapses Y5 metrics: revenue, EBITDA, EBITDA margin, site count, sponsor IRR, MOIC, exit enterprise value, and a Y5 revenue split by stream (membership, retail wash, ancillary), with traffic-light status flags comparing EBITDA margin and sponsor IRR to user-set thresholds. Target users are PE associates underwriting car-wash platform deals, operating CFOs at consolidators running board reviews, lenders sizing acquisition debt on forward EBITDA, and bankers running a sell-side process. The defaults reflect a realistic mid-size roll-up (10 starting sites, ~6 acquisitions per year, ~$1.0M revenue per site, high-20s EBITDA margin, 6.5x entry multiple, 12.5x exit multiple) — flex the inputs to model a specific target portfolio.</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</si>
  <si>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</si>
  <si>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</si>
  <si>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</si>
  <si>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</si>
  <si>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Site panel</t>
  </si>
  <si>
    <t xml:space="preserve">Starting sites</t>
  </si>
  <si>
    <t xml:space="preserve">Y0 close</t>
  </si>
  <si>
    <t xml:space="preserve">Acquired Y1</t>
  </si>
  <si>
    <t xml:space="preserve">ramp year</t>
  </si>
  <si>
    <t xml:space="preserve">Acquired Y2</t>
  </si>
  <si>
    <t xml:space="preserve">steady</t>
  </si>
  <si>
    <t xml:space="preserve">Acquired Y3</t>
  </si>
  <si>
    <t xml:space="preserve">platform mode</t>
  </si>
  <si>
    <t xml:space="preserve">Acquired Y4</t>
  </si>
  <si>
    <t xml:space="preserve">Acquired Y5</t>
  </si>
  <si>
    <t xml:space="preserve">exit-prep</t>
  </si>
  <si>
    <t xml:space="preserve">Closure rate</t>
  </si>
  <si>
    <t xml:space="preserve">annual</t>
  </si>
  <si>
    <t xml:space="preserve">Per-site revenue</t>
  </si>
  <si>
    <t xml:space="preserve">Members per site</t>
  </si>
  <si>
    <t xml:space="preserve">active subscribers</t>
  </si>
  <si>
    <t xml:space="preserve">Plan price</t>
  </si>
  <si>
    <t xml:space="preserve">per month</t>
  </si>
  <si>
    <t xml:space="preserve">Retail washes per day</t>
  </si>
  <si>
    <t xml:space="preserve">non-member</t>
  </si>
  <si>
    <t xml:space="preserve">Operating days</t>
  </si>
  <si>
    <t xml:space="preserve">per year</t>
  </si>
  <si>
    <t xml:space="preserve">Retail avg ticket</t>
  </si>
  <si>
    <t xml:space="preserve">per wash</t>
  </si>
  <si>
    <t xml:space="preserve">Ancillary % of wash</t>
  </si>
  <si>
    <t xml:space="preserve">vacuums + vending</t>
  </si>
  <si>
    <t xml:space="preserve">Per-site revenue growth</t>
  </si>
  <si>
    <t xml:space="preserve">Cost structure</t>
  </si>
  <si>
    <t xml:space="preserve">Site labour</t>
  </si>
  <si>
    <t xml:space="preserve">annual per site</t>
  </si>
  <si>
    <t xml:space="preserve">Chemicals &amp; water</t>
  </si>
  <si>
    <t xml:space="preserve">of revenue</t>
  </si>
  <si>
    <t xml:space="preserve">Utilities per site</t>
  </si>
  <si>
    <t xml:space="preserve">Land lease per site</t>
  </si>
  <si>
    <t xml:space="preserve">Repairs &amp; maintenance</t>
  </si>
  <si>
    <t xml:space="preserve">Marketing</t>
  </si>
  <si>
    <t xml:space="preserve">Corporate base</t>
  </si>
  <si>
    <t xml:space="preserve">Corporate per site</t>
  </si>
  <si>
    <t xml:space="preserve">D&amp;A</t>
  </si>
  <si>
    <t xml:space="preserve">Tax rate</t>
  </si>
  <si>
    <t xml:space="preserve">on positive EBIT</t>
  </si>
  <si>
    <t xml:space="preserve">WC+capex drag</t>
  </si>
  <si>
    <t xml:space="preserve">M&amp;A inputs</t>
  </si>
  <si>
    <t xml:space="preserve">Purchase multiple</t>
  </si>
  <si>
    <t xml:space="preserve">x trailing EBITDA</t>
  </si>
  <si>
    <t xml:space="preserve">Trailing EBITDA per site</t>
  </si>
  <si>
    <t xml:space="preserve">at acquisition</t>
  </si>
  <si>
    <t xml:space="preserve">Sponsor equity %</t>
  </si>
  <si>
    <t xml:space="preserve">of acquisition spend</t>
  </si>
  <si>
    <t xml:space="preserve">Exit multiple</t>
  </si>
  <si>
    <t xml:space="preserve">x Y5 EBITDA</t>
  </si>
  <si>
    <t xml:space="preserve">Acquisition debt rate</t>
  </si>
  <si>
    <t xml:space="preserve">Status thresholds</t>
  </si>
  <si>
    <t xml:space="preserve">EBITDA margin: on-track</t>
  </si>
  <si>
    <t xml:space="preserve">platform</t>
  </si>
  <si>
    <t xml:space="preserve">EBITDA margin: watch</t>
  </si>
  <si>
    <t xml:space="preserve">Sponsor IRR: on-track</t>
  </si>
  <si>
    <t xml:space="preserve">5yr hold</t>
  </si>
  <si>
    <t xml:space="preserve">Sponsor IRR: watch</t>
  </si>
  <si>
    <t xml:space="preserve">Site Count</t>
  </si>
  <si>
    <t xml:space="preserve">Panel roll-forward</t>
  </si>
  <si>
    <t xml:space="preserve">Site count</t>
  </si>
  <si>
    <t xml:space="preserve">Item</t>
  </si>
  <si>
    <t xml:space="preserve">Y1</t>
  </si>
  <si>
    <t xml:space="preserve">Y2</t>
  </si>
  <si>
    <t xml:space="preserve">Y3</t>
  </si>
  <si>
    <t xml:space="preserve">Y4</t>
  </si>
  <si>
    <t xml:space="preserve">Y5</t>
  </si>
  <si>
    <t xml:space="preserve">Opening sites</t>
  </si>
  <si>
    <t xml:space="preserve">Acquired</t>
  </si>
  <si>
    <t xml:space="preserve">Closed</t>
  </si>
  <si>
    <t xml:space="preserve">Closing sites</t>
  </si>
  <si>
    <t xml:space="preserve">Average sites</t>
  </si>
  <si>
    <t xml:space="preserve">Revenue by stream</t>
  </si>
  <si>
    <t xml:space="preserve">Revenue streams</t>
  </si>
  <si>
    <t xml:space="preserve">Stream</t>
  </si>
  <si>
    <t xml:space="preserve">Membership</t>
  </si>
  <si>
    <t xml:space="preserve">Retail wash</t>
  </si>
  <si>
    <t xml:space="preserve">Ancillary</t>
  </si>
  <si>
    <t xml:space="preserve">Total revenue</t>
  </si>
  <si>
    <t xml:space="preserve">Revenue per site</t>
  </si>
  <si>
    <t xml:space="preserve">Revenue to net income</t>
  </si>
  <si>
    <t xml:space="preserve">Operating expenses</t>
  </si>
  <si>
    <t xml:space="preserve">Utilities</t>
  </si>
  <si>
    <t xml:space="preserve">Land lease</t>
  </si>
  <si>
    <t xml:space="preserve">Corporate overhead</t>
  </si>
  <si>
    <t xml:space="preserve">Total opex</t>
  </si>
  <si>
    <t xml:space="preserve">EBITDA</t>
  </si>
  <si>
    <t xml:space="preserve">Below the line</t>
  </si>
  <si>
    <t xml:space="preserve">Depreciation &amp; amort</t>
  </si>
  <si>
    <t xml:space="preserve">EBIT</t>
  </si>
  <si>
    <t xml:space="preserve">Tax</t>
  </si>
  <si>
    <t xml:space="preserve">Net income</t>
  </si>
  <si>
    <t xml:space="preserve">Margins</t>
  </si>
  <si>
    <t xml:space="preserve">EBITDA margin</t>
  </si>
  <si>
    <t xml:space="preserve">Net margin</t>
  </si>
  <si>
    <t xml:space="preserve">Identity check</t>
  </si>
  <si>
    <t xml:space="preserve">Platform and acquisition spend</t>
  </si>
  <si>
    <t xml:space="preserve">Initial platform (Y0)</t>
  </si>
  <si>
    <t xml:space="preserve">Platform spend</t>
  </si>
  <si>
    <t xml:space="preserve">Platform equity</t>
  </si>
  <si>
    <t xml:space="preserve">Platform debt</t>
  </si>
  <si>
    <t xml:space="preserve">Annual deployment</t>
  </si>
  <si>
    <t xml:space="preserve">Sites acquired</t>
  </si>
  <si>
    <t xml:space="preserve">Acquisition spend</t>
  </si>
  <si>
    <t xml:space="preserve">Sponsor equity</t>
  </si>
  <si>
    <t xml:space="preserve">Acquisition debt</t>
  </si>
  <si>
    <t xml:space="preserve">Cumulative equity</t>
  </si>
  <si>
    <t xml:space="preserve">Interest accrual</t>
  </si>
  <si>
    <t xml:space="preserve">Cumulative debt</t>
  </si>
  <si>
    <t xml:space="preserve">Sponsor equity IRR and MOIC</t>
  </si>
  <si>
    <t xml:space="preserve">Sponsor equity cashflow</t>
  </si>
  <si>
    <t xml:space="preserve">Y0</t>
  </si>
  <si>
    <t xml:space="preserve">Equity contribution</t>
  </si>
  <si>
    <t xml:space="preserve">Platform FCF (info)</t>
  </si>
  <si>
    <t xml:space="preserve">Exit equity proceeds</t>
  </si>
  <si>
    <t xml:space="preserve">Sponsor net CF</t>
  </si>
  <si>
    <t xml:space="preserve">Returns metrics</t>
  </si>
  <si>
    <t xml:space="preserve">Exit enterprise value</t>
  </si>
  <si>
    <t xml:space="preserve">Net debt at exit</t>
  </si>
  <si>
    <t xml:space="preserve">Equity proceeds</t>
  </si>
  <si>
    <t xml:space="preserve">Equity invested</t>
  </si>
  <si>
    <t xml:space="preserve">Sponsor IRR</t>
  </si>
  <si>
    <t xml:space="preserve">Sponsor MOIC</t>
  </si>
  <si>
    <t xml:space="preserve">Blended entry multiple</t>
  </si>
  <si>
    <t xml:space="preserve">Multiple arbitrage</t>
  </si>
  <si>
    <t xml:space="preserve">Headline metrics with status</t>
  </si>
  <si>
    <t xml:space="preserve">Headline metrics</t>
  </si>
  <si>
    <t xml:space="preserve">Metric</t>
  </si>
  <si>
    <t xml:space="preserve">Value</t>
  </si>
  <si>
    <t xml:space="preserve">Unit</t>
  </si>
  <si>
    <t xml:space="preserve">Status</t>
  </si>
  <si>
    <t xml:space="preserve">Y5 revenue</t>
  </si>
  <si>
    <t xml:space="preserve">$</t>
  </si>
  <si>
    <t xml:space="preserve">Y5 EBITDA</t>
  </si>
  <si>
    <t xml:space="preserve">Y5 EBITDA margin</t>
  </si>
  <si>
    <t xml:space="preserve">%</t>
  </si>
  <si>
    <t xml:space="preserve">Y5 site count</t>
  </si>
  <si>
    <t xml:space="preserve">sites</t>
  </si>
  <si>
    <t xml:space="preserve">x</t>
  </si>
  <si>
    <t xml:space="preserve">Y5 revenue mix</t>
  </si>
  <si>
    <t xml:space="preserve">% of total</t>
  </si>
  <si>
    <t xml:space="preserve">Total</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</si>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</sst>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
    <numFmt numFmtId="166" formatCode="0.0%"/>
    <numFmt numFmtId="167" formatCode="\$#,##0"/>
    <numFmt numFmtId="168" formatCode="0.00\x"/>
    <numFmt numFmtId="169" formatCode="@"/>
    <numFmt numFmtId="170" formatCode="#,##0.0"/>
  </numFmts>
  <fonts count="24">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color theme="3"/>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1"/>
      <color theme="3"/>
      <name val="Arial"/>
      <family val="0"/>
      <charset val="1"/>
    </font>
    <font>
      <b val="true"/>
      <sz val="11"/>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D6E4F0"/>
        <bgColor rgb="FFC6D9F1"/>
      </patternFill>
    </fill>
    <fill>
      <patternFill patternType="solid">
        <fgColor rgb="FFEBF1F8"/>
        <bgColor rgb="FFF2F2F2"/>
      </patternFill>
    </fill>
    <fill>
      <patternFill patternType="solid">
        <fgColor rgb="FF1F4E79"/>
        <bgColor rgb="FF1F497D"/>
      </patternFill>
    </fill>
    <fill>
      <patternFill patternType="solid">
        <fgColor rgb="FFF2F2F2"/>
        <bgColor rgb="FFEBF1F8"/>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left"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5" fontId="16" fillId="5" borderId="0" xfId="0" applyFont="true" applyBorder="false" applyAlignment="true" applyProtection="false">
      <alignment horizontal="right" vertical="bottom" textRotation="0" wrapText="false" indent="0" shrinkToFit="false"/>
      <protection locked="true" hidden="false"/>
    </xf>
    <xf numFmtId="166" fontId="16" fillId="5" borderId="0" xfId="0" applyFont="true" applyBorder="false" applyAlignment="true" applyProtection="false">
      <alignment horizontal="right" vertical="bottom" textRotation="0" wrapText="false" indent="0" shrinkToFit="false"/>
      <protection locked="true" hidden="false"/>
    </xf>
    <xf numFmtId="167" fontId="16" fillId="5" borderId="0" xfId="0" applyFont="true" applyBorder="false" applyAlignment="true" applyProtection="false">
      <alignment horizontal="right" vertical="bottom" textRotation="0" wrapText="false" indent="0" shrinkToFit="false"/>
      <protection locked="true" hidden="false"/>
    </xf>
    <xf numFmtId="168" fontId="16" fillId="5" borderId="0" xfId="0" applyFont="true" applyBorder="false" applyAlignment="true" applyProtection="false">
      <alignment horizontal="right" vertical="bottom" textRotation="0" wrapText="false" indent="0" shrinkToFit="false"/>
      <protection locked="true" hidden="false"/>
    </xf>
    <xf numFmtId="169" fontId="17" fillId="2"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70" fontId="9" fillId="0" borderId="1" xfId="0" applyFont="true" applyBorder="tru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7" fontId="9" fillId="0" borderId="1" xfId="0" applyFont="true" applyBorder="true" applyAlignment="true" applyProtection="false">
      <alignment horizontal="right" vertical="bottom" textRotation="0" wrapText="fals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7" fontId="9" fillId="0" borderId="2"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3"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6" fontId="9" fillId="0" borderId="1"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2" fillId="7"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8"/>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0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4" min="3" style="0" width="4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5" t="s">
        <v>3</v>
      </c>
      <c r="C6" s="5" t="s">
        <v>4</v>
      </c>
    </row>
    <row r="7" customFormat="false" ht="15" hidden="false" customHeight="false" outlineLevel="0" collapsed="false">
      <c r="B7" s="6" t="s">
        <v>5</v>
      </c>
      <c r="C7" s="7" t="s">
        <v>6</v>
      </c>
    </row>
    <row r="8" customFormat="false" ht="15" hidden="false" customHeight="false" outlineLevel="0" collapsed="false">
      <c r="B8" s="6" t="s">
        <v>7</v>
      </c>
      <c r="C8" s="7" t="s">
        <v>8</v>
      </c>
    </row>
    <row r="9" customFormat="false" ht="15" hidden="false" customHeight="false" outlineLevel="0" collapsed="false">
      <c r="B9" s="6" t="s">
        <v>9</v>
      </c>
      <c r="C9" s="7" t="s">
        <v>10</v>
      </c>
    </row>
    <row r="10" customFormat="false" ht="15" hidden="false" customHeight="false" outlineLevel="0" collapsed="false">
      <c r="B10" s="6" t="s">
        <v>11</v>
      </c>
      <c r="C10" s="7" t="s">
        <v>12</v>
      </c>
    </row>
    <row r="11" customFormat="false" ht="15" hidden="false" customHeight="false" outlineLevel="0" collapsed="false">
      <c r="B11" s="6" t="s">
        <v>13</v>
      </c>
      <c r="C11" s="7" t="s">
        <v>14</v>
      </c>
    </row>
    <row r="12" customFormat="false" ht="15" hidden="false" customHeight="false" outlineLevel="0" collapsed="false">
      <c r="B12" s="6" t="s">
        <v>15</v>
      </c>
      <c r="C12" s="7" t="s">
        <v>16</v>
      </c>
    </row>
    <row r="13" customFormat="false" ht="15" hidden="false" customHeight="false" outlineLevel="0" collapsed="false">
      <c r="B13" s="6" t="s">
        <v>17</v>
      </c>
      <c r="C13" s="7" t="s">
        <v>18</v>
      </c>
    </row>
    <row r="14" customFormat="false" ht="15" hidden="false" customHeight="false" outlineLevel="0" collapsed="false">
      <c r="B14" s="6" t="s">
        <v>19</v>
      </c>
      <c r="C14" s="7" t="s">
        <v>20</v>
      </c>
    </row>
    <row r="17" customFormat="false" ht="15" hidden="false" customHeight="false" outlineLevel="0" collapsed="false">
      <c r="B17" s="8" t="s">
        <v>21</v>
      </c>
    </row>
    <row r="18" customFormat="false" ht="15" hidden="false" customHeight="false" outlineLevel="0" collapsed="false">
      <c r="B18" s="7" t="s">
        <v>22</v>
      </c>
      <c r="C18" s="9" t="s">
        <v>5</v>
      </c>
    </row>
    <row r="19" customFormat="false" ht="15" hidden="false" customHeight="false" outlineLevel="0" collapsed="false">
      <c r="B19" s="7" t="s">
        <v>23</v>
      </c>
      <c r="C19" s="9" t="s">
        <v>7</v>
      </c>
    </row>
    <row r="20" customFormat="false" ht="15" hidden="false" customHeight="false" outlineLevel="0" collapsed="false">
      <c r="B20" s="7" t="s">
        <v>24</v>
      </c>
      <c r="C20" s="9" t="s">
        <v>25</v>
      </c>
    </row>
    <row r="21" customFormat="false" ht="15" hidden="false" customHeight="false" outlineLevel="0" collapsed="false">
      <c r="B21" s="7" t="s">
        <v>26</v>
      </c>
      <c r="C21" s="9" t="s">
        <v>13</v>
      </c>
    </row>
    <row r="22" customFormat="false" ht="15" hidden="false" customHeight="false" outlineLevel="0" collapsed="false">
      <c r="B22" s="7" t="s">
        <v>27</v>
      </c>
      <c r="C22" s="9" t="s">
        <v>15</v>
      </c>
    </row>
    <row r="23" customFormat="false" ht="15" hidden="false" customHeight="false" outlineLevel="0" collapsed="false">
      <c r="B23" s="7" t="s">
        <v>28</v>
      </c>
      <c r="C23" s="9" t="s">
        <v>17</v>
      </c>
    </row>
    <row r="24" customFormat="false" ht="15" hidden="false" customHeight="false" outlineLevel="0" collapsed="false">
      <c r="B24" s="7" t="s">
        <v>29</v>
      </c>
      <c r="C24" s="9" t="s">
        <v>19</v>
      </c>
    </row>
    <row r="27" customFormat="false" ht="19.5" hidden="false" customHeight="true" outlineLevel="0" collapsed="false">
      <c r="B27" s="10" t="s">
        <v>30</v>
      </c>
      <c r="C27" s="11"/>
      <c r="D27" s="11"/>
      <c r="E27" s="11"/>
      <c r="F27" s="11"/>
      <c r="G27" s="11"/>
    </row>
    <row r="28" customFormat="false" ht="472.5" hidden="false" customHeight="true" outlineLevel="0" collapsed="false">
      <c r="B28" s="12" t="s">
        <v>31</v>
      </c>
      <c r="C28" s="12"/>
      <c r="D28" s="12"/>
      <c r="E28" s="12"/>
      <c r="F28" s="12"/>
      <c r="G28" s="12"/>
    </row>
    <row r="30" customFormat="false" ht="19.5" hidden="false" customHeight="true" outlineLevel="0" collapsed="false">
      <c r="B30" s="10" t="s">
        <v>32</v>
      </c>
      <c r="C30" s="11"/>
      <c r="D30" s="11"/>
      <c r="E30" s="11"/>
      <c r="F30" s="11"/>
      <c r="G30" s="11"/>
    </row>
    <row r="31" customFormat="false" ht="57" hidden="false" customHeight="true" outlineLevel="0" collapsed="false">
      <c r="B31" s="12" t="s">
        <v>33</v>
      </c>
      <c r="C31" s="12"/>
      <c r="D31" s="12"/>
      <c r="E31" s="12"/>
      <c r="F31" s="12"/>
      <c r="G31" s="12"/>
    </row>
    <row r="32" customFormat="false" ht="15" hidden="false" customHeight="false" outlineLevel="0" collapsed="false">
      <c r="B32" s="13" t="s">
        <v>34</v>
      </c>
      <c r="C32" s="13"/>
      <c r="D32" s="13"/>
      <c r="E32" s="13"/>
      <c r="F32" s="13"/>
      <c r="G32" s="13"/>
    </row>
    <row r="33" customFormat="false" ht="15" hidden="false" customHeight="false" outlineLevel="0" collapsed="false">
      <c r="B33" s="14" t="s">
        <v>35</v>
      </c>
    </row>
  </sheetData>
  <mergeCells count="3">
    <mergeCell ref="B28:G28"/>
    <mergeCell ref="B31:G31"/>
    <mergeCell ref="B32:G3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14"/>
    <col collapsed="false" customWidth="true" hidden="false" outlineLevel="0" max="4" min="4" style="0" width="18"/>
    <col collapsed="false" customWidth="true" hidden="false" outlineLevel="0" max="5" min="5" style="0" width="2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36</v>
      </c>
    </row>
    <row r="7" customFormat="false" ht="15" hidden="false" customHeight="false" outlineLevel="0" collapsed="false">
      <c r="B7" s="7" t="s">
        <v>37</v>
      </c>
      <c r="C7" s="15" t="n">
        <v>10</v>
      </c>
      <c r="D7" s="9" t="s">
        <v>38</v>
      </c>
    </row>
    <row r="8" customFormat="false" ht="15" hidden="false" customHeight="false" outlineLevel="0" collapsed="false">
      <c r="B8" s="7" t="s">
        <v>39</v>
      </c>
      <c r="C8" s="15" t="n">
        <v>4</v>
      </c>
      <c r="D8" s="9" t="s">
        <v>40</v>
      </c>
    </row>
    <row r="9" customFormat="false" ht="15" hidden="false" customHeight="false" outlineLevel="0" collapsed="false">
      <c r="B9" s="7" t="s">
        <v>41</v>
      </c>
      <c r="C9" s="15" t="n">
        <v>6</v>
      </c>
      <c r="D9" s="9" t="s">
        <v>42</v>
      </c>
    </row>
    <row r="10" customFormat="false" ht="15" hidden="false" customHeight="false" outlineLevel="0" collapsed="false">
      <c r="B10" s="7" t="s">
        <v>43</v>
      </c>
      <c r="C10" s="15" t="n">
        <v>8</v>
      </c>
      <c r="D10" s="9" t="s">
        <v>44</v>
      </c>
    </row>
    <row r="11" customFormat="false" ht="15" hidden="false" customHeight="false" outlineLevel="0" collapsed="false">
      <c r="B11" s="7" t="s">
        <v>45</v>
      </c>
      <c r="C11" s="15" t="n">
        <v>8</v>
      </c>
      <c r="D11" s="9" t="s">
        <v>44</v>
      </c>
    </row>
    <row r="12" customFormat="false" ht="15" hidden="false" customHeight="false" outlineLevel="0" collapsed="false">
      <c r="B12" s="7" t="s">
        <v>46</v>
      </c>
      <c r="C12" s="15" t="n">
        <v>6</v>
      </c>
      <c r="D12" s="9" t="s">
        <v>47</v>
      </c>
    </row>
    <row r="13" customFormat="false" ht="15" hidden="false" customHeight="false" outlineLevel="0" collapsed="false">
      <c r="B13" s="7" t="s">
        <v>48</v>
      </c>
      <c r="C13" s="16" t="n">
        <v>0.005</v>
      </c>
      <c r="D13" s="9" t="s">
        <v>49</v>
      </c>
    </row>
    <row r="14" customFormat="false" ht="15" hidden="false" customHeight="false" outlineLevel="0" collapsed="false">
      <c r="B14" s="5" t="s">
        <v>50</v>
      </c>
    </row>
    <row r="16" customFormat="false" ht="15" hidden="false" customHeight="false" outlineLevel="0" collapsed="false">
      <c r="B16" s="7" t="s">
        <v>51</v>
      </c>
      <c r="C16" s="15" t="n">
        <v>1800</v>
      </c>
      <c r="D16" s="9" t="s">
        <v>52</v>
      </c>
    </row>
    <row r="17" customFormat="false" ht="15" hidden="false" customHeight="false" outlineLevel="0" collapsed="false">
      <c r="B17" s="7" t="s">
        <v>53</v>
      </c>
      <c r="C17" s="17" t="n">
        <v>25</v>
      </c>
      <c r="D17" s="9" t="s">
        <v>54</v>
      </c>
    </row>
    <row r="18" customFormat="false" ht="15" hidden="false" customHeight="false" outlineLevel="0" collapsed="false">
      <c r="B18" s="7" t="s">
        <v>55</v>
      </c>
      <c r="C18" s="15" t="n">
        <v>85</v>
      </c>
      <c r="D18" s="9" t="s">
        <v>56</v>
      </c>
    </row>
    <row r="19" customFormat="false" ht="15" hidden="false" customHeight="false" outlineLevel="0" collapsed="false">
      <c r="B19" s="7" t="s">
        <v>57</v>
      </c>
      <c r="C19" s="15" t="n">
        <v>360</v>
      </c>
      <c r="D19" s="9" t="s">
        <v>58</v>
      </c>
    </row>
    <row r="20" customFormat="false" ht="15" hidden="false" customHeight="false" outlineLevel="0" collapsed="false">
      <c r="B20" s="7" t="s">
        <v>59</v>
      </c>
      <c r="C20" s="17" t="n">
        <v>13</v>
      </c>
      <c r="D20" s="9" t="s">
        <v>60</v>
      </c>
    </row>
    <row r="21" customFormat="false" ht="15" hidden="false" customHeight="false" outlineLevel="0" collapsed="false">
      <c r="B21" s="7" t="s">
        <v>61</v>
      </c>
      <c r="C21" s="16" t="n">
        <v>0.08</v>
      </c>
      <c r="D21" s="9" t="s">
        <v>62</v>
      </c>
    </row>
    <row r="22" customFormat="false" ht="15" hidden="false" customHeight="false" outlineLevel="0" collapsed="false">
      <c r="B22" s="7" t="s">
        <v>63</v>
      </c>
      <c r="C22" s="16" t="n">
        <v>0.03</v>
      </c>
      <c r="D22" s="9" t="s">
        <v>49</v>
      </c>
    </row>
    <row r="23" customFormat="false" ht="15" hidden="false" customHeight="false" outlineLevel="0" collapsed="false">
      <c r="B23" s="5" t="s">
        <v>64</v>
      </c>
    </row>
    <row r="25" customFormat="false" ht="15" hidden="false" customHeight="false" outlineLevel="0" collapsed="false">
      <c r="B25" s="7" t="s">
        <v>65</v>
      </c>
      <c r="C25" s="17" t="n">
        <v>215000</v>
      </c>
      <c r="D25" s="9" t="s">
        <v>66</v>
      </c>
    </row>
    <row r="26" customFormat="false" ht="15" hidden="false" customHeight="false" outlineLevel="0" collapsed="false">
      <c r="B26" s="7" t="s">
        <v>67</v>
      </c>
      <c r="C26" s="16" t="n">
        <v>0.07</v>
      </c>
      <c r="D26" s="9" t="s">
        <v>68</v>
      </c>
    </row>
    <row r="27" customFormat="false" ht="15" hidden="false" customHeight="false" outlineLevel="0" collapsed="false">
      <c r="B27" s="7" t="s">
        <v>69</v>
      </c>
      <c r="C27" s="17" t="n">
        <v>60000</v>
      </c>
      <c r="D27" s="9" t="s">
        <v>49</v>
      </c>
    </row>
    <row r="28" customFormat="false" ht="15" hidden="false" customHeight="false" outlineLevel="0" collapsed="false">
      <c r="B28" s="7" t="s">
        <v>70</v>
      </c>
      <c r="C28" s="17" t="n">
        <v>210000</v>
      </c>
      <c r="D28" s="9" t="s">
        <v>49</v>
      </c>
    </row>
    <row r="29" customFormat="false" ht="15" hidden="false" customHeight="false" outlineLevel="0" collapsed="false">
      <c r="B29" s="7" t="s">
        <v>71</v>
      </c>
      <c r="C29" s="17" t="n">
        <v>42000</v>
      </c>
      <c r="D29" s="9" t="s">
        <v>66</v>
      </c>
    </row>
    <row r="30" customFormat="false" ht="15" hidden="false" customHeight="false" outlineLevel="0" collapsed="false">
      <c r="B30" s="7" t="s">
        <v>72</v>
      </c>
      <c r="C30" s="16" t="n">
        <v>0.04</v>
      </c>
      <c r="D30" s="9" t="s">
        <v>68</v>
      </c>
    </row>
    <row r="31" customFormat="false" ht="15" hidden="false" customHeight="false" outlineLevel="0" collapsed="false">
      <c r="B31" s="7" t="s">
        <v>73</v>
      </c>
      <c r="C31" s="17" t="n">
        <v>1500000</v>
      </c>
      <c r="D31" s="9" t="s">
        <v>49</v>
      </c>
    </row>
    <row r="32" customFormat="false" ht="15" hidden="false" customHeight="false" outlineLevel="0" collapsed="false">
      <c r="B32" s="7" t="s">
        <v>74</v>
      </c>
      <c r="C32" s="17" t="n">
        <v>55000</v>
      </c>
      <c r="D32" s="9" t="s">
        <v>49</v>
      </c>
    </row>
    <row r="33" customFormat="false" ht="15" hidden="false" customHeight="false" outlineLevel="0" collapsed="false">
      <c r="B33" s="7" t="s">
        <v>75</v>
      </c>
      <c r="C33" s="16" t="n">
        <v>0.06</v>
      </c>
      <c r="D33" s="9" t="s">
        <v>68</v>
      </c>
    </row>
    <row r="34" customFormat="false" ht="15" hidden="false" customHeight="false" outlineLevel="0" collapsed="false">
      <c r="B34" s="7" t="s">
        <v>76</v>
      </c>
      <c r="C34" s="16" t="n">
        <v>0.25</v>
      </c>
      <c r="D34" s="9" t="s">
        <v>77</v>
      </c>
    </row>
    <row r="35" customFormat="false" ht="15" hidden="false" customHeight="false" outlineLevel="0" collapsed="false">
      <c r="B35" s="7" t="s">
        <v>78</v>
      </c>
      <c r="C35" s="16" t="n">
        <v>0.05</v>
      </c>
      <c r="D35" s="9" t="s">
        <v>68</v>
      </c>
    </row>
    <row r="36" customFormat="false" ht="15" hidden="false" customHeight="false" outlineLevel="0" collapsed="false">
      <c r="B36" s="5" t="s">
        <v>79</v>
      </c>
    </row>
    <row r="38" customFormat="false" ht="15" hidden="false" customHeight="false" outlineLevel="0" collapsed="false">
      <c r="B38" s="7" t="s">
        <v>80</v>
      </c>
      <c r="C38" s="18" t="n">
        <v>8</v>
      </c>
      <c r="D38" s="9" t="s">
        <v>81</v>
      </c>
    </row>
    <row r="39" customFormat="false" ht="15" hidden="false" customHeight="false" outlineLevel="0" collapsed="false">
      <c r="B39" s="7" t="s">
        <v>82</v>
      </c>
      <c r="C39" s="17" t="n">
        <v>320000</v>
      </c>
      <c r="D39" s="9" t="s">
        <v>83</v>
      </c>
    </row>
    <row r="40" customFormat="false" ht="15" hidden="false" customHeight="false" outlineLevel="0" collapsed="false">
      <c r="B40" s="7" t="s">
        <v>84</v>
      </c>
      <c r="C40" s="16" t="n">
        <v>0.5</v>
      </c>
      <c r="D40" s="9" t="s">
        <v>85</v>
      </c>
    </row>
    <row r="41" customFormat="false" ht="15" hidden="false" customHeight="false" outlineLevel="0" collapsed="false">
      <c r="B41" s="7" t="s">
        <v>86</v>
      </c>
      <c r="C41" s="18" t="n">
        <v>11.5</v>
      </c>
      <c r="D41" s="9" t="s">
        <v>87</v>
      </c>
    </row>
    <row r="42" customFormat="false" ht="15" hidden="false" customHeight="false" outlineLevel="0" collapsed="false">
      <c r="B42" s="7" t="s">
        <v>88</v>
      </c>
      <c r="C42" s="16" t="n">
        <v>0.07</v>
      </c>
      <c r="D42" s="9" t="s">
        <v>49</v>
      </c>
    </row>
    <row r="43" customFormat="false" ht="15" hidden="false" customHeight="false" outlineLevel="0" collapsed="false">
      <c r="B43" s="5" t="s">
        <v>89</v>
      </c>
    </row>
    <row r="45" customFormat="false" ht="15" hidden="false" customHeight="false" outlineLevel="0" collapsed="false">
      <c r="B45" s="7" t="s">
        <v>90</v>
      </c>
      <c r="C45" s="16" t="n">
        <v>0.28</v>
      </c>
      <c r="D45" s="9" t="s">
        <v>91</v>
      </c>
    </row>
    <row r="46" customFormat="false" ht="15" hidden="false" customHeight="false" outlineLevel="0" collapsed="false">
      <c r="B46" s="7" t="s">
        <v>92</v>
      </c>
      <c r="C46" s="16" t="n">
        <v>0.2</v>
      </c>
      <c r="D46" s="9" t="s">
        <v>91</v>
      </c>
    </row>
    <row r="47" customFormat="false" ht="15" hidden="false" customHeight="false" outlineLevel="0" collapsed="false">
      <c r="B47" s="7" t="s">
        <v>93</v>
      </c>
      <c r="C47" s="16" t="n">
        <v>0.2</v>
      </c>
      <c r="D47" s="9" t="s">
        <v>94</v>
      </c>
    </row>
    <row r="48" customFormat="false" ht="15" hidden="false" customHeight="false" outlineLevel="0" collapsed="false">
      <c r="B48" s="7" t="s">
        <v>95</v>
      </c>
      <c r="C48" s="16" t="n">
        <v>0.15</v>
      </c>
      <c r="D48" s="9" t="s">
        <v>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97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98</v>
      </c>
    </row>
    <row r="6" customFormat="false" ht="15" hidden="false" customHeight="false" outlineLevel="0" collapsed="false">
      <c r="B6" s="5" t="s">
        <v>99</v>
      </c>
      <c r="C6" s="19" t="s">
        <v>100</v>
      </c>
      <c r="D6" s="19" t="s">
        <v>101</v>
      </c>
      <c r="E6" s="19" t="s">
        <v>102</v>
      </c>
      <c r="F6" s="19" t="s">
        <v>103</v>
      </c>
      <c r="G6" s="19" t="s">
        <v>104</v>
      </c>
    </row>
    <row r="7" customFormat="false" ht="15" hidden="false" customHeight="false" outlineLevel="0" collapsed="false">
      <c r="B7" s="7" t="s">
        <v>105</v>
      </c>
      <c r="C7" s="20" t="n">
        <f aca="false">Start_Sites</f>
        <v>10</v>
      </c>
      <c r="D7" s="20" t="n">
        <f aca="false">C10</f>
        <v>13.95</v>
      </c>
      <c r="E7" s="20" t="n">
        <f aca="false">D10</f>
        <v>19.88025</v>
      </c>
      <c r="F7" s="20" t="n">
        <f aca="false">E10</f>
        <v>27.78084875</v>
      </c>
      <c r="G7" s="20" t="n">
        <f aca="false">F10</f>
        <v>35.64194450625</v>
      </c>
    </row>
    <row r="8" customFormat="false" ht="15" hidden="false" customHeight="false" outlineLevel="0" collapsed="false">
      <c r="B8" s="7" t="s">
        <v>106</v>
      </c>
      <c r="C8" s="20" t="n">
        <f aca="false">Acquired_Y1</f>
        <v>4</v>
      </c>
      <c r="D8" s="20" t="n">
        <f aca="false">Acquired_Y2</f>
        <v>6</v>
      </c>
      <c r="E8" s="20" t="n">
        <f aca="false">Acquired_Y3</f>
        <v>8</v>
      </c>
      <c r="F8" s="20" t="n">
        <f aca="false">Acquired_Y4</f>
        <v>8</v>
      </c>
      <c r="G8" s="20" t="n">
        <f aca="false">Acquired_Y5</f>
        <v>6</v>
      </c>
    </row>
    <row r="9" customFormat="false" ht="15" hidden="false" customHeight="false" outlineLevel="0" collapsed="false">
      <c r="B9" s="7" t="s">
        <v>107</v>
      </c>
      <c r="C9" s="21" t="n">
        <f aca="false">C7*Closure_Rate</f>
        <v>0.05</v>
      </c>
      <c r="D9" s="21" t="n">
        <f aca="false">D7*Closure_Rate</f>
        <v>0.06975</v>
      </c>
      <c r="E9" s="21" t="n">
        <f aca="false">E7*Closure_Rate</f>
        <v>0.09940125</v>
      </c>
      <c r="F9" s="21" t="n">
        <f aca="false">F7*Closure_Rate</f>
        <v>0.13890424375</v>
      </c>
      <c r="G9" s="21" t="n">
        <f aca="false">G7*Closure_Rate</f>
        <v>0.17820972253125</v>
      </c>
    </row>
    <row r="10" customFormat="false" ht="15" hidden="false" customHeight="false" outlineLevel="0" collapsed="false">
      <c r="B10" s="22" t="s">
        <v>108</v>
      </c>
      <c r="C10" s="23" t="n">
        <f aca="false">C7+C8-C9</f>
        <v>13.95</v>
      </c>
      <c r="D10" s="23" t="n">
        <f aca="false">D7+D8-D9</f>
        <v>19.88025</v>
      </c>
      <c r="E10" s="23" t="n">
        <f aca="false">E7+E8-E9</f>
        <v>27.78084875</v>
      </c>
      <c r="F10" s="23" t="n">
        <f aca="false">F7+F8-F9</f>
        <v>35.64194450625</v>
      </c>
      <c r="G10" s="23" t="n">
        <f aca="false">G7+G8-G9</f>
        <v>41.4637347837188</v>
      </c>
    </row>
    <row r="11" customFormat="false" ht="15" hidden="false" customHeight="false" outlineLevel="0" collapsed="false">
      <c r="B11" s="7" t="s">
        <v>109</v>
      </c>
      <c r="C11" s="21" t="n">
        <f aca="false">(C7+C10)/2</f>
        <v>11.975</v>
      </c>
      <c r="D11" s="21" t="n">
        <f aca="false">(D7+D10)/2</f>
        <v>16.915125</v>
      </c>
      <c r="E11" s="21" t="n">
        <f aca="false">(E7+E10)/2</f>
        <v>23.830549375</v>
      </c>
      <c r="F11" s="21" t="n">
        <f aca="false">(F7+F10)/2</f>
        <v>31.711396628125</v>
      </c>
      <c r="G11" s="21" t="n">
        <f aca="false">(G7+G10)/2</f>
        <v>38.5528396449844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110</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111</v>
      </c>
    </row>
    <row r="6" customFormat="false" ht="15" hidden="false" customHeight="false" outlineLevel="0" collapsed="false">
      <c r="B6" s="5" t="s">
        <v>112</v>
      </c>
      <c r="C6" s="19" t="s">
        <v>100</v>
      </c>
      <c r="D6" s="19" t="s">
        <v>101</v>
      </c>
      <c r="E6" s="19" t="s">
        <v>102</v>
      </c>
      <c r="F6" s="19" t="s">
        <v>103</v>
      </c>
      <c r="G6" s="19" t="s">
        <v>104</v>
      </c>
    </row>
    <row r="7" customFormat="false" ht="15" hidden="false" customHeight="false" outlineLevel="0" collapsed="false">
      <c r="B7" s="7" t="s">
        <v>113</v>
      </c>
      <c r="C7" s="24" t="n">
        <f aca="false">Members_per_Site*Plan_Price*12*Site_Count!C11*(1+Rev_Growth)^0</f>
        <v>6466500</v>
      </c>
      <c r="D7" s="24" t="n">
        <f aca="false">Members_per_Site*Plan_Price*12*Site_Count!D11*(1+Rev_Growth)^1</f>
        <v>9408192.525</v>
      </c>
      <c r="E7" s="24" t="n">
        <f aca="false">Members_per_Site*Plan_Price*12*Site_Count!E11*(1+Rev_Growth)^2</f>
        <v>13652188.1092462</v>
      </c>
      <c r="F7" s="24" t="n">
        <f aca="false">Members_per_Site*Plan_Price*12*Site_Count!F11*(1+Rev_Growth)^3</f>
        <v>18712025.623761</v>
      </c>
      <c r="G7" s="24" t="n">
        <f aca="false">Members_per_Site*Plan_Price*12*Site_Count!G11*(1+Rev_Growth)^4</f>
        <v>23431442.7623115</v>
      </c>
    </row>
    <row r="8" customFormat="false" ht="15" hidden="false" customHeight="false" outlineLevel="0" collapsed="false">
      <c r="B8" s="7" t="s">
        <v>114</v>
      </c>
      <c r="C8" s="24" t="n">
        <f aca="false">Retail_Washes*Op_Days*Retail_Ticket*Site_Count!C11*(1+Rev_Growth)^0</f>
        <v>4763655</v>
      </c>
      <c r="D8" s="24" t="n">
        <f aca="false">Retail_Washes*Op_Days*Retail_Ticket*Site_Count!D11*(1+Rev_Growth)^1</f>
        <v>6930701.82675</v>
      </c>
      <c r="E8" s="24" t="n">
        <f aca="false">Retail_Washes*Op_Days*Retail_Ticket*Site_Count!E11*(1+Rev_Growth)^2</f>
        <v>10057111.9071447</v>
      </c>
      <c r="F8" s="24" t="n">
        <f aca="false">Retail_Washes*Op_Days*Retail_Ticket*Site_Count!F11*(1+Rev_Growth)^3</f>
        <v>13784525.5428373</v>
      </c>
      <c r="G8" s="24" t="n">
        <f aca="false">Retail_Washes*Op_Days*Retail_Ticket*Site_Count!G11*(1+Rev_Growth)^4</f>
        <v>17261162.8349028</v>
      </c>
    </row>
    <row r="9" customFormat="false" ht="15" hidden="false" customHeight="false" outlineLevel="0" collapsed="false">
      <c r="B9" s="7" t="s">
        <v>115</v>
      </c>
      <c r="C9" s="24" t="n">
        <f aca="false">(C7+C8)*Ancillary_Pct</f>
        <v>898412.4</v>
      </c>
      <c r="D9" s="24" t="n">
        <f aca="false">(D7+D8)*Ancillary_Pct</f>
        <v>1307111.54814</v>
      </c>
      <c r="E9" s="24" t="n">
        <f aca="false">(E7+E8)*Ancillary_Pct</f>
        <v>1896744.00131128</v>
      </c>
      <c r="F9" s="24" t="n">
        <f aca="false">(F7+F8)*Ancillary_Pct</f>
        <v>2599724.09332786</v>
      </c>
      <c r="G9" s="24" t="n">
        <f aca="false">(G7+G8)*Ancillary_Pct</f>
        <v>3255408.44777714</v>
      </c>
    </row>
    <row r="10" customFormat="false" ht="15" hidden="false" customHeight="false" outlineLevel="0" collapsed="false">
      <c r="B10" s="22" t="s">
        <v>116</v>
      </c>
      <c r="C10" s="25" t="n">
        <f aca="false">SUM(C7:C9)</f>
        <v>12128567.4</v>
      </c>
      <c r="D10" s="25" t="n">
        <f aca="false">SUM(D7:D9)</f>
        <v>17646005.89989</v>
      </c>
      <c r="E10" s="25" t="n">
        <f aca="false">SUM(E7:E9)</f>
        <v>25606044.0177023</v>
      </c>
      <c r="F10" s="25" t="n">
        <f aca="false">SUM(F7:F9)</f>
        <v>35096275.2599262</v>
      </c>
      <c r="G10" s="25" t="n">
        <f aca="false">SUM(G7:G9)</f>
        <v>43948014.0449914</v>
      </c>
    </row>
    <row r="12" customFormat="false" ht="15" hidden="false" customHeight="false" outlineLevel="0" collapsed="false">
      <c r="B12" s="7" t="s">
        <v>117</v>
      </c>
      <c r="C12" s="24" t="n">
        <f aca="false">IF(Site_Count!C11=0,0,C10/Site_Count!C11)</f>
        <v>1012824</v>
      </c>
      <c r="D12" s="24" t="n">
        <f aca="false">IF(Site_Count!D11=0,0,D10/Site_Count!D11)</f>
        <v>1043208.72</v>
      </c>
      <c r="E12" s="24" t="n">
        <f aca="false">IF(Site_Count!E11=0,0,E10/Site_Count!E11)</f>
        <v>1074504.9816</v>
      </c>
      <c r="F12" s="24" t="n">
        <f aca="false">IF(Site_Count!F11=0,0,F10/Site_Count!F11)</f>
        <v>1106740.131048</v>
      </c>
      <c r="G12" s="24" t="n">
        <f aca="false">IF(Site_Count!G11=0,0,G10/Site_Count!G11)</f>
        <v>1139942.33497944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118</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11</v>
      </c>
    </row>
    <row r="6" customFormat="false" ht="15" hidden="false" customHeight="false" outlineLevel="0" collapsed="false">
      <c r="B6" s="5" t="s">
        <v>99</v>
      </c>
      <c r="C6" s="19" t="s">
        <v>100</v>
      </c>
      <c r="D6" s="19" t="s">
        <v>101</v>
      </c>
      <c r="E6" s="19" t="s">
        <v>102</v>
      </c>
      <c r="F6" s="19" t="s">
        <v>103</v>
      </c>
      <c r="G6" s="19" t="s">
        <v>104</v>
      </c>
    </row>
    <row r="7" customFormat="false" ht="15" hidden="false" customHeight="false" outlineLevel="0" collapsed="false">
      <c r="B7" s="6" t="s">
        <v>116</v>
      </c>
      <c r="C7" s="26" t="n">
        <f aca="false">Revenue!C10</f>
        <v>12128567.4</v>
      </c>
      <c r="D7" s="26" t="n">
        <f aca="false">Revenue!D10</f>
        <v>17646005.89989</v>
      </c>
      <c r="E7" s="26" t="n">
        <f aca="false">Revenue!E10</f>
        <v>25606044.0177023</v>
      </c>
      <c r="F7" s="26" t="n">
        <f aca="false">Revenue!F10</f>
        <v>35096275.2599262</v>
      </c>
      <c r="G7" s="26" t="n">
        <f aca="false">Revenue!G10</f>
        <v>43948014.0449914</v>
      </c>
    </row>
    <row r="9" customFormat="false" ht="15" hidden="false" customHeight="false" outlineLevel="0" collapsed="false">
      <c r="B9" s="5" t="s">
        <v>119</v>
      </c>
    </row>
    <row r="10" customFormat="false" ht="15" hidden="false" customHeight="false" outlineLevel="0" collapsed="false">
      <c r="B10" s="5" t="s">
        <v>99</v>
      </c>
      <c r="C10" s="19" t="s">
        <v>100</v>
      </c>
      <c r="D10" s="19" t="s">
        <v>101</v>
      </c>
      <c r="E10" s="19" t="s">
        <v>102</v>
      </c>
      <c r="F10" s="19" t="s">
        <v>103</v>
      </c>
      <c r="G10" s="19" t="s">
        <v>104</v>
      </c>
    </row>
    <row r="11" customFormat="false" ht="15" hidden="false" customHeight="false" outlineLevel="0" collapsed="false">
      <c r="B11" s="7" t="s">
        <v>65</v>
      </c>
      <c r="C11" s="24" t="n">
        <f aca="false">Site_Count!C11*Labour_per_Site</f>
        <v>2574625</v>
      </c>
      <c r="D11" s="24" t="n">
        <f aca="false">Site_Count!D11*Labour_per_Site</f>
        <v>3636751.875</v>
      </c>
      <c r="E11" s="24" t="n">
        <f aca="false">Site_Count!E11*Labour_per_Site</f>
        <v>5123568.115625</v>
      </c>
      <c r="F11" s="24" t="n">
        <f aca="false">Site_Count!F11*Labour_per_Site</f>
        <v>6817950.27504688</v>
      </c>
      <c r="G11" s="24" t="n">
        <f aca="false">Site_Count!G11*Labour_per_Site</f>
        <v>8288860.52367164</v>
      </c>
    </row>
    <row r="12" customFormat="false" ht="15" hidden="false" customHeight="false" outlineLevel="0" collapsed="false">
      <c r="B12" s="7" t="s">
        <v>67</v>
      </c>
      <c r="C12" s="24" t="n">
        <f aca="false">C7*Chem_Pct</f>
        <v>848999.718</v>
      </c>
      <c r="D12" s="24" t="n">
        <f aca="false">D7*Chem_Pct</f>
        <v>1235220.4129923</v>
      </c>
      <c r="E12" s="24" t="n">
        <f aca="false">E7*Chem_Pct</f>
        <v>1792423.08123916</v>
      </c>
      <c r="F12" s="24" t="n">
        <f aca="false">F7*Chem_Pct</f>
        <v>2456739.26819483</v>
      </c>
      <c r="G12" s="24" t="n">
        <f aca="false">G7*Chem_Pct</f>
        <v>3076360.9831494</v>
      </c>
    </row>
    <row r="13" customFormat="false" ht="15" hidden="false" customHeight="false" outlineLevel="0" collapsed="false">
      <c r="B13" s="7" t="s">
        <v>120</v>
      </c>
      <c r="C13" s="24" t="n">
        <f aca="false">Site_Count!C11*Utilities_per_Site</f>
        <v>718500</v>
      </c>
      <c r="D13" s="24" t="n">
        <f aca="false">Site_Count!D11*Utilities_per_Site</f>
        <v>1014907.5</v>
      </c>
      <c r="E13" s="24" t="n">
        <f aca="false">Site_Count!E11*Utilities_per_Site</f>
        <v>1429832.9625</v>
      </c>
      <c r="F13" s="24" t="n">
        <f aca="false">Site_Count!F11*Utilities_per_Site</f>
        <v>1902683.7976875</v>
      </c>
      <c r="G13" s="24" t="n">
        <f aca="false">Site_Count!G11*Utilities_per_Site</f>
        <v>2313170.37869906</v>
      </c>
    </row>
    <row r="14" customFormat="false" ht="15" hidden="false" customHeight="false" outlineLevel="0" collapsed="false">
      <c r="B14" s="7" t="s">
        <v>121</v>
      </c>
      <c r="C14" s="24" t="n">
        <f aca="false">Site_Count!C11*Lease_per_Site</f>
        <v>2514750</v>
      </c>
      <c r="D14" s="24" t="n">
        <f aca="false">Site_Count!D11*Lease_per_Site</f>
        <v>3552176.25</v>
      </c>
      <c r="E14" s="24" t="n">
        <f aca="false">Site_Count!E11*Lease_per_Site</f>
        <v>5004415.36875</v>
      </c>
      <c r="F14" s="24" t="n">
        <f aca="false">Site_Count!F11*Lease_per_Site</f>
        <v>6659393.29190625</v>
      </c>
      <c r="G14" s="24" t="n">
        <f aca="false">Site_Count!G11*Lease_per_Site</f>
        <v>8096096.32544672</v>
      </c>
    </row>
    <row r="15" customFormat="false" ht="15" hidden="false" customHeight="false" outlineLevel="0" collapsed="false">
      <c r="B15" s="7" t="s">
        <v>71</v>
      </c>
      <c r="C15" s="24" t="n">
        <f aca="false">Site_Count!C11*RM_per_Site</f>
        <v>502950</v>
      </c>
      <c r="D15" s="24" t="n">
        <f aca="false">Site_Count!D11*RM_per_Site</f>
        <v>710435.25</v>
      </c>
      <c r="E15" s="24" t="n">
        <f aca="false">Site_Count!E11*RM_per_Site</f>
        <v>1000883.07375</v>
      </c>
      <c r="F15" s="24" t="n">
        <f aca="false">Site_Count!F11*RM_per_Site</f>
        <v>1331878.65838125</v>
      </c>
      <c r="G15" s="24" t="n">
        <f aca="false">Site_Count!G11*RM_per_Site</f>
        <v>1619219.26508934</v>
      </c>
    </row>
    <row r="16" customFormat="false" ht="15" hidden="false" customHeight="false" outlineLevel="0" collapsed="false">
      <c r="B16" s="7" t="s">
        <v>72</v>
      </c>
      <c r="C16" s="24" t="n">
        <f aca="false">C7*Marketing_Pct</f>
        <v>485142.696</v>
      </c>
      <c r="D16" s="24" t="n">
        <f aca="false">D7*Marketing_Pct</f>
        <v>705840.2359956</v>
      </c>
      <c r="E16" s="24" t="n">
        <f aca="false">E7*Marketing_Pct</f>
        <v>1024241.76070809</v>
      </c>
      <c r="F16" s="24" t="n">
        <f aca="false">F7*Marketing_Pct</f>
        <v>1403851.01039705</v>
      </c>
      <c r="G16" s="24" t="n">
        <f aca="false">G7*Marketing_Pct</f>
        <v>1757920.56179966</v>
      </c>
    </row>
    <row r="17" customFormat="false" ht="15" hidden="false" customHeight="false" outlineLevel="0" collapsed="false">
      <c r="B17" s="7" t="s">
        <v>122</v>
      </c>
      <c r="C17" s="24" t="n">
        <f aca="false">Corp_Base+Site_Count!C10*Corp_per_Site</f>
        <v>2267250</v>
      </c>
      <c r="D17" s="24" t="n">
        <f aca="false">Corp_Base+Site_Count!D10*Corp_per_Site</f>
        <v>2593413.75</v>
      </c>
      <c r="E17" s="24" t="n">
        <f aca="false">Corp_Base+Site_Count!E10*Corp_per_Site</f>
        <v>3027946.68125</v>
      </c>
      <c r="F17" s="24" t="n">
        <f aca="false">Corp_Base+Site_Count!F10*Corp_per_Site</f>
        <v>3460306.94784375</v>
      </c>
      <c r="G17" s="24" t="n">
        <f aca="false">Corp_Base+Site_Count!G10*Corp_per_Site</f>
        <v>3780505.41310453</v>
      </c>
    </row>
    <row r="18" customFormat="false" ht="15" hidden="false" customHeight="false" outlineLevel="0" collapsed="false">
      <c r="B18" s="22" t="s">
        <v>123</v>
      </c>
      <c r="C18" s="25" t="n">
        <f aca="false">SUM(C11:C17)</f>
        <v>9912217.414</v>
      </c>
      <c r="D18" s="25" t="n">
        <f aca="false">SUM(D11:D17)</f>
        <v>13448745.2739879</v>
      </c>
      <c r="E18" s="25" t="n">
        <f aca="false">SUM(E11:E17)</f>
        <v>18403311.0438222</v>
      </c>
      <c r="F18" s="25" t="n">
        <f aca="false">SUM(F11:F17)</f>
        <v>24032803.2494575</v>
      </c>
      <c r="G18" s="25" t="n">
        <f aca="false">SUM(G11:G17)</f>
        <v>28932133.4509604</v>
      </c>
    </row>
    <row r="20" customFormat="false" ht="15" hidden="false" customHeight="false" outlineLevel="0" collapsed="false">
      <c r="B20" s="6" t="s">
        <v>124</v>
      </c>
      <c r="C20" s="26" t="n">
        <f aca="false">C7-C18</f>
        <v>2216349.986</v>
      </c>
      <c r="D20" s="26" t="n">
        <f aca="false">D7-D18</f>
        <v>4197260.6259021</v>
      </c>
      <c r="E20" s="26" t="n">
        <f aca="false">E7-E18</f>
        <v>7202732.97388002</v>
      </c>
      <c r="F20" s="26" t="n">
        <f aca="false">F7-F18</f>
        <v>11063472.0104687</v>
      </c>
      <c r="G20" s="26" t="n">
        <f aca="false">G7-G18</f>
        <v>15015880.5940311</v>
      </c>
    </row>
    <row r="22" customFormat="false" ht="15" hidden="false" customHeight="false" outlineLevel="0" collapsed="false">
      <c r="B22" s="5" t="s">
        <v>125</v>
      </c>
    </row>
    <row r="23" customFormat="false" ht="15" hidden="false" customHeight="false" outlineLevel="0" collapsed="false">
      <c r="B23" s="7" t="s">
        <v>126</v>
      </c>
      <c r="C23" s="24" t="n">
        <f aca="false">C7*DA_Ratio</f>
        <v>727714.044</v>
      </c>
      <c r="D23" s="24" t="n">
        <f aca="false">D7*DA_Ratio</f>
        <v>1058760.3539934</v>
      </c>
      <c r="E23" s="24" t="n">
        <f aca="false">E7*DA_Ratio</f>
        <v>1536362.64106214</v>
      </c>
      <c r="F23" s="24" t="n">
        <f aca="false">F7*DA_Ratio</f>
        <v>2105776.51559557</v>
      </c>
      <c r="G23" s="24" t="n">
        <f aca="false">G7*DA_Ratio</f>
        <v>2636880.84269949</v>
      </c>
    </row>
    <row r="24" customFormat="false" ht="15" hidden="false" customHeight="false" outlineLevel="0" collapsed="false">
      <c r="B24" s="22" t="s">
        <v>127</v>
      </c>
      <c r="C24" s="25" t="n">
        <f aca="false">C20-C23</f>
        <v>1488635.942</v>
      </c>
      <c r="D24" s="25" t="n">
        <f aca="false">D20-D23</f>
        <v>3138500.2719087</v>
      </c>
      <c r="E24" s="25" t="n">
        <f aca="false">E20-E23</f>
        <v>5666370.33281788</v>
      </c>
      <c r="F24" s="25" t="n">
        <f aca="false">F20-F23</f>
        <v>8957695.49487309</v>
      </c>
      <c r="G24" s="25" t="n">
        <f aca="false">G20-G23</f>
        <v>12378999.7513316</v>
      </c>
    </row>
    <row r="25" customFormat="false" ht="15" hidden="false" customHeight="false" outlineLevel="0" collapsed="false">
      <c r="B25" s="7" t="s">
        <v>128</v>
      </c>
      <c r="C25" s="24" t="n">
        <f aca="false">MAX(0,C24)*Tax_Rate</f>
        <v>372158.9855</v>
      </c>
      <c r="D25" s="24" t="n">
        <f aca="false">MAX(0,D24)*Tax_Rate</f>
        <v>784625.067977175</v>
      </c>
      <c r="E25" s="24" t="n">
        <f aca="false">MAX(0,E24)*Tax_Rate</f>
        <v>1416592.58320447</v>
      </c>
      <c r="F25" s="24" t="n">
        <f aca="false">MAX(0,F24)*Tax_Rate</f>
        <v>2239423.87371827</v>
      </c>
      <c r="G25" s="24" t="n">
        <f aca="false">MAX(0,G24)*Tax_Rate</f>
        <v>3094749.9378329</v>
      </c>
    </row>
    <row r="26" customFormat="false" ht="15" hidden="false" customHeight="false" outlineLevel="0" collapsed="false">
      <c r="B26" s="27" t="s">
        <v>129</v>
      </c>
      <c r="C26" s="28" t="n">
        <f aca="false">C24-C25</f>
        <v>1116476.9565</v>
      </c>
      <c r="D26" s="28" t="n">
        <f aca="false">D24-D25</f>
        <v>2353875.20393153</v>
      </c>
      <c r="E26" s="28" t="n">
        <f aca="false">E24-E25</f>
        <v>4249777.74961341</v>
      </c>
      <c r="F26" s="28" t="n">
        <f aca="false">F24-F25</f>
        <v>6718271.62115482</v>
      </c>
      <c r="G26" s="28" t="n">
        <f aca="false">G24-G25</f>
        <v>9284249.81349869</v>
      </c>
    </row>
    <row r="28" customFormat="false" ht="15" hidden="false" customHeight="false" outlineLevel="0" collapsed="false">
      <c r="B28" s="5" t="s">
        <v>130</v>
      </c>
    </row>
    <row r="29" customFormat="false" ht="15" hidden="false" customHeight="false" outlineLevel="0" collapsed="false">
      <c r="B29" s="7" t="s">
        <v>131</v>
      </c>
      <c r="C29" s="29" t="n">
        <f aca="false">IF(C7=0,0,C20/C7)</f>
        <v>0.182737986516033</v>
      </c>
      <c r="D29" s="29" t="n">
        <f aca="false">IF(D7=0,0,D20/D7)</f>
        <v>0.237858960816071</v>
      </c>
      <c r="E29" s="29" t="n">
        <f aca="false">IF(E7=0,0,E20/E7)</f>
        <v>0.281290345705121</v>
      </c>
      <c r="F29" s="29" t="n">
        <f aca="false">IF(F7=0,0,F20/F7)</f>
        <v>0.315232084559732</v>
      </c>
      <c r="G29" s="29" t="n">
        <f aca="false">IF(G7=0,0,G20/G7)</f>
        <v>0.341673700628626</v>
      </c>
    </row>
    <row r="30" customFormat="false" ht="15" hidden="false" customHeight="false" outlineLevel="0" collapsed="false">
      <c r="B30" s="7" t="s">
        <v>132</v>
      </c>
      <c r="C30" s="29" t="n">
        <f aca="false">IF(C7=0,0,C26/C7)</f>
        <v>0.0920534898870249</v>
      </c>
      <c r="D30" s="29" t="n">
        <f aca="false">IF(D7=0,0,D26/D7)</f>
        <v>0.133394220612054</v>
      </c>
      <c r="E30" s="29" t="n">
        <f aca="false">IF(E7=0,0,E26/E7)</f>
        <v>0.165967759278841</v>
      </c>
      <c r="F30" s="29" t="n">
        <f aca="false">IF(F7=0,0,F26/F7)</f>
        <v>0.191424063419799</v>
      </c>
      <c r="G30" s="29" t="n">
        <f aca="false">IF(G7=0,0,G26/G7)</f>
        <v>0.21125527547147</v>
      </c>
    </row>
    <row r="32" customFormat="false" ht="15" hidden="false" customHeight="false" outlineLevel="0" collapsed="false">
      <c r="B32" s="7" t="s">
        <v>133</v>
      </c>
      <c r="C32" s="24" t="n">
        <f aca="false">C7-C18-C23-C25-C26</f>
        <v>0</v>
      </c>
      <c r="D32" s="24" t="n">
        <f aca="false">D7-D18-D23-D25-D26</f>
        <v>0</v>
      </c>
      <c r="E32" s="24" t="n">
        <f aca="false">E7-E18-E23-E25-E26</f>
        <v>0</v>
      </c>
      <c r="F32" s="24" t="n">
        <f aca="false">F7-F18-F23-F25-F26</f>
        <v>0</v>
      </c>
      <c r="G32" s="24" t="n">
        <f aca="false">G7-G18-G23-G25-G26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134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135</v>
      </c>
    </row>
    <row r="6" customFormat="false" ht="15" hidden="false" customHeight="false" outlineLevel="0" collapsed="false">
      <c r="B6" s="7" t="s">
        <v>37</v>
      </c>
      <c r="C6" s="20" t="n">
        <f aca="false">Start_Sites</f>
        <v>10</v>
      </c>
    </row>
    <row r="7" customFormat="false" ht="15" hidden="false" customHeight="false" outlineLevel="0" collapsed="false">
      <c r="B7" s="22" t="s">
        <v>136</v>
      </c>
      <c r="C7" s="25" t="n">
        <f aca="false">Start_Sites*Trailing_EBITDA*Purchase_Mult</f>
        <v>25600000</v>
      </c>
    </row>
    <row r="8" customFormat="false" ht="15" hidden="false" customHeight="false" outlineLevel="0" collapsed="false">
      <c r="B8" s="7" t="s">
        <v>137</v>
      </c>
      <c r="C8" s="24" t="n">
        <f aca="false">C7*Sponsor_Equity_Pct</f>
        <v>12800000</v>
      </c>
    </row>
    <row r="9" customFormat="false" ht="15" hidden="false" customHeight="false" outlineLevel="0" collapsed="false">
      <c r="B9" s="7" t="s">
        <v>138</v>
      </c>
      <c r="C9" s="24" t="n">
        <f aca="false">C7-C8</f>
        <v>12800000</v>
      </c>
    </row>
    <row r="11" customFormat="false" ht="15" hidden="false" customHeight="false" outlineLevel="0" collapsed="false">
      <c r="B11" s="5" t="s">
        <v>139</v>
      </c>
    </row>
    <row r="12" customFormat="false" ht="15" hidden="false" customHeight="false" outlineLevel="0" collapsed="false">
      <c r="B12" s="5" t="s">
        <v>99</v>
      </c>
      <c r="C12" s="19" t="s">
        <v>100</v>
      </c>
      <c r="D12" s="19" t="s">
        <v>101</v>
      </c>
      <c r="E12" s="19" t="s">
        <v>102</v>
      </c>
      <c r="F12" s="19" t="s">
        <v>103</v>
      </c>
      <c r="G12" s="19" t="s">
        <v>104</v>
      </c>
    </row>
    <row r="13" customFormat="false" ht="15" hidden="false" customHeight="false" outlineLevel="0" collapsed="false">
      <c r="B13" s="7" t="s">
        <v>140</v>
      </c>
      <c r="C13" s="20" t="n">
        <f aca="false">Site_Count!C8</f>
        <v>4</v>
      </c>
      <c r="D13" s="20" t="n">
        <f aca="false">Site_Count!D8</f>
        <v>6</v>
      </c>
      <c r="E13" s="20" t="n">
        <f aca="false">Site_Count!E8</f>
        <v>8</v>
      </c>
      <c r="F13" s="20" t="n">
        <f aca="false">Site_Count!F8</f>
        <v>8</v>
      </c>
      <c r="G13" s="20" t="n">
        <f aca="false">Site_Count!G8</f>
        <v>6</v>
      </c>
    </row>
    <row r="14" customFormat="false" ht="15" hidden="false" customHeight="false" outlineLevel="0" collapsed="false">
      <c r="B14" s="22" t="s">
        <v>141</v>
      </c>
      <c r="C14" s="25" t="n">
        <f aca="false">C13*Trailing_EBITDA*Purchase_Mult</f>
        <v>10240000</v>
      </c>
      <c r="D14" s="25" t="n">
        <f aca="false">D13*Trailing_EBITDA*Purchase_Mult</f>
        <v>15360000</v>
      </c>
      <c r="E14" s="25" t="n">
        <f aca="false">E13*Trailing_EBITDA*Purchase_Mult</f>
        <v>20480000</v>
      </c>
      <c r="F14" s="25" t="n">
        <f aca="false">F13*Trailing_EBITDA*Purchase_Mult</f>
        <v>20480000</v>
      </c>
      <c r="G14" s="25" t="n">
        <f aca="false">G13*Trailing_EBITDA*Purchase_Mult</f>
        <v>15360000</v>
      </c>
    </row>
    <row r="15" customFormat="false" ht="15" hidden="false" customHeight="false" outlineLevel="0" collapsed="false">
      <c r="B15" s="7" t="s">
        <v>142</v>
      </c>
      <c r="C15" s="24" t="n">
        <f aca="false">C14*Sponsor_Equity_Pct</f>
        <v>5120000</v>
      </c>
      <c r="D15" s="24" t="n">
        <f aca="false">D14*Sponsor_Equity_Pct</f>
        <v>7680000</v>
      </c>
      <c r="E15" s="24" t="n">
        <f aca="false">E14*Sponsor_Equity_Pct</f>
        <v>10240000</v>
      </c>
      <c r="F15" s="24" t="n">
        <f aca="false">F14*Sponsor_Equity_Pct</f>
        <v>10240000</v>
      </c>
      <c r="G15" s="24" t="n">
        <f aca="false">G14*Sponsor_Equity_Pct</f>
        <v>7680000</v>
      </c>
    </row>
    <row r="16" customFormat="false" ht="15" hidden="false" customHeight="false" outlineLevel="0" collapsed="false">
      <c r="B16" s="7" t="s">
        <v>143</v>
      </c>
      <c r="C16" s="24" t="n">
        <f aca="false">C14-C15</f>
        <v>5120000</v>
      </c>
      <c r="D16" s="24" t="n">
        <f aca="false">D14-D15</f>
        <v>7680000</v>
      </c>
      <c r="E16" s="24" t="n">
        <f aca="false">E14-E15</f>
        <v>10240000</v>
      </c>
      <c r="F16" s="24" t="n">
        <f aca="false">F14-F15</f>
        <v>10240000</v>
      </c>
      <c r="G16" s="24" t="n">
        <f aca="false">G14-G15</f>
        <v>7680000</v>
      </c>
    </row>
    <row r="18" customFormat="false" ht="15" hidden="false" customHeight="false" outlineLevel="0" collapsed="false">
      <c r="B18" s="7" t="s">
        <v>144</v>
      </c>
      <c r="C18" s="24" t="n">
        <f aca="false">$C$8+C15</f>
        <v>17920000</v>
      </c>
      <c r="D18" s="24" t="n">
        <f aca="false">C18+D15</f>
        <v>25600000</v>
      </c>
      <c r="E18" s="24" t="n">
        <f aca="false">D18+E15</f>
        <v>35840000</v>
      </c>
      <c r="F18" s="24" t="n">
        <f aca="false">E18+F15</f>
        <v>46080000</v>
      </c>
      <c r="G18" s="24" t="n">
        <f aca="false">F18+G15</f>
        <v>53760000</v>
      </c>
    </row>
    <row r="19" customFormat="false" ht="15" hidden="false" customHeight="false" outlineLevel="0" collapsed="false">
      <c r="B19" s="7" t="s">
        <v>145</v>
      </c>
      <c r="C19" s="24" t="n">
        <f aca="false">$C$9*Debt_Rate</f>
        <v>896000</v>
      </c>
      <c r="D19" s="24" t="n">
        <f aca="false">C20*Debt_Rate</f>
        <v>1317120</v>
      </c>
      <c r="E19" s="24" t="n">
        <f aca="false">D20*Debt_Rate</f>
        <v>1946918.4</v>
      </c>
      <c r="F19" s="24" t="n">
        <f aca="false">E20*Debt_Rate</f>
        <v>2800002.688</v>
      </c>
      <c r="G19" s="24" t="n">
        <f aca="false">F20*Debt_Rate</f>
        <v>3712802.87616</v>
      </c>
    </row>
    <row r="20" customFormat="false" ht="15" hidden="false" customHeight="false" outlineLevel="0" collapsed="false">
      <c r="B20" s="7" t="s">
        <v>146</v>
      </c>
      <c r="C20" s="24" t="n">
        <f aca="false">$C$9+C16+C19</f>
        <v>18816000</v>
      </c>
      <c r="D20" s="24" t="n">
        <f aca="false">C20+D16+D19</f>
        <v>27813120</v>
      </c>
      <c r="E20" s="24" t="n">
        <f aca="false">D20+E16+E19</f>
        <v>40000038.4</v>
      </c>
      <c r="F20" s="24" t="n">
        <f aca="false">E20+F16+F19</f>
        <v>53040041.088</v>
      </c>
      <c r="G20" s="24" t="n">
        <f aca="false">F20+G16+G19</f>
        <v>64432843.96416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8"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147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148</v>
      </c>
    </row>
    <row r="6" customFormat="false" ht="15" hidden="false" customHeight="false" outlineLevel="0" collapsed="false">
      <c r="B6" s="5" t="s">
        <v>99</v>
      </c>
      <c r="C6" s="19" t="s">
        <v>149</v>
      </c>
      <c r="D6" s="19" t="s">
        <v>100</v>
      </c>
      <c r="E6" s="19" t="s">
        <v>101</v>
      </c>
      <c r="F6" s="19" t="s">
        <v>102</v>
      </c>
      <c r="G6" s="19" t="s">
        <v>103</v>
      </c>
      <c r="H6" s="19" t="s">
        <v>104</v>
      </c>
    </row>
    <row r="7" customFormat="false" ht="15" hidden="false" customHeight="false" outlineLevel="0" collapsed="false">
      <c r="B7" s="7" t="s">
        <v>150</v>
      </c>
      <c r="C7" s="24" t="n">
        <f aca="false">-Capital!$C$8</f>
        <v>-12800000</v>
      </c>
      <c r="D7" s="24" t="n">
        <f aca="false">-Capital!C15</f>
        <v>-5120000</v>
      </c>
      <c r="E7" s="24" t="n">
        <f aca="false">-Capital!D15</f>
        <v>-7680000</v>
      </c>
      <c r="F7" s="24" t="n">
        <f aca="false">-Capital!E15</f>
        <v>-10240000</v>
      </c>
      <c r="G7" s="24" t="n">
        <f aca="false">-Capital!F15</f>
        <v>-10240000</v>
      </c>
      <c r="H7" s="24" t="n">
        <f aca="false">-Capital!G15</f>
        <v>-7680000</v>
      </c>
    </row>
    <row r="8" customFormat="false" ht="15" hidden="false" customHeight="false" outlineLevel="0" collapsed="false">
      <c r="B8" s="7" t="s">
        <v>151</v>
      </c>
      <c r="C8" s="24" t="n">
        <f aca="false">0</f>
        <v>0</v>
      </c>
      <c r="D8" s="24" t="n">
        <f aca="false">'P&amp;L'!C20-'P&amp;L'!C25-Revenue!C10*WC_Capex_Drag</f>
        <v>1237762.6305</v>
      </c>
      <c r="E8" s="24" t="n">
        <f aca="false">'P&amp;L'!D20-'P&amp;L'!D25-Revenue!D10*WC_Capex_Drag</f>
        <v>2530335.26293043</v>
      </c>
      <c r="F8" s="24" t="n">
        <f aca="false">'P&amp;L'!E20-'P&amp;L'!E25-Revenue!E10*WC_Capex_Drag</f>
        <v>4505838.18979043</v>
      </c>
      <c r="G8" s="24" t="n">
        <f aca="false">'P&amp;L'!F20-'P&amp;L'!F25-Revenue!F10*WC_Capex_Drag</f>
        <v>7069234.37375408</v>
      </c>
      <c r="H8" s="24" t="n">
        <f aca="false">'P&amp;L'!G20-'P&amp;L'!G25-Revenue!G10*WC_Capex_Drag</f>
        <v>9723729.9539486</v>
      </c>
    </row>
    <row r="9" customFormat="false" ht="15" hidden="false" customHeight="false" outlineLevel="0" collapsed="false">
      <c r="B9" s="7" t="s">
        <v>152</v>
      </c>
      <c r="C9" s="24" t="n">
        <f aca="false">0</f>
        <v>0</v>
      </c>
      <c r="D9" s="24" t="n">
        <f aca="false">0</f>
        <v>0</v>
      </c>
      <c r="E9" s="24" t="n">
        <f aca="false">0</f>
        <v>0</v>
      </c>
      <c r="F9" s="24" t="n">
        <f aca="false">0</f>
        <v>0</v>
      </c>
      <c r="G9" s="24" t="n">
        <f aca="false">0</f>
        <v>0</v>
      </c>
      <c r="H9" s="24" t="n">
        <f aca="false">$C$15</f>
        <v>108249782.867197</v>
      </c>
    </row>
    <row r="10" customFormat="false" ht="15" hidden="false" customHeight="false" outlineLevel="0" collapsed="false">
      <c r="B10" s="22" t="s">
        <v>153</v>
      </c>
      <c r="C10" s="25" t="n">
        <f aca="false">C7+C9</f>
        <v>-12800000</v>
      </c>
      <c r="D10" s="25" t="n">
        <f aca="false">D7+D9</f>
        <v>-5120000</v>
      </c>
      <c r="E10" s="25" t="n">
        <f aca="false">E7+E9</f>
        <v>-7680000</v>
      </c>
      <c r="F10" s="25" t="n">
        <f aca="false">F7+F9</f>
        <v>-10240000</v>
      </c>
      <c r="G10" s="25" t="n">
        <f aca="false">G7+G9</f>
        <v>-10240000</v>
      </c>
      <c r="H10" s="25" t="n">
        <f aca="false">H7+H9</f>
        <v>100569782.867197</v>
      </c>
    </row>
    <row r="12" customFormat="false" ht="15" hidden="false" customHeight="false" outlineLevel="0" collapsed="false">
      <c r="B12" s="5" t="s">
        <v>154</v>
      </c>
    </row>
    <row r="13" customFormat="false" ht="15" hidden="false" customHeight="false" outlineLevel="0" collapsed="false">
      <c r="B13" s="7" t="s">
        <v>155</v>
      </c>
      <c r="C13" s="24" t="n">
        <f aca="false">'P&amp;L'!G20*Exit_Mult</f>
        <v>172682626.831357</v>
      </c>
    </row>
    <row r="14" customFormat="false" ht="15" hidden="false" customHeight="false" outlineLevel="0" collapsed="false">
      <c r="B14" s="7" t="s">
        <v>156</v>
      </c>
      <c r="C14" s="24" t="n">
        <f aca="false">Capital!G20</f>
        <v>64432843.96416</v>
      </c>
    </row>
    <row r="15" customFormat="false" ht="15" hidden="false" customHeight="false" outlineLevel="0" collapsed="false">
      <c r="B15" s="22" t="s">
        <v>157</v>
      </c>
      <c r="C15" s="25" t="n">
        <f aca="false">C13-C14</f>
        <v>108249782.867197</v>
      </c>
    </row>
    <row r="16" customFormat="false" ht="15" hidden="false" customHeight="false" outlineLevel="0" collapsed="false">
      <c r="B16" s="7" t="s">
        <v>158</v>
      </c>
      <c r="C16" s="24" t="n">
        <f aca="false">Capital!G18</f>
        <v>53760000</v>
      </c>
    </row>
    <row r="17" customFormat="false" ht="15" hidden="false" customHeight="false" outlineLevel="0" collapsed="false">
      <c r="B17" s="6" t="s">
        <v>159</v>
      </c>
      <c r="C17" s="30" t="n">
        <f aca="false">IRR(C10:H10)</f>
        <v>0.268965462932638</v>
      </c>
    </row>
    <row r="18" customFormat="false" ht="15" hidden="false" customHeight="false" outlineLevel="0" collapsed="false">
      <c r="B18" s="6" t="s">
        <v>160</v>
      </c>
      <c r="C18" s="31" t="n">
        <f aca="false">IF(C16=0,0,C15/C16)</f>
        <v>2.013574830119</v>
      </c>
    </row>
    <row r="19" customFormat="false" ht="15" hidden="false" customHeight="false" outlineLevel="0" collapsed="false">
      <c r="B19" s="7" t="s">
        <v>161</v>
      </c>
      <c r="C19" s="32" t="n">
        <f aca="false">Purchase_Mult</f>
        <v>8</v>
      </c>
    </row>
    <row r="20" customFormat="false" ht="15" hidden="false" customHeight="false" outlineLevel="0" collapsed="false">
      <c r="B20" s="7" t="s">
        <v>162</v>
      </c>
      <c r="C20" s="32" t="n">
        <f aca="false">Exit_Mult-C19</f>
        <v>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8"/>
    <col collapsed="false" customWidth="true" hidden="false" outlineLevel="0" max="4" min="4" style="0" width="14"/>
    <col collapsed="false" customWidth="true" hidden="false" outlineLevel="0" max="5" min="5"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163</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164</v>
      </c>
    </row>
    <row r="6" customFormat="false" ht="15" hidden="false" customHeight="false" outlineLevel="0" collapsed="false">
      <c r="B6" s="33" t="s">
        <v>165</v>
      </c>
      <c r="C6" s="33" t="s">
        <v>166</v>
      </c>
      <c r="D6" s="33" t="s">
        <v>167</v>
      </c>
      <c r="E6" s="33" t="s">
        <v>168</v>
      </c>
    </row>
    <row r="7" customFormat="false" ht="15" hidden="false" customHeight="false" outlineLevel="0" collapsed="false">
      <c r="B7" s="7" t="s">
        <v>169</v>
      </c>
      <c r="C7" s="24" t="n">
        <f aca="false">PL_Rev_Y5</f>
        <v>43948014.0449914</v>
      </c>
      <c r="D7" s="34" t="s">
        <v>170</v>
      </c>
    </row>
    <row r="8" customFormat="false" ht="15" hidden="false" customHeight="false" outlineLevel="0" collapsed="false">
      <c r="B8" s="7" t="s">
        <v>171</v>
      </c>
      <c r="C8" s="24" t="n">
        <f aca="false">PL_EBITDA_Y5</f>
        <v>15015880.5940311</v>
      </c>
      <c r="D8" s="34" t="s">
        <v>170</v>
      </c>
    </row>
    <row r="9" customFormat="false" ht="15" hidden="false" customHeight="false" outlineLevel="0" collapsed="false">
      <c r="B9" s="7" t="s">
        <v>172</v>
      </c>
      <c r="C9" s="29" t="n">
        <f aca="false">PL_EBITDA_Mgn_Y5</f>
        <v>0.341673700628626</v>
      </c>
      <c r="D9" s="34" t="s">
        <v>173</v>
      </c>
      <c r="E9" s="35" t="str">
        <f aca="false">IF(PL_EBITDA_Mgn_Y5&gt;=Margin_Green,"On track",IF(PL_EBITDA_Mgn_Y5&gt;=Margin_Amber,"Watch","Stretched"))</f>
        <v>On track</v>
      </c>
    </row>
    <row r="10" customFormat="false" ht="15" hidden="false" customHeight="false" outlineLevel="0" collapsed="false">
      <c r="B10" s="7" t="s">
        <v>174</v>
      </c>
      <c r="C10" s="21" t="n">
        <f aca="false">SC_Close_Y5</f>
        <v>41.4637347837188</v>
      </c>
      <c r="D10" s="34" t="s">
        <v>175</v>
      </c>
    </row>
    <row r="11" customFormat="false" ht="15" hidden="false" customHeight="false" outlineLevel="0" collapsed="false">
      <c r="B11" s="7" t="s">
        <v>159</v>
      </c>
      <c r="C11" s="29" t="n">
        <f aca="false">Ret_IRR</f>
        <v>0.268965462932638</v>
      </c>
      <c r="D11" s="34" t="s">
        <v>173</v>
      </c>
      <c r="E11" s="35" t="str">
        <f aca="false">IF(Ret_IRR&gt;=IRR_Green,"On track",IF(Ret_IRR&gt;=IRR_Amber,"Watch","Below hurdle"))</f>
        <v>On track</v>
      </c>
    </row>
    <row r="12" customFormat="false" ht="15" hidden="false" customHeight="false" outlineLevel="0" collapsed="false">
      <c r="B12" s="7" t="s">
        <v>160</v>
      </c>
      <c r="C12" s="32" t="n">
        <f aca="false">Ret_MOIC</f>
        <v>2.013574830119</v>
      </c>
      <c r="D12" s="34" t="s">
        <v>176</v>
      </c>
    </row>
    <row r="13" customFormat="false" ht="15" hidden="false" customHeight="false" outlineLevel="0" collapsed="false">
      <c r="B13" s="7" t="s">
        <v>155</v>
      </c>
      <c r="C13" s="24" t="n">
        <f aca="false">Ret_Exit_EV</f>
        <v>172682626.831357</v>
      </c>
      <c r="D13" s="34" t="s">
        <v>170</v>
      </c>
    </row>
    <row r="14" customFormat="false" ht="15" hidden="false" customHeight="false" outlineLevel="0" collapsed="false">
      <c r="B14" s="7" t="s">
        <v>162</v>
      </c>
      <c r="C14" s="32" t="n">
        <f aca="false">Ret_Arb</f>
        <v>3.5</v>
      </c>
      <c r="D14" s="34" t="s">
        <v>176</v>
      </c>
    </row>
    <row r="16" customFormat="false" ht="15" hidden="false" customHeight="false" outlineLevel="0" collapsed="false">
      <c r="B16" s="5" t="s">
        <v>177</v>
      </c>
    </row>
    <row r="17" customFormat="false" ht="15" hidden="false" customHeight="false" outlineLevel="0" collapsed="false">
      <c r="B17" s="5" t="s">
        <v>112</v>
      </c>
      <c r="C17" s="36" t="s">
        <v>11</v>
      </c>
      <c r="D17" s="36" t="s">
        <v>178</v>
      </c>
    </row>
    <row r="18" customFormat="false" ht="15" hidden="false" customHeight="false" outlineLevel="0" collapsed="false">
      <c r="B18" s="37" t="s">
        <v>113</v>
      </c>
      <c r="C18" s="24" t="n">
        <f aca="false">Rev_Member_Y5</f>
        <v>23431442.7623115</v>
      </c>
      <c r="D18" s="29" t="n">
        <f aca="false">IF(PL_Rev_Y5=0,0,C18/PL_Rev_Y5)</f>
        <v>0.533162721262529</v>
      </c>
    </row>
    <row r="19" customFormat="false" ht="15" hidden="false" customHeight="false" outlineLevel="0" collapsed="false">
      <c r="B19" s="37" t="s">
        <v>114</v>
      </c>
      <c r="C19" s="24" t="n">
        <f aca="false">Rev_Retail_Y5</f>
        <v>17261162.8349028</v>
      </c>
      <c r="D19" s="29" t="n">
        <f aca="false">IF(PL_Rev_Y5=0,0,C19/PL_Rev_Y5)</f>
        <v>0.392763204663397</v>
      </c>
    </row>
    <row r="20" customFormat="false" ht="15" hidden="false" customHeight="false" outlineLevel="0" collapsed="false">
      <c r="B20" s="37" t="s">
        <v>115</v>
      </c>
      <c r="C20" s="24" t="n">
        <f aca="false">Rev_Ancillary_Y5</f>
        <v>3255408.44777714</v>
      </c>
      <c r="D20" s="29" t="n">
        <f aca="false">IF(PL_Rev_Y5=0,0,C20/PL_Rev_Y5)</f>
        <v>0.0740740740740741</v>
      </c>
    </row>
    <row r="21" customFormat="false" ht="15" hidden="false" customHeight="false" outlineLevel="0" collapsed="false">
      <c r="B21" s="22" t="s">
        <v>179</v>
      </c>
      <c r="C21" s="25" t="n">
        <f aca="false">SUM(C18:C20)</f>
        <v>43948014.0449914</v>
      </c>
      <c r="D21" s="38" t="n">
        <f aca="false">SUM(D18:D20)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180</v>
      </c>
    </row>
    <row r="3" customFormat="false" ht="3.75" hidden="false" customHeight="true" outlineLevel="0" collapsed="false">
      <c r="B3" s="40"/>
    </row>
    <row r="6" customFormat="false" ht="19.5" hidden="false" customHeight="true" outlineLevel="0" collapsed="false">
      <c r="B6" s="41" t="s">
        <v>181</v>
      </c>
    </row>
    <row r="7" customFormat="false" ht="48" hidden="false" customHeight="true" outlineLevel="0" collapsed="false">
      <c r="B7" s="42" t="s">
        <v>182</v>
      </c>
    </row>
    <row r="9" customFormat="false" ht="19.5" hidden="false" customHeight="true" outlineLevel="0" collapsed="false">
      <c r="B9" s="41" t="s">
        <v>183</v>
      </c>
    </row>
    <row r="10" customFormat="false" ht="61.5" hidden="false" customHeight="true" outlineLevel="0" collapsed="false">
      <c r="B10" s="42" t="s">
        <v>184</v>
      </c>
    </row>
    <row r="12" customFormat="false" ht="19.5" hidden="false" customHeight="true" outlineLevel="0" collapsed="false">
      <c r="B12" s="41" t="s">
        <v>185</v>
      </c>
    </row>
    <row r="13" customFormat="false" ht="75.75" hidden="false" customHeight="true" outlineLevel="0" collapsed="false">
      <c r="B13" s="42" t="s">
        <v>186</v>
      </c>
    </row>
    <row r="15" customFormat="false" ht="19.5" hidden="false" customHeight="true" outlineLevel="0" collapsed="false">
      <c r="B15" s="41" t="s">
        <v>187</v>
      </c>
    </row>
    <row r="16" customFormat="false" ht="61.5" hidden="false" customHeight="true" outlineLevel="0" collapsed="false">
      <c r="B16" s="42" t="s">
        <v>188</v>
      </c>
    </row>
    <row r="18" customFormat="false" ht="19.5" hidden="false" customHeight="true" outlineLevel="0" collapsed="false">
      <c r="B18" s="41" t="s">
        <v>189</v>
      </c>
    </row>
    <row r="19" customFormat="false" ht="33.75" hidden="false" customHeight="true" outlineLevel="0" collapsed="false">
      <c r="B19" s="42" t="s">
        <v>190</v>
      </c>
    </row>
    <row r="21" customFormat="false" ht="19.5" hidden="false" customHeight="true" outlineLevel="0" collapsed="false">
      <c r="B21" s="41" t="s">
        <v>191</v>
      </c>
    </row>
    <row r="22" customFormat="false" ht="33.75" hidden="false" customHeight="true" outlineLevel="0" collapsed="false">
      <c r="B22" s="42" t="s">
        <v>192</v>
      </c>
    </row>
    <row r="24" customFormat="false" ht="21.75" hidden="false" customHeight="true" outlineLevel="0" collapsed="false">
      <c r="B24" s="43" t="s">
        <v>193</v>
      </c>
    </row>
    <row r="26" customFormat="false" ht="18" hidden="false" customHeight="true" outlineLevel="0" collapsed="false">
      <c r="B26" s="44" t="s">
        <v>194</v>
      </c>
    </row>
    <row r="27" customFormat="false" ht="201.75" hidden="false" customHeight="true" outlineLevel="0" collapsed="false">
      <c r="B27" s="45" t="s">
        <v>195</v>
      </c>
    </row>
    <row r="29" customFormat="false" ht="18" hidden="false" customHeight="true" outlineLevel="0" collapsed="false">
      <c r="B29" s="46" t="s">
        <v>196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2026-05-31T05:18:01Z</dcterms:created>
  <dc:creator>openpyxl</dc:creator>
  <dc:description/>
  <dc:language>en-GB</dc:language>
  <cp:lastModifiedBy/>
  <dcterms:modified xsi:type="dcterms:W3CDTF">2026-05-31T05:18:01Z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