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4.xml" ContentType="application/vnd.openxmlformats-officedocument.spreadsheetml.worksheet+xml"/>
  <Override PartName="/xl/worksheets/sheet2.xml" ContentType="application/vnd.openxmlformats-officedocument.spreadsheetml.worksheet+xml"/>
  <Override PartName="/xl/worksheets/sheet15.xml" ContentType="application/vnd.openxmlformats-officedocument.spreadsheetml.worksheet+xml"/>
  <Override PartName="/xl/worksheets/sheet3.xml" ContentType="application/vnd.openxmlformats-officedocument.spreadsheetml.worksheet+xml"/>
  <Override PartName="/xl/worksheets/sheet7.xml" ContentType="application/vnd.openxmlformats-officedocument.spreadsheetml.worksheet+xml"/>
  <Override PartName="/xl/worksheets/sheet1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Disclaimer" sheetId="3" state="visible" r:id="rId5"/>
    <sheet name="Project_Pipeline" sheetId="4" state="visible" r:id="rId6"/>
    <sheet name="Vintage_Schedule" sheetId="5" state="visible" r:id="rId7"/>
    <sheet name="Revenue" sheetId="6" state="visible" r:id="rId8"/>
    <sheet name="COGS" sheetId="7" state="visible" r:id="rId9"/>
    <sheet name="OpEx" sheetId="8" state="visible" r:id="rId10"/>
    <sheet name="Capex_Depreciation" sheetId="9" state="visible" r:id="rId11"/>
    <sheet name="Working_Capital" sheetId="10" state="visible" r:id="rId12"/>
    <sheet name="Debt_Schedule" sheetId="11" state="visible" r:id="rId13"/>
    <sheet name="Income_Statement" sheetId="12" state="visible" r:id="rId14"/>
    <sheet name="Cash_Flow" sheetId="13" state="visible" r:id="rId15"/>
    <sheet name="Balance_Sheet" sheetId="14" state="visible" r:id="rId16"/>
    <sheet name="Returns" sheetId="15" state="visible" r:id="rId17"/>
    <sheet name="Checks" sheetId="16" state="visible" r:id="rId18"/>
  </sheets>
  <definedNames>
    <definedName function="false" hidden="false" name="Additionality_Pct" vbProcedure="false">Assumptions!$C$22</definedName>
    <definedName function="false" hidden="false" name="Asset_Mix_Planting" vbProcedure="false">Assumptions!$C$74</definedName>
    <definedName function="false" hidden="false" name="Avg_Salary" vbProcedure="false">Assumptions!$C$61</definedName>
    <definedName function="false" hidden="false" name="Blended_Price" vbProcedure="false">Assumptions!$C$33</definedName>
    <definedName function="false" hidden="false" name="Blended_Yield" vbProcedure="false">Assumptions!$C$32</definedName>
    <definedName function="false" hidden="false" name="Buffer_Pool" vbProcedure="false">Assumptions!$C$20</definedName>
    <definedName function="false" hidden="false" name="Capex_Per_Ha" vbProcedure="false">Assumptions!$C$70</definedName>
    <definedName function="false" hidden="false" name="Community_Share" vbProcedure="false">Assumptions!$C$49</definedName>
    <definedName function="false" hidden="false" name="Debt_Amount" vbProcedure="false">Assumptions!$C$85</definedName>
    <definedName function="false" hidden="false" name="Debt_Rate" vbProcedure="false">Assumptions!$C$86</definedName>
    <definedName function="false" hidden="false" name="Debt_Tenor" vbProcedure="false">Assumptions!$C$87</definedName>
    <definedName function="false" hidden="false" name="DIO" vbProcedure="false">Assumptions!$C$79</definedName>
    <definedName function="false" hidden="false" name="DPO" vbProcedure="false">Assumptions!$C$80</definedName>
    <definedName function="false" hidden="false" name="DSO" vbProcedure="false">Assumptions!$C$78</definedName>
    <definedName function="false" hidden="false" name="Equity_Injection" vbProcedure="false">Assumptions!$C$83</definedName>
    <definedName function="false" hidden="false" name="Exit_EBITDA_Multiple" vbProcedure="false">Assumptions!$C$93</definedName>
    <definedName function="false" hidden="false" name="Followon_Equity_Y4" vbProcedure="false">Assumptions!$C$84</definedName>
    <definedName function="false" hidden="false" name="Forward_Alloc" vbProcedure="false">Assumptions!$C$37</definedName>
    <definedName function="false" hidden="false" name="Forward_Discount" vbProcedure="false">Assumptions!$C$11</definedName>
    <definedName function="false" hidden="false" name="Forward_Upfront_Pct" vbProcedure="false">Assumptions!$C$38</definedName>
    <definedName function="false" hidden="false" name="Headcount_Growth" vbProcedure="false">Assumptions!$C$60</definedName>
    <definedName function="false" hidden="false" name="Headcount_Init" vbProcedure="false">Assumptions!$C$59</definedName>
    <definedName function="false" hidden="false" name="Hectare_Growth" vbProcedure="false">Assumptions!$C$14</definedName>
    <definedName function="false" hidden="false" name="Initial_Hectares" vbProcedure="false">Assumptions!$C$13</definedName>
    <definedName function="false" hidden="false" name="Insurance_Costs" vbProcedure="false">Assumptions!$C$66</definedName>
    <definedName function="false" hidden="false" name="Issuance_Lag" vbProcedure="false">Assumptions!$C$12</definedName>
    <definedName function="false" hidden="false" name="Leakage_Pct" vbProcedure="false">Assumptions!$C$21</definedName>
    <definedName function="false" hidden="false" name="Legal_Costs" vbProcedure="false">Assumptions!$C$63</definedName>
    <definedName function="false" hidden="false" name="Maint_Capex_Pct" vbProcedure="false">Assumptions!$C$75</definedName>
    <definedName function="false" hidden="false" name="Marketing_Pct" vbProcedure="false">Assumptions!$C$64</definedName>
    <definedName function="false" hidden="false" name="MRV_Equip_Capex" vbProcedure="false">Assumptions!$C$71</definedName>
    <definedName function="false" hidden="false" name="MRV_Escalation" vbProcedure="false">Assumptions!$C$56</definedName>
    <definedName function="false" hidden="false" name="MRV_Life" vbProcedure="false">Assumptions!$C$73</definedName>
    <definedName function="false" hidden="false" name="MRV_OpEx_Y1" vbProcedure="false">Assumptions!$C$55</definedName>
    <definedName function="false" hidden="false" name="OpEx_Escalation" vbProcedure="false">Assumptions!$C$67</definedName>
    <definedName function="false" hidden="false" name="Performance_Pct" vbProcedure="false">Assumptions!$C$23</definedName>
    <definedName function="false" hidden="false" name="Planting_Life" vbProcedure="false">Assumptions!$C$72</definedName>
    <definedName function="false" hidden="false" name="Registry_Fee" vbProcedure="false">Assumptions!$C$48</definedName>
    <definedName function="false" hidden="false" name="Retirement_Pct" vbProcedure="false">Assumptions!$C$39</definedName>
    <definedName function="false" hidden="false" name="Salary_Escalation" vbProcedure="false">Assumptions!$C$62</definedName>
    <definedName function="false" hidden="false" name="Spot_Alloc" vbProcedure="false">Assumptions!$C$36</definedName>
    <definedName function="false" hidden="false" name="Spot_Escalation" vbProcedure="false">Assumptions!$C$10</definedName>
    <definedName function="false" hidden="false" name="Spot_Price" vbProcedure="false">Assumptions!$C$9</definedName>
    <definedName function="false" hidden="false" name="Tax_Rate" vbProcedure="false">Assumptions!$C$90</definedName>
    <definedName function="false" hidden="false" name="Tech_Costs" vbProcedure="false">Assumptions!$C$65</definedName>
    <definedName function="false" hidden="false" name="Terminal_Growth" vbProcedure="false">Assumptions!$C$92</definedName>
    <definedName function="false" hidden="false" name="Trading_Avg_Price" vbProcedure="false">Assumptions!$C$45</definedName>
    <definedName function="false" hidden="false" name="Trading_Margin" vbProcedure="false">Assumptions!$C$44</definedName>
    <definedName function="false" hidden="false" name="Trading_Vol_Growth" vbProcedure="false">Assumptions!$C$43</definedName>
    <definedName function="false" hidden="false" name="Trading_Vol_Y1" vbProcedure="false">Assumptions!$C$42</definedName>
    <definedName function="false" hidden="false" name="Validation_Y1" vbProcedure="false">Assumptions!$C$52</definedName>
    <definedName function="false" hidden="false" name="Validation_Y2" vbProcedure="false">Assumptions!$C$53</definedName>
    <definedName function="false" hidden="false" name="Verify_Recur" vbProcedure="false">Assumptions!$C$54</definedName>
    <definedName function="false" hidden="false" name="WACC_Rate" vbProcedure="false">Assumptions!$C$91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<sst xmlns="http://schemas.openxmlformats.org/spreadsheetml/2006/main" count="487" uniqueCount="422">
  <si>
    <t xml:space="preserve">Carbon Credit Project Model</t>
  </si>
  <si>
    <t xml:space="preserve">FINAMODEL.com</t>
  </si>
  <si>
    <t xml:space="preserve">VCM Developer &amp; Trading Platform</t>
  </si>
  <si>
    <t xml:space="preserve">Version</t>
  </si>
  <si>
    <t xml:space="preserve">v1</t>
  </si>
  <si>
    <t xml:space="preserve">Author</t>
  </si>
  <si>
    <t xml:space="preserve">Finamodel asset library</t>
  </si>
  <si>
    <t xml:space="preserve">Last Updated</t>
  </si>
  <si>
    <t xml:space="preserve">2026-05-15</t>
  </si>
  <si>
    <t xml:space="preserve">Projection</t>
  </si>
  <si>
    <t xml:space="preserve">Y2026 - Y2035 (10 years)</t>
  </si>
  <si>
    <t xml:space="preserve">Status</t>
  </si>
  <si>
    <t xml:space="preserve">Reference template</t>
  </si>
  <si>
    <t xml:space="preserve">Sheet Index</t>
  </si>
  <si>
    <t xml:space="preserve">Cover</t>
  </si>
  <si>
    <t xml:space="preserve">Title and navigation</t>
  </si>
  <si>
    <t xml:space="preserve">Assumptions</t>
  </si>
  <si>
    <t xml:space="preserve">Key model parameters</t>
  </si>
  <si>
    <t xml:space="preserve">Project_Pipeline</t>
  </si>
  <si>
    <t xml:space="preserve">Hectares, yield, multi-haircut tonnes</t>
  </si>
  <si>
    <t xml:space="preserve">Vintage_Schedule</t>
  </si>
  <si>
    <t xml:space="preserve">Issuance year matrix</t>
  </si>
  <si>
    <t xml:space="preserve">Revenue</t>
  </si>
  <si>
    <t xml:space="preserve">Spot, forward, trading, deferred</t>
  </si>
  <si>
    <t xml:space="preserve">COGS</t>
  </si>
  <si>
    <t xml:space="preserve">Registry, MRV/V&amp;V, community</t>
  </si>
  <si>
    <t xml:space="preserve">OpEx</t>
  </si>
  <si>
    <t xml:space="preserve">Headcount, marketing, overheads</t>
  </si>
  <si>
    <t xml:space="preserve">Capex_Depreciation</t>
  </si>
  <si>
    <t xml:space="preserve">Vintage-based depreciation</t>
  </si>
  <si>
    <t xml:space="preserve">Working_Capital</t>
  </si>
  <si>
    <t xml:space="preserve">Receivables, inventory, payables</t>
  </si>
  <si>
    <t xml:space="preserve">Debt_Schedule</t>
  </si>
  <si>
    <t xml:space="preserve">Term loan, interest, repayment</t>
  </si>
  <si>
    <t xml:space="preserve">Income_Statement</t>
  </si>
  <si>
    <t xml:space="preserve">Revenue to net income</t>
  </si>
  <si>
    <t xml:space="preserve">Cash_Flow</t>
  </si>
  <si>
    <t xml:space="preserve">CFO, CFI, CFF</t>
  </si>
  <si>
    <t xml:space="preserve">Balance_Sheet</t>
  </si>
  <si>
    <t xml:space="preserve">Assets, liabilities, equity</t>
  </si>
  <si>
    <t xml:space="preserve">Returns</t>
  </si>
  <si>
    <t xml:space="preserve">DCF, IRR, exit multiple</t>
  </si>
  <si>
    <t xml:space="preserve">Checks</t>
  </si>
  <si>
    <t xml:space="preserve">Validation checks</t>
  </si>
  <si>
    <t xml:space="preserve">Tab Colour Legend</t>
  </si>
  <si>
    <t xml:space="preserve">Dark Blue</t>
  </si>
  <si>
    <t xml:space="preserve">Mid Blue</t>
  </si>
  <si>
    <t xml:space="preserve">Assumptions / Inputs</t>
  </si>
  <si>
    <t xml:space="preserve">Green</t>
  </si>
  <si>
    <t xml:space="preserve">Revenue drivers / pipeline</t>
  </si>
  <si>
    <t xml:space="preserve">Orange</t>
  </si>
  <si>
    <t xml:space="preserve">Cost schedules</t>
  </si>
  <si>
    <t xml:space="preserve">Grey</t>
  </si>
  <si>
    <t xml:space="preserve">Summary / output sheets</t>
  </si>
  <si>
    <t xml:space="preserve">Red</t>
  </si>
  <si>
    <t xml:space="preserve">Debt / risk / checks</t>
  </si>
  <si>
    <t xml:space="preserve">About this model</t>
  </si>
  <si>
    <t xml:space="preserve">This carbon credit model answers whether a project developer should invest in or acquire emission reduction or removal credit operations. It projects voluntary carbon market revenue across spot sales, forward offtake contracts, and trading margins, accounting for buffer pool deductions, verification fees, and community revenue share. The model projects gross tonnes, net tradable tonnes, registry deductions, and haircuts across a crediting period of up to 20 years, with typical spot prices ranging from $15 to $35 per tonne.
The model includes a full three-statement build: a revenue schedule separating spot allocations and forward contracts by year with timing lags for credit issuance; a COGS section tracking VVB audit fees, registry fees, and community share obligations; and working capital schedules for credit inventory (measured in tonnes), receivables, and deferred revenue unwinding. A capex schedule models the project development cost per hectare and MRV equipment, with amortisation over the crediting period. The balance sheet tracks capitalised project costs, carbon credit inventory, and project finance debt with DSCR covenants.
This model is used by venture capital and climate impact funds evaluating early-stage or scale-stage carbon credit developers, lenders sizing project finance facilities, and strategic acquirers assessing platform margin expansion. The structure handles the unique timing mismatch in carbon markets â credits issued years after project start â making it ideal for market entrants without mature cash flow predictability.</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</si>
  <si>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</si>
  <si>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</si>
  <si>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</si>
  <si>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</si>
  <si>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Key Parameters</t>
  </si>
  <si>
    <t xml:space="preserve">Parameter</t>
  </si>
  <si>
    <t xml:space="preserve">Value</t>
  </si>
  <si>
    <t xml:space="preserve">Unit</t>
  </si>
  <si>
    <t xml:space="preserve">Notes</t>
  </si>
  <si>
    <t xml:space="preserve">Project Pipeline</t>
  </si>
  <si>
    <t xml:space="preserve">Spot Price (Y1)</t>
  </si>
  <si>
    <t xml:space="preserve">$/t</t>
  </si>
  <si>
    <t xml:space="preserve">ARR-weighted spot; recalibrated for steady-state</t>
  </si>
  <si>
    <t xml:space="preserve">Spot Price Escalation</t>
  </si>
  <si>
    <t xml:space="preserve">Annual price growth [ASSUMPTION]</t>
  </si>
  <si>
    <t xml:space="preserve">Forward Discount</t>
  </si>
  <si>
    <t xml:space="preserve">Discount to spot for offtake [ASSUMPTION]</t>
  </si>
  <si>
    <t xml:space="preserve">First Issuance Lag</t>
  </si>
  <si>
    <t xml:space="preserve">yrs</t>
  </si>
  <si>
    <t xml:space="preserve">Implementation + first VVB audit</t>
  </si>
  <si>
    <t xml:space="preserve">Initial Hectares</t>
  </si>
  <si>
    <t xml:space="preserve">ha</t>
  </si>
  <si>
    <t xml:space="preserve">Mature mid-size portfolio [ASSUMPTION]</t>
  </si>
  <si>
    <t xml:space="preserve">Hectare Growth Rate</t>
  </si>
  <si>
    <t xml:space="preserve">Sustained growth pace [ASSUMPTION]</t>
  </si>
  <si>
    <t xml:space="preserve">Tonnage Haircuts (applied sequentially)</t>
  </si>
  <si>
    <t xml:space="preserve">Buffer Pool</t>
  </si>
  <si>
    <t xml:space="preserve">Verra/Gold Standard reversal pool</t>
  </si>
  <si>
    <t xml:space="preserve">Leakage Discount</t>
  </si>
  <si>
    <t xml:space="preserve">Activity shifting outside project boundary</t>
  </si>
  <si>
    <t xml:space="preserve">Additionality Discount</t>
  </si>
  <si>
    <t xml:space="preserve">ICVCM Core Carbon Principles haircut</t>
  </si>
  <si>
    <t xml:space="preserve">Performance Discount</t>
  </si>
  <si>
    <t xml:space="preserve">Underdelivery vs baseline [ASSUMPTION]</t>
  </si>
  <si>
    <t xml:space="preserve">Project Type Mix</t>
  </si>
  <si>
    <t xml:space="preserve">Type</t>
  </si>
  <si>
    <t xml:space="preserve">Mix %</t>
  </si>
  <si>
    <t xml:space="preserve">Yield (t/ha)</t>
  </si>
  <si>
    <t xml:space="preserve">Price ($/t)</t>
  </si>
  <si>
    <t xml:space="preserve">Crediting Life (yrs)</t>
  </si>
  <si>
    <t xml:space="preserve">ARR</t>
  </si>
  <si>
    <t xml:space="preserve">REDD+</t>
  </si>
  <si>
    <t xml:space="preserve">IFM</t>
  </si>
  <si>
    <t xml:space="preserve">Blue Carbon</t>
  </si>
  <si>
    <t xml:space="preserve">Mix Total (must=100%)</t>
  </si>
  <si>
    <t xml:space="preserve">Blended Yield (SUMPRODUCT)</t>
  </si>
  <si>
    <t xml:space="preserve">t/ha/yr</t>
  </si>
  <si>
    <t xml:space="preserve">Drives Project_Pipeline gross tonnes</t>
  </si>
  <si>
    <t xml:space="preserve">Blended Price (SUMPRODUCT)</t>
  </si>
  <si>
    <t xml:space="preserve">Cross-check vs Spot Price input</t>
  </si>
  <si>
    <t xml:space="preserve">Revenue Allocation &amp; Forwards</t>
  </si>
  <si>
    <t xml:space="preserve">Spot Allocation</t>
  </si>
  <si>
    <t xml:space="preserve">% of net tradable tonnes sold spot</t>
  </si>
  <si>
    <t xml:space="preserve">Forward Allocation</t>
  </si>
  <si>
    <t xml:space="preserve">% sold via forward offtake</t>
  </si>
  <si>
    <t xml:space="preserve">Forward Upfront %</t>
  </si>
  <si>
    <t xml:space="preserve">Paid one year pre-delivery (deferred rev)</t>
  </si>
  <si>
    <t xml:space="preserve">Retirement %</t>
  </si>
  <si>
    <t xml:space="preserve">Retired for ESG marketing (no revenue)</t>
  </si>
  <si>
    <t xml:space="preserve">Trading Desk (net-margin only)</t>
  </si>
  <si>
    <t xml:space="preserve">Trading Volume Y1</t>
  </si>
  <si>
    <t xml:space="preserve">t</t>
  </si>
  <si>
    <t xml:space="preserve">Third-party VCM brokerage</t>
  </si>
  <si>
    <t xml:space="preserve">Trading Vol Growth</t>
  </si>
  <si>
    <t xml:space="preserve">Market liquidity growth [ASSUMPTION]</t>
  </si>
  <si>
    <t xml:space="preserve">Trading Margin</t>
  </si>
  <si>
    <t xml:space="preserve">Spread on back-to-back trades</t>
  </si>
  <si>
    <t xml:space="preserve">Trading Avg Price</t>
  </si>
  <si>
    <t xml:space="preserve">Lower quality than proprietary</t>
  </si>
  <si>
    <t xml:space="preserve">Cost of Sales</t>
  </si>
  <si>
    <t xml:space="preserve">Registry Fee</t>
  </si>
  <si>
    <t xml:space="preserve">Per-tonne issuance fee</t>
  </si>
  <si>
    <t xml:space="preserve">Community Rev Share</t>
  </si>
  <si>
    <t xml:space="preserve">Recalibrated for steady-state</t>
  </si>
  <si>
    <t xml:space="preserve">MRV &amp; Validation/Verification</t>
  </si>
  <si>
    <t xml:space="preserve">Initial Validation Y1</t>
  </si>
  <si>
    <t xml:space="preserve">$</t>
  </si>
  <si>
    <t xml:space="preserve">One-off baseline + methodology</t>
  </si>
  <si>
    <t xml:space="preserve">Initial Validation Y2</t>
  </si>
  <si>
    <t xml:space="preserve">One-off completion</t>
  </si>
  <si>
    <t xml:space="preserve">Recurring Verification</t>
  </si>
  <si>
    <t xml:space="preserve">Every 2 yrs from Y3 (Y3, Y5, Y7, Y9)</t>
  </si>
  <si>
    <t xml:space="preserve">MRV Operating Cost (Y1)</t>
  </si>
  <si>
    <t xml:space="preserve">Satellite, drones, data platform</t>
  </si>
  <si>
    <t xml:space="preserve">MRV Escalation</t>
  </si>
  <si>
    <t xml:space="preserve">Annual [ASSUMPTION]</t>
  </si>
  <si>
    <t xml:space="preserve">Operating Expenses</t>
  </si>
  <si>
    <t xml:space="preserve">Headcount (Initial)</t>
  </si>
  <si>
    <t xml:space="preserve">FTEs</t>
  </si>
  <si>
    <t xml:space="preserve">Scientists, traders, sales, admin</t>
  </si>
  <si>
    <t xml:space="preserve">Headcount Growth</t>
  </si>
  <si>
    <t xml:space="preserve">Annual hiring rate</t>
  </si>
  <si>
    <t xml:space="preserve">Average Salary</t>
  </si>
  <si>
    <t xml:space="preserve">$/yr</t>
  </si>
  <si>
    <t xml:space="preserve">Blended across roles</t>
  </si>
  <si>
    <t xml:space="preserve">Salary Escalation</t>
  </si>
  <si>
    <t xml:space="preserve">Annual inflation</t>
  </si>
  <si>
    <t xml:space="preserve">Legal &amp; Compliance</t>
  </si>
  <si>
    <t xml:space="preserve">Article 6, contracts</t>
  </si>
  <si>
    <t xml:space="preserve">Marketing % Rev</t>
  </si>
  <si>
    <t xml:space="preserve">B2B sales, conferences</t>
  </si>
  <si>
    <t xml:space="preserve">Technology Costs</t>
  </si>
  <si>
    <t xml:space="preserve">Trading platform, data</t>
  </si>
  <si>
    <t xml:space="preserve">Insurance</t>
  </si>
  <si>
    <t xml:space="preserve">Corporate + non-delivery</t>
  </si>
  <si>
    <t xml:space="preserve">Gen OpEx Escalation</t>
  </si>
  <si>
    <t xml:space="preserve">Legal, tech, insurance</t>
  </si>
  <si>
    <t xml:space="preserve">Capital Expenditure</t>
  </si>
  <si>
    <t xml:space="preserve">Capex per New Hectare</t>
  </si>
  <si>
    <t xml:space="preserve">$/ha</t>
  </si>
  <si>
    <t xml:space="preserve">Planting, baseline (range $1k-$3k)</t>
  </si>
  <si>
    <t xml:space="preserve">MRV Equipment (Y1)</t>
  </si>
  <si>
    <t xml:space="preserve">Drones, sensors, IT</t>
  </si>
  <si>
    <t xml:space="preserve">Planting Capex Life</t>
  </si>
  <si>
    <t xml:space="preserve">Crediting period for nature-based</t>
  </si>
  <si>
    <t xml:space="preserve">MRV Equipment Life</t>
  </si>
  <si>
    <t xml:space="preserve">Hardware refresh cycle</t>
  </si>
  <si>
    <t xml:space="preserve">Asset Mix: Planting</t>
  </si>
  <si>
    <t xml:space="preserve">Remainder = MRV equipment</t>
  </si>
  <si>
    <t xml:space="preserve">Maintenance Capex %</t>
  </si>
  <si>
    <t xml:space="preserve">Growth = 1 - Maintenance</t>
  </si>
  <si>
    <t xml:space="preserve">Working Capital</t>
  </si>
  <si>
    <t xml:space="preserve">DSO</t>
  </si>
  <si>
    <t xml:space="preserve">days</t>
  </si>
  <si>
    <t xml:space="preserve">Corporate buyer collections</t>
  </si>
  <si>
    <t xml:space="preserve">DIO</t>
  </si>
  <si>
    <t xml:space="preserve">Credit inventory holding</t>
  </si>
  <si>
    <t xml:space="preserve">DPO</t>
  </si>
  <si>
    <t xml:space="preserve">Payables cycle</t>
  </si>
  <si>
    <t xml:space="preserve">Debt &amp; Equity</t>
  </si>
  <si>
    <t xml:space="preserve">Initial Equity (Y1)</t>
  </si>
  <si>
    <t xml:space="preserve">Founding round (covers Y1-Y3 burn)</t>
  </si>
  <si>
    <t xml:space="preserve">Follow-on Equity (Y4)</t>
  </si>
  <si>
    <t xml:space="preserve">Series B to fund growth capex</t>
  </si>
  <si>
    <t xml:space="preserve">Debt Amount</t>
  </si>
  <si>
    <t xml:space="preserve">Project finance term loan</t>
  </si>
  <si>
    <t xml:space="preserve">Debt Interest Rate</t>
  </si>
  <si>
    <t xml:space="preserve">600-1000 bps over base</t>
  </si>
  <si>
    <t xml:space="preserve">Debt Tenor</t>
  </si>
  <si>
    <t xml:space="preserve">Amortising term loan</t>
  </si>
  <si>
    <t xml:space="preserve">Tax &amp; Valuation</t>
  </si>
  <si>
    <t xml:space="preserve">Tax Rate</t>
  </si>
  <si>
    <t xml:space="preserve">Blended global rate</t>
  </si>
  <si>
    <t xml:space="preserve">WACC</t>
  </si>
  <si>
    <t xml:space="preserve">VCM developer cost of capital [ASSUMPTION]</t>
  </si>
  <si>
    <t xml:space="preserve">Terminal Growth</t>
  </si>
  <si>
    <t xml:space="preserve">Long-run nominal GDP</t>
  </si>
  <si>
    <t xml:space="preserve">Exit EBITDA Multiple</t>
  </si>
  <si>
    <t xml:space="preserve">x</t>
  </si>
  <si>
    <t xml:space="preserve">VCM platform comparables, 12-20x range [ASSUMPTION]</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</si>
  <si>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</si>
  <si>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</si>
  <si>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</si>
  <si>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</si>
  <si>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</si>
  <si>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</si>
  <si>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</si>
  <si>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</si>
  <si>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</si>
  <si>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</si>
  <si>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</si>
  <si>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</si>
  <si>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</si>
  <si>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</si>
  <si>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</si>
  <si>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</si>
  <si>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</si>
  <si>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Generation Schedule &amp; Multi-Layer Haircuts</t>
  </si>
  <si>
    <t xml:space="preserve">Year</t>
  </si>
  <si>
    <t xml:space="preserve">Year Number</t>
  </si>
  <si>
    <t xml:space="preserve">Project Scale</t>
  </si>
  <si>
    <t xml:space="preserve">Cumulative Hectares</t>
  </si>
  <si>
    <t xml:space="preserve">New Hectares</t>
  </si>
  <si>
    <t xml:space="preserve">Carbon Generation &amp; Multi-Layer Haircuts</t>
  </si>
  <si>
    <t xml:space="preserve">Gross Tonnes Issued</t>
  </si>
  <si>
    <t xml:space="preserve">Less: Buffer Pool</t>
  </si>
  <si>
    <t xml:space="preserve">After Buffer</t>
  </si>
  <si>
    <t xml:space="preserve">Less: Leakage</t>
  </si>
  <si>
    <t xml:space="preserve">Less: Additionality</t>
  </si>
  <si>
    <t xml:space="preserve">Less: Performance Discount</t>
  </si>
  <si>
    <t xml:space="preserve">Net Tradable Tonnes</t>
  </si>
  <si>
    <t xml:space="preserve">Allocation</t>
  </si>
  <si>
    <t xml:space="preserve">Retired Tonnes (ESG)</t>
  </si>
  <si>
    <t xml:space="preserve">Tradable Tonnes (Sold)</t>
  </si>
  <si>
    <t xml:space="preserve">Spot Tonnes</t>
  </si>
  <si>
    <t xml:space="preserve">Forward Tonnes (residual)</t>
  </si>
  <si>
    <t xml:space="preserve">Alloc Check (=0)</t>
  </si>
  <si>
    <t xml:space="preserve">Pricing</t>
  </si>
  <si>
    <t xml:space="preserve">Spot Price ($/t)</t>
  </si>
  <si>
    <t xml:space="preserve">Forward Price ($/t)</t>
  </si>
  <si>
    <t xml:space="preserve">Vintage Schedule</t>
  </si>
  <si>
    <t xml:space="preserve">Issuance year x period matrix — same-year sale assumed (override-friendly)</t>
  </si>
  <si>
    <t xml:space="preserve">Vintage Year</t>
  </si>
  <si>
    <t xml:space="preserve">Vintage 2026</t>
  </si>
  <si>
    <t xml:space="preserve">Vintage 2027</t>
  </si>
  <si>
    <t xml:space="preserve">Vintage 2028</t>
  </si>
  <si>
    <t xml:space="preserve">Vintage 2029</t>
  </si>
  <si>
    <t xml:space="preserve">Vintage 2030</t>
  </si>
  <si>
    <t xml:space="preserve">Vintage 2031</t>
  </si>
  <si>
    <t xml:space="preserve">Vintage 2032</t>
  </si>
  <si>
    <t xml:space="preserve">Vintage 2033</t>
  </si>
  <si>
    <t xml:space="preserve">Vintage 2034</t>
  </si>
  <si>
    <t xml:space="preserve">Vintage 2035</t>
  </si>
  <si>
    <t xml:space="preserve">Tonnes Sold (Period Total)</t>
  </si>
  <si>
    <t xml:space="preserve">Vintage Totals (cross-check vs Net Tonnes)</t>
  </si>
  <si>
    <t xml:space="preserve">Spot, Forward, Trading + Deferred Revenue Schedule</t>
  </si>
  <si>
    <t xml:space="preserve">Proprietary Revenue</t>
  </si>
  <si>
    <t xml:space="preserve">Spot Sales</t>
  </si>
  <si>
    <t xml:space="preserve">Forward Offtake (delivered)</t>
  </si>
  <si>
    <t xml:space="preserve">Total Proprietary</t>
  </si>
  <si>
    <t xml:space="preserve">Trading Revenue (net of spread)</t>
  </si>
  <si>
    <t xml:space="preserve">Trading Volume (t)</t>
  </si>
  <si>
    <t xml:space="preserve">Gross Trading Notional</t>
  </si>
  <si>
    <t xml:space="preserve">Trading Margin Rev</t>
  </si>
  <si>
    <t xml:space="preserve">Note: Trading revenue reported net of spread; underlying purchase/sale volumes not modelled in inventory.</t>
  </si>
  <si>
    <t xml:space="preserve">Forward Offtake Deferred Revenue</t>
  </si>
  <si>
    <t xml:space="preserve">Forward Cash Received</t>
  </si>
  <si>
    <t xml:space="preserve">Deferred Revenue Released</t>
  </si>
  <si>
    <t xml:space="preserve">Deferred Revenue Closing Balance</t>
  </si>
  <si>
    <t xml:space="preserve">Change in Deferred Revenue</t>
  </si>
  <si>
    <t xml:space="preserve">Total</t>
  </si>
  <si>
    <t xml:space="preserve">TOTAL REVENUE</t>
  </si>
  <si>
    <t xml:space="preserve">Registry, MRV/V&amp;V, Community Share</t>
  </si>
  <si>
    <t xml:space="preserve">Proprietary COGS</t>
  </si>
  <si>
    <t xml:space="preserve">Registry Fees</t>
  </si>
  <si>
    <t xml:space="preserve">Initial Validation</t>
  </si>
  <si>
    <t xml:space="preserve">Retirement Marketing</t>
  </si>
  <si>
    <t xml:space="preserve">Retired Tonnes at Cost</t>
  </si>
  <si>
    <t xml:space="preserve">TOTAL COGS</t>
  </si>
  <si>
    <t xml:space="preserve">GROSS PROFIT</t>
  </si>
  <si>
    <t xml:space="preserve">Gross Margin %</t>
  </si>
  <si>
    <t xml:space="preserve">Headcount, MRV operating, overheads</t>
  </si>
  <si>
    <t xml:space="preserve">Headcount</t>
  </si>
  <si>
    <t xml:space="preserve">Headcount (FTEs)</t>
  </si>
  <si>
    <t xml:space="preserve">Avg Salary</t>
  </si>
  <si>
    <t xml:space="preserve">Total Payroll</t>
  </si>
  <si>
    <t xml:space="preserve">Other Operating Costs</t>
  </si>
  <si>
    <t xml:space="preserve">MRV Operating</t>
  </si>
  <si>
    <t xml:space="preserve">Marketing</t>
  </si>
  <si>
    <t xml:space="preserve">Technology</t>
  </si>
  <si>
    <t xml:space="preserve">TOTAL OPEX</t>
  </si>
  <si>
    <t xml:space="preserve">Capex &amp; Depreciation</t>
  </si>
  <si>
    <t xml:space="preserve">Vintage-aware: Planting (20-yr) + MRV (5-yr)</t>
  </si>
  <si>
    <t xml:space="preserve">Total Capex</t>
  </si>
  <si>
    <t xml:space="preserve">Planting / Project Capex</t>
  </si>
  <si>
    <t xml:space="preserve">MRV Equipment Capex</t>
  </si>
  <si>
    <t xml:space="preserve">  - Maintenance Capex</t>
  </si>
  <si>
    <t xml:space="preserve">  - Growth Capex</t>
  </si>
  <si>
    <t xml:space="preserve">Vintage-Aware Depreciation</t>
  </si>
  <si>
    <t xml:space="preserve">Depr - Planting</t>
  </si>
  <si>
    <t xml:space="preserve">Depr - MRV Equipment</t>
  </si>
  <si>
    <t xml:space="preserve">Total Depreciation</t>
  </si>
  <si>
    <t xml:space="preserve">Net Book Value</t>
  </si>
  <si>
    <t xml:space="preserve">Cumulative Capex</t>
  </si>
  <si>
    <t xml:space="preserve">Cumulative Depr</t>
  </si>
  <si>
    <t xml:space="preserve">WC Schedule</t>
  </si>
  <si>
    <t xml:space="preserve">Current Assets</t>
  </si>
  <si>
    <t xml:space="preserve">Receivables</t>
  </si>
  <si>
    <t xml:space="preserve">Inventory</t>
  </si>
  <si>
    <t xml:space="preserve">Total Current Assets</t>
  </si>
  <si>
    <t xml:space="preserve">Current Liabilities</t>
  </si>
  <si>
    <t xml:space="preserve">Payables</t>
  </si>
  <si>
    <t xml:space="preserve">Total Current Liab</t>
  </si>
  <si>
    <t xml:space="preserve">Net Working Capital</t>
  </si>
  <si>
    <t xml:space="preserve">Change in NWC</t>
  </si>
  <si>
    <t xml:space="preserve">Debt Schedule</t>
  </si>
  <si>
    <t xml:space="preserve">Term Loan</t>
  </si>
  <si>
    <t xml:space="preserve">Opening Balance</t>
  </si>
  <si>
    <t xml:space="preserve">Drawdown</t>
  </si>
  <si>
    <t xml:space="preserve">Repayment</t>
  </si>
  <si>
    <t xml:space="preserve">Closing Balance</t>
  </si>
  <si>
    <t xml:space="preserve">Interest</t>
  </si>
  <si>
    <t xml:space="preserve">Interest Expense</t>
  </si>
  <si>
    <t xml:space="preserve">Total Debt Service</t>
  </si>
  <si>
    <t xml:space="preserve">Income Statement</t>
  </si>
  <si>
    <t xml:space="preserve">P&amp;L Summary</t>
  </si>
  <si>
    <t xml:space="preserve">Total Revenue</t>
  </si>
  <si>
    <t xml:space="preserve">Gross Profit</t>
  </si>
  <si>
    <t xml:space="preserve">Total OpEx</t>
  </si>
  <si>
    <t xml:space="preserve">EBITDA</t>
  </si>
  <si>
    <t xml:space="preserve">EBITDA Margin %</t>
  </si>
  <si>
    <t xml:space="preserve">Depreciation</t>
  </si>
  <si>
    <t xml:space="preserve">EBIT</t>
  </si>
  <si>
    <t xml:space="preserve">EBT</t>
  </si>
  <si>
    <t xml:space="preserve">Tax</t>
  </si>
  <si>
    <t xml:space="preserve">NET INCOME</t>
  </si>
  <si>
    <t xml:space="preserve">Net Margin %</t>
  </si>
  <si>
    <t xml:space="preserve">Cash Flow Statement</t>
  </si>
  <si>
    <t xml:space="preserve">Indirect Method</t>
  </si>
  <si>
    <t xml:space="preserve">Cash from Operations</t>
  </si>
  <si>
    <t xml:space="preserve">Net Income</t>
  </si>
  <si>
    <t xml:space="preserve">Add: Depreciation</t>
  </si>
  <si>
    <t xml:space="preserve">Change in WC</t>
  </si>
  <si>
    <t xml:space="preserve">CFO</t>
  </si>
  <si>
    <t xml:space="preserve">Cash from Investing</t>
  </si>
  <si>
    <t xml:space="preserve">CFI</t>
  </si>
  <si>
    <t xml:space="preserve">Cash from Financing</t>
  </si>
  <si>
    <t xml:space="preserve">Equity Injection</t>
  </si>
  <si>
    <t xml:space="preserve">Debt Drawdown</t>
  </si>
  <si>
    <t xml:space="preserve">Debt Repayment</t>
  </si>
  <si>
    <t xml:space="preserve">CFF</t>
  </si>
  <si>
    <t xml:space="preserve">Cash Balance</t>
  </si>
  <si>
    <t xml:space="preserve">Net Cash Flow</t>
  </si>
  <si>
    <t xml:space="preserve">Opening Cash</t>
  </si>
  <si>
    <t xml:space="preserve">Closing Cash</t>
  </si>
  <si>
    <t xml:space="preserve">Balance Sheet</t>
  </si>
  <si>
    <t xml:space="preserve">Assets &amp; Liabilities</t>
  </si>
  <si>
    <t xml:space="preserve">Assets</t>
  </si>
  <si>
    <t xml:space="preserve">Cash</t>
  </si>
  <si>
    <t xml:space="preserve">PP&amp;E (Net)</t>
  </si>
  <si>
    <t xml:space="preserve">TOTAL ASSETS</t>
  </si>
  <si>
    <t xml:space="preserve">Liabilities</t>
  </si>
  <si>
    <t xml:space="preserve">Deferred Revenue</t>
  </si>
  <si>
    <t xml:space="preserve">Total Liabilities</t>
  </si>
  <si>
    <t xml:space="preserve">Equity</t>
  </si>
  <si>
    <t xml:space="preserve">Share Capital</t>
  </si>
  <si>
    <t xml:space="preserve">Retained Earnings</t>
  </si>
  <si>
    <t xml:space="preserve">Total Equity</t>
  </si>
  <si>
    <t xml:space="preserve">TOTAL L&amp;E</t>
  </si>
  <si>
    <t xml:space="preserve">Balance Check</t>
  </si>
  <si>
    <t xml:space="preserve">Returns &amp; Valuation</t>
  </si>
  <si>
    <t xml:space="preserve">DCF, IRR, Exit Multiple</t>
  </si>
  <si>
    <t xml:space="preserve">Year 0</t>
  </si>
  <si>
    <t xml:space="preserve">Unlevered FCF</t>
  </si>
  <si>
    <t xml:space="preserve">Tax on EBIT</t>
  </si>
  <si>
    <t xml:space="preserve">NOPAT</t>
  </si>
  <si>
    <t xml:space="preserve">Less: Capex</t>
  </si>
  <si>
    <t xml:space="preserve">DCF Valuation</t>
  </si>
  <si>
    <t xml:space="preserve">Discount Factor</t>
  </si>
  <si>
    <t xml:space="preserve">PV of FCF</t>
  </si>
  <si>
    <t xml:space="preserve">Sum PV of FCFs (Y1-Y10)</t>
  </si>
  <si>
    <t xml:space="preserve">Y10 EBITDA</t>
  </si>
  <si>
    <t xml:space="preserve">Y10 UFCF</t>
  </si>
  <si>
    <t xml:space="preserve">Terminal Value Methods</t>
  </si>
  <si>
    <t xml:space="preserve">Gordon Growth TV</t>
  </si>
  <si>
    <t xml:space="preserve">PV of Gordon TV</t>
  </si>
  <si>
    <t xml:space="preserve">Exit Multiple TV (Mult x Y10 EBITDA)</t>
  </si>
  <si>
    <t xml:space="preserve">PV of Exit Multiple TV</t>
  </si>
  <si>
    <t xml:space="preserve">EV - Gordon Growth</t>
  </si>
  <si>
    <t xml:space="preserve">EV - Exit Multiple</t>
  </si>
  <si>
    <t xml:space="preserve">EV - Average</t>
  </si>
  <si>
    <t xml:space="preserve">Unit Economics</t>
  </si>
  <si>
    <t xml:space="preserve">Revenue / Tonne</t>
  </si>
  <si>
    <t xml:space="preserve">Cost / Tonne</t>
  </si>
  <si>
    <t xml:space="preserve">Profit / Tonne</t>
  </si>
  <si>
    <t xml:space="preserve">Project Returns (Exit Multiple TV)</t>
  </si>
  <si>
    <t xml:space="preserve">IRR Cash Flow Stream</t>
  </si>
  <si>
    <t xml:space="preserve">Project IRR</t>
  </si>
  <si>
    <t xml:space="preserve">MOIC</t>
  </si>
  <si>
    <t xml:space="preserve">NPV (Equity)</t>
  </si>
  <si>
    <t xml:space="preserve">Validation Checks</t>
  </si>
  <si>
    <t xml:space="preserve">Model Integrity</t>
  </si>
  <si>
    <t xml:space="preserve">BS Balance</t>
  </si>
  <si>
    <t xml:space="preserve">Cash Flow</t>
  </si>
  <si>
    <t xml:space="preserve">Cash &gt;= 0</t>
  </si>
  <si>
    <t xml:space="preserve">Carbon Volumes</t>
  </si>
  <si>
    <t xml:space="preserve">Net Tonnes Reasonable</t>
  </si>
  <si>
    <t xml:space="preserve">Spot+Fwd = Tradable</t>
  </si>
  <si>
    <t xml:space="preserve">Debt</t>
  </si>
  <si>
    <t xml:space="preserve">Debt Declining</t>
  </si>
  <si>
    <t xml:space="preserve">DSCR &gt; 1.25x</t>
  </si>
  <si>
    <t xml:space="preserve">Profitability</t>
  </si>
  <si>
    <t xml:space="preserve">Revenue &gt; 0 (post lag)</t>
  </si>
  <si>
    <t xml:space="preserve">Deferred Rev &gt;= 0</t>
  </si>
</sst>
</file>

<file path=xl/styles.xml><?xml version="1.0" encoding="utf-8"?>
<styleSheet xmlns="http://schemas.openxmlformats.org/spreadsheetml/2006/main">
  <numFmts count="12">
    <numFmt numFmtId="164" formatCode="General"/>
    <numFmt numFmtId="165" formatCode="\$#,##0.00"/>
    <numFmt numFmtId="166" formatCode="0.0%"/>
    <numFmt numFmtId="167" formatCode="#,##0"/>
    <numFmt numFmtId="168" formatCode="#,##0.0"/>
    <numFmt numFmtId="169" formatCode="\$#,##0"/>
    <numFmt numFmtId="170" formatCode="0.00"/>
    <numFmt numFmtId="171" formatCode="0"/>
    <numFmt numFmtId="172" formatCode="0.00%"/>
    <numFmt numFmtId="173" formatCode="0.0000"/>
    <numFmt numFmtId="174" formatCode="0.00\x"/>
    <numFmt numFmtId="175" formatCode="@"/>
  </numFmts>
  <fonts count="30">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b val="true"/>
      <sz val="11"/>
      <color theme="3"/>
      <name val="Arial"/>
      <family val="0"/>
      <charset val="1"/>
    </font>
    <font>
      <i val="true"/>
      <sz val="11"/>
      <color rgb="FF808080"/>
      <name val="Arial"/>
      <family val="0"/>
      <charset val="1"/>
    </font>
    <font>
      <b val="true"/>
      <sz val="11"/>
      <color rgb="FF70AD47"/>
      <name val="Arial"/>
      <family val="0"/>
      <charset val="1"/>
    </font>
    <font>
      <b val="true"/>
      <sz val="11"/>
      <color rgb="FFED7D31"/>
      <name val="Arial"/>
      <family val="0"/>
      <charset val="1"/>
    </font>
    <font>
      <b val="true"/>
      <sz val="11"/>
      <color rgb="FFA5A5A5"/>
      <name val="Arial"/>
      <family val="0"/>
      <charset val="1"/>
    </font>
    <font>
      <b val="true"/>
      <sz val="11"/>
      <color rgb="FFFF000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rgb="FF000000"/>
      <name val="Arial"/>
      <family val="0"/>
      <charset val="1"/>
    </font>
    <font>
      <sz val="11"/>
      <color rgb="FF2F5496"/>
      <name val="Arial"/>
      <family val="0"/>
      <charset val="1"/>
    </font>
    <font>
      <sz val="11"/>
      <color rgb="FF80808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b val="true"/>
      <sz val="18"/>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E5E5E5"/>
      </patternFill>
    </fill>
    <fill>
      <patternFill patternType="solid">
        <fgColor rgb="FFE5E5E5"/>
        <bgColor rgb="FFD6E4F0"/>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3" borderId="0" xfId="0" applyFont="true" applyBorder="false" applyAlignment="true" applyProtection="false">
      <alignment horizontal="left" vertical="center"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left" vertical="top" textRotation="0" wrapText="true" indent="0" shrinkToFit="false"/>
      <protection locked="true" hidden="false"/>
    </xf>
    <xf numFmtId="164" fontId="18"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bottom" textRotation="0" wrapText="false" indent="0" shrinkToFit="false"/>
      <protection locked="true" hidden="false"/>
    </xf>
    <xf numFmtId="164" fontId="6" fillId="2" borderId="0" xfId="0" applyFont="true" applyBorder="false" applyAlignment="true" applyProtection="false">
      <alignment horizontal="righ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5" fontId="21" fillId="5" borderId="0" xfId="0" applyFont="true" applyBorder="false" applyAlignment="true" applyProtection="false">
      <alignment horizontal="right"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6" fontId="21" fillId="5" borderId="0" xfId="0" applyFont="true" applyBorder="false" applyAlignment="true" applyProtection="false">
      <alignment horizontal="right" vertical="bottom" textRotation="0" wrapText="false" indent="0" shrinkToFit="false"/>
      <protection locked="true" hidden="false"/>
    </xf>
    <xf numFmtId="167" fontId="21" fillId="5" borderId="0" xfId="0" applyFont="true" applyBorder="false" applyAlignment="true" applyProtection="false">
      <alignment horizontal="right" vertical="bottom" textRotation="0" wrapText="false" indent="0" shrinkToFit="false"/>
      <protection locked="true" hidden="false"/>
    </xf>
    <xf numFmtId="164" fontId="9" fillId="4" borderId="0" xfId="0" applyFont="true" applyBorder="false" applyAlignment="true" applyProtection="false">
      <alignment horizontal="left" vertical="bottom" textRotation="0" wrapText="false" indent="0" shrinkToFit="false"/>
      <protection locked="true" hidden="false"/>
    </xf>
    <xf numFmtId="164" fontId="9" fillId="4" borderId="0" xfId="0" applyFont="true" applyBorder="false" applyAlignment="true" applyProtection="false">
      <alignment horizontal="right" vertical="bottom" textRotation="0" wrapText="false" indent="0" shrinkToFit="false"/>
      <protection locked="true" hidden="false"/>
    </xf>
    <xf numFmtId="168" fontId="21" fillId="5"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1" shrinkToFit="false"/>
      <protection locked="true" hidden="false"/>
    </xf>
    <xf numFmtId="166" fontId="9" fillId="0" borderId="0" xfId="0" applyFont="true" applyBorder="false" applyAlignment="true" applyProtection="false">
      <alignment horizontal="righ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1" shrinkToFit="false"/>
      <protection locked="true" hidden="false"/>
    </xf>
    <xf numFmtId="168" fontId="9"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9" fontId="21" fillId="5" borderId="0" xfId="0" applyFont="true" applyBorder="false" applyAlignment="true" applyProtection="false">
      <alignment horizontal="right" vertical="bottom" textRotation="0" wrapText="false" indent="0" shrinkToFit="false"/>
      <protection locked="true" hidden="false"/>
    </xf>
    <xf numFmtId="170" fontId="21" fillId="5" borderId="0" xfId="0" applyFont="true" applyBorder="false" applyAlignment="true" applyProtection="false">
      <alignment horizontal="right" vertical="bottom"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24" fillId="6" borderId="0" xfId="0" applyFont="true" applyBorder="false" applyAlignment="true" applyProtection="false">
      <alignment horizontal="left" vertical="center" textRotation="0" wrapText="false" indent="1" shrinkToFit="false"/>
      <protection locked="true" hidden="false"/>
    </xf>
    <xf numFmtId="164" fontId="25" fillId="0"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xf numFmtId="164" fontId="16" fillId="0" borderId="0" xfId="0" applyFont="true" applyBorder="false" applyAlignment="true" applyProtection="false">
      <alignment horizontal="left" vertical="center" textRotation="0" wrapText="false" indent="1" shrinkToFit="false"/>
      <protection locked="true" hidden="false"/>
    </xf>
    <xf numFmtId="164" fontId="27" fillId="7" borderId="0" xfId="0" applyFont="true" applyBorder="false" applyAlignment="true" applyProtection="false">
      <alignment horizontal="left" vertical="top" textRotation="0" wrapText="true" indent="1" shrinkToFit="false"/>
      <protection locked="true" hidden="false"/>
    </xf>
    <xf numFmtId="164" fontId="28" fillId="0" borderId="0" xfId="0" applyFont="true" applyBorder="false" applyAlignment="true" applyProtection="false">
      <alignment horizontal="left" vertical="center" textRotation="0" wrapText="false" indent="1"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24" fillId="6" borderId="0" xfId="0" applyFont="true" applyBorder="false" applyAlignment="true" applyProtection="false">
      <alignment horizontal="left" vertical="bottom" textRotation="0" wrapText="false" indent="0" shrinkToFit="false"/>
      <protection locked="true" hidden="false"/>
    </xf>
    <xf numFmtId="171" fontId="24" fillId="6" borderId="0" xfId="0" applyFont="true" applyBorder="false" applyAlignment="true" applyProtection="false">
      <alignment horizontal="right" vertical="bottom" textRotation="0" wrapText="false" indent="0" shrinkToFit="false"/>
      <protection locked="true" hidden="false"/>
    </xf>
    <xf numFmtId="171" fontId="11" fillId="0" borderId="0" xfId="0" applyFont="true" applyBorder="false" applyAlignment="true" applyProtection="false">
      <alignment horizontal="right" vertical="bottom" textRotation="0" wrapText="false" indent="0" shrinkToFit="false"/>
      <protection locked="true" hidden="false"/>
    </xf>
    <xf numFmtId="167" fontId="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7" fontId="9" fillId="0" borderId="2" xfId="0" applyFont="true" applyBorder="true" applyAlignment="true" applyProtection="false">
      <alignment horizontal="right"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7" fontId="0" fillId="7" borderId="0" xfId="0" applyFont="true" applyBorder="false" applyAlignment="true" applyProtection="false">
      <alignment horizontal="right" vertical="bottom" textRotation="0" wrapText="false" indent="0" shrinkToFit="false"/>
      <protection locked="true" hidden="false"/>
    </xf>
    <xf numFmtId="169" fontId="0" fillId="0" borderId="0" xfId="0" applyFont="true" applyBorder="false" applyAlignment="true" applyProtection="false">
      <alignment horizontal="right" vertical="bottom" textRotation="0" wrapText="false" indent="0" shrinkToFit="false"/>
      <protection locked="true" hidden="false"/>
    </xf>
    <xf numFmtId="169" fontId="9" fillId="0" borderId="2" xfId="0" applyFont="true" applyBorder="true" applyAlignment="true" applyProtection="false">
      <alignment horizontal="right" vertical="bottom" textRotation="0" wrapText="false" indent="0" shrinkToFit="false"/>
      <protection locked="true" hidden="false"/>
    </xf>
    <xf numFmtId="164" fontId="11" fillId="0" borderId="0" xfId="0" applyFont="true" applyBorder="true" applyAlignment="true" applyProtection="false">
      <alignment horizontal="left" vertical="bottom" textRotation="0" wrapText="false" indent="0" shrinkToFit="false"/>
      <protection locked="true" hidden="false"/>
    </xf>
    <xf numFmtId="169" fontId="9" fillId="0" borderId="3" xfId="0" applyFont="true" applyBorder="true" applyAlignment="true" applyProtection="false">
      <alignment horizontal="right" vertical="bottom" textRotation="0" wrapText="false" indent="0" shrinkToFit="false"/>
      <protection locked="true" hidden="false"/>
    </xf>
    <xf numFmtId="172" fontId="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2" shrinkToFit="false"/>
      <protection locked="true" hidden="false"/>
    </xf>
    <xf numFmtId="164" fontId="24" fillId="6" borderId="0" xfId="0" applyFont="true" applyBorder="false" applyAlignment="true" applyProtection="false">
      <alignment horizontal="right" vertical="bottom" textRotation="0" wrapText="false" indent="0" shrinkToFit="false"/>
      <protection locked="true" hidden="false"/>
    </xf>
    <xf numFmtId="173" fontId="0" fillId="0" borderId="0" xfId="0" applyFont="true" applyBorder="false" applyAlignment="true" applyProtection="false">
      <alignment horizontal="right" vertical="bottom" textRotation="0" wrapText="false" indent="0" shrinkToFit="false"/>
      <protection locked="true" hidden="false"/>
    </xf>
    <xf numFmtId="169" fontId="9" fillId="0" borderId="0" xfId="0" applyFont="true" applyBorder="false" applyAlignment="true" applyProtection="false">
      <alignment horizontal="right" vertical="bottom" textRotation="0" wrapText="false" indent="0" shrinkToFit="false"/>
      <protection locked="true" hidden="false"/>
    </xf>
    <xf numFmtId="172" fontId="9" fillId="0" borderId="0" xfId="0" applyFont="true" applyBorder="false" applyAlignment="true" applyProtection="false">
      <alignment horizontal="right" vertical="bottom" textRotation="0" wrapText="false" indent="0" shrinkToFit="false"/>
      <protection locked="true" hidden="false"/>
    </xf>
    <xf numFmtId="174" fontId="9" fillId="0" borderId="0" xfId="0" applyFont="true" applyBorder="false" applyAlignment="true" applyProtection="false">
      <alignment horizontal="right" vertical="bottom" textRotation="0" wrapText="false" indent="0" shrinkToFit="false"/>
      <protection locked="true" hidden="false"/>
    </xf>
    <xf numFmtId="175" fontId="0"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E8F0FE"/>
      <rgbColor rgb="FF660066"/>
      <rgbColor rgb="FFFF8080"/>
      <rgbColor rgb="FF2F5496"/>
      <rgbColor rgb="FFD6E4F0"/>
      <rgbColor rgb="FF000080"/>
      <rgbColor rgb="FFFF00FF"/>
      <rgbColor rgb="FFFFFF00"/>
      <rgbColor rgb="FF00FFFF"/>
      <rgbColor rgb="FF800080"/>
      <rgbColor rgb="FF800000"/>
      <rgbColor rgb="FF008080"/>
      <rgbColor rgb="FF0000FF"/>
      <rgbColor rgb="FF00CCFF"/>
      <rgbColor rgb="FFCCFFFF"/>
      <rgbColor rgb="FFE5E5E5"/>
      <rgbColor rgb="FFFFFF99"/>
      <rgbColor rgb="FF99CCFF"/>
      <rgbColor rgb="FFFF99CC"/>
      <rgbColor rgb="FFCC99FF"/>
      <rgbColor rgb="FFFFCC99"/>
      <rgbColor rgb="FF2E75B6"/>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4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48"/>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6" t="s">
        <v>3</v>
      </c>
      <c r="C7" s="7" t="s">
        <v>4</v>
      </c>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6" t="s">
        <v>5</v>
      </c>
      <c r="C8" s="7" t="s">
        <v>6</v>
      </c>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6" t="s">
        <v>7</v>
      </c>
      <c r="C9" s="7" t="s">
        <v>8</v>
      </c>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6" t="s">
        <v>9</v>
      </c>
      <c r="C10" s="7" t="s">
        <v>10</v>
      </c>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6" t="s">
        <v>11</v>
      </c>
      <c r="C11" s="7" t="s">
        <v>12</v>
      </c>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6" t="s">
        <v>13</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8" t="s">
        <v>14</v>
      </c>
      <c r="C14" s="9" t="s">
        <v>15</v>
      </c>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8" t="s">
        <v>16</v>
      </c>
      <c r="C15" s="9" t="s">
        <v>17</v>
      </c>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10" t="s">
        <v>18</v>
      </c>
      <c r="C16" s="9" t="s">
        <v>19</v>
      </c>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10" t="s">
        <v>20</v>
      </c>
      <c r="C17" s="9" t="s">
        <v>21</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10" t="s">
        <v>22</v>
      </c>
      <c r="C18" s="9" t="s">
        <v>23</v>
      </c>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11" t="s">
        <v>24</v>
      </c>
      <c r="C19" s="9" t="s">
        <v>25</v>
      </c>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11" t="s">
        <v>26</v>
      </c>
      <c r="C20" s="9" t="s">
        <v>27</v>
      </c>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11" t="s">
        <v>28</v>
      </c>
      <c r="C21" s="9" t="s">
        <v>29</v>
      </c>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12" t="s">
        <v>30</v>
      </c>
      <c r="C22" s="9" t="s">
        <v>31</v>
      </c>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13" t="s">
        <v>32</v>
      </c>
      <c r="C23" s="9" t="s">
        <v>33</v>
      </c>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12" t="s">
        <v>34</v>
      </c>
      <c r="C24" s="9" t="s">
        <v>35</v>
      </c>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12" t="s">
        <v>36</v>
      </c>
      <c r="C25" s="9" t="s">
        <v>37</v>
      </c>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12" t="s">
        <v>38</v>
      </c>
      <c r="C26" s="9" t="s">
        <v>39</v>
      </c>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12" t="s">
        <v>40</v>
      </c>
      <c r="C27" s="9" t="s">
        <v>41</v>
      </c>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13" t="s">
        <v>42</v>
      </c>
      <c r="C28" s="9" t="s">
        <v>43</v>
      </c>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6" t="s">
        <v>44</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8" t="s">
        <v>45</v>
      </c>
      <c r="C31" s="7" t="s">
        <v>14</v>
      </c>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8" t="s">
        <v>46</v>
      </c>
      <c r="C32" s="7" t="s">
        <v>47</v>
      </c>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10" t="s">
        <v>48</v>
      </c>
      <c r="C33" s="7" t="s">
        <v>49</v>
      </c>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11" t="s">
        <v>50</v>
      </c>
      <c r="C34" s="7" t="s">
        <v>51</v>
      </c>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12" t="s">
        <v>52</v>
      </c>
      <c r="C35" s="7" t="s">
        <v>53</v>
      </c>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13" t="s">
        <v>54</v>
      </c>
      <c r="C36" s="7" t="s">
        <v>55</v>
      </c>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customFormat="false" ht="15" hidden="false" customHeight="false" outlineLevel="0" collapsed="false">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customFormat="false" ht="15" hidden="false" customHeight="false" outlineLevel="0" collapsed="false">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customFormat="false" ht="19.5" hidden="false" customHeight="true" outlineLevel="0" collapsed="false">
      <c r="A39" s="5"/>
      <c r="B39" s="14" t="s">
        <v>56</v>
      </c>
      <c r="C39" s="15"/>
      <c r="D39" s="15"/>
      <c r="E39" s="15"/>
      <c r="F39" s="15"/>
      <c r="G39" s="15"/>
      <c r="H39" s="5"/>
      <c r="I39" s="5"/>
      <c r="J39" s="5"/>
      <c r="K39" s="5"/>
      <c r="L39" s="5"/>
      <c r="M39" s="5"/>
      <c r="N39" s="5"/>
      <c r="O39" s="5"/>
      <c r="P39" s="5"/>
      <c r="Q39" s="5"/>
      <c r="R39" s="5"/>
      <c r="S39" s="5"/>
      <c r="T39" s="5"/>
      <c r="U39" s="5"/>
      <c r="V39" s="5"/>
      <c r="W39" s="5"/>
      <c r="X39" s="5"/>
      <c r="Y39" s="5"/>
      <c r="Z39" s="5"/>
      <c r="AA39" s="5"/>
      <c r="AB39" s="5"/>
      <c r="AC39" s="5"/>
      <c r="AD39" s="5"/>
    </row>
    <row r="40" customFormat="false" ht="220.5" hidden="false" customHeight="true" outlineLevel="0" collapsed="false">
      <c r="A40" s="5"/>
      <c r="B40" s="16" t="s">
        <v>57</v>
      </c>
      <c r="C40" s="16"/>
      <c r="D40" s="16"/>
      <c r="E40" s="16"/>
      <c r="F40" s="16"/>
      <c r="G40" s="16"/>
      <c r="H40" s="5"/>
      <c r="I40" s="5"/>
      <c r="J40" s="5"/>
      <c r="K40" s="5"/>
      <c r="L40" s="5"/>
      <c r="M40" s="5"/>
      <c r="N40" s="5"/>
      <c r="O40" s="5"/>
      <c r="P40" s="5"/>
      <c r="Q40" s="5"/>
      <c r="R40" s="5"/>
      <c r="S40" s="5"/>
      <c r="T40" s="5"/>
      <c r="U40" s="5"/>
      <c r="V40" s="5"/>
      <c r="W40" s="5"/>
      <c r="X40" s="5"/>
      <c r="Y40" s="5"/>
      <c r="Z40" s="5"/>
      <c r="AA40" s="5"/>
      <c r="AB40" s="5"/>
      <c r="AC40" s="5"/>
      <c r="AD40" s="5"/>
    </row>
    <row r="41" customFormat="false" ht="15" hidden="false" customHeight="false" outlineLevel="0" collapsed="false">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customFormat="false" ht="19.5" hidden="false" customHeight="true" outlineLevel="0" collapsed="false">
      <c r="A42" s="5"/>
      <c r="B42" s="14" t="s">
        <v>58</v>
      </c>
      <c r="C42" s="15"/>
      <c r="D42" s="15"/>
      <c r="E42" s="15"/>
      <c r="F42" s="15"/>
      <c r="G42" s="15"/>
      <c r="H42" s="5"/>
      <c r="I42" s="5"/>
      <c r="J42" s="5"/>
      <c r="K42" s="5"/>
      <c r="L42" s="5"/>
      <c r="M42" s="5"/>
      <c r="N42" s="5"/>
      <c r="O42" s="5"/>
      <c r="P42" s="5"/>
      <c r="Q42" s="5"/>
      <c r="R42" s="5"/>
      <c r="S42" s="5"/>
      <c r="T42" s="5"/>
      <c r="U42" s="5"/>
      <c r="V42" s="5"/>
      <c r="W42" s="5"/>
      <c r="X42" s="5"/>
      <c r="Y42" s="5"/>
      <c r="Z42" s="5"/>
      <c r="AA42" s="5"/>
      <c r="AB42" s="5"/>
      <c r="AC42" s="5"/>
      <c r="AD42" s="5"/>
    </row>
    <row r="43" customFormat="false" ht="57" hidden="false" customHeight="true" outlineLevel="0" collapsed="false">
      <c r="A43" s="5"/>
      <c r="B43" s="16" t="s">
        <v>59</v>
      </c>
      <c r="C43" s="16"/>
      <c r="D43" s="16"/>
      <c r="E43" s="16"/>
      <c r="F43" s="16"/>
      <c r="G43" s="16"/>
      <c r="H43" s="5"/>
      <c r="I43" s="5"/>
      <c r="J43" s="5"/>
      <c r="K43" s="5"/>
      <c r="L43" s="5"/>
      <c r="M43" s="5"/>
      <c r="N43" s="5"/>
      <c r="O43" s="5"/>
      <c r="P43" s="5"/>
      <c r="Q43" s="5"/>
      <c r="R43" s="5"/>
      <c r="S43" s="5"/>
      <c r="T43" s="5"/>
      <c r="U43" s="5"/>
      <c r="V43" s="5"/>
      <c r="W43" s="5"/>
      <c r="X43" s="5"/>
      <c r="Y43" s="5"/>
      <c r="Z43" s="5"/>
      <c r="AA43" s="5"/>
      <c r="AB43" s="5"/>
      <c r="AC43" s="5"/>
      <c r="AD43" s="5"/>
    </row>
    <row r="44" customFormat="false" ht="15" hidden="false" customHeight="false" outlineLevel="0" collapsed="false">
      <c r="A44" s="5"/>
      <c r="B44" s="17" t="s">
        <v>60</v>
      </c>
      <c r="C44" s="17"/>
      <c r="D44" s="17"/>
      <c r="E44" s="17"/>
      <c r="F44" s="17"/>
      <c r="G44" s="17"/>
      <c r="H44" s="5"/>
      <c r="I44" s="5"/>
      <c r="J44" s="5"/>
      <c r="K44" s="5"/>
      <c r="L44" s="5"/>
      <c r="M44" s="5"/>
      <c r="N44" s="5"/>
      <c r="O44" s="5"/>
      <c r="P44" s="5"/>
      <c r="Q44" s="5"/>
      <c r="R44" s="5"/>
      <c r="S44" s="5"/>
      <c r="T44" s="5"/>
      <c r="U44" s="5"/>
      <c r="V44" s="5"/>
      <c r="W44" s="5"/>
      <c r="X44" s="5"/>
      <c r="Y44" s="5"/>
      <c r="Z44" s="5"/>
      <c r="AA44" s="5"/>
      <c r="AB44" s="5"/>
      <c r="AC44" s="5"/>
      <c r="AD44" s="5"/>
    </row>
    <row r="45" customFormat="false" ht="15" hidden="false" customHeight="false" outlineLevel="0" collapsed="false">
      <c r="A45" s="5"/>
      <c r="B45" s="18" t="s">
        <v>61</v>
      </c>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sheetData>
  <mergeCells count="3">
    <mergeCell ref="B40:G40"/>
    <mergeCell ref="B43:G43"/>
    <mergeCell ref="B44:G44"/>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L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4"/>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48" t="s">
        <v>179</v>
      </c>
      <c r="C2" s="5"/>
      <c r="D2" s="5"/>
      <c r="E2" s="5"/>
      <c r="F2" s="5"/>
      <c r="G2" s="5"/>
      <c r="H2" s="5"/>
      <c r="I2" s="5"/>
      <c r="J2" s="5"/>
      <c r="K2" s="5"/>
      <c r="L2" s="5"/>
    </row>
    <row r="3" customFormat="false" ht="15" hidden="false" customHeight="false" outlineLevel="0" collapsed="false">
      <c r="A3" s="5"/>
      <c r="B3" s="9" t="s">
        <v>313</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49" t="s">
        <v>226</v>
      </c>
      <c r="C6" s="50" t="n">
        <v>2026</v>
      </c>
      <c r="D6" s="50" t="n">
        <v>2027</v>
      </c>
      <c r="E6" s="50" t="n">
        <v>2028</v>
      </c>
      <c r="F6" s="50" t="n">
        <v>2029</v>
      </c>
      <c r="G6" s="50" t="n">
        <v>2030</v>
      </c>
      <c r="H6" s="50" t="n">
        <v>2031</v>
      </c>
      <c r="I6" s="50" t="n">
        <v>2032</v>
      </c>
      <c r="J6" s="50" t="n">
        <v>2033</v>
      </c>
      <c r="K6" s="50" t="n">
        <v>2034</v>
      </c>
      <c r="L6" s="50" t="n">
        <v>2035</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21" t="s">
        <v>314</v>
      </c>
      <c r="C8" s="22"/>
      <c r="D8" s="22"/>
      <c r="E8" s="22"/>
      <c r="F8" s="22"/>
      <c r="G8" s="22"/>
      <c r="H8" s="22"/>
      <c r="I8" s="22"/>
      <c r="J8" s="22"/>
      <c r="K8" s="22"/>
      <c r="L8" s="22"/>
    </row>
    <row r="9" customFormat="false" ht="15" hidden="false" customHeight="false" outlineLevel="0" collapsed="false">
      <c r="A9" s="5"/>
      <c r="B9" s="53" t="s">
        <v>315</v>
      </c>
      <c r="C9" s="58" t="n">
        <f aca="false">Revenue!C26*DSO/365</f>
        <v>7890.41095890411</v>
      </c>
      <c r="D9" s="58" t="n">
        <f aca="false">Revenue!D26*DSO/365</f>
        <v>9073.97260273973</v>
      </c>
      <c r="E9" s="58" t="n">
        <f aca="false">Revenue!E26*DSO/365</f>
        <v>326466.960026301</v>
      </c>
      <c r="F9" s="58" t="n">
        <f aca="false">Revenue!F26*DSO/365</f>
        <v>410201.059003003</v>
      </c>
      <c r="G9" s="58" t="n">
        <f aca="false">Revenue!G26*DSO/365</f>
        <v>515530.839943362</v>
      </c>
      <c r="H9" s="58" t="n">
        <f aca="false">Revenue!H26*DSO/365</f>
        <v>648059.771673494</v>
      </c>
      <c r="I9" s="58" t="n">
        <f aca="false">Revenue!I26*DSO/365</f>
        <v>814808.061880503</v>
      </c>
      <c r="J9" s="58" t="n">
        <f aca="false">Revenue!J26*DSO/365</f>
        <v>1024641.8561002</v>
      </c>
      <c r="K9" s="58" t="n">
        <f aca="false">Revenue!K26*DSO/365</f>
        <v>1288749.74650503</v>
      </c>
      <c r="L9" s="58" t="n">
        <f aca="false">Revenue!L26*DSO/365</f>
        <v>1621178.41625987</v>
      </c>
    </row>
    <row r="10" customFormat="false" ht="15" hidden="false" customHeight="false" outlineLevel="0" collapsed="false">
      <c r="A10" s="5"/>
      <c r="B10" s="53" t="s">
        <v>316</v>
      </c>
      <c r="C10" s="58" t="n">
        <f aca="false">COGS!C18*DIO/365</f>
        <v>65753.4246575342</v>
      </c>
      <c r="D10" s="58" t="n">
        <f aca="false">COGS!D18*DIO/365</f>
        <v>32876.7123287671</v>
      </c>
      <c r="E10" s="58" t="n">
        <f aca="false">COGS!E18*DIO/365</f>
        <v>268171.927104</v>
      </c>
      <c r="F10" s="58" t="n">
        <f aca="false">COGS!F18*DIO/365</f>
        <v>316710.414748761</v>
      </c>
      <c r="G10" s="58" t="n">
        <f aca="false">COGS!G18*DIO/365</f>
        <v>414919.234445593</v>
      </c>
      <c r="H10" s="58" t="n">
        <f aca="false">COGS!H18*DIO/365</f>
        <v>501413.422597829</v>
      </c>
      <c r="I10" s="58" t="n">
        <f aca="false">COGS!I18*DIO/365</f>
        <v>647406.678413213</v>
      </c>
      <c r="J10" s="58" t="n">
        <f aca="false">COGS!J18*DIO/365</f>
        <v>794030.719655729</v>
      </c>
      <c r="K10" s="58" t="n">
        <f aca="false">COGS!K18*DIO/365</f>
        <v>1015750.34922575</v>
      </c>
      <c r="L10" s="58" t="n">
        <f aca="false">COGS!L18*DIO/365</f>
        <v>1257733.39473672</v>
      </c>
    </row>
    <row r="11" customFormat="false" ht="15" hidden="false" customHeight="false" outlineLevel="0" collapsed="false">
      <c r="A11" s="5"/>
      <c r="B11" s="54" t="s">
        <v>317</v>
      </c>
      <c r="C11" s="59" t="n">
        <f aca="false">C9+C10</f>
        <v>73643.8356164383</v>
      </c>
      <c r="D11" s="59" t="n">
        <f aca="false">D9+D10</f>
        <v>41950.6849315069</v>
      </c>
      <c r="E11" s="59" t="n">
        <f aca="false">E9+E10</f>
        <v>594638.887130301</v>
      </c>
      <c r="F11" s="59" t="n">
        <f aca="false">F9+F10</f>
        <v>726911.473751763</v>
      </c>
      <c r="G11" s="59" t="n">
        <f aca="false">G9+G10</f>
        <v>930450.074388955</v>
      </c>
      <c r="H11" s="59" t="n">
        <f aca="false">H9+H10</f>
        <v>1149473.19427132</v>
      </c>
      <c r="I11" s="59" t="n">
        <f aca="false">I9+I10</f>
        <v>1462214.74029372</v>
      </c>
      <c r="J11" s="59" t="n">
        <f aca="false">J9+J10</f>
        <v>1818672.57575593</v>
      </c>
      <c r="K11" s="59" t="n">
        <f aca="false">K9+K10</f>
        <v>2304500.09573078</v>
      </c>
      <c r="L11" s="59" t="n">
        <f aca="false">L9+L10</f>
        <v>2878911.81099659</v>
      </c>
    </row>
    <row r="12" customFormat="false" ht="15" hidden="false" customHeight="false" outlineLevel="0" collapsed="false">
      <c r="A12" s="5"/>
      <c r="B12" s="5"/>
      <c r="C12" s="5"/>
      <c r="D12" s="5"/>
      <c r="E12" s="5"/>
      <c r="F12" s="5"/>
      <c r="G12" s="5"/>
      <c r="H12" s="5"/>
      <c r="I12" s="5"/>
      <c r="J12" s="5"/>
      <c r="K12" s="5"/>
      <c r="L12" s="5"/>
    </row>
    <row r="13" customFormat="false" ht="15" hidden="false" customHeight="false" outlineLevel="0" collapsed="false">
      <c r="A13" s="5"/>
      <c r="B13" s="21" t="s">
        <v>318</v>
      </c>
      <c r="C13" s="22"/>
      <c r="D13" s="22"/>
      <c r="E13" s="22"/>
      <c r="F13" s="22"/>
      <c r="G13" s="22"/>
      <c r="H13" s="22"/>
      <c r="I13" s="22"/>
      <c r="J13" s="22"/>
      <c r="K13" s="22"/>
      <c r="L13" s="22"/>
    </row>
    <row r="14" customFormat="false" ht="15" hidden="false" customHeight="false" outlineLevel="0" collapsed="false">
      <c r="A14" s="5"/>
      <c r="B14" s="53" t="s">
        <v>319</v>
      </c>
      <c r="C14" s="58" t="n">
        <f aca="false">COGS!C18*DPO/365</f>
        <v>24657.5342465753</v>
      </c>
      <c r="D14" s="58" t="n">
        <f aca="false">COGS!D18*DPO/365</f>
        <v>12328.7671232877</v>
      </c>
      <c r="E14" s="58" t="n">
        <f aca="false">COGS!E18*DPO/365</f>
        <v>100564.472664</v>
      </c>
      <c r="F14" s="58" t="n">
        <f aca="false">COGS!F18*DPO/365</f>
        <v>118766.405530785</v>
      </c>
      <c r="G14" s="58" t="n">
        <f aca="false">COGS!G18*DPO/365</f>
        <v>155594.712917097</v>
      </c>
      <c r="H14" s="58" t="n">
        <f aca="false">COGS!H18*DPO/365</f>
        <v>188030.033474186</v>
      </c>
      <c r="I14" s="58" t="n">
        <f aca="false">COGS!I18*DPO/365</f>
        <v>242777.504404955</v>
      </c>
      <c r="J14" s="58" t="n">
        <f aca="false">COGS!J18*DPO/365</f>
        <v>297761.519870898</v>
      </c>
      <c r="K14" s="58" t="n">
        <f aca="false">COGS!K18*DPO/365</f>
        <v>380906.380959656</v>
      </c>
      <c r="L14" s="58" t="n">
        <f aca="false">COGS!L18*DPO/365</f>
        <v>471650.023026271</v>
      </c>
    </row>
    <row r="15" customFormat="false" ht="15" hidden="false" customHeight="false" outlineLevel="0" collapsed="false">
      <c r="A15" s="5"/>
      <c r="B15" s="54" t="s">
        <v>320</v>
      </c>
      <c r="C15" s="59" t="n">
        <f aca="false">C14</f>
        <v>24657.5342465753</v>
      </c>
      <c r="D15" s="59" t="n">
        <f aca="false">D14</f>
        <v>12328.7671232877</v>
      </c>
      <c r="E15" s="59" t="n">
        <f aca="false">E14</f>
        <v>100564.472664</v>
      </c>
      <c r="F15" s="59" t="n">
        <f aca="false">F14</f>
        <v>118766.405530785</v>
      </c>
      <c r="G15" s="59" t="n">
        <f aca="false">G14</f>
        <v>155594.712917097</v>
      </c>
      <c r="H15" s="59" t="n">
        <f aca="false">H14</f>
        <v>188030.033474186</v>
      </c>
      <c r="I15" s="59" t="n">
        <f aca="false">I14</f>
        <v>242777.504404955</v>
      </c>
      <c r="J15" s="59" t="n">
        <f aca="false">J14</f>
        <v>297761.519870898</v>
      </c>
      <c r="K15" s="59" t="n">
        <f aca="false">K14</f>
        <v>380906.380959656</v>
      </c>
      <c r="L15" s="59" t="n">
        <f aca="false">L14</f>
        <v>471650.023026271</v>
      </c>
    </row>
    <row r="16" customFormat="false" ht="15" hidden="false" customHeight="false" outlineLevel="0" collapsed="false">
      <c r="A16" s="5"/>
      <c r="B16" s="5"/>
      <c r="C16" s="5"/>
      <c r="D16" s="5"/>
      <c r="E16" s="5"/>
      <c r="F16" s="5"/>
      <c r="G16" s="5"/>
      <c r="H16" s="5"/>
      <c r="I16" s="5"/>
      <c r="J16" s="5"/>
      <c r="K16" s="5"/>
      <c r="L16" s="5"/>
    </row>
    <row r="17" customFormat="false" ht="15" hidden="false" customHeight="false" outlineLevel="0" collapsed="false">
      <c r="A17" s="5"/>
      <c r="B17" s="21" t="s">
        <v>321</v>
      </c>
      <c r="C17" s="22"/>
      <c r="D17" s="22"/>
      <c r="E17" s="22"/>
      <c r="F17" s="22"/>
      <c r="G17" s="22"/>
      <c r="H17" s="22"/>
      <c r="I17" s="22"/>
      <c r="J17" s="22"/>
      <c r="K17" s="22"/>
      <c r="L17" s="22"/>
    </row>
    <row r="18" customFormat="false" ht="15" hidden="false" customHeight="false" outlineLevel="0" collapsed="false">
      <c r="A18" s="5"/>
      <c r="B18" s="54" t="s">
        <v>321</v>
      </c>
      <c r="C18" s="59" t="n">
        <f aca="false">C11-C15</f>
        <v>48986.301369863</v>
      </c>
      <c r="D18" s="59" t="n">
        <f aca="false">D11-D15</f>
        <v>29621.9178082192</v>
      </c>
      <c r="E18" s="59" t="n">
        <f aca="false">E11-E15</f>
        <v>494074.414466301</v>
      </c>
      <c r="F18" s="59" t="n">
        <f aca="false">F11-F15</f>
        <v>608145.068220978</v>
      </c>
      <c r="G18" s="59" t="n">
        <f aca="false">G11-G15</f>
        <v>774855.361471858</v>
      </c>
      <c r="H18" s="59" t="n">
        <f aca="false">H11-H15</f>
        <v>961443.160797137</v>
      </c>
      <c r="I18" s="59" t="n">
        <f aca="false">I11-I15</f>
        <v>1219437.23588876</v>
      </c>
      <c r="J18" s="59" t="n">
        <f aca="false">J11-J15</f>
        <v>1520911.05588503</v>
      </c>
      <c r="K18" s="59" t="n">
        <f aca="false">K11-K15</f>
        <v>1923593.71477113</v>
      </c>
      <c r="L18" s="59" t="n">
        <f aca="false">L11-L15</f>
        <v>2407261.78797032</v>
      </c>
    </row>
    <row r="19" customFormat="false" ht="15" hidden="false" customHeight="false" outlineLevel="0" collapsed="false">
      <c r="A19" s="5"/>
      <c r="B19" s="23" t="s">
        <v>322</v>
      </c>
      <c r="C19" s="58" t="n">
        <f aca="false">-C18</f>
        <v>-48986.301369863</v>
      </c>
      <c r="D19" s="58" t="n">
        <f aca="false">-(D18-C18)</f>
        <v>19364.3835616438</v>
      </c>
      <c r="E19" s="58" t="n">
        <f aca="false">-(E18-D18)</f>
        <v>-464452.496658082</v>
      </c>
      <c r="F19" s="58" t="n">
        <f aca="false">-(F18-E18)</f>
        <v>-114070.653754677</v>
      </c>
      <c r="G19" s="58" t="n">
        <f aca="false">-(G18-F18)</f>
        <v>-166710.29325088</v>
      </c>
      <c r="H19" s="58" t="n">
        <f aca="false">-(H18-G18)</f>
        <v>-186587.799325279</v>
      </c>
      <c r="I19" s="58" t="n">
        <f aca="false">-(I18-H18)</f>
        <v>-257994.075091624</v>
      </c>
      <c r="J19" s="58" t="n">
        <f aca="false">-(J18-I18)</f>
        <v>-301473.819996273</v>
      </c>
      <c r="K19" s="58" t="n">
        <f aca="false">-(K18-J18)</f>
        <v>-402682.658886092</v>
      </c>
      <c r="L19" s="58" t="n">
        <f aca="false">-(L18-K18)</f>
        <v>-483668.073199198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L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4"/>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48" t="s">
        <v>323</v>
      </c>
      <c r="C2" s="5"/>
      <c r="D2" s="5"/>
      <c r="E2" s="5"/>
      <c r="F2" s="5"/>
      <c r="G2" s="5"/>
      <c r="H2" s="5"/>
      <c r="I2" s="5"/>
      <c r="J2" s="5"/>
      <c r="K2" s="5"/>
      <c r="L2" s="5"/>
    </row>
    <row r="3" customFormat="false" ht="15" hidden="false" customHeight="false" outlineLevel="0" collapsed="false">
      <c r="A3" s="5"/>
      <c r="B3" s="9" t="s">
        <v>324</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49" t="s">
        <v>226</v>
      </c>
      <c r="C6" s="50" t="n">
        <v>2026</v>
      </c>
      <c r="D6" s="50" t="n">
        <v>2027</v>
      </c>
      <c r="E6" s="50" t="n">
        <v>2028</v>
      </c>
      <c r="F6" s="50" t="n">
        <v>2029</v>
      </c>
      <c r="G6" s="50" t="n">
        <v>2030</v>
      </c>
      <c r="H6" s="50" t="n">
        <v>2031</v>
      </c>
      <c r="I6" s="50" t="n">
        <v>2032</v>
      </c>
      <c r="J6" s="50" t="n">
        <v>2033</v>
      </c>
      <c r="K6" s="50" t="n">
        <v>2034</v>
      </c>
      <c r="L6" s="50" t="n">
        <v>2035</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21" t="s">
        <v>324</v>
      </c>
      <c r="C8" s="22"/>
      <c r="D8" s="22"/>
      <c r="E8" s="22"/>
      <c r="F8" s="22"/>
      <c r="G8" s="22"/>
      <c r="H8" s="22"/>
      <c r="I8" s="22"/>
      <c r="J8" s="22"/>
      <c r="K8" s="22"/>
      <c r="L8" s="22"/>
    </row>
    <row r="9" customFormat="false" ht="15" hidden="false" customHeight="false" outlineLevel="0" collapsed="false">
      <c r="A9" s="5"/>
      <c r="B9" s="53" t="s">
        <v>325</v>
      </c>
      <c r="C9" s="58" t="n">
        <f aca="false">Debt_Amount</f>
        <v>5000000</v>
      </c>
      <c r="D9" s="58" t="n">
        <f aca="false">C12</f>
        <v>4285714</v>
      </c>
      <c r="E9" s="58" t="n">
        <f aca="false">D12</f>
        <v>3571428</v>
      </c>
      <c r="F9" s="58" t="n">
        <f aca="false">E12</f>
        <v>2857142</v>
      </c>
      <c r="G9" s="58" t="n">
        <f aca="false">F12</f>
        <v>2142856</v>
      </c>
      <c r="H9" s="58" t="n">
        <f aca="false">G12</f>
        <v>1428571</v>
      </c>
      <c r="I9" s="58" t="n">
        <f aca="false">H12</f>
        <v>714285</v>
      </c>
      <c r="J9" s="58" t="n">
        <f aca="false">I12</f>
        <v>0</v>
      </c>
      <c r="K9" s="58" t="n">
        <f aca="false">J12</f>
        <v>0</v>
      </c>
      <c r="L9" s="58" t="n">
        <f aca="false">K12</f>
        <v>0</v>
      </c>
    </row>
    <row r="10" customFormat="false" ht="15" hidden="false" customHeight="false" outlineLevel="0" collapsed="false">
      <c r="A10" s="5"/>
      <c r="B10" s="53" t="s">
        <v>326</v>
      </c>
      <c r="C10" s="58" t="n">
        <f aca="false">IF(Project_Pipeline!C7=1,Debt_Amount,0)</f>
        <v>5000000</v>
      </c>
      <c r="D10" s="58" t="n">
        <f aca="false">IF(Project_Pipeline!D7=1,Debt_Amount,0)</f>
        <v>0</v>
      </c>
      <c r="E10" s="58" t="n">
        <f aca="false">IF(Project_Pipeline!E7=1,Debt_Amount,0)</f>
        <v>0</v>
      </c>
      <c r="F10" s="58" t="n">
        <f aca="false">IF(Project_Pipeline!F7=1,Debt_Amount,0)</f>
        <v>0</v>
      </c>
      <c r="G10" s="58" t="n">
        <f aca="false">IF(Project_Pipeline!G7=1,Debt_Amount,0)</f>
        <v>0</v>
      </c>
      <c r="H10" s="58" t="n">
        <f aca="false">IF(Project_Pipeline!H7=1,Debt_Amount,0)</f>
        <v>0</v>
      </c>
      <c r="I10" s="58" t="n">
        <f aca="false">IF(Project_Pipeline!I7=1,Debt_Amount,0)</f>
        <v>0</v>
      </c>
      <c r="J10" s="58" t="n">
        <f aca="false">IF(Project_Pipeline!J7=1,Debt_Amount,0)</f>
        <v>0</v>
      </c>
      <c r="K10" s="58" t="n">
        <f aca="false">IF(Project_Pipeline!K7=1,Debt_Amount,0)</f>
        <v>0</v>
      </c>
      <c r="L10" s="58" t="n">
        <f aca="false">IF(Project_Pipeline!L7=1,Debt_Amount,0)</f>
        <v>0</v>
      </c>
    </row>
    <row r="11" customFormat="false" ht="15" hidden="false" customHeight="false" outlineLevel="0" collapsed="false">
      <c r="A11" s="5"/>
      <c r="B11" s="53" t="s">
        <v>327</v>
      </c>
      <c r="C11" s="58" t="n">
        <f aca="false">IF(C9&gt;0,ROUND(C9/MAX(1,Debt_Tenor-Project_Pipeline!C7+1),0),0)</f>
        <v>714286</v>
      </c>
      <c r="D11" s="58" t="n">
        <f aca="false">IF(D9&gt;0,ROUND(D9/MAX(1,Debt_Tenor-Project_Pipeline!D7+1),0),0)</f>
        <v>714286</v>
      </c>
      <c r="E11" s="58" t="n">
        <f aca="false">IF(E9&gt;0,ROUND(E9/MAX(1,Debt_Tenor-Project_Pipeline!E7+1),0),0)</f>
        <v>714286</v>
      </c>
      <c r="F11" s="58" t="n">
        <f aca="false">IF(F9&gt;0,ROUND(F9/MAX(1,Debt_Tenor-Project_Pipeline!F7+1),0),0)</f>
        <v>714286</v>
      </c>
      <c r="G11" s="58" t="n">
        <f aca="false">IF(G9&gt;0,ROUND(G9/MAX(1,Debt_Tenor-Project_Pipeline!G7+1),0),0)</f>
        <v>714285</v>
      </c>
      <c r="H11" s="58" t="n">
        <f aca="false">IF(H9&gt;0,ROUND(H9/MAX(1,Debt_Tenor-Project_Pipeline!H7+1),0),0)</f>
        <v>714286</v>
      </c>
      <c r="I11" s="58" t="n">
        <f aca="false">IF(I9&gt;0,ROUND(I9/MAX(1,Debt_Tenor-Project_Pipeline!I7+1),0),0)</f>
        <v>714285</v>
      </c>
      <c r="J11" s="58" t="n">
        <f aca="false">IF(J9&gt;0,ROUND(J9/MAX(1,Debt_Tenor-Project_Pipeline!J7+1),0),0)</f>
        <v>0</v>
      </c>
      <c r="K11" s="58" t="n">
        <f aca="false">IF(K9&gt;0,ROUND(K9/MAX(1,Debt_Tenor-Project_Pipeline!K7+1),0),0)</f>
        <v>0</v>
      </c>
      <c r="L11" s="58" t="n">
        <f aca="false">IF(L9&gt;0,ROUND(L9/MAX(1,Debt_Tenor-Project_Pipeline!L7+1),0),0)</f>
        <v>0</v>
      </c>
    </row>
    <row r="12" customFormat="false" ht="15" hidden="false" customHeight="false" outlineLevel="0" collapsed="false">
      <c r="A12" s="5"/>
      <c r="B12" s="54" t="s">
        <v>328</v>
      </c>
      <c r="C12" s="59" t="n">
        <f aca="false">C9-C11</f>
        <v>4285714</v>
      </c>
      <c r="D12" s="59" t="n">
        <f aca="false">D9-D11</f>
        <v>3571428</v>
      </c>
      <c r="E12" s="59" t="n">
        <f aca="false">E9-E11</f>
        <v>2857142</v>
      </c>
      <c r="F12" s="59" t="n">
        <f aca="false">F9-F11</f>
        <v>2142856</v>
      </c>
      <c r="G12" s="59" t="n">
        <f aca="false">G9-G11</f>
        <v>1428571</v>
      </c>
      <c r="H12" s="59" t="n">
        <f aca="false">H9-H11</f>
        <v>714285</v>
      </c>
      <c r="I12" s="59" t="n">
        <f aca="false">I9-I11</f>
        <v>0</v>
      </c>
      <c r="J12" s="59" t="n">
        <f aca="false">J9-J11</f>
        <v>0</v>
      </c>
      <c r="K12" s="59" t="n">
        <f aca="false">K9-K11</f>
        <v>0</v>
      </c>
      <c r="L12" s="59" t="n">
        <f aca="false">L9-L11</f>
        <v>0</v>
      </c>
    </row>
    <row r="13" customFormat="false" ht="15" hidden="false" customHeight="false" outlineLevel="0" collapsed="false">
      <c r="A13" s="5"/>
      <c r="B13" s="5"/>
      <c r="C13" s="5"/>
      <c r="D13" s="5"/>
      <c r="E13" s="5"/>
      <c r="F13" s="5"/>
      <c r="G13" s="5"/>
      <c r="H13" s="5"/>
      <c r="I13" s="5"/>
      <c r="J13" s="5"/>
      <c r="K13" s="5"/>
      <c r="L13" s="5"/>
    </row>
    <row r="14" customFormat="false" ht="15" hidden="false" customHeight="false" outlineLevel="0" collapsed="false">
      <c r="A14" s="5"/>
      <c r="B14" s="21" t="s">
        <v>329</v>
      </c>
      <c r="C14" s="22"/>
      <c r="D14" s="22"/>
      <c r="E14" s="22"/>
      <c r="F14" s="22"/>
      <c r="G14" s="22"/>
      <c r="H14" s="22"/>
      <c r="I14" s="22"/>
      <c r="J14" s="22"/>
      <c r="K14" s="22"/>
      <c r="L14" s="22"/>
    </row>
    <row r="15" customFormat="false" ht="15" hidden="false" customHeight="false" outlineLevel="0" collapsed="false">
      <c r="A15" s="5"/>
      <c r="B15" s="53" t="s">
        <v>330</v>
      </c>
      <c r="C15" s="58" t="n">
        <f aca="false">C9*Debt_Rate</f>
        <v>500000</v>
      </c>
      <c r="D15" s="58" t="n">
        <f aca="false">D9*Debt_Rate</f>
        <v>428571.4</v>
      </c>
      <c r="E15" s="58" t="n">
        <f aca="false">E9*Debt_Rate</f>
        <v>357142.8</v>
      </c>
      <c r="F15" s="58" t="n">
        <f aca="false">F9*Debt_Rate</f>
        <v>285714.2</v>
      </c>
      <c r="G15" s="58" t="n">
        <f aca="false">G9*Debt_Rate</f>
        <v>214285.6</v>
      </c>
      <c r="H15" s="58" t="n">
        <f aca="false">H9*Debt_Rate</f>
        <v>142857.1</v>
      </c>
      <c r="I15" s="58" t="n">
        <f aca="false">I9*Debt_Rate</f>
        <v>71428.5</v>
      </c>
      <c r="J15" s="58" t="n">
        <f aca="false">J9*Debt_Rate</f>
        <v>0</v>
      </c>
      <c r="K15" s="58" t="n">
        <f aca="false">K9*Debt_Rate</f>
        <v>0</v>
      </c>
      <c r="L15" s="58" t="n">
        <f aca="false">L9*Debt_Rate</f>
        <v>0</v>
      </c>
    </row>
    <row r="16" customFormat="false" ht="15" hidden="false" customHeight="false" outlineLevel="0" collapsed="false">
      <c r="A16" s="5"/>
      <c r="B16" s="54" t="s">
        <v>331</v>
      </c>
      <c r="C16" s="59" t="n">
        <f aca="false">C11+C15</f>
        <v>1214286</v>
      </c>
      <c r="D16" s="59" t="n">
        <f aca="false">D11+D15</f>
        <v>1142857.4</v>
      </c>
      <c r="E16" s="59" t="n">
        <f aca="false">E11+E15</f>
        <v>1071428.8</v>
      </c>
      <c r="F16" s="59" t="n">
        <f aca="false">F11+F15</f>
        <v>1000000.2</v>
      </c>
      <c r="G16" s="59" t="n">
        <f aca="false">G11+G15</f>
        <v>928570.6</v>
      </c>
      <c r="H16" s="59" t="n">
        <f aca="false">H11+H15</f>
        <v>857143.1</v>
      </c>
      <c r="I16" s="59" t="n">
        <f aca="false">I11+I15</f>
        <v>785713.5</v>
      </c>
      <c r="J16" s="59" t="n">
        <f aca="false">J11+J15</f>
        <v>0</v>
      </c>
      <c r="K16" s="59" t="n">
        <f aca="false">K11+K15</f>
        <v>0</v>
      </c>
      <c r="L16" s="59" t="n">
        <f aca="false">L11+L15</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L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4"/>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48" t="s">
        <v>332</v>
      </c>
      <c r="C2" s="5"/>
      <c r="D2" s="5"/>
      <c r="E2" s="5"/>
      <c r="F2" s="5"/>
      <c r="G2" s="5"/>
      <c r="H2" s="5"/>
      <c r="I2" s="5"/>
      <c r="J2" s="5"/>
      <c r="K2" s="5"/>
      <c r="L2" s="5"/>
    </row>
    <row r="3" customFormat="false" ht="15" hidden="false" customHeight="false" outlineLevel="0" collapsed="false">
      <c r="A3" s="5"/>
      <c r="B3" s="9" t="s">
        <v>333</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49" t="s">
        <v>226</v>
      </c>
      <c r="C6" s="50" t="n">
        <v>2026</v>
      </c>
      <c r="D6" s="50" t="n">
        <v>2027</v>
      </c>
      <c r="E6" s="50" t="n">
        <v>2028</v>
      </c>
      <c r="F6" s="50" t="n">
        <v>2029</v>
      </c>
      <c r="G6" s="50" t="n">
        <v>2030</v>
      </c>
      <c r="H6" s="50" t="n">
        <v>2031</v>
      </c>
      <c r="I6" s="50" t="n">
        <v>2032</v>
      </c>
      <c r="J6" s="50" t="n">
        <v>2033</v>
      </c>
      <c r="K6" s="50" t="n">
        <v>2034</v>
      </c>
      <c r="L6" s="50" t="n">
        <v>2035</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21" t="s">
        <v>22</v>
      </c>
      <c r="C8" s="22"/>
      <c r="D8" s="22"/>
      <c r="E8" s="22"/>
      <c r="F8" s="22"/>
      <c r="G8" s="22"/>
      <c r="H8" s="22"/>
      <c r="I8" s="22"/>
      <c r="J8" s="22"/>
      <c r="K8" s="22"/>
      <c r="L8" s="22"/>
    </row>
    <row r="9" customFormat="false" ht="15" hidden="false" customHeight="false" outlineLevel="0" collapsed="false">
      <c r="A9" s="5"/>
      <c r="B9" s="23" t="s">
        <v>334</v>
      </c>
      <c r="C9" s="58" t="n">
        <f aca="false">Revenue!C26</f>
        <v>72000</v>
      </c>
      <c r="D9" s="58" t="n">
        <f aca="false">Revenue!D26</f>
        <v>82800</v>
      </c>
      <c r="E9" s="58" t="n">
        <f aca="false">Revenue!E26</f>
        <v>2979011.01024</v>
      </c>
      <c r="F9" s="58" t="n">
        <f aca="false">Revenue!F26</f>
        <v>3743084.6634024</v>
      </c>
      <c r="G9" s="58" t="n">
        <f aca="false">Revenue!G26</f>
        <v>4704218.91448318</v>
      </c>
      <c r="H9" s="58" t="n">
        <f aca="false">Revenue!H26</f>
        <v>5913545.41652063</v>
      </c>
      <c r="I9" s="58" t="n">
        <f aca="false">Revenue!I26</f>
        <v>7435123.56465959</v>
      </c>
      <c r="J9" s="58" t="n">
        <f aca="false">Revenue!J26</f>
        <v>9349856.93691436</v>
      </c>
      <c r="K9" s="58" t="n">
        <f aca="false">Revenue!K26</f>
        <v>11759841.4368584</v>
      </c>
      <c r="L9" s="58" t="n">
        <f aca="false">Revenue!L26</f>
        <v>14793253.0483713</v>
      </c>
    </row>
    <row r="10" customFormat="false" ht="15" hidden="false" customHeight="false" outlineLevel="0" collapsed="false">
      <c r="A10" s="5"/>
      <c r="B10" s="53" t="s">
        <v>127</v>
      </c>
      <c r="C10" s="58" t="n">
        <f aca="false">-COGS!C18</f>
        <v>-200000</v>
      </c>
      <c r="D10" s="58" t="n">
        <f aca="false">-COGS!D18</f>
        <v>-100000</v>
      </c>
      <c r="E10" s="58" t="n">
        <f aca="false">-COGS!E18</f>
        <v>-815689.611608</v>
      </c>
      <c r="F10" s="58" t="n">
        <f aca="false">-COGS!F18</f>
        <v>-963327.51152748</v>
      </c>
      <c r="G10" s="58" t="n">
        <f aca="false">-COGS!G18</f>
        <v>-1262046.00477201</v>
      </c>
      <c r="H10" s="58" t="n">
        <f aca="false">-COGS!H18</f>
        <v>-1525132.49373506</v>
      </c>
      <c r="I10" s="58" t="n">
        <f aca="false">-COGS!I18</f>
        <v>-1969195.31350686</v>
      </c>
      <c r="J10" s="58" t="n">
        <f aca="false">-COGS!J18</f>
        <v>-2415176.77228618</v>
      </c>
      <c r="K10" s="58" t="n">
        <f aca="false">-COGS!K18</f>
        <v>-3089573.97889498</v>
      </c>
      <c r="L10" s="58" t="n">
        <f aca="false">-COGS!L18</f>
        <v>-3825605.7423242</v>
      </c>
    </row>
    <row r="11" customFormat="false" ht="15" hidden="false" customHeight="false" outlineLevel="0" collapsed="false">
      <c r="A11" s="5"/>
      <c r="B11" s="54" t="s">
        <v>335</v>
      </c>
      <c r="C11" s="59" t="n">
        <f aca="false">C9+C10</f>
        <v>-128000</v>
      </c>
      <c r="D11" s="59" t="n">
        <f aca="false">D9+D10</f>
        <v>-17200</v>
      </c>
      <c r="E11" s="59" t="n">
        <f aca="false">E9+E10</f>
        <v>2163321.398632</v>
      </c>
      <c r="F11" s="59" t="n">
        <f aca="false">F9+F10</f>
        <v>2779757.15187492</v>
      </c>
      <c r="G11" s="59" t="n">
        <f aca="false">G9+G10</f>
        <v>3442172.90971117</v>
      </c>
      <c r="H11" s="59" t="n">
        <f aca="false">H9+H10</f>
        <v>4388412.92278557</v>
      </c>
      <c r="I11" s="59" t="n">
        <f aca="false">I9+I10</f>
        <v>5465928.25115273</v>
      </c>
      <c r="J11" s="59" t="n">
        <f aca="false">J9+J10</f>
        <v>6934680.16462818</v>
      </c>
      <c r="K11" s="59" t="n">
        <f aca="false">K9+K10</f>
        <v>8670267.45796344</v>
      </c>
      <c r="L11" s="59" t="n">
        <f aca="false">L9+L10</f>
        <v>10967647.3060471</v>
      </c>
    </row>
    <row r="12" customFormat="false" ht="15" hidden="false" customHeight="false" outlineLevel="0" collapsed="false">
      <c r="A12" s="5"/>
      <c r="B12" s="53" t="s">
        <v>288</v>
      </c>
      <c r="C12" s="62" t="n">
        <f aca="false">IFERROR(C11/C9,0)</f>
        <v>-1.77777777777778</v>
      </c>
      <c r="D12" s="62" t="n">
        <f aca="false">IFERROR(D11/D9,0)</f>
        <v>-0.207729468599034</v>
      </c>
      <c r="E12" s="62" t="n">
        <f aca="false">IFERROR(E11/E9,0)</f>
        <v>0.726187782185375</v>
      </c>
      <c r="F12" s="62" t="n">
        <f aca="false">IFERROR(F11/F9,0)</f>
        <v>0.742638065084044</v>
      </c>
      <c r="G12" s="62" t="n">
        <f aca="false">IFERROR(G11/G9,0)</f>
        <v>0.731720392329858</v>
      </c>
      <c r="H12" s="62" t="n">
        <f aca="false">IFERROR(H11/H9,0)</f>
        <v>0.742095073883374</v>
      </c>
      <c r="I12" s="62" t="n">
        <f aca="false">IFERROR(I11/I9,0)</f>
        <v>0.735149618377995</v>
      </c>
      <c r="J12" s="62" t="n">
        <f aca="false">IFERROR(J11/J9,0)</f>
        <v>0.741688371428362</v>
      </c>
      <c r="K12" s="62" t="n">
        <f aca="false">IFERROR(K11/K9,0)</f>
        <v>0.737277581888864</v>
      </c>
      <c r="L12" s="62" t="n">
        <f aca="false">IFERROR(L11/L9,0)</f>
        <v>0.741395234042496</v>
      </c>
    </row>
    <row r="13" customFormat="false" ht="15" hidden="false" customHeight="false" outlineLevel="0" collapsed="false">
      <c r="A13" s="5"/>
      <c r="B13" s="5"/>
      <c r="C13" s="5"/>
      <c r="D13" s="5"/>
      <c r="E13" s="5"/>
      <c r="F13" s="5"/>
      <c r="G13" s="5"/>
      <c r="H13" s="5"/>
      <c r="I13" s="5"/>
      <c r="J13" s="5"/>
      <c r="K13" s="5"/>
      <c r="L13" s="5"/>
    </row>
    <row r="14" customFormat="false" ht="15" hidden="false" customHeight="false" outlineLevel="0" collapsed="false">
      <c r="A14" s="5"/>
      <c r="B14" s="21" t="s">
        <v>144</v>
      </c>
      <c r="C14" s="22"/>
      <c r="D14" s="22"/>
      <c r="E14" s="22"/>
      <c r="F14" s="22"/>
      <c r="G14" s="22"/>
      <c r="H14" s="22"/>
      <c r="I14" s="22"/>
      <c r="J14" s="22"/>
      <c r="K14" s="22"/>
      <c r="L14" s="22"/>
    </row>
    <row r="15" customFormat="false" ht="15" hidden="false" customHeight="false" outlineLevel="0" collapsed="false">
      <c r="A15" s="5"/>
      <c r="B15" s="53" t="s">
        <v>336</v>
      </c>
      <c r="C15" s="58" t="n">
        <f aca="false">-OpEx!C21</f>
        <v>-1498600</v>
      </c>
      <c r="D15" s="58" t="n">
        <f aca="false">-OpEx!D21</f>
        <v>-1632915</v>
      </c>
      <c r="E15" s="58" t="n">
        <f aca="false">-OpEx!E21</f>
        <v>-1828073.175512</v>
      </c>
      <c r="F15" s="58" t="n">
        <f aca="false">-OpEx!F21</f>
        <v>-2011132.56629512</v>
      </c>
      <c r="G15" s="58" t="n">
        <f aca="false">-OpEx!G21</f>
        <v>-2211299.80542728</v>
      </c>
      <c r="H15" s="58" t="n">
        <f aca="false">-OpEx!H21</f>
        <v>-2431439.91543849</v>
      </c>
      <c r="I15" s="58" t="n">
        <f aca="false">-OpEx!I21</f>
        <v>-2675076.45373032</v>
      </c>
      <c r="J15" s="58" t="n">
        <f aca="false">-OpEx!J21</f>
        <v>-2946587.79428638</v>
      </c>
      <c r="K15" s="58" t="n">
        <f aca="false">-OpEx!K21</f>
        <v>-3251425.01154301</v>
      </c>
      <c r="L15" s="58" t="n">
        <f aca="false">-OpEx!L21</f>
        <v>-3596356.76255805</v>
      </c>
    </row>
    <row r="16" customFormat="false" ht="15" hidden="false" customHeight="false" outlineLevel="0" collapsed="false">
      <c r="A16" s="5"/>
      <c r="B16" s="5"/>
      <c r="C16" s="5"/>
      <c r="D16" s="5"/>
      <c r="E16" s="5"/>
      <c r="F16" s="5"/>
      <c r="G16" s="5"/>
      <c r="H16" s="5"/>
      <c r="I16" s="5"/>
      <c r="J16" s="5"/>
      <c r="K16" s="5"/>
      <c r="L16" s="5"/>
    </row>
    <row r="17" customFormat="false" ht="15" hidden="false" customHeight="false" outlineLevel="0" collapsed="false">
      <c r="A17" s="5"/>
      <c r="B17" s="54" t="s">
        <v>337</v>
      </c>
      <c r="C17" s="59" t="n">
        <f aca="false">C11+C15</f>
        <v>-1626600</v>
      </c>
      <c r="D17" s="59" t="n">
        <f aca="false">D11+D15</f>
        <v>-1650115</v>
      </c>
      <c r="E17" s="59" t="n">
        <f aca="false">E11+E15</f>
        <v>335248.22312</v>
      </c>
      <c r="F17" s="59" t="n">
        <f aca="false">F11+F15</f>
        <v>768624.5855798</v>
      </c>
      <c r="G17" s="59" t="n">
        <f aca="false">G11+G15</f>
        <v>1230873.10428389</v>
      </c>
      <c r="H17" s="59" t="n">
        <f aca="false">H11+H15</f>
        <v>1956973.00734708</v>
      </c>
      <c r="I17" s="59" t="n">
        <f aca="false">I11+I15</f>
        <v>2790851.79742241</v>
      </c>
      <c r="J17" s="59" t="n">
        <f aca="false">J11+J15</f>
        <v>3988092.3703418</v>
      </c>
      <c r="K17" s="59" t="n">
        <f aca="false">K11+K15</f>
        <v>5418842.44642044</v>
      </c>
      <c r="L17" s="59" t="n">
        <f aca="false">L11+L15</f>
        <v>7371290.54348908</v>
      </c>
    </row>
    <row r="18" customFormat="false" ht="15" hidden="false" customHeight="false" outlineLevel="0" collapsed="false">
      <c r="A18" s="5"/>
      <c r="B18" s="53" t="s">
        <v>338</v>
      </c>
      <c r="C18" s="62" t="n">
        <f aca="false">IFERROR(C17/C9,0)</f>
        <v>-22.5916666666667</v>
      </c>
      <c r="D18" s="62" t="n">
        <f aca="false">IFERROR(D17/D9,0)</f>
        <v>-19.928925120773</v>
      </c>
      <c r="E18" s="62" t="n">
        <f aca="false">IFERROR(E17/E9,0)</f>
        <v>0.112536751951444</v>
      </c>
      <c r="F18" s="62" t="n">
        <f aca="false">IFERROR(F17/F9,0)</f>
        <v>0.205345231192589</v>
      </c>
      <c r="G18" s="62" t="n">
        <f aca="false">IFERROR(G17/G9,0)</f>
        <v>0.261653023947146</v>
      </c>
      <c r="H18" s="62" t="n">
        <f aca="false">IFERROR(H17/H9,0)</f>
        <v>0.330930578782722</v>
      </c>
      <c r="I18" s="62" t="n">
        <f aca="false">IFERROR(I17/I9,0)</f>
        <v>0.375360513265416</v>
      </c>
      <c r="J18" s="62" t="n">
        <f aca="false">IFERROR(J17/J9,0)</f>
        <v>0.426540469790114</v>
      </c>
      <c r="K18" s="62" t="n">
        <f aca="false">IFERROR(K17/K9,0)</f>
        <v>0.460792135294985</v>
      </c>
      <c r="L18" s="62" t="n">
        <f aca="false">IFERROR(L17/L9,0)</f>
        <v>0.498287328648152</v>
      </c>
    </row>
    <row r="19" customFormat="false" ht="15" hidden="false" customHeight="false" outlineLevel="0" collapsed="false">
      <c r="A19" s="5"/>
      <c r="B19" s="5"/>
      <c r="C19" s="5"/>
      <c r="D19" s="5"/>
      <c r="E19" s="5"/>
      <c r="F19" s="5"/>
      <c r="G19" s="5"/>
      <c r="H19" s="5"/>
      <c r="I19" s="5"/>
      <c r="J19" s="5"/>
      <c r="K19" s="5"/>
      <c r="L19" s="5"/>
    </row>
    <row r="20" customFormat="false" ht="15" hidden="false" customHeight="false" outlineLevel="0" collapsed="false">
      <c r="A20" s="5"/>
      <c r="B20" s="53" t="s">
        <v>339</v>
      </c>
      <c r="C20" s="58" t="n">
        <f aca="false">-Capex_Depreciation!C19</f>
        <v>-976000</v>
      </c>
      <c r="D20" s="58" t="n">
        <f aca="false">-Capex_Depreciation!D19</f>
        <v>-1168000</v>
      </c>
      <c r="E20" s="58" t="n">
        <f aca="false">-Capex_Depreciation!E19</f>
        <v>-1398400</v>
      </c>
      <c r="F20" s="58" t="n">
        <f aca="false">-Capex_Depreciation!F19</f>
        <v>-1674880</v>
      </c>
      <c r="G20" s="58" t="n">
        <f aca="false">-Capex_Depreciation!G19</f>
        <v>-2006640</v>
      </c>
      <c r="H20" s="58" t="n">
        <f aca="false">-Capex_Depreciation!H19</f>
        <v>-1916800</v>
      </c>
      <c r="I20" s="58" t="n">
        <f aca="false">-Capex_Depreciation!I19</f>
        <v>-2298560</v>
      </c>
      <c r="J20" s="58" t="n">
        <f aca="false">-Capex_Depreciation!J19</f>
        <v>-2756640</v>
      </c>
      <c r="K20" s="58" t="n">
        <f aca="false">-Capex_Depreciation!K19</f>
        <v>-3306400</v>
      </c>
      <c r="L20" s="58" t="n">
        <f aca="false">-Capex_Depreciation!L19</f>
        <v>-3966120</v>
      </c>
    </row>
    <row r="21" customFormat="false" ht="15" hidden="false" customHeight="false" outlineLevel="0" collapsed="false">
      <c r="A21" s="5"/>
      <c r="B21" s="54" t="s">
        <v>340</v>
      </c>
      <c r="C21" s="59" t="n">
        <f aca="false">C17+C20</f>
        <v>-2602600</v>
      </c>
      <c r="D21" s="59" t="n">
        <f aca="false">D17+D20</f>
        <v>-2818115</v>
      </c>
      <c r="E21" s="59" t="n">
        <f aca="false">E17+E20</f>
        <v>-1063151.77688</v>
      </c>
      <c r="F21" s="59" t="n">
        <f aca="false">F17+F20</f>
        <v>-906255.414420199</v>
      </c>
      <c r="G21" s="59" t="n">
        <f aca="false">G17+G20</f>
        <v>-775766.895716115</v>
      </c>
      <c r="H21" s="59" t="n">
        <f aca="false">H17+H20</f>
        <v>40173.0073470825</v>
      </c>
      <c r="I21" s="59" t="n">
        <f aca="false">I17+I20</f>
        <v>492291.797422409</v>
      </c>
      <c r="J21" s="59" t="n">
        <f aca="false">J17+J20</f>
        <v>1231452.3703418</v>
      </c>
      <c r="K21" s="59" t="n">
        <f aca="false">K17+K20</f>
        <v>2112442.44642044</v>
      </c>
      <c r="L21" s="59" t="n">
        <f aca="false">L17+L20</f>
        <v>3405170.54348908</v>
      </c>
    </row>
    <row r="22" customFormat="false" ht="15" hidden="false" customHeight="false" outlineLevel="0" collapsed="false">
      <c r="A22" s="5"/>
      <c r="B22" s="5"/>
      <c r="C22" s="5"/>
      <c r="D22" s="5"/>
      <c r="E22" s="5"/>
      <c r="F22" s="5"/>
      <c r="G22" s="5"/>
      <c r="H22" s="5"/>
      <c r="I22" s="5"/>
      <c r="J22" s="5"/>
      <c r="K22" s="5"/>
      <c r="L22" s="5"/>
    </row>
    <row r="23" customFormat="false" ht="15" hidden="false" customHeight="false" outlineLevel="0" collapsed="false">
      <c r="A23" s="5"/>
      <c r="B23" s="53" t="s">
        <v>330</v>
      </c>
      <c r="C23" s="58" t="n">
        <f aca="false">-Debt_Schedule!C15</f>
        <v>-500000</v>
      </c>
      <c r="D23" s="58" t="n">
        <f aca="false">-Debt_Schedule!D15</f>
        <v>-428571.4</v>
      </c>
      <c r="E23" s="58" t="n">
        <f aca="false">-Debt_Schedule!E15</f>
        <v>-357142.8</v>
      </c>
      <c r="F23" s="58" t="n">
        <f aca="false">-Debt_Schedule!F15</f>
        <v>-285714.2</v>
      </c>
      <c r="G23" s="58" t="n">
        <f aca="false">-Debt_Schedule!G15</f>
        <v>-214285.6</v>
      </c>
      <c r="H23" s="58" t="n">
        <f aca="false">-Debt_Schedule!H15</f>
        <v>-142857.1</v>
      </c>
      <c r="I23" s="58" t="n">
        <f aca="false">-Debt_Schedule!I15</f>
        <v>-71428.5</v>
      </c>
      <c r="J23" s="58" t="n">
        <f aca="false">-Debt_Schedule!J15</f>
        <v>-0</v>
      </c>
      <c r="K23" s="58" t="n">
        <f aca="false">-Debt_Schedule!K15</f>
        <v>-0</v>
      </c>
      <c r="L23" s="58" t="n">
        <f aca="false">-Debt_Schedule!L15</f>
        <v>-0</v>
      </c>
    </row>
    <row r="24" customFormat="false" ht="15" hidden="false" customHeight="false" outlineLevel="0" collapsed="false">
      <c r="A24" s="5"/>
      <c r="B24" s="54" t="s">
        <v>341</v>
      </c>
      <c r="C24" s="59" t="n">
        <f aca="false">C21+C23</f>
        <v>-3102600</v>
      </c>
      <c r="D24" s="59" t="n">
        <f aca="false">D21+D23</f>
        <v>-3246686.4</v>
      </c>
      <c r="E24" s="59" t="n">
        <f aca="false">E21+E23</f>
        <v>-1420294.57688</v>
      </c>
      <c r="F24" s="59" t="n">
        <f aca="false">F21+F23</f>
        <v>-1191969.6144202</v>
      </c>
      <c r="G24" s="59" t="n">
        <f aca="false">G21+G23</f>
        <v>-990052.495716115</v>
      </c>
      <c r="H24" s="59" t="n">
        <f aca="false">H21+H23</f>
        <v>-102684.092652918</v>
      </c>
      <c r="I24" s="59" t="n">
        <f aca="false">I21+I23</f>
        <v>420863.297422409</v>
      </c>
      <c r="J24" s="59" t="n">
        <f aca="false">J21+J23</f>
        <v>1231452.3703418</v>
      </c>
      <c r="K24" s="59" t="n">
        <f aca="false">K21+K23</f>
        <v>2112442.44642044</v>
      </c>
      <c r="L24" s="59" t="n">
        <f aca="false">L21+L23</f>
        <v>3405170.54348908</v>
      </c>
    </row>
    <row r="25" customFormat="false" ht="15" hidden="false" customHeight="false" outlineLevel="0" collapsed="false">
      <c r="A25" s="5"/>
      <c r="B25" s="53" t="s">
        <v>342</v>
      </c>
      <c r="C25" s="58" t="n">
        <f aca="false">-MAX(0,C24*Tax_Rate)</f>
        <v>-0</v>
      </c>
      <c r="D25" s="58" t="n">
        <f aca="false">-MAX(0,D24*Tax_Rate)</f>
        <v>-0</v>
      </c>
      <c r="E25" s="58" t="n">
        <f aca="false">-MAX(0,E24*Tax_Rate)</f>
        <v>-0</v>
      </c>
      <c r="F25" s="58" t="n">
        <f aca="false">-MAX(0,F24*Tax_Rate)</f>
        <v>-0</v>
      </c>
      <c r="G25" s="58" t="n">
        <f aca="false">-MAX(0,G24*Tax_Rate)</f>
        <v>-0</v>
      </c>
      <c r="H25" s="58" t="n">
        <f aca="false">-MAX(0,H24*Tax_Rate)</f>
        <v>-0</v>
      </c>
      <c r="I25" s="58" t="n">
        <f aca="false">-MAX(0,I24*Tax_Rate)</f>
        <v>-105215.824355602</v>
      </c>
      <c r="J25" s="58" t="n">
        <f aca="false">-MAX(0,J24*Tax_Rate)</f>
        <v>-307863.092585451</v>
      </c>
      <c r="K25" s="58" t="n">
        <f aca="false">-MAX(0,K24*Tax_Rate)</f>
        <v>-528110.61160511</v>
      </c>
      <c r="L25" s="58" t="n">
        <f aca="false">-MAX(0,L24*Tax_Rate)</f>
        <v>-851292.635872271</v>
      </c>
    </row>
    <row r="26" customFormat="false" ht="15" hidden="false" customHeight="false" outlineLevel="0" collapsed="false">
      <c r="A26" s="5"/>
      <c r="B26" s="5"/>
      <c r="C26" s="5"/>
      <c r="D26" s="5"/>
      <c r="E26" s="5"/>
      <c r="F26" s="5"/>
      <c r="G26" s="5"/>
      <c r="H26" s="5"/>
      <c r="I26" s="5"/>
      <c r="J26" s="5"/>
      <c r="K26" s="5"/>
      <c r="L26" s="5"/>
    </row>
    <row r="27" customFormat="false" ht="15" hidden="false" customHeight="false" outlineLevel="0" collapsed="false">
      <c r="A27" s="5"/>
      <c r="B27" s="54" t="s">
        <v>343</v>
      </c>
      <c r="C27" s="61" t="n">
        <f aca="false">C24+C25</f>
        <v>-3102600</v>
      </c>
      <c r="D27" s="61" t="n">
        <f aca="false">D24+D25</f>
        <v>-3246686.4</v>
      </c>
      <c r="E27" s="61" t="n">
        <f aca="false">E24+E25</f>
        <v>-1420294.57688</v>
      </c>
      <c r="F27" s="61" t="n">
        <f aca="false">F24+F25</f>
        <v>-1191969.6144202</v>
      </c>
      <c r="G27" s="61" t="n">
        <f aca="false">G24+G25</f>
        <v>-990052.495716115</v>
      </c>
      <c r="H27" s="61" t="n">
        <f aca="false">H24+H25</f>
        <v>-102684.092652918</v>
      </c>
      <c r="I27" s="61" t="n">
        <f aca="false">I24+I25</f>
        <v>315647.473066807</v>
      </c>
      <c r="J27" s="61" t="n">
        <f aca="false">J24+J25</f>
        <v>923589.277756353</v>
      </c>
      <c r="K27" s="61" t="n">
        <f aca="false">K24+K25</f>
        <v>1584331.83481533</v>
      </c>
      <c r="L27" s="61" t="n">
        <f aca="false">L24+L25</f>
        <v>2553877.90761681</v>
      </c>
    </row>
    <row r="28" customFormat="false" ht="15" hidden="false" customHeight="false" outlineLevel="0" collapsed="false">
      <c r="A28" s="5"/>
      <c r="B28" s="53" t="s">
        <v>344</v>
      </c>
      <c r="C28" s="62" t="n">
        <f aca="false">IFERROR(C27/C9,0)</f>
        <v>-43.0916666666667</v>
      </c>
      <c r="D28" s="62" t="n">
        <f aca="false">IFERROR(D27/D9,0)</f>
        <v>-39.2111884057971</v>
      </c>
      <c r="E28" s="62" t="n">
        <f aca="false">IFERROR(E27/E9,0)</f>
        <v>-0.47676714587422</v>
      </c>
      <c r="F28" s="62" t="n">
        <f aca="false">IFERROR(F27/F9,0)</f>
        <v>-0.318445806496057</v>
      </c>
      <c r="G28" s="62" t="n">
        <f aca="false">IFERROR(G27/G9,0)</f>
        <v>-0.21046054907606</v>
      </c>
      <c r="H28" s="62" t="n">
        <f aca="false">IFERROR(H27/H9,0)</f>
        <v>-0.017364218150088</v>
      </c>
      <c r="I28" s="62" t="n">
        <f aca="false">IFERROR(I27/I9,0)</f>
        <v>0.042453561171079</v>
      </c>
      <c r="J28" s="62" t="n">
        <f aca="false">IFERROR(J27/J9,0)</f>
        <v>0.0987811133355326</v>
      </c>
      <c r="K28" s="62" t="n">
        <f aca="false">IFERROR(K27/K9,0)</f>
        <v>0.134723911314792</v>
      </c>
      <c r="L28" s="62" t="n">
        <f aca="false">IFERROR(L27/L9,0)</f>
        <v>0.172638019458336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L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4"/>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48" t="s">
        <v>345</v>
      </c>
      <c r="C2" s="5"/>
      <c r="D2" s="5"/>
      <c r="E2" s="5"/>
      <c r="F2" s="5"/>
      <c r="G2" s="5"/>
      <c r="H2" s="5"/>
      <c r="I2" s="5"/>
      <c r="J2" s="5"/>
      <c r="K2" s="5"/>
      <c r="L2" s="5"/>
    </row>
    <row r="3" customFormat="false" ht="15" hidden="false" customHeight="false" outlineLevel="0" collapsed="false">
      <c r="A3" s="5"/>
      <c r="B3" s="9" t="s">
        <v>346</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49" t="s">
        <v>226</v>
      </c>
      <c r="C6" s="50" t="n">
        <v>2026</v>
      </c>
      <c r="D6" s="50" t="n">
        <v>2027</v>
      </c>
      <c r="E6" s="50" t="n">
        <v>2028</v>
      </c>
      <c r="F6" s="50" t="n">
        <v>2029</v>
      </c>
      <c r="G6" s="50" t="n">
        <v>2030</v>
      </c>
      <c r="H6" s="50" t="n">
        <v>2031</v>
      </c>
      <c r="I6" s="50" t="n">
        <v>2032</v>
      </c>
      <c r="J6" s="50" t="n">
        <v>2033</v>
      </c>
      <c r="K6" s="50" t="n">
        <v>2034</v>
      </c>
      <c r="L6" s="50" t="n">
        <v>2035</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21" t="s">
        <v>347</v>
      </c>
      <c r="C8" s="22"/>
      <c r="D8" s="22"/>
      <c r="E8" s="22"/>
      <c r="F8" s="22"/>
      <c r="G8" s="22"/>
      <c r="H8" s="22"/>
      <c r="I8" s="22"/>
      <c r="J8" s="22"/>
      <c r="K8" s="22"/>
      <c r="L8" s="22"/>
    </row>
    <row r="9" customFormat="false" ht="15" hidden="false" customHeight="false" outlineLevel="0" collapsed="false">
      <c r="A9" s="5"/>
      <c r="B9" s="53" t="s">
        <v>348</v>
      </c>
      <c r="C9" s="58" t="n">
        <f aca="false">Income_Statement!C27</f>
        <v>-3102600</v>
      </c>
      <c r="D9" s="58" t="n">
        <f aca="false">Income_Statement!D27</f>
        <v>-3246686.4</v>
      </c>
      <c r="E9" s="58" t="n">
        <f aca="false">Income_Statement!E27</f>
        <v>-1420294.57688</v>
      </c>
      <c r="F9" s="58" t="n">
        <f aca="false">Income_Statement!F27</f>
        <v>-1191969.6144202</v>
      </c>
      <c r="G9" s="58" t="n">
        <f aca="false">Income_Statement!G27</f>
        <v>-990052.495716115</v>
      </c>
      <c r="H9" s="58" t="n">
        <f aca="false">Income_Statement!H27</f>
        <v>-102684.092652918</v>
      </c>
      <c r="I9" s="58" t="n">
        <f aca="false">Income_Statement!I27</f>
        <v>315647.473066807</v>
      </c>
      <c r="J9" s="58" t="n">
        <f aca="false">Income_Statement!J27</f>
        <v>923589.277756353</v>
      </c>
      <c r="K9" s="58" t="n">
        <f aca="false">Income_Statement!K27</f>
        <v>1584331.83481533</v>
      </c>
      <c r="L9" s="58" t="n">
        <f aca="false">Income_Statement!L27</f>
        <v>2553877.90761681</v>
      </c>
    </row>
    <row r="10" customFormat="false" ht="15" hidden="false" customHeight="false" outlineLevel="0" collapsed="false">
      <c r="A10" s="5"/>
      <c r="B10" s="53" t="s">
        <v>349</v>
      </c>
      <c r="C10" s="58" t="n">
        <f aca="false">Capex_Depreciation!C19</f>
        <v>976000</v>
      </c>
      <c r="D10" s="58" t="n">
        <f aca="false">Capex_Depreciation!D19</f>
        <v>1168000</v>
      </c>
      <c r="E10" s="58" t="n">
        <f aca="false">Capex_Depreciation!E19</f>
        <v>1398400</v>
      </c>
      <c r="F10" s="58" t="n">
        <f aca="false">Capex_Depreciation!F19</f>
        <v>1674880</v>
      </c>
      <c r="G10" s="58" t="n">
        <f aca="false">Capex_Depreciation!G19</f>
        <v>2006640</v>
      </c>
      <c r="H10" s="58" t="n">
        <f aca="false">Capex_Depreciation!H19</f>
        <v>1916800</v>
      </c>
      <c r="I10" s="58" t="n">
        <f aca="false">Capex_Depreciation!I19</f>
        <v>2298560</v>
      </c>
      <c r="J10" s="58" t="n">
        <f aca="false">Capex_Depreciation!J19</f>
        <v>2756640</v>
      </c>
      <c r="K10" s="58" t="n">
        <f aca="false">Capex_Depreciation!K19</f>
        <v>3306400</v>
      </c>
      <c r="L10" s="58" t="n">
        <f aca="false">Capex_Depreciation!L19</f>
        <v>3966120</v>
      </c>
    </row>
    <row r="11" customFormat="false" ht="15" hidden="false" customHeight="false" outlineLevel="0" collapsed="false">
      <c r="A11" s="5"/>
      <c r="B11" s="53" t="s">
        <v>350</v>
      </c>
      <c r="C11" s="58" t="n">
        <f aca="false">Working_Capital!C19</f>
        <v>-48986.301369863</v>
      </c>
      <c r="D11" s="58" t="n">
        <f aca="false">Working_Capital!D19</f>
        <v>19364.3835616438</v>
      </c>
      <c r="E11" s="58" t="n">
        <f aca="false">Working_Capital!E19</f>
        <v>-464452.496658082</v>
      </c>
      <c r="F11" s="58" t="n">
        <f aca="false">Working_Capital!F19</f>
        <v>-114070.653754677</v>
      </c>
      <c r="G11" s="58" t="n">
        <f aca="false">Working_Capital!G19</f>
        <v>-166710.29325088</v>
      </c>
      <c r="H11" s="58" t="n">
        <f aca="false">Working_Capital!H19</f>
        <v>-186587.799325279</v>
      </c>
      <c r="I11" s="58" t="n">
        <f aca="false">Working_Capital!I19</f>
        <v>-257994.075091624</v>
      </c>
      <c r="J11" s="58" t="n">
        <f aca="false">Working_Capital!J19</f>
        <v>-301473.819996273</v>
      </c>
      <c r="K11" s="58" t="n">
        <f aca="false">Working_Capital!K19</f>
        <v>-402682.658886092</v>
      </c>
      <c r="L11" s="58" t="n">
        <f aca="false">Working_Capital!L19</f>
        <v>-483668.073199198</v>
      </c>
    </row>
    <row r="12" customFormat="false" ht="15" hidden="false" customHeight="false" outlineLevel="0" collapsed="false">
      <c r="A12" s="5"/>
      <c r="B12" s="53" t="s">
        <v>277</v>
      </c>
      <c r="C12" s="58" t="n">
        <f aca="false">Revenue!C23</f>
        <v>0</v>
      </c>
      <c r="D12" s="58" t="n">
        <f aca="false">Revenue!D23</f>
        <v>200612.764548</v>
      </c>
      <c r="E12" s="58" t="n">
        <f aca="false">Revenue!E23</f>
        <v>52160.2448824801</v>
      </c>
      <c r="F12" s="58" t="n">
        <f aca="false">Revenue!F23</f>
        <v>65719.1079036559</v>
      </c>
      <c r="G12" s="58" t="n">
        <f aca="false">Revenue!G23</f>
        <v>82808.8239824902</v>
      </c>
      <c r="H12" s="58" t="n">
        <f aca="false">Revenue!H23</f>
        <v>104338.244742323</v>
      </c>
      <c r="I12" s="58" t="n">
        <f aca="false">Revenue!I23</f>
        <v>131462.974007785</v>
      </c>
      <c r="J12" s="58" t="n">
        <f aca="false">Revenue!J23</f>
        <v>165651.118667625</v>
      </c>
      <c r="K12" s="58" t="n">
        <f aca="false">Revenue!K23</f>
        <v>208725.601624011</v>
      </c>
      <c r="L12" s="58" t="n">
        <f aca="false">Revenue!L23</f>
        <v>-1011478.88035837</v>
      </c>
    </row>
    <row r="13" customFormat="false" ht="15" hidden="false" customHeight="false" outlineLevel="0" collapsed="false">
      <c r="A13" s="5"/>
      <c r="B13" s="54" t="s">
        <v>351</v>
      </c>
      <c r="C13" s="59" t="n">
        <f aca="false">C9+C10+C11+C12</f>
        <v>-2175586.30136986</v>
      </c>
      <c r="D13" s="59" t="n">
        <f aca="false">D9+D10+D11+D12</f>
        <v>-1858709.25189036</v>
      </c>
      <c r="E13" s="59" t="n">
        <f aca="false">E9+E10+E11+E12</f>
        <v>-434186.828655602</v>
      </c>
      <c r="F13" s="59" t="n">
        <f aca="false">F9+F10+F11+F12</f>
        <v>434558.83972878</v>
      </c>
      <c r="G13" s="59" t="n">
        <f aca="false">G9+G10+G11+G12</f>
        <v>932686.035015496</v>
      </c>
      <c r="H13" s="59" t="n">
        <f aca="false">H9+H10+H11+H12</f>
        <v>1731866.35276413</v>
      </c>
      <c r="I13" s="59" t="n">
        <f aca="false">I9+I10+I11+I12</f>
        <v>2487676.37198297</v>
      </c>
      <c r="J13" s="59" t="n">
        <f aca="false">J9+J10+J11+J12</f>
        <v>3544406.5764277</v>
      </c>
      <c r="K13" s="59" t="n">
        <f aca="false">K9+K10+K11+K12</f>
        <v>4696774.77755325</v>
      </c>
      <c r="L13" s="59" t="n">
        <f aca="false">L9+L10+L11+L12</f>
        <v>5024850.95405924</v>
      </c>
    </row>
    <row r="14" customFormat="false" ht="15" hidden="false" customHeight="false" outlineLevel="0" collapsed="false">
      <c r="A14" s="5"/>
      <c r="B14" s="5"/>
      <c r="C14" s="5"/>
      <c r="D14" s="5"/>
      <c r="E14" s="5"/>
      <c r="F14" s="5"/>
      <c r="G14" s="5"/>
      <c r="H14" s="5"/>
      <c r="I14" s="5"/>
      <c r="J14" s="5"/>
      <c r="K14" s="5"/>
      <c r="L14" s="5"/>
    </row>
    <row r="15" customFormat="false" ht="15" hidden="false" customHeight="false" outlineLevel="0" collapsed="false">
      <c r="A15" s="5"/>
      <c r="B15" s="21" t="s">
        <v>352</v>
      </c>
      <c r="C15" s="22"/>
      <c r="D15" s="22"/>
      <c r="E15" s="22"/>
      <c r="F15" s="22"/>
      <c r="G15" s="22"/>
      <c r="H15" s="22"/>
      <c r="I15" s="22"/>
      <c r="J15" s="22"/>
      <c r="K15" s="22"/>
      <c r="L15" s="22"/>
    </row>
    <row r="16" customFormat="false" ht="15" hidden="false" customHeight="false" outlineLevel="0" collapsed="false">
      <c r="A16" s="5"/>
      <c r="B16" s="53" t="s">
        <v>165</v>
      </c>
      <c r="C16" s="58" t="n">
        <f aca="false">-Capex_Depreciation!C9</f>
        <v>-12200000</v>
      </c>
      <c r="D16" s="58" t="n">
        <f aca="false">-Capex_Depreciation!D9</f>
        <v>-2400000</v>
      </c>
      <c r="E16" s="58" t="n">
        <f aca="false">-Capex_Depreciation!E9</f>
        <v>-2880000</v>
      </c>
      <c r="F16" s="58" t="n">
        <f aca="false">-Capex_Depreciation!F9</f>
        <v>-3456000</v>
      </c>
      <c r="G16" s="58" t="n">
        <f aca="false">-Capex_Depreciation!G9</f>
        <v>-4147000</v>
      </c>
      <c r="H16" s="58" t="n">
        <f aca="false">-Capex_Depreciation!H9</f>
        <v>-4977000</v>
      </c>
      <c r="I16" s="58" t="n">
        <f aca="false">-Capex_Depreciation!I9</f>
        <v>-5972000</v>
      </c>
      <c r="J16" s="58" t="n">
        <f aca="false">-Capex_Depreciation!J9</f>
        <v>-7166000</v>
      </c>
      <c r="K16" s="58" t="n">
        <f aca="false">-Capex_Depreciation!K9</f>
        <v>-8600000</v>
      </c>
      <c r="L16" s="58" t="n">
        <f aca="false">-Capex_Depreciation!L9</f>
        <v>-10320000</v>
      </c>
    </row>
    <row r="17" customFormat="false" ht="15" hidden="false" customHeight="false" outlineLevel="0" collapsed="false">
      <c r="A17" s="5"/>
      <c r="B17" s="54" t="s">
        <v>353</v>
      </c>
      <c r="C17" s="59" t="n">
        <f aca="false">C16</f>
        <v>-12200000</v>
      </c>
      <c r="D17" s="59" t="n">
        <f aca="false">D16</f>
        <v>-2400000</v>
      </c>
      <c r="E17" s="59" t="n">
        <f aca="false">E16</f>
        <v>-2880000</v>
      </c>
      <c r="F17" s="59" t="n">
        <f aca="false">F16</f>
        <v>-3456000</v>
      </c>
      <c r="G17" s="59" t="n">
        <f aca="false">G16</f>
        <v>-4147000</v>
      </c>
      <c r="H17" s="59" t="n">
        <f aca="false">H16</f>
        <v>-4977000</v>
      </c>
      <c r="I17" s="59" t="n">
        <f aca="false">I16</f>
        <v>-5972000</v>
      </c>
      <c r="J17" s="59" t="n">
        <f aca="false">J16</f>
        <v>-7166000</v>
      </c>
      <c r="K17" s="59" t="n">
        <f aca="false">K16</f>
        <v>-8600000</v>
      </c>
      <c r="L17" s="59" t="n">
        <f aca="false">L16</f>
        <v>-10320000</v>
      </c>
    </row>
    <row r="18" customFormat="false" ht="15" hidden="false" customHeight="false" outlineLevel="0" collapsed="false">
      <c r="A18" s="5"/>
      <c r="B18" s="5"/>
      <c r="C18" s="5"/>
      <c r="D18" s="5"/>
      <c r="E18" s="5"/>
      <c r="F18" s="5"/>
      <c r="G18" s="5"/>
      <c r="H18" s="5"/>
      <c r="I18" s="5"/>
      <c r="J18" s="5"/>
      <c r="K18" s="5"/>
      <c r="L18" s="5"/>
    </row>
    <row r="19" customFormat="false" ht="15" hidden="false" customHeight="false" outlineLevel="0" collapsed="false">
      <c r="A19" s="5"/>
      <c r="B19" s="21" t="s">
        <v>354</v>
      </c>
      <c r="C19" s="22"/>
      <c r="D19" s="22"/>
      <c r="E19" s="22"/>
      <c r="F19" s="22"/>
      <c r="G19" s="22"/>
      <c r="H19" s="22"/>
      <c r="I19" s="22"/>
      <c r="J19" s="22"/>
      <c r="K19" s="22"/>
      <c r="L19" s="22"/>
    </row>
    <row r="20" customFormat="false" ht="15" hidden="false" customHeight="false" outlineLevel="0" collapsed="false">
      <c r="A20" s="5"/>
      <c r="B20" s="53" t="s">
        <v>355</v>
      </c>
      <c r="C20" s="58" t="n">
        <f aca="false">IF(Project_Pipeline!C7=1,Equity_Injection,IF(Project_Pipeline!C7=4,Followon_Equity_Y4,0))</f>
        <v>25000000</v>
      </c>
      <c r="D20" s="58" t="n">
        <f aca="false">IF(Project_Pipeline!D7=1,Equity_Injection,IF(Project_Pipeline!D7=4,Followon_Equity_Y4,0))</f>
        <v>0</v>
      </c>
      <c r="E20" s="58" t="n">
        <f aca="false">IF(Project_Pipeline!E7=1,Equity_Injection,IF(Project_Pipeline!E7=4,Followon_Equity_Y4,0))</f>
        <v>0</v>
      </c>
      <c r="F20" s="58" t="n">
        <f aca="false">IF(Project_Pipeline!F7=1,Equity_Injection,IF(Project_Pipeline!F7=4,Followon_Equity_Y4,0))</f>
        <v>25000000</v>
      </c>
      <c r="G20" s="58" t="n">
        <f aca="false">IF(Project_Pipeline!G7=1,Equity_Injection,IF(Project_Pipeline!G7=4,Followon_Equity_Y4,0))</f>
        <v>0</v>
      </c>
      <c r="H20" s="58" t="n">
        <f aca="false">IF(Project_Pipeline!H7=1,Equity_Injection,IF(Project_Pipeline!H7=4,Followon_Equity_Y4,0))</f>
        <v>0</v>
      </c>
      <c r="I20" s="58" t="n">
        <f aca="false">IF(Project_Pipeline!I7=1,Equity_Injection,IF(Project_Pipeline!I7=4,Followon_Equity_Y4,0))</f>
        <v>0</v>
      </c>
      <c r="J20" s="58" t="n">
        <f aca="false">IF(Project_Pipeline!J7=1,Equity_Injection,IF(Project_Pipeline!J7=4,Followon_Equity_Y4,0))</f>
        <v>0</v>
      </c>
      <c r="K20" s="58" t="n">
        <f aca="false">IF(Project_Pipeline!K7=1,Equity_Injection,IF(Project_Pipeline!K7=4,Followon_Equity_Y4,0))</f>
        <v>0</v>
      </c>
      <c r="L20" s="58" t="n">
        <f aca="false">IF(Project_Pipeline!L7=1,Equity_Injection,IF(Project_Pipeline!L7=4,Followon_Equity_Y4,0))</f>
        <v>0</v>
      </c>
    </row>
    <row r="21" customFormat="false" ht="15" hidden="false" customHeight="false" outlineLevel="0" collapsed="false">
      <c r="A21" s="5"/>
      <c r="B21" s="53" t="s">
        <v>356</v>
      </c>
      <c r="C21" s="58" t="n">
        <f aca="false">Debt_Schedule!C10</f>
        <v>5000000</v>
      </c>
      <c r="D21" s="58" t="n">
        <f aca="false">Debt_Schedule!D10</f>
        <v>0</v>
      </c>
      <c r="E21" s="58" t="n">
        <f aca="false">Debt_Schedule!E10</f>
        <v>0</v>
      </c>
      <c r="F21" s="58" t="n">
        <f aca="false">Debt_Schedule!F10</f>
        <v>0</v>
      </c>
      <c r="G21" s="58" t="n">
        <f aca="false">Debt_Schedule!G10</f>
        <v>0</v>
      </c>
      <c r="H21" s="58" t="n">
        <f aca="false">Debt_Schedule!H10</f>
        <v>0</v>
      </c>
      <c r="I21" s="58" t="n">
        <f aca="false">Debt_Schedule!I10</f>
        <v>0</v>
      </c>
      <c r="J21" s="58" t="n">
        <f aca="false">Debt_Schedule!J10</f>
        <v>0</v>
      </c>
      <c r="K21" s="58" t="n">
        <f aca="false">Debt_Schedule!K10</f>
        <v>0</v>
      </c>
      <c r="L21" s="58" t="n">
        <f aca="false">Debt_Schedule!L10</f>
        <v>0</v>
      </c>
    </row>
    <row r="22" customFormat="false" ht="15" hidden="false" customHeight="false" outlineLevel="0" collapsed="false">
      <c r="A22" s="5"/>
      <c r="B22" s="53" t="s">
        <v>357</v>
      </c>
      <c r="C22" s="58" t="n">
        <f aca="false">-Debt_Schedule!C11</f>
        <v>-714286</v>
      </c>
      <c r="D22" s="58" t="n">
        <f aca="false">-Debt_Schedule!D11</f>
        <v>-714286</v>
      </c>
      <c r="E22" s="58" t="n">
        <f aca="false">-Debt_Schedule!E11</f>
        <v>-714286</v>
      </c>
      <c r="F22" s="58" t="n">
        <f aca="false">-Debt_Schedule!F11</f>
        <v>-714286</v>
      </c>
      <c r="G22" s="58" t="n">
        <f aca="false">-Debt_Schedule!G11</f>
        <v>-714285</v>
      </c>
      <c r="H22" s="58" t="n">
        <f aca="false">-Debt_Schedule!H11</f>
        <v>-714286</v>
      </c>
      <c r="I22" s="58" t="n">
        <f aca="false">-Debt_Schedule!I11</f>
        <v>-714285</v>
      </c>
      <c r="J22" s="58" t="n">
        <f aca="false">-Debt_Schedule!J11</f>
        <v>-0</v>
      </c>
      <c r="K22" s="58" t="n">
        <f aca="false">-Debt_Schedule!K11</f>
        <v>-0</v>
      </c>
      <c r="L22" s="58" t="n">
        <f aca="false">-Debt_Schedule!L11</f>
        <v>-0</v>
      </c>
    </row>
    <row r="23" customFormat="false" ht="15" hidden="false" customHeight="false" outlineLevel="0" collapsed="false">
      <c r="A23" s="5"/>
      <c r="B23" s="54" t="s">
        <v>358</v>
      </c>
      <c r="C23" s="59" t="n">
        <f aca="false">C20+C21+C22</f>
        <v>29285714</v>
      </c>
      <c r="D23" s="59" t="n">
        <f aca="false">D20+D21+D22</f>
        <v>-714286</v>
      </c>
      <c r="E23" s="59" t="n">
        <f aca="false">E20+E21+E22</f>
        <v>-714286</v>
      </c>
      <c r="F23" s="59" t="n">
        <f aca="false">F20+F21+F22</f>
        <v>24285714</v>
      </c>
      <c r="G23" s="59" t="n">
        <f aca="false">G20+G21+G22</f>
        <v>-714285</v>
      </c>
      <c r="H23" s="59" t="n">
        <f aca="false">H20+H21+H22</f>
        <v>-714286</v>
      </c>
      <c r="I23" s="59" t="n">
        <f aca="false">I20+I21+I22</f>
        <v>-714285</v>
      </c>
      <c r="J23" s="59" t="n">
        <f aca="false">J20+J21+J22</f>
        <v>0</v>
      </c>
      <c r="K23" s="59" t="n">
        <f aca="false">K20+K21+K22</f>
        <v>0</v>
      </c>
      <c r="L23" s="59" t="n">
        <f aca="false">L20+L21+L22</f>
        <v>0</v>
      </c>
    </row>
    <row r="24" customFormat="false" ht="15" hidden="false" customHeight="false" outlineLevel="0" collapsed="false">
      <c r="A24" s="5"/>
      <c r="B24" s="5"/>
      <c r="C24" s="5"/>
      <c r="D24" s="5"/>
      <c r="E24" s="5"/>
      <c r="F24" s="5"/>
      <c r="G24" s="5"/>
      <c r="H24" s="5"/>
      <c r="I24" s="5"/>
      <c r="J24" s="5"/>
      <c r="K24" s="5"/>
      <c r="L24" s="5"/>
    </row>
    <row r="25" customFormat="false" ht="15" hidden="false" customHeight="false" outlineLevel="0" collapsed="false">
      <c r="A25" s="5"/>
      <c r="B25" s="21" t="s">
        <v>359</v>
      </c>
      <c r="C25" s="22"/>
      <c r="D25" s="22"/>
      <c r="E25" s="22"/>
      <c r="F25" s="22"/>
      <c r="G25" s="22"/>
      <c r="H25" s="22"/>
      <c r="I25" s="22"/>
      <c r="J25" s="22"/>
      <c r="K25" s="22"/>
      <c r="L25" s="22"/>
    </row>
    <row r="26" customFormat="false" ht="15" hidden="false" customHeight="false" outlineLevel="0" collapsed="false">
      <c r="A26" s="5"/>
      <c r="B26" s="54" t="s">
        <v>360</v>
      </c>
      <c r="C26" s="59" t="n">
        <f aca="false">C13+C17+C23</f>
        <v>14910127.6986301</v>
      </c>
      <c r="D26" s="59" t="n">
        <f aca="false">D13+D17+D23</f>
        <v>-4972995.25189036</v>
      </c>
      <c r="E26" s="59" t="n">
        <f aca="false">E13+E17+E23</f>
        <v>-4028472.8286556</v>
      </c>
      <c r="F26" s="59" t="n">
        <f aca="false">F13+F17+F23</f>
        <v>21264272.8397288</v>
      </c>
      <c r="G26" s="59" t="n">
        <f aca="false">G13+G17+G23</f>
        <v>-3928598.9649845</v>
      </c>
      <c r="H26" s="59" t="n">
        <f aca="false">H13+H17+H23</f>
        <v>-3959419.64723587</v>
      </c>
      <c r="I26" s="59" t="n">
        <f aca="false">I13+I17+I23</f>
        <v>-4198608.62801703</v>
      </c>
      <c r="J26" s="59" t="n">
        <f aca="false">J13+J17+J23</f>
        <v>-3621593.4235723</v>
      </c>
      <c r="K26" s="59" t="n">
        <f aca="false">K13+K17+K23</f>
        <v>-3903225.22244675</v>
      </c>
      <c r="L26" s="59" t="n">
        <f aca="false">L13+L17+L23</f>
        <v>-5295149.04594076</v>
      </c>
    </row>
    <row r="27" customFormat="false" ht="15" hidden="false" customHeight="false" outlineLevel="0" collapsed="false">
      <c r="A27" s="5"/>
      <c r="B27" s="53" t="s">
        <v>361</v>
      </c>
      <c r="C27" s="58" t="n">
        <f aca="false">0</f>
        <v>0</v>
      </c>
      <c r="D27" s="58" t="n">
        <f aca="false">C28</f>
        <v>14910127.6986301</v>
      </c>
      <c r="E27" s="58" t="n">
        <f aca="false">D28</f>
        <v>9937132.44673978</v>
      </c>
      <c r="F27" s="58" t="n">
        <f aca="false">E28</f>
        <v>5908659.61808418</v>
      </c>
      <c r="G27" s="58" t="n">
        <f aca="false">F28</f>
        <v>27172932.457813</v>
      </c>
      <c r="H27" s="58" t="n">
        <f aca="false">G28</f>
        <v>23244333.4928285</v>
      </c>
      <c r="I27" s="58" t="n">
        <f aca="false">H28</f>
        <v>19284913.8455926</v>
      </c>
      <c r="J27" s="58" t="n">
        <f aca="false">I28</f>
        <v>15086305.2175755</v>
      </c>
      <c r="K27" s="58" t="n">
        <f aca="false">J28</f>
        <v>11464711.7940033</v>
      </c>
      <c r="L27" s="58" t="n">
        <f aca="false">K28</f>
        <v>7561486.5715565</v>
      </c>
    </row>
    <row r="28" customFormat="false" ht="15" hidden="false" customHeight="false" outlineLevel="0" collapsed="false">
      <c r="A28" s="5"/>
      <c r="B28" s="54" t="s">
        <v>362</v>
      </c>
      <c r="C28" s="61" t="n">
        <f aca="false">C27+C26</f>
        <v>14910127.6986301</v>
      </c>
      <c r="D28" s="61" t="n">
        <f aca="false">D27+D26</f>
        <v>9937132.44673978</v>
      </c>
      <c r="E28" s="61" t="n">
        <f aca="false">E27+E26</f>
        <v>5908659.61808418</v>
      </c>
      <c r="F28" s="61" t="n">
        <f aca="false">F27+F26</f>
        <v>27172932.457813</v>
      </c>
      <c r="G28" s="61" t="n">
        <f aca="false">G27+G26</f>
        <v>23244333.4928285</v>
      </c>
      <c r="H28" s="61" t="n">
        <f aca="false">H27+H26</f>
        <v>19284913.8455926</v>
      </c>
      <c r="I28" s="61" t="n">
        <f aca="false">I27+I26</f>
        <v>15086305.2175755</v>
      </c>
      <c r="J28" s="61" t="n">
        <f aca="false">J27+J26</f>
        <v>11464711.7940033</v>
      </c>
      <c r="K28" s="61" t="n">
        <f aca="false">K27+K26</f>
        <v>7561486.5715565</v>
      </c>
      <c r="L28" s="61" t="n">
        <f aca="false">L27+L26</f>
        <v>2266337.52561574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L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4"/>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48" t="s">
        <v>363</v>
      </c>
      <c r="C2" s="5"/>
      <c r="D2" s="5"/>
      <c r="E2" s="5"/>
      <c r="F2" s="5"/>
      <c r="G2" s="5"/>
      <c r="H2" s="5"/>
      <c r="I2" s="5"/>
      <c r="J2" s="5"/>
      <c r="K2" s="5"/>
      <c r="L2" s="5"/>
    </row>
    <row r="3" customFormat="false" ht="15" hidden="false" customHeight="false" outlineLevel="0" collapsed="false">
      <c r="A3" s="5"/>
      <c r="B3" s="9" t="s">
        <v>364</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49" t="s">
        <v>226</v>
      </c>
      <c r="C6" s="50" t="n">
        <v>2026</v>
      </c>
      <c r="D6" s="50" t="n">
        <v>2027</v>
      </c>
      <c r="E6" s="50" t="n">
        <v>2028</v>
      </c>
      <c r="F6" s="50" t="n">
        <v>2029</v>
      </c>
      <c r="G6" s="50" t="n">
        <v>2030</v>
      </c>
      <c r="H6" s="50" t="n">
        <v>2031</v>
      </c>
      <c r="I6" s="50" t="n">
        <v>2032</v>
      </c>
      <c r="J6" s="50" t="n">
        <v>2033</v>
      </c>
      <c r="K6" s="50" t="n">
        <v>2034</v>
      </c>
      <c r="L6" s="50" t="n">
        <v>2035</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21" t="s">
        <v>365</v>
      </c>
      <c r="C8" s="22"/>
      <c r="D8" s="22"/>
      <c r="E8" s="22"/>
      <c r="F8" s="22"/>
      <c r="G8" s="22"/>
      <c r="H8" s="22"/>
      <c r="I8" s="22"/>
      <c r="J8" s="22"/>
      <c r="K8" s="22"/>
      <c r="L8" s="22"/>
    </row>
    <row r="9" customFormat="false" ht="15" hidden="false" customHeight="false" outlineLevel="0" collapsed="false">
      <c r="A9" s="5"/>
      <c r="B9" s="53" t="s">
        <v>366</v>
      </c>
      <c r="C9" s="58" t="n">
        <f aca="false">Cash_Flow!C28</f>
        <v>14910127.6986301</v>
      </c>
      <c r="D9" s="58" t="n">
        <f aca="false">Cash_Flow!D28</f>
        <v>9937132.44673978</v>
      </c>
      <c r="E9" s="58" t="n">
        <f aca="false">Cash_Flow!E28</f>
        <v>5908659.61808418</v>
      </c>
      <c r="F9" s="58" t="n">
        <f aca="false">Cash_Flow!F28</f>
        <v>27172932.457813</v>
      </c>
      <c r="G9" s="58" t="n">
        <f aca="false">Cash_Flow!G28</f>
        <v>23244333.4928285</v>
      </c>
      <c r="H9" s="58" t="n">
        <f aca="false">Cash_Flow!H28</f>
        <v>19284913.8455926</v>
      </c>
      <c r="I9" s="58" t="n">
        <f aca="false">Cash_Flow!I28</f>
        <v>15086305.2175755</v>
      </c>
      <c r="J9" s="58" t="n">
        <f aca="false">Cash_Flow!J28</f>
        <v>11464711.7940033</v>
      </c>
      <c r="K9" s="58" t="n">
        <f aca="false">Cash_Flow!K28</f>
        <v>7561486.5715565</v>
      </c>
      <c r="L9" s="58" t="n">
        <f aca="false">Cash_Flow!L28</f>
        <v>2266337.52561574</v>
      </c>
    </row>
    <row r="10" customFormat="false" ht="15" hidden="false" customHeight="false" outlineLevel="0" collapsed="false">
      <c r="A10" s="5"/>
      <c r="B10" s="53" t="s">
        <v>315</v>
      </c>
      <c r="C10" s="58" t="n">
        <f aca="false">Working_Capital!C9</f>
        <v>7890.41095890411</v>
      </c>
      <c r="D10" s="58" t="n">
        <f aca="false">Working_Capital!D9</f>
        <v>9073.97260273973</v>
      </c>
      <c r="E10" s="58" t="n">
        <f aca="false">Working_Capital!E9</f>
        <v>326466.960026301</v>
      </c>
      <c r="F10" s="58" t="n">
        <f aca="false">Working_Capital!F9</f>
        <v>410201.059003003</v>
      </c>
      <c r="G10" s="58" t="n">
        <f aca="false">Working_Capital!G9</f>
        <v>515530.839943362</v>
      </c>
      <c r="H10" s="58" t="n">
        <f aca="false">Working_Capital!H9</f>
        <v>648059.771673494</v>
      </c>
      <c r="I10" s="58" t="n">
        <f aca="false">Working_Capital!I9</f>
        <v>814808.061880503</v>
      </c>
      <c r="J10" s="58" t="n">
        <f aca="false">Working_Capital!J9</f>
        <v>1024641.8561002</v>
      </c>
      <c r="K10" s="58" t="n">
        <f aca="false">Working_Capital!K9</f>
        <v>1288749.74650503</v>
      </c>
      <c r="L10" s="58" t="n">
        <f aca="false">Working_Capital!L9</f>
        <v>1621178.41625987</v>
      </c>
    </row>
    <row r="11" customFormat="false" ht="15" hidden="false" customHeight="false" outlineLevel="0" collapsed="false">
      <c r="A11" s="5"/>
      <c r="B11" s="53" t="s">
        <v>316</v>
      </c>
      <c r="C11" s="58" t="n">
        <f aca="false">Working_Capital!C10</f>
        <v>65753.4246575342</v>
      </c>
      <c r="D11" s="58" t="n">
        <f aca="false">Working_Capital!D10</f>
        <v>32876.7123287671</v>
      </c>
      <c r="E11" s="58" t="n">
        <f aca="false">Working_Capital!E10</f>
        <v>268171.927104</v>
      </c>
      <c r="F11" s="58" t="n">
        <f aca="false">Working_Capital!F10</f>
        <v>316710.414748761</v>
      </c>
      <c r="G11" s="58" t="n">
        <f aca="false">Working_Capital!G10</f>
        <v>414919.234445593</v>
      </c>
      <c r="H11" s="58" t="n">
        <f aca="false">Working_Capital!H10</f>
        <v>501413.422597829</v>
      </c>
      <c r="I11" s="58" t="n">
        <f aca="false">Working_Capital!I10</f>
        <v>647406.678413213</v>
      </c>
      <c r="J11" s="58" t="n">
        <f aca="false">Working_Capital!J10</f>
        <v>794030.719655729</v>
      </c>
      <c r="K11" s="58" t="n">
        <f aca="false">Working_Capital!K10</f>
        <v>1015750.34922575</v>
      </c>
      <c r="L11" s="58" t="n">
        <f aca="false">Working_Capital!L10</f>
        <v>1257733.39473672</v>
      </c>
    </row>
    <row r="12" customFormat="false" ht="15" hidden="false" customHeight="false" outlineLevel="0" collapsed="false">
      <c r="A12" s="5"/>
      <c r="B12" s="53" t="s">
        <v>367</v>
      </c>
      <c r="C12" s="58" t="n">
        <f aca="false">Capex_Depreciation!C24</f>
        <v>11224000</v>
      </c>
      <c r="D12" s="58" t="n">
        <f aca="false">Capex_Depreciation!D24</f>
        <v>12456000</v>
      </c>
      <c r="E12" s="58" t="n">
        <f aca="false">Capex_Depreciation!E24</f>
        <v>13937600</v>
      </c>
      <c r="F12" s="58" t="n">
        <f aca="false">Capex_Depreciation!F24</f>
        <v>15718720</v>
      </c>
      <c r="G12" s="58" t="n">
        <f aca="false">Capex_Depreciation!G24</f>
        <v>17859080</v>
      </c>
      <c r="H12" s="58" t="n">
        <f aca="false">Capex_Depreciation!H24</f>
        <v>20919280</v>
      </c>
      <c r="I12" s="58" t="n">
        <f aca="false">Capex_Depreciation!I24</f>
        <v>24592720</v>
      </c>
      <c r="J12" s="58" t="n">
        <f aca="false">Capex_Depreciation!J24</f>
        <v>29002080</v>
      </c>
      <c r="K12" s="58" t="n">
        <f aca="false">Capex_Depreciation!K24</f>
        <v>34295680</v>
      </c>
      <c r="L12" s="58" t="n">
        <f aca="false">Capex_Depreciation!L24</f>
        <v>40649560</v>
      </c>
    </row>
    <row r="13" customFormat="false" ht="15" hidden="false" customHeight="false" outlineLevel="0" collapsed="false">
      <c r="A13" s="5"/>
      <c r="B13" s="54" t="s">
        <v>368</v>
      </c>
      <c r="C13" s="61" t="n">
        <f aca="false">C9+C10+C11+C12</f>
        <v>26207771.5342466</v>
      </c>
      <c r="D13" s="61" t="n">
        <f aca="false">D9+D10+D11+D12</f>
        <v>22435083.1316713</v>
      </c>
      <c r="E13" s="61" t="n">
        <f aca="false">E9+E10+E11+E12</f>
        <v>20440898.5052145</v>
      </c>
      <c r="F13" s="61" t="n">
        <f aca="false">F9+F10+F11+F12</f>
        <v>43618563.9315647</v>
      </c>
      <c r="G13" s="61" t="n">
        <f aca="false">G9+G10+G11+G12</f>
        <v>42033863.5672174</v>
      </c>
      <c r="H13" s="61" t="n">
        <f aca="false">H9+H10+H11+H12</f>
        <v>41353667.0398639</v>
      </c>
      <c r="I13" s="61" t="n">
        <f aca="false">I9+I10+I11+I12</f>
        <v>41141239.9578693</v>
      </c>
      <c r="J13" s="61" t="n">
        <f aca="false">J9+J10+J11+J12</f>
        <v>42285464.3697592</v>
      </c>
      <c r="K13" s="61" t="n">
        <f aca="false">K9+K10+K11+K12</f>
        <v>44161666.6672873</v>
      </c>
      <c r="L13" s="61" t="n">
        <f aca="false">L9+L10+L11+L12</f>
        <v>45794809.3366123</v>
      </c>
    </row>
    <row r="14" customFormat="false" ht="15" hidden="false" customHeight="false" outlineLevel="0" collapsed="false">
      <c r="A14" s="5"/>
      <c r="B14" s="5"/>
      <c r="C14" s="5"/>
      <c r="D14" s="5"/>
      <c r="E14" s="5"/>
      <c r="F14" s="5"/>
      <c r="G14" s="5"/>
      <c r="H14" s="5"/>
      <c r="I14" s="5"/>
      <c r="J14" s="5"/>
      <c r="K14" s="5"/>
      <c r="L14" s="5"/>
    </row>
    <row r="15" customFormat="false" ht="15" hidden="false" customHeight="false" outlineLevel="0" collapsed="false">
      <c r="A15" s="5"/>
      <c r="B15" s="21" t="s">
        <v>369</v>
      </c>
      <c r="C15" s="22"/>
      <c r="D15" s="22"/>
      <c r="E15" s="22"/>
      <c r="F15" s="22"/>
      <c r="G15" s="22"/>
      <c r="H15" s="22"/>
      <c r="I15" s="22"/>
      <c r="J15" s="22"/>
      <c r="K15" s="22"/>
      <c r="L15" s="22"/>
    </row>
    <row r="16" customFormat="false" ht="15" hidden="false" customHeight="false" outlineLevel="0" collapsed="false">
      <c r="A16" s="5"/>
      <c r="B16" s="53" t="s">
        <v>319</v>
      </c>
      <c r="C16" s="58" t="n">
        <f aca="false">Working_Capital!C14</f>
        <v>24657.5342465753</v>
      </c>
      <c r="D16" s="58" t="n">
        <f aca="false">Working_Capital!D14</f>
        <v>12328.7671232877</v>
      </c>
      <c r="E16" s="58" t="n">
        <f aca="false">Working_Capital!E14</f>
        <v>100564.472664</v>
      </c>
      <c r="F16" s="58" t="n">
        <f aca="false">Working_Capital!F14</f>
        <v>118766.405530785</v>
      </c>
      <c r="G16" s="58" t="n">
        <f aca="false">Working_Capital!G14</f>
        <v>155594.712917097</v>
      </c>
      <c r="H16" s="58" t="n">
        <f aca="false">Working_Capital!H14</f>
        <v>188030.033474186</v>
      </c>
      <c r="I16" s="58" t="n">
        <f aca="false">Working_Capital!I14</f>
        <v>242777.504404955</v>
      </c>
      <c r="J16" s="58" t="n">
        <f aca="false">Working_Capital!J14</f>
        <v>297761.519870898</v>
      </c>
      <c r="K16" s="58" t="n">
        <f aca="false">Working_Capital!K14</f>
        <v>380906.380959656</v>
      </c>
      <c r="L16" s="58" t="n">
        <f aca="false">Working_Capital!L14</f>
        <v>471650.023026271</v>
      </c>
    </row>
    <row r="17" customFormat="false" ht="15" hidden="false" customHeight="false" outlineLevel="0" collapsed="false">
      <c r="A17" s="5"/>
      <c r="B17" s="53" t="s">
        <v>370</v>
      </c>
      <c r="C17" s="58" t="n">
        <f aca="false">Revenue!C22</f>
        <v>0</v>
      </c>
      <c r="D17" s="58" t="n">
        <f aca="false">Revenue!D22</f>
        <v>200612.764548</v>
      </c>
      <c r="E17" s="58" t="n">
        <f aca="false">Revenue!E22</f>
        <v>252773.00943048</v>
      </c>
      <c r="F17" s="58" t="n">
        <f aca="false">Revenue!F22</f>
        <v>318492.117334136</v>
      </c>
      <c r="G17" s="58" t="n">
        <f aca="false">Revenue!G22</f>
        <v>401300.941316626</v>
      </c>
      <c r="H17" s="58" t="n">
        <f aca="false">Revenue!H22</f>
        <v>505639.186058949</v>
      </c>
      <c r="I17" s="58" t="n">
        <f aca="false">Revenue!I22</f>
        <v>637102.160066734</v>
      </c>
      <c r="J17" s="58" t="n">
        <f aca="false">Revenue!J22</f>
        <v>802753.278734359</v>
      </c>
      <c r="K17" s="58" t="n">
        <f aca="false">Revenue!K22</f>
        <v>1011478.88035837</v>
      </c>
      <c r="L17" s="58" t="n">
        <f aca="false">Revenue!L22</f>
        <v>0</v>
      </c>
    </row>
    <row r="18" customFormat="false" ht="15" hidden="false" customHeight="false" outlineLevel="0" collapsed="false">
      <c r="A18" s="5"/>
      <c r="B18" s="53" t="s">
        <v>324</v>
      </c>
      <c r="C18" s="58" t="n">
        <f aca="false">Debt_Schedule!C12</f>
        <v>4285714</v>
      </c>
      <c r="D18" s="58" t="n">
        <f aca="false">Debt_Schedule!D12</f>
        <v>3571428</v>
      </c>
      <c r="E18" s="58" t="n">
        <f aca="false">Debt_Schedule!E12</f>
        <v>2857142</v>
      </c>
      <c r="F18" s="58" t="n">
        <f aca="false">Debt_Schedule!F12</f>
        <v>2142856</v>
      </c>
      <c r="G18" s="58" t="n">
        <f aca="false">Debt_Schedule!G12</f>
        <v>1428571</v>
      </c>
      <c r="H18" s="58" t="n">
        <f aca="false">Debt_Schedule!H12</f>
        <v>714285</v>
      </c>
      <c r="I18" s="58" t="n">
        <f aca="false">Debt_Schedule!I12</f>
        <v>0</v>
      </c>
      <c r="J18" s="58" t="n">
        <f aca="false">Debt_Schedule!J12</f>
        <v>0</v>
      </c>
      <c r="K18" s="58" t="n">
        <f aca="false">Debt_Schedule!K12</f>
        <v>0</v>
      </c>
      <c r="L18" s="58" t="n">
        <f aca="false">Debt_Schedule!L12</f>
        <v>0</v>
      </c>
    </row>
    <row r="19" customFormat="false" ht="15" hidden="false" customHeight="false" outlineLevel="0" collapsed="false">
      <c r="A19" s="5"/>
      <c r="B19" s="54" t="s">
        <v>371</v>
      </c>
      <c r="C19" s="59" t="n">
        <f aca="false">C16+C17+C18</f>
        <v>4310371.53424658</v>
      </c>
      <c r="D19" s="59" t="n">
        <f aca="false">D16+D17+D18</f>
        <v>3784369.53167129</v>
      </c>
      <c r="E19" s="59" t="n">
        <f aca="false">E16+E17+E18</f>
        <v>3210479.48209448</v>
      </c>
      <c r="F19" s="59" t="n">
        <f aca="false">F16+F17+F18</f>
        <v>2580114.52286492</v>
      </c>
      <c r="G19" s="59" t="n">
        <f aca="false">G16+G17+G18</f>
        <v>1985466.65423372</v>
      </c>
      <c r="H19" s="59" t="n">
        <f aca="false">H16+H17+H18</f>
        <v>1407954.21953313</v>
      </c>
      <c r="I19" s="59" t="n">
        <f aca="false">I16+I17+I18</f>
        <v>879879.664471689</v>
      </c>
      <c r="J19" s="59" t="n">
        <f aca="false">J16+J17+J18</f>
        <v>1100514.79860526</v>
      </c>
      <c r="K19" s="59" t="n">
        <f aca="false">K16+K17+K18</f>
        <v>1392385.26131803</v>
      </c>
      <c r="L19" s="59" t="n">
        <f aca="false">L16+L17+L18</f>
        <v>471650.023026271</v>
      </c>
    </row>
    <row r="20" customFormat="false" ht="15" hidden="false" customHeight="false" outlineLevel="0" collapsed="false">
      <c r="A20" s="5"/>
      <c r="B20" s="5"/>
      <c r="C20" s="5"/>
      <c r="D20" s="5"/>
      <c r="E20" s="5"/>
      <c r="F20" s="5"/>
      <c r="G20" s="5"/>
      <c r="H20" s="5"/>
      <c r="I20" s="5"/>
      <c r="J20" s="5"/>
      <c r="K20" s="5"/>
      <c r="L20" s="5"/>
    </row>
    <row r="21" customFormat="false" ht="15" hidden="false" customHeight="false" outlineLevel="0" collapsed="false">
      <c r="A21" s="5"/>
      <c r="B21" s="21" t="s">
        <v>372</v>
      </c>
      <c r="C21" s="22"/>
      <c r="D21" s="22"/>
      <c r="E21" s="22"/>
      <c r="F21" s="22"/>
      <c r="G21" s="22"/>
      <c r="H21" s="22"/>
      <c r="I21" s="22"/>
      <c r="J21" s="22"/>
      <c r="K21" s="22"/>
      <c r="L21" s="22"/>
    </row>
    <row r="22" customFormat="false" ht="15" hidden="false" customHeight="false" outlineLevel="0" collapsed="false">
      <c r="A22" s="5"/>
      <c r="B22" s="53" t="s">
        <v>373</v>
      </c>
      <c r="C22" s="58" t="n">
        <f aca="false">Cash_Flow!C20</f>
        <v>25000000</v>
      </c>
      <c r="D22" s="58" t="n">
        <f aca="false">C22+Cash_Flow!D20</f>
        <v>25000000</v>
      </c>
      <c r="E22" s="58" t="n">
        <f aca="false">D22+Cash_Flow!E20</f>
        <v>25000000</v>
      </c>
      <c r="F22" s="58" t="n">
        <f aca="false">E22+Cash_Flow!F20</f>
        <v>50000000</v>
      </c>
      <c r="G22" s="58" t="n">
        <f aca="false">F22+Cash_Flow!G20</f>
        <v>50000000</v>
      </c>
      <c r="H22" s="58" t="n">
        <f aca="false">G22+Cash_Flow!H20</f>
        <v>50000000</v>
      </c>
      <c r="I22" s="58" t="n">
        <f aca="false">H22+Cash_Flow!I20</f>
        <v>50000000</v>
      </c>
      <c r="J22" s="58" t="n">
        <f aca="false">I22+Cash_Flow!J20</f>
        <v>50000000</v>
      </c>
      <c r="K22" s="58" t="n">
        <f aca="false">J22+Cash_Flow!K20</f>
        <v>50000000</v>
      </c>
      <c r="L22" s="58" t="n">
        <f aca="false">K22+Cash_Flow!L20</f>
        <v>50000000</v>
      </c>
    </row>
    <row r="23" customFormat="false" ht="15" hidden="false" customHeight="false" outlineLevel="0" collapsed="false">
      <c r="A23" s="5"/>
      <c r="B23" s="53" t="s">
        <v>374</v>
      </c>
      <c r="C23" s="58" t="n">
        <f aca="false">Income_Statement!C27</f>
        <v>-3102600</v>
      </c>
      <c r="D23" s="58" t="n">
        <f aca="false">C23+Income_Statement!D27</f>
        <v>-6349286.4</v>
      </c>
      <c r="E23" s="58" t="n">
        <f aca="false">D23+Income_Statement!E27</f>
        <v>-7769580.97688</v>
      </c>
      <c r="F23" s="58" t="n">
        <f aca="false">E23+Income_Statement!F27</f>
        <v>-8961550.5913002</v>
      </c>
      <c r="G23" s="58" t="n">
        <f aca="false">F23+Income_Statement!G27</f>
        <v>-9951603.08701632</v>
      </c>
      <c r="H23" s="58" t="n">
        <f aca="false">G23+Income_Statement!H27</f>
        <v>-10054287.1796692</v>
      </c>
      <c r="I23" s="58" t="n">
        <f aca="false">H23+Income_Statement!I27</f>
        <v>-9738639.70660243</v>
      </c>
      <c r="J23" s="58" t="n">
        <f aca="false">I23+Income_Statement!J27</f>
        <v>-8815050.42884607</v>
      </c>
      <c r="K23" s="58" t="n">
        <f aca="false">J23+Income_Statement!K27</f>
        <v>-7230718.59403074</v>
      </c>
      <c r="L23" s="58" t="n">
        <f aca="false">K23+Income_Statement!L27</f>
        <v>-4676840.68641393</v>
      </c>
    </row>
    <row r="24" customFormat="false" ht="15" hidden="false" customHeight="false" outlineLevel="0" collapsed="false">
      <c r="A24" s="5"/>
      <c r="B24" s="54" t="s">
        <v>375</v>
      </c>
      <c r="C24" s="59" t="n">
        <f aca="false">C22+C23</f>
        <v>21897400</v>
      </c>
      <c r="D24" s="59" t="n">
        <f aca="false">D22+D23</f>
        <v>18650713.6</v>
      </c>
      <c r="E24" s="59" t="n">
        <f aca="false">E22+E23</f>
        <v>17230419.02312</v>
      </c>
      <c r="F24" s="59" t="n">
        <f aca="false">F22+F23</f>
        <v>41038449.4086998</v>
      </c>
      <c r="G24" s="59" t="n">
        <f aca="false">G22+G23</f>
        <v>40048396.9129837</v>
      </c>
      <c r="H24" s="59" t="n">
        <f aca="false">H22+H23</f>
        <v>39945712.8203308</v>
      </c>
      <c r="I24" s="59" t="n">
        <f aca="false">I22+I23</f>
        <v>40261360.2933976</v>
      </c>
      <c r="J24" s="59" t="n">
        <f aca="false">J22+J23</f>
        <v>41184949.5711539</v>
      </c>
      <c r="K24" s="59" t="n">
        <f aca="false">K22+K23</f>
        <v>42769281.4059693</v>
      </c>
      <c r="L24" s="59" t="n">
        <f aca="false">L22+L23</f>
        <v>45323159.3135861</v>
      </c>
    </row>
    <row r="25" customFormat="false" ht="15" hidden="false" customHeight="false" outlineLevel="0" collapsed="false">
      <c r="A25" s="5"/>
      <c r="B25" s="5"/>
      <c r="C25" s="5"/>
      <c r="D25" s="5"/>
      <c r="E25" s="5"/>
      <c r="F25" s="5"/>
      <c r="G25" s="5"/>
      <c r="H25" s="5"/>
      <c r="I25" s="5"/>
      <c r="J25" s="5"/>
      <c r="K25" s="5"/>
      <c r="L25" s="5"/>
    </row>
    <row r="26" customFormat="false" ht="15" hidden="false" customHeight="false" outlineLevel="0" collapsed="false">
      <c r="A26" s="5"/>
      <c r="B26" s="54" t="s">
        <v>376</v>
      </c>
      <c r="C26" s="61" t="n">
        <f aca="false">C19+C24</f>
        <v>26207771.5342466</v>
      </c>
      <c r="D26" s="61" t="n">
        <f aca="false">D19+D24</f>
        <v>22435083.1316713</v>
      </c>
      <c r="E26" s="61" t="n">
        <f aca="false">E19+E24</f>
        <v>20440898.5052145</v>
      </c>
      <c r="F26" s="61" t="n">
        <f aca="false">F19+F24</f>
        <v>43618563.9315647</v>
      </c>
      <c r="G26" s="61" t="n">
        <f aca="false">G19+G24</f>
        <v>42033863.5672174</v>
      </c>
      <c r="H26" s="61" t="n">
        <f aca="false">H19+H24</f>
        <v>41353667.0398639</v>
      </c>
      <c r="I26" s="61" t="n">
        <f aca="false">I19+I24</f>
        <v>41141239.9578693</v>
      </c>
      <c r="J26" s="61" t="n">
        <f aca="false">J19+J24</f>
        <v>42285464.3697592</v>
      </c>
      <c r="K26" s="61" t="n">
        <f aca="false">K19+K24</f>
        <v>44161666.6672873</v>
      </c>
      <c r="L26" s="61" t="n">
        <f aca="false">L19+L24</f>
        <v>45794809.3366123</v>
      </c>
    </row>
    <row r="27" customFormat="false" ht="15" hidden="false" customHeight="false" outlineLevel="0" collapsed="false">
      <c r="A27" s="5"/>
      <c r="B27" s="5"/>
      <c r="C27" s="5"/>
      <c r="D27" s="5"/>
      <c r="E27" s="5"/>
      <c r="F27" s="5"/>
      <c r="G27" s="5"/>
      <c r="H27" s="5"/>
      <c r="I27" s="5"/>
      <c r="J27" s="5"/>
      <c r="K27" s="5"/>
      <c r="L27" s="5"/>
    </row>
    <row r="28" customFormat="false" ht="15" hidden="false" customHeight="false" outlineLevel="0" collapsed="false">
      <c r="A28" s="5"/>
      <c r="B28" s="54" t="s">
        <v>377</v>
      </c>
      <c r="C28" s="58" t="n">
        <f aca="false">C13-C26</f>
        <v>0</v>
      </c>
      <c r="D28" s="58" t="n">
        <f aca="false">D13-D26</f>
        <v>0</v>
      </c>
      <c r="E28" s="58" t="n">
        <f aca="false">E13-E26</f>
        <v>0</v>
      </c>
      <c r="F28" s="58" t="n">
        <f aca="false">F13-F26</f>
        <v>0</v>
      </c>
      <c r="G28" s="58" t="n">
        <f aca="false">G13-G26</f>
        <v>0</v>
      </c>
      <c r="H28" s="58" t="n">
        <f aca="false">H13-H26</f>
        <v>0</v>
      </c>
      <c r="I28" s="58" t="n">
        <f aca="false">I13-I26</f>
        <v>0</v>
      </c>
      <c r="J28" s="58" t="n">
        <f aca="false">J13-J26</f>
        <v>0</v>
      </c>
      <c r="K28" s="58" t="n">
        <f aca="false">K13-K26</f>
        <v>0</v>
      </c>
      <c r="L28" s="58" t="n">
        <f aca="false">L13-L26</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X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4"/>
    <col collapsed="false" customWidth="true" hidden="false" outlineLevel="0" max="13" min="13" style="0" width="3"/>
    <col collapsed="false" customWidth="true" hidden="false" outlineLevel="0" max="24" min="14" style="0" width="13"/>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row>
    <row r="2" customFormat="false" ht="22.05" hidden="false" customHeight="false" outlineLevel="0" collapsed="false">
      <c r="A2" s="5"/>
      <c r="B2" s="48" t="s">
        <v>378</v>
      </c>
      <c r="C2" s="5"/>
      <c r="D2" s="5"/>
      <c r="E2" s="5"/>
      <c r="F2" s="5"/>
      <c r="G2" s="5"/>
      <c r="H2" s="5"/>
      <c r="I2" s="5"/>
      <c r="J2" s="5"/>
      <c r="K2" s="5"/>
      <c r="L2" s="5"/>
      <c r="M2" s="5"/>
      <c r="N2" s="5"/>
      <c r="O2" s="5"/>
      <c r="P2" s="5"/>
      <c r="Q2" s="5"/>
      <c r="R2" s="5"/>
      <c r="S2" s="5"/>
      <c r="T2" s="5"/>
      <c r="U2" s="5"/>
      <c r="V2" s="5"/>
      <c r="W2" s="5"/>
      <c r="X2" s="5"/>
    </row>
    <row r="3" customFormat="false" ht="15" hidden="false" customHeight="false" outlineLevel="0" collapsed="false">
      <c r="A3" s="5"/>
      <c r="B3" s="9" t="s">
        <v>379</v>
      </c>
      <c r="C3" s="5"/>
      <c r="D3" s="5"/>
      <c r="E3" s="5"/>
      <c r="F3" s="5"/>
      <c r="G3" s="5"/>
      <c r="H3" s="5"/>
      <c r="I3" s="5"/>
      <c r="J3" s="5"/>
      <c r="K3" s="5"/>
      <c r="L3" s="5"/>
      <c r="M3" s="5"/>
      <c r="N3" s="5"/>
      <c r="O3" s="5"/>
      <c r="P3" s="5"/>
      <c r="Q3" s="5"/>
      <c r="R3" s="5"/>
      <c r="S3" s="5"/>
      <c r="T3" s="5"/>
      <c r="U3" s="5"/>
      <c r="V3" s="5"/>
      <c r="W3" s="5"/>
      <c r="X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row>
    <row r="6" customFormat="false" ht="15" hidden="false" customHeight="false" outlineLevel="0" collapsed="false">
      <c r="A6" s="5"/>
      <c r="B6" s="49" t="s">
        <v>226</v>
      </c>
      <c r="C6" s="50" t="n">
        <v>2026</v>
      </c>
      <c r="D6" s="50" t="n">
        <v>2027</v>
      </c>
      <c r="E6" s="50" t="n">
        <v>2028</v>
      </c>
      <c r="F6" s="50" t="n">
        <v>2029</v>
      </c>
      <c r="G6" s="50" t="n">
        <v>2030</v>
      </c>
      <c r="H6" s="50" t="n">
        <v>2031</v>
      </c>
      <c r="I6" s="50" t="n">
        <v>2032</v>
      </c>
      <c r="J6" s="50" t="n">
        <v>2033</v>
      </c>
      <c r="K6" s="50" t="n">
        <v>2034</v>
      </c>
      <c r="L6" s="50" t="n">
        <v>2035</v>
      </c>
      <c r="M6" s="5"/>
      <c r="N6" s="64" t="s">
        <v>380</v>
      </c>
      <c r="O6" s="50" t="n">
        <v>2026</v>
      </c>
      <c r="P6" s="50" t="n">
        <v>2027</v>
      </c>
      <c r="Q6" s="50" t="n">
        <v>2028</v>
      </c>
      <c r="R6" s="50" t="n">
        <v>2029</v>
      </c>
      <c r="S6" s="50" t="n">
        <v>2030</v>
      </c>
      <c r="T6" s="50" t="n">
        <v>2031</v>
      </c>
      <c r="U6" s="50" t="n">
        <v>2032</v>
      </c>
      <c r="V6" s="50" t="n">
        <v>2033</v>
      </c>
      <c r="W6" s="50" t="n">
        <v>2034</v>
      </c>
      <c r="X6" s="50" t="n">
        <v>2035</v>
      </c>
    </row>
    <row r="7" customFormat="false" ht="15" hidden="false" customHeight="false" outlineLevel="0" collapsed="false">
      <c r="A7" s="5"/>
      <c r="B7" s="9" t="s">
        <v>227</v>
      </c>
      <c r="C7" s="51" t="n">
        <v>1</v>
      </c>
      <c r="D7" s="51" t="n">
        <v>2</v>
      </c>
      <c r="E7" s="51" t="n">
        <v>3</v>
      </c>
      <c r="F7" s="51" t="n">
        <v>4</v>
      </c>
      <c r="G7" s="51" t="n">
        <v>5</v>
      </c>
      <c r="H7" s="51" t="n">
        <v>6</v>
      </c>
      <c r="I7" s="51" t="n">
        <v>7</v>
      </c>
      <c r="J7" s="51" t="n">
        <v>8</v>
      </c>
      <c r="K7" s="51" t="n">
        <v>9</v>
      </c>
      <c r="L7" s="51" t="n">
        <v>10</v>
      </c>
      <c r="M7" s="5"/>
      <c r="N7" s="5"/>
      <c r="O7" s="5"/>
      <c r="P7" s="5"/>
      <c r="Q7" s="5"/>
      <c r="R7" s="5"/>
      <c r="S7" s="5"/>
      <c r="T7" s="5"/>
      <c r="U7" s="5"/>
      <c r="V7" s="5"/>
      <c r="W7" s="5"/>
      <c r="X7" s="5"/>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row>
    <row r="9" customFormat="false" ht="15" hidden="false" customHeight="false" outlineLevel="0" collapsed="false">
      <c r="A9" s="5"/>
      <c r="B9" s="21" t="s">
        <v>381</v>
      </c>
      <c r="C9" s="22"/>
      <c r="D9" s="22"/>
      <c r="E9" s="22"/>
      <c r="F9" s="22"/>
      <c r="G9" s="22"/>
      <c r="H9" s="22"/>
      <c r="I9" s="22"/>
      <c r="J9" s="22"/>
      <c r="K9" s="22"/>
      <c r="L9" s="22"/>
      <c r="M9" s="5"/>
      <c r="N9" s="5"/>
      <c r="O9" s="5"/>
      <c r="P9" s="5"/>
      <c r="Q9" s="5"/>
      <c r="R9" s="5"/>
      <c r="S9" s="5"/>
      <c r="T9" s="5"/>
      <c r="U9" s="5"/>
      <c r="V9" s="5"/>
      <c r="W9" s="5"/>
      <c r="X9" s="5"/>
    </row>
    <row r="10" customFormat="false" ht="15" hidden="false" customHeight="false" outlineLevel="0" collapsed="false">
      <c r="A10" s="5"/>
      <c r="B10" s="53" t="s">
        <v>340</v>
      </c>
      <c r="C10" s="58" t="n">
        <f aca="false">Income_Statement!C21</f>
        <v>-2602600</v>
      </c>
      <c r="D10" s="58" t="n">
        <f aca="false">Income_Statement!D21</f>
        <v>-2818115</v>
      </c>
      <c r="E10" s="58" t="n">
        <f aca="false">Income_Statement!E21</f>
        <v>-1063151.77688</v>
      </c>
      <c r="F10" s="58" t="n">
        <f aca="false">Income_Statement!F21</f>
        <v>-906255.414420199</v>
      </c>
      <c r="G10" s="58" t="n">
        <f aca="false">Income_Statement!G21</f>
        <v>-775766.895716115</v>
      </c>
      <c r="H10" s="58" t="n">
        <f aca="false">Income_Statement!H21</f>
        <v>40173.0073470825</v>
      </c>
      <c r="I10" s="58" t="n">
        <f aca="false">Income_Statement!I21</f>
        <v>492291.797422409</v>
      </c>
      <c r="J10" s="58" t="n">
        <f aca="false">Income_Statement!J21</f>
        <v>1231452.3703418</v>
      </c>
      <c r="K10" s="58" t="n">
        <f aca="false">Income_Statement!K21</f>
        <v>2112442.44642044</v>
      </c>
      <c r="L10" s="58" t="n">
        <f aca="false">Income_Statement!L21</f>
        <v>3405170.54348908</v>
      </c>
      <c r="M10" s="5"/>
      <c r="N10" s="5"/>
      <c r="O10" s="5"/>
      <c r="P10" s="5"/>
      <c r="Q10" s="5"/>
      <c r="R10" s="5"/>
      <c r="S10" s="5"/>
      <c r="T10" s="5"/>
      <c r="U10" s="5"/>
      <c r="V10" s="5"/>
      <c r="W10" s="5"/>
      <c r="X10" s="5"/>
    </row>
    <row r="11" customFormat="false" ht="15" hidden="false" customHeight="false" outlineLevel="0" collapsed="false">
      <c r="A11" s="5"/>
      <c r="B11" s="53" t="s">
        <v>382</v>
      </c>
      <c r="C11" s="58" t="n">
        <f aca="false">-MAX(0,C10*Tax_Rate)</f>
        <v>-0</v>
      </c>
      <c r="D11" s="58" t="n">
        <f aca="false">-MAX(0,D10*Tax_Rate)</f>
        <v>-0</v>
      </c>
      <c r="E11" s="58" t="n">
        <f aca="false">-MAX(0,E10*Tax_Rate)</f>
        <v>-0</v>
      </c>
      <c r="F11" s="58" t="n">
        <f aca="false">-MAX(0,F10*Tax_Rate)</f>
        <v>-0</v>
      </c>
      <c r="G11" s="58" t="n">
        <f aca="false">-MAX(0,G10*Tax_Rate)</f>
        <v>-0</v>
      </c>
      <c r="H11" s="58" t="n">
        <f aca="false">-MAX(0,H10*Tax_Rate)</f>
        <v>-10043.2518367706</v>
      </c>
      <c r="I11" s="58" t="n">
        <f aca="false">-MAX(0,I10*Tax_Rate)</f>
        <v>-123072.949355602</v>
      </c>
      <c r="J11" s="58" t="n">
        <f aca="false">-MAX(0,J10*Tax_Rate)</f>
        <v>-307863.092585451</v>
      </c>
      <c r="K11" s="58" t="n">
        <f aca="false">-MAX(0,K10*Tax_Rate)</f>
        <v>-528110.61160511</v>
      </c>
      <c r="L11" s="58" t="n">
        <f aca="false">-MAX(0,L10*Tax_Rate)</f>
        <v>-851292.635872271</v>
      </c>
      <c r="M11" s="5"/>
      <c r="N11" s="5"/>
      <c r="O11" s="5"/>
      <c r="P11" s="5"/>
      <c r="Q11" s="5"/>
      <c r="R11" s="5"/>
      <c r="S11" s="5"/>
      <c r="T11" s="5"/>
      <c r="U11" s="5"/>
      <c r="V11" s="5"/>
      <c r="W11" s="5"/>
      <c r="X11" s="5"/>
    </row>
    <row r="12" customFormat="false" ht="15" hidden="false" customHeight="false" outlineLevel="0" collapsed="false">
      <c r="A12" s="5"/>
      <c r="B12" s="54" t="s">
        <v>383</v>
      </c>
      <c r="C12" s="59" t="n">
        <f aca="false">C10+C11</f>
        <v>-2602600</v>
      </c>
      <c r="D12" s="59" t="n">
        <f aca="false">D10+D11</f>
        <v>-2818115</v>
      </c>
      <c r="E12" s="59" t="n">
        <f aca="false">E10+E11</f>
        <v>-1063151.77688</v>
      </c>
      <c r="F12" s="59" t="n">
        <f aca="false">F10+F11</f>
        <v>-906255.414420199</v>
      </c>
      <c r="G12" s="59" t="n">
        <f aca="false">G10+G11</f>
        <v>-775766.895716115</v>
      </c>
      <c r="H12" s="59" t="n">
        <f aca="false">H10+H11</f>
        <v>30129.7555103119</v>
      </c>
      <c r="I12" s="59" t="n">
        <f aca="false">I10+I11</f>
        <v>369218.848066807</v>
      </c>
      <c r="J12" s="59" t="n">
        <f aca="false">J10+J11</f>
        <v>923589.277756353</v>
      </c>
      <c r="K12" s="59" t="n">
        <f aca="false">K10+K11</f>
        <v>1584331.83481533</v>
      </c>
      <c r="L12" s="59" t="n">
        <f aca="false">L10+L11</f>
        <v>2553877.90761681</v>
      </c>
      <c r="M12" s="5"/>
      <c r="N12" s="5"/>
      <c r="O12" s="5"/>
      <c r="P12" s="5"/>
      <c r="Q12" s="5"/>
      <c r="R12" s="5"/>
      <c r="S12" s="5"/>
      <c r="T12" s="5"/>
      <c r="U12" s="5"/>
      <c r="V12" s="5"/>
      <c r="W12" s="5"/>
      <c r="X12" s="5"/>
    </row>
    <row r="13" customFormat="false" ht="15" hidden="false" customHeight="false" outlineLevel="0" collapsed="false">
      <c r="A13" s="5"/>
      <c r="B13" s="53" t="s">
        <v>349</v>
      </c>
      <c r="C13" s="58" t="n">
        <f aca="false">Capex_Depreciation!C19</f>
        <v>976000</v>
      </c>
      <c r="D13" s="58" t="n">
        <f aca="false">Capex_Depreciation!D19</f>
        <v>1168000</v>
      </c>
      <c r="E13" s="58" t="n">
        <f aca="false">Capex_Depreciation!E19</f>
        <v>1398400</v>
      </c>
      <c r="F13" s="58" t="n">
        <f aca="false">Capex_Depreciation!F19</f>
        <v>1674880</v>
      </c>
      <c r="G13" s="58" t="n">
        <f aca="false">Capex_Depreciation!G19</f>
        <v>2006640</v>
      </c>
      <c r="H13" s="58" t="n">
        <f aca="false">Capex_Depreciation!H19</f>
        <v>1916800</v>
      </c>
      <c r="I13" s="58" t="n">
        <f aca="false">Capex_Depreciation!I19</f>
        <v>2298560</v>
      </c>
      <c r="J13" s="58" t="n">
        <f aca="false">Capex_Depreciation!J19</f>
        <v>2756640</v>
      </c>
      <c r="K13" s="58" t="n">
        <f aca="false">Capex_Depreciation!K19</f>
        <v>3306400</v>
      </c>
      <c r="L13" s="58" t="n">
        <f aca="false">Capex_Depreciation!L19</f>
        <v>3966120</v>
      </c>
      <c r="M13" s="5"/>
      <c r="N13" s="5"/>
      <c r="O13" s="5"/>
      <c r="P13" s="5"/>
      <c r="Q13" s="5"/>
      <c r="R13" s="5"/>
      <c r="S13" s="5"/>
      <c r="T13" s="5"/>
      <c r="U13" s="5"/>
      <c r="V13" s="5"/>
      <c r="W13" s="5"/>
      <c r="X13" s="5"/>
    </row>
    <row r="14" customFormat="false" ht="15" hidden="false" customHeight="false" outlineLevel="0" collapsed="false">
      <c r="A14" s="5"/>
      <c r="B14" s="53" t="s">
        <v>350</v>
      </c>
      <c r="C14" s="58" t="n">
        <f aca="false">Working_Capital!C19</f>
        <v>-48986.301369863</v>
      </c>
      <c r="D14" s="58" t="n">
        <f aca="false">Working_Capital!D19</f>
        <v>19364.3835616438</v>
      </c>
      <c r="E14" s="58" t="n">
        <f aca="false">Working_Capital!E19</f>
        <v>-464452.496658082</v>
      </c>
      <c r="F14" s="58" t="n">
        <f aca="false">Working_Capital!F19</f>
        <v>-114070.653754677</v>
      </c>
      <c r="G14" s="58" t="n">
        <f aca="false">Working_Capital!G19</f>
        <v>-166710.29325088</v>
      </c>
      <c r="H14" s="58" t="n">
        <f aca="false">Working_Capital!H19</f>
        <v>-186587.799325279</v>
      </c>
      <c r="I14" s="58" t="n">
        <f aca="false">Working_Capital!I19</f>
        <v>-257994.075091624</v>
      </c>
      <c r="J14" s="58" t="n">
        <f aca="false">Working_Capital!J19</f>
        <v>-301473.819996273</v>
      </c>
      <c r="K14" s="58" t="n">
        <f aca="false">Working_Capital!K19</f>
        <v>-402682.658886092</v>
      </c>
      <c r="L14" s="58" t="n">
        <f aca="false">Working_Capital!L19</f>
        <v>-483668.073199198</v>
      </c>
      <c r="M14" s="5"/>
      <c r="N14" s="5"/>
      <c r="O14" s="5"/>
      <c r="P14" s="5"/>
      <c r="Q14" s="5"/>
      <c r="R14" s="5"/>
      <c r="S14" s="5"/>
      <c r="T14" s="5"/>
      <c r="U14" s="5"/>
      <c r="V14" s="5"/>
      <c r="W14" s="5"/>
      <c r="X14" s="5"/>
    </row>
    <row r="15" customFormat="false" ht="15" hidden="false" customHeight="false" outlineLevel="0" collapsed="false">
      <c r="A15" s="5"/>
      <c r="B15" s="53" t="s">
        <v>384</v>
      </c>
      <c r="C15" s="58" t="n">
        <f aca="false">-Capex_Depreciation!C9</f>
        <v>-12200000</v>
      </c>
      <c r="D15" s="58" t="n">
        <f aca="false">-Capex_Depreciation!D9</f>
        <v>-2400000</v>
      </c>
      <c r="E15" s="58" t="n">
        <f aca="false">-Capex_Depreciation!E9</f>
        <v>-2880000</v>
      </c>
      <c r="F15" s="58" t="n">
        <f aca="false">-Capex_Depreciation!F9</f>
        <v>-3456000</v>
      </c>
      <c r="G15" s="58" t="n">
        <f aca="false">-Capex_Depreciation!G9</f>
        <v>-4147000</v>
      </c>
      <c r="H15" s="58" t="n">
        <f aca="false">-Capex_Depreciation!H9</f>
        <v>-4977000</v>
      </c>
      <c r="I15" s="58" t="n">
        <f aca="false">-Capex_Depreciation!I9</f>
        <v>-5972000</v>
      </c>
      <c r="J15" s="58" t="n">
        <f aca="false">-Capex_Depreciation!J9</f>
        <v>-7166000</v>
      </c>
      <c r="K15" s="58" t="n">
        <f aca="false">-Capex_Depreciation!K9</f>
        <v>-8600000</v>
      </c>
      <c r="L15" s="58" t="n">
        <f aca="false">-Capex_Depreciation!L9</f>
        <v>-10320000</v>
      </c>
      <c r="M15" s="5"/>
      <c r="N15" s="5"/>
      <c r="O15" s="5"/>
      <c r="P15" s="5"/>
      <c r="Q15" s="5"/>
      <c r="R15" s="5"/>
      <c r="S15" s="5"/>
      <c r="T15" s="5"/>
      <c r="U15" s="5"/>
      <c r="V15" s="5"/>
      <c r="W15" s="5"/>
      <c r="X15" s="5"/>
    </row>
    <row r="16" customFormat="false" ht="15" hidden="false" customHeight="false" outlineLevel="0" collapsed="false">
      <c r="A16" s="5"/>
      <c r="B16" s="54" t="s">
        <v>381</v>
      </c>
      <c r="C16" s="61" t="n">
        <f aca="false">C12+C13+C14+C15</f>
        <v>-13875586.3013699</v>
      </c>
      <c r="D16" s="61" t="n">
        <f aca="false">D12+D13+D14+D15</f>
        <v>-4030750.61643836</v>
      </c>
      <c r="E16" s="61" t="n">
        <f aca="false">E12+E13+E14+E15</f>
        <v>-3009204.27353808</v>
      </c>
      <c r="F16" s="61" t="n">
        <f aca="false">F12+F13+F14+F15</f>
        <v>-2801446.06817488</v>
      </c>
      <c r="G16" s="61" t="n">
        <f aca="false">G12+G13+G14+G15</f>
        <v>-3082837.18896699</v>
      </c>
      <c r="H16" s="61" t="n">
        <f aca="false">H12+H13+H14+H15</f>
        <v>-3216658.04381497</v>
      </c>
      <c r="I16" s="61" t="n">
        <f aca="false">I12+I13+I14+I15</f>
        <v>-3562215.22702482</v>
      </c>
      <c r="J16" s="61" t="n">
        <f aca="false">J12+J13+J14+J15</f>
        <v>-3787244.54223992</v>
      </c>
      <c r="K16" s="61" t="n">
        <f aca="false">K12+K13+K14+K15</f>
        <v>-4111950.82407076</v>
      </c>
      <c r="L16" s="61" t="n">
        <f aca="false">L12+L13+L14+L15</f>
        <v>-4283670.16558239</v>
      </c>
      <c r="M16" s="5"/>
      <c r="N16" s="5"/>
      <c r="O16" s="5"/>
      <c r="P16" s="5"/>
      <c r="Q16" s="5"/>
      <c r="R16" s="5"/>
      <c r="S16" s="5"/>
      <c r="T16" s="5"/>
      <c r="U16" s="5"/>
      <c r="V16" s="5"/>
      <c r="W16" s="5"/>
      <c r="X16" s="5"/>
    </row>
    <row r="17" customFormat="false" ht="15" hidden="false" customHeight="false" outlineLevel="0" collapsed="false">
      <c r="A17" s="5"/>
      <c r="B17" s="5"/>
      <c r="C17" s="5"/>
      <c r="D17" s="5"/>
      <c r="E17" s="5"/>
      <c r="F17" s="5"/>
      <c r="G17" s="5"/>
      <c r="H17" s="5"/>
      <c r="I17" s="5"/>
      <c r="J17" s="5"/>
      <c r="K17" s="5"/>
      <c r="L17" s="5"/>
      <c r="M17" s="5"/>
      <c r="N17" s="5"/>
      <c r="O17" s="5"/>
      <c r="P17" s="5"/>
      <c r="Q17" s="5"/>
      <c r="R17" s="5"/>
      <c r="S17" s="5"/>
      <c r="T17" s="5"/>
      <c r="U17" s="5"/>
      <c r="V17" s="5"/>
      <c r="W17" s="5"/>
      <c r="X17" s="5"/>
    </row>
    <row r="18" customFormat="false" ht="15" hidden="false" customHeight="false" outlineLevel="0" collapsed="false">
      <c r="A18" s="5"/>
      <c r="B18" s="21" t="s">
        <v>385</v>
      </c>
      <c r="C18" s="22"/>
      <c r="D18" s="22"/>
      <c r="E18" s="22"/>
      <c r="F18" s="22"/>
      <c r="G18" s="22"/>
      <c r="H18" s="22"/>
      <c r="I18" s="22"/>
      <c r="J18" s="22"/>
      <c r="K18" s="22"/>
      <c r="L18" s="22"/>
      <c r="M18" s="5"/>
      <c r="N18" s="5"/>
      <c r="O18" s="5"/>
      <c r="P18" s="5"/>
      <c r="Q18" s="5"/>
      <c r="R18" s="5"/>
      <c r="S18" s="5"/>
      <c r="T18" s="5"/>
      <c r="U18" s="5"/>
      <c r="V18" s="5"/>
      <c r="W18" s="5"/>
      <c r="X18" s="5"/>
    </row>
    <row r="19" customFormat="false" ht="15" hidden="false" customHeight="false" outlineLevel="0" collapsed="false">
      <c r="A19" s="5"/>
      <c r="B19" s="53" t="s">
        <v>386</v>
      </c>
      <c r="C19" s="65" t="n">
        <f aca="false">1/(1+WACC_Rate)^C7</f>
        <v>0.892857142857143</v>
      </c>
      <c r="D19" s="65" t="n">
        <f aca="false">1/(1+WACC_Rate)^D7</f>
        <v>0.79719387755102</v>
      </c>
      <c r="E19" s="65" t="n">
        <f aca="false">1/(1+WACC_Rate)^E7</f>
        <v>0.711780247813411</v>
      </c>
      <c r="F19" s="65" t="n">
        <f aca="false">1/(1+WACC_Rate)^F7</f>
        <v>0.635518078404831</v>
      </c>
      <c r="G19" s="65" t="n">
        <f aca="false">1/(1+WACC_Rate)^G7</f>
        <v>0.567426855718599</v>
      </c>
      <c r="H19" s="65" t="n">
        <f aca="false">1/(1+WACC_Rate)^H7</f>
        <v>0.506631121177321</v>
      </c>
      <c r="I19" s="65" t="n">
        <f aca="false">1/(1+WACC_Rate)^I7</f>
        <v>0.452349215336893</v>
      </c>
      <c r="J19" s="65" t="n">
        <f aca="false">1/(1+WACC_Rate)^J7</f>
        <v>0.403883227979369</v>
      </c>
      <c r="K19" s="65" t="n">
        <f aca="false">1/(1+WACC_Rate)^K7</f>
        <v>0.360610024981579</v>
      </c>
      <c r="L19" s="65" t="n">
        <f aca="false">1/(1+WACC_Rate)^L7</f>
        <v>0.321973236590696</v>
      </c>
      <c r="M19" s="5"/>
      <c r="N19" s="5"/>
      <c r="O19" s="5"/>
      <c r="P19" s="5"/>
      <c r="Q19" s="5"/>
      <c r="R19" s="5"/>
      <c r="S19" s="5"/>
      <c r="T19" s="5"/>
      <c r="U19" s="5"/>
      <c r="V19" s="5"/>
      <c r="W19" s="5"/>
      <c r="X19" s="5"/>
    </row>
    <row r="20" customFormat="false" ht="15" hidden="false" customHeight="false" outlineLevel="0" collapsed="false">
      <c r="A20" s="5"/>
      <c r="B20" s="53" t="s">
        <v>387</v>
      </c>
      <c r="C20" s="58" t="n">
        <f aca="false">C16*C19</f>
        <v>-12388916.3405088</v>
      </c>
      <c r="D20" s="58" t="n">
        <f aca="false">D16*D19</f>
        <v>-3213289.71335966</v>
      </c>
      <c r="E20" s="58" t="n">
        <f aca="false">E16*E19</f>
        <v>-2141892.16354011</v>
      </c>
      <c r="F20" s="58" t="n">
        <f aca="false">F16*F19</f>
        <v>-1780369.62200127</v>
      </c>
      <c r="G20" s="58" t="n">
        <f aca="false">G16*G19</f>
        <v>-1749284.61282791</v>
      </c>
      <c r="H20" s="58" t="n">
        <f aca="false">H16*H19</f>
        <v>-1629659.07118202</v>
      </c>
      <c r="I20" s="58" t="n">
        <f aca="false">I16*I19</f>
        <v>-1611365.26280581</v>
      </c>
      <c r="J20" s="58" t="n">
        <f aca="false">J16*J19</f>
        <v>-1529604.55086711</v>
      </c>
      <c r="K20" s="58" t="n">
        <f aca="false">K16*K19</f>
        <v>-1482810.68939118</v>
      </c>
      <c r="L20" s="58" t="n">
        <f aca="false">L16*L19</f>
        <v>-1379227.14769956</v>
      </c>
      <c r="M20" s="5"/>
      <c r="N20" s="5"/>
      <c r="O20" s="5"/>
      <c r="P20" s="5"/>
      <c r="Q20" s="5"/>
      <c r="R20" s="5"/>
      <c r="S20" s="5"/>
      <c r="T20" s="5"/>
      <c r="U20" s="5"/>
      <c r="V20" s="5"/>
      <c r="W20" s="5"/>
      <c r="X20" s="5"/>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row>
    <row r="22" customFormat="false" ht="15" hidden="false" customHeight="false" outlineLevel="0" collapsed="false">
      <c r="A22" s="5"/>
      <c r="B22" s="6" t="s">
        <v>388</v>
      </c>
      <c r="C22" s="66" t="n">
        <f aca="false">SUM(C20:L20)</f>
        <v>-28906419.1741834</v>
      </c>
      <c r="D22" s="5"/>
      <c r="E22" s="5"/>
      <c r="F22" s="5"/>
      <c r="G22" s="5"/>
      <c r="H22" s="5"/>
      <c r="I22" s="5"/>
      <c r="J22" s="5"/>
      <c r="K22" s="5"/>
      <c r="L22" s="5"/>
      <c r="M22" s="5"/>
      <c r="N22" s="5"/>
      <c r="O22" s="5"/>
      <c r="P22" s="5"/>
      <c r="Q22" s="5"/>
      <c r="R22" s="5"/>
      <c r="S22" s="5"/>
      <c r="T22" s="5"/>
      <c r="U22" s="5"/>
      <c r="V22" s="5"/>
      <c r="W22" s="5"/>
      <c r="X22" s="5"/>
    </row>
    <row r="23" customFormat="false" ht="15" hidden="false" customHeight="false" outlineLevel="0" collapsed="false">
      <c r="A23" s="5"/>
      <c r="B23" s="53" t="s">
        <v>389</v>
      </c>
      <c r="C23" s="58" t="n">
        <f aca="false">L10+L13</f>
        <v>7371290.54348908</v>
      </c>
      <c r="D23" s="5"/>
      <c r="E23" s="5"/>
      <c r="F23" s="5"/>
      <c r="G23" s="5"/>
      <c r="H23" s="5"/>
      <c r="I23" s="5"/>
      <c r="J23" s="5"/>
      <c r="K23" s="5"/>
      <c r="L23" s="5"/>
      <c r="M23" s="5"/>
      <c r="N23" s="5"/>
      <c r="O23" s="5"/>
      <c r="P23" s="5"/>
      <c r="Q23" s="5"/>
      <c r="R23" s="5"/>
      <c r="S23" s="5"/>
      <c r="T23" s="5"/>
      <c r="U23" s="5"/>
      <c r="V23" s="5"/>
      <c r="W23" s="5"/>
      <c r="X23" s="5"/>
    </row>
    <row r="24" customFormat="false" ht="15" hidden="false" customHeight="false" outlineLevel="0" collapsed="false">
      <c r="A24" s="5"/>
      <c r="B24" s="53" t="s">
        <v>390</v>
      </c>
      <c r="C24" s="58" t="n">
        <f aca="false">L16</f>
        <v>-4283670.16558239</v>
      </c>
      <c r="D24" s="5"/>
      <c r="E24" s="5"/>
      <c r="F24" s="5"/>
      <c r="G24" s="5"/>
      <c r="H24" s="5"/>
      <c r="I24" s="5"/>
      <c r="J24" s="5"/>
      <c r="K24" s="5"/>
      <c r="L24" s="5"/>
      <c r="M24" s="5"/>
      <c r="N24" s="5"/>
      <c r="O24" s="5"/>
      <c r="P24" s="5"/>
      <c r="Q24" s="5"/>
      <c r="R24" s="5"/>
      <c r="S24" s="5"/>
      <c r="T24" s="5"/>
      <c r="U24" s="5"/>
      <c r="V24" s="5"/>
      <c r="W24" s="5"/>
      <c r="X24" s="5"/>
    </row>
    <row r="25" customFormat="false" ht="15" hidden="false" customHeight="false" outlineLevel="0" collapsed="false">
      <c r="A25" s="5"/>
      <c r="B25" s="5"/>
      <c r="C25" s="5"/>
      <c r="D25" s="5"/>
      <c r="E25" s="5"/>
      <c r="F25" s="5"/>
      <c r="G25" s="5"/>
      <c r="H25" s="5"/>
      <c r="I25" s="5"/>
      <c r="J25" s="5"/>
      <c r="K25" s="5"/>
      <c r="L25" s="5"/>
      <c r="M25" s="5"/>
      <c r="N25" s="5"/>
      <c r="O25" s="5"/>
      <c r="P25" s="5"/>
      <c r="Q25" s="5"/>
      <c r="R25" s="5"/>
      <c r="S25" s="5"/>
      <c r="T25" s="5"/>
      <c r="U25" s="5"/>
      <c r="V25" s="5"/>
      <c r="W25" s="5"/>
      <c r="X25" s="5"/>
    </row>
    <row r="26" customFormat="false" ht="15" hidden="false" customHeight="false" outlineLevel="0" collapsed="false">
      <c r="A26" s="5"/>
      <c r="B26" s="21" t="s">
        <v>391</v>
      </c>
      <c r="C26" s="22"/>
      <c r="D26" s="22"/>
      <c r="E26" s="22"/>
      <c r="F26" s="22"/>
      <c r="G26" s="22"/>
      <c r="H26" s="22"/>
      <c r="I26" s="22"/>
      <c r="J26" s="22"/>
      <c r="K26" s="22"/>
      <c r="L26" s="22"/>
      <c r="M26" s="5"/>
      <c r="N26" s="5"/>
      <c r="O26" s="5"/>
      <c r="P26" s="5"/>
      <c r="Q26" s="5"/>
      <c r="R26" s="5"/>
      <c r="S26" s="5"/>
      <c r="T26" s="5"/>
      <c r="U26" s="5"/>
      <c r="V26" s="5"/>
      <c r="W26" s="5"/>
      <c r="X26" s="5"/>
    </row>
    <row r="27" customFormat="false" ht="15" hidden="false" customHeight="false" outlineLevel="0" collapsed="false">
      <c r="A27" s="5"/>
      <c r="B27" s="53" t="s">
        <v>392</v>
      </c>
      <c r="C27" s="58" t="str">
        <f aca="false">IF(C24&lt;=0,"n/a - extend horizon",C24*(1+Terminal_Growth)/(WACC_Rate-Terminal_Growth))</f>
        <v>n/a - extend horizon</v>
      </c>
      <c r="D27" s="5"/>
      <c r="E27" s="5"/>
      <c r="F27" s="5"/>
      <c r="G27" s="5"/>
      <c r="H27" s="5"/>
      <c r="I27" s="5"/>
      <c r="J27" s="5"/>
      <c r="K27" s="5"/>
      <c r="L27" s="5"/>
      <c r="M27" s="5"/>
      <c r="N27" s="5"/>
      <c r="O27" s="5"/>
      <c r="P27" s="5"/>
      <c r="Q27" s="5"/>
      <c r="R27" s="5"/>
      <c r="S27" s="5"/>
      <c r="T27" s="5"/>
      <c r="U27" s="5"/>
      <c r="V27" s="5"/>
      <c r="W27" s="5"/>
      <c r="X27" s="5"/>
    </row>
    <row r="28" customFormat="false" ht="15" hidden="false" customHeight="false" outlineLevel="0" collapsed="false">
      <c r="A28" s="5"/>
      <c r="B28" s="53" t="s">
        <v>393</v>
      </c>
      <c r="C28" s="58" t="str">
        <f aca="false">IFERROR(C27*L19,"n/a")</f>
        <v>n/a</v>
      </c>
      <c r="D28" s="5"/>
      <c r="E28" s="5"/>
      <c r="F28" s="5"/>
      <c r="G28" s="5"/>
      <c r="H28" s="5"/>
      <c r="I28" s="5"/>
      <c r="J28" s="5"/>
      <c r="K28" s="5"/>
      <c r="L28" s="5"/>
      <c r="M28" s="5"/>
      <c r="N28" s="5"/>
      <c r="O28" s="5"/>
      <c r="P28" s="5"/>
      <c r="Q28" s="5"/>
      <c r="R28" s="5"/>
      <c r="S28" s="5"/>
      <c r="T28" s="5"/>
      <c r="U28" s="5"/>
      <c r="V28" s="5"/>
      <c r="W28" s="5"/>
      <c r="X28" s="5"/>
    </row>
    <row r="29" customFormat="false" ht="15" hidden="false" customHeight="false" outlineLevel="0" collapsed="false">
      <c r="A29" s="5"/>
      <c r="B29" s="53" t="s">
        <v>394</v>
      </c>
      <c r="C29" s="58" t="n">
        <f aca="false">Exit_EBITDA_Multiple*C23</f>
        <v>110569358.152336</v>
      </c>
      <c r="D29" s="5"/>
      <c r="E29" s="5"/>
      <c r="F29" s="5"/>
      <c r="G29" s="5"/>
      <c r="H29" s="5"/>
      <c r="I29" s="5"/>
      <c r="J29" s="5"/>
      <c r="K29" s="5"/>
      <c r="L29" s="5"/>
      <c r="M29" s="5"/>
      <c r="N29" s="5"/>
      <c r="O29" s="5"/>
      <c r="P29" s="5"/>
      <c r="Q29" s="5"/>
      <c r="R29" s="5"/>
      <c r="S29" s="5"/>
      <c r="T29" s="5"/>
      <c r="U29" s="5"/>
      <c r="V29" s="5"/>
      <c r="W29" s="5"/>
      <c r="X29" s="5"/>
    </row>
    <row r="30" customFormat="false" ht="15" hidden="false" customHeight="false" outlineLevel="0" collapsed="false">
      <c r="A30" s="5"/>
      <c r="B30" s="53" t="s">
        <v>395</v>
      </c>
      <c r="C30" s="58" t="n">
        <f aca="false">C29*L19</f>
        <v>35600374.1120636</v>
      </c>
      <c r="D30" s="5"/>
      <c r="E30" s="5"/>
      <c r="F30" s="5"/>
      <c r="G30" s="5"/>
      <c r="H30" s="5"/>
      <c r="I30" s="5"/>
      <c r="J30" s="5"/>
      <c r="K30" s="5"/>
      <c r="L30" s="5"/>
      <c r="M30" s="5"/>
      <c r="N30" s="5"/>
      <c r="O30" s="5"/>
      <c r="P30" s="5"/>
      <c r="Q30" s="5"/>
      <c r="R30" s="5"/>
      <c r="S30" s="5"/>
      <c r="T30" s="5"/>
      <c r="U30" s="5"/>
      <c r="V30" s="5"/>
      <c r="W30" s="5"/>
      <c r="X30" s="5"/>
    </row>
    <row r="31" customFormat="false" ht="15" hidden="false" customHeight="false" outlineLevel="0" collapsed="false">
      <c r="A31" s="5"/>
      <c r="B31" s="5"/>
      <c r="C31" s="5"/>
      <c r="D31" s="5"/>
      <c r="E31" s="5"/>
      <c r="F31" s="5"/>
      <c r="G31" s="5"/>
      <c r="H31" s="5"/>
      <c r="I31" s="5"/>
      <c r="J31" s="5"/>
      <c r="K31" s="5"/>
      <c r="L31" s="5"/>
      <c r="M31" s="5"/>
      <c r="N31" s="5"/>
      <c r="O31" s="5"/>
      <c r="P31" s="5"/>
      <c r="Q31" s="5"/>
      <c r="R31" s="5"/>
      <c r="S31" s="5"/>
      <c r="T31" s="5"/>
      <c r="U31" s="5"/>
      <c r="V31" s="5"/>
      <c r="W31" s="5"/>
      <c r="X31" s="5"/>
    </row>
    <row r="32" customFormat="false" ht="15" hidden="false" customHeight="false" outlineLevel="0" collapsed="false">
      <c r="A32" s="5"/>
      <c r="B32" s="6" t="s">
        <v>396</v>
      </c>
      <c r="C32" s="59" t="str">
        <f aca="false">IFERROR(C22+C28,"n/a")</f>
        <v>n/a</v>
      </c>
      <c r="D32" s="5"/>
      <c r="E32" s="5"/>
      <c r="F32" s="5"/>
      <c r="G32" s="5"/>
      <c r="H32" s="5"/>
      <c r="I32" s="5"/>
      <c r="J32" s="5"/>
      <c r="K32" s="5"/>
      <c r="L32" s="5"/>
      <c r="M32" s="5"/>
      <c r="N32" s="5"/>
      <c r="O32" s="5"/>
      <c r="P32" s="5"/>
      <c r="Q32" s="5"/>
      <c r="R32" s="5"/>
      <c r="S32" s="5"/>
      <c r="T32" s="5"/>
      <c r="U32" s="5"/>
      <c r="V32" s="5"/>
      <c r="W32" s="5"/>
      <c r="X32" s="5"/>
    </row>
    <row r="33" customFormat="false" ht="15" hidden="false" customHeight="false" outlineLevel="0" collapsed="false">
      <c r="A33" s="5"/>
      <c r="B33" s="6" t="s">
        <v>397</v>
      </c>
      <c r="C33" s="59" t="n">
        <f aca="false">C22+C30</f>
        <v>6693954.93788011</v>
      </c>
      <c r="D33" s="5"/>
      <c r="E33" s="5"/>
      <c r="F33" s="5"/>
      <c r="G33" s="5"/>
      <c r="H33" s="5"/>
      <c r="I33" s="5"/>
      <c r="J33" s="5"/>
      <c r="K33" s="5"/>
      <c r="L33" s="5"/>
      <c r="M33" s="5"/>
      <c r="N33" s="5"/>
      <c r="O33" s="5"/>
      <c r="P33" s="5"/>
      <c r="Q33" s="5"/>
      <c r="R33" s="5"/>
      <c r="S33" s="5"/>
      <c r="T33" s="5"/>
      <c r="U33" s="5"/>
      <c r="V33" s="5"/>
      <c r="W33" s="5"/>
      <c r="X33" s="5"/>
    </row>
    <row r="34" customFormat="false" ht="15" hidden="false" customHeight="false" outlineLevel="0" collapsed="false">
      <c r="A34" s="5"/>
      <c r="B34" s="6" t="s">
        <v>398</v>
      </c>
      <c r="C34" s="61" t="n">
        <f aca="false">IFERROR((C32+C33)/2,C33)</f>
        <v>6693954.93788011</v>
      </c>
      <c r="D34" s="5"/>
      <c r="E34" s="5"/>
      <c r="F34" s="5"/>
      <c r="G34" s="5"/>
      <c r="H34" s="5"/>
      <c r="I34" s="5"/>
      <c r="J34" s="5"/>
      <c r="K34" s="5"/>
      <c r="L34" s="5"/>
      <c r="M34" s="5"/>
      <c r="N34" s="5"/>
      <c r="O34" s="5"/>
      <c r="P34" s="5"/>
      <c r="Q34" s="5"/>
      <c r="R34" s="5"/>
      <c r="S34" s="5"/>
      <c r="T34" s="5"/>
      <c r="U34" s="5"/>
      <c r="V34" s="5"/>
      <c r="W34" s="5"/>
      <c r="X34" s="5"/>
    </row>
    <row r="35" customFormat="false" ht="15" hidden="false" customHeight="false" outlineLevel="0" collapsed="false">
      <c r="A35" s="5"/>
      <c r="B35" s="5"/>
      <c r="C35" s="5"/>
      <c r="D35" s="5"/>
      <c r="E35" s="5"/>
      <c r="F35" s="5"/>
      <c r="G35" s="5"/>
      <c r="H35" s="5"/>
      <c r="I35" s="5"/>
      <c r="J35" s="5"/>
      <c r="K35" s="5"/>
      <c r="L35" s="5"/>
      <c r="M35" s="5"/>
      <c r="N35" s="5"/>
      <c r="O35" s="5"/>
      <c r="P35" s="5"/>
      <c r="Q35" s="5"/>
      <c r="R35" s="5"/>
      <c r="S35" s="5"/>
      <c r="T35" s="5"/>
      <c r="U35" s="5"/>
      <c r="V35" s="5"/>
      <c r="W35" s="5"/>
      <c r="X35" s="5"/>
    </row>
    <row r="36" customFormat="false" ht="15" hidden="false" customHeight="false" outlineLevel="0" collapsed="false">
      <c r="A36" s="5"/>
      <c r="B36" s="21" t="s">
        <v>399</v>
      </c>
      <c r="C36" s="22"/>
      <c r="D36" s="22"/>
      <c r="E36" s="22"/>
      <c r="F36" s="22"/>
      <c r="G36" s="22"/>
      <c r="H36" s="22"/>
      <c r="I36" s="22"/>
      <c r="J36" s="22"/>
      <c r="K36" s="22"/>
      <c r="L36" s="22"/>
      <c r="M36" s="5"/>
      <c r="N36" s="5"/>
      <c r="O36" s="5"/>
      <c r="P36" s="5"/>
      <c r="Q36" s="5"/>
      <c r="R36" s="5"/>
      <c r="S36" s="5"/>
      <c r="T36" s="5"/>
      <c r="U36" s="5"/>
      <c r="V36" s="5"/>
      <c r="W36" s="5"/>
      <c r="X36" s="5"/>
    </row>
    <row r="37" customFormat="false" ht="15" hidden="false" customHeight="false" outlineLevel="0" collapsed="false">
      <c r="A37" s="5"/>
      <c r="B37" s="53" t="s">
        <v>400</v>
      </c>
      <c r="C37" s="56" t="n">
        <f aca="false">IFERROR(Revenue!C26/Project_Pipeline!C24,0)</f>
        <v>0</v>
      </c>
      <c r="D37" s="56" t="n">
        <f aca="false">IFERROR(Revenue!D26/Project_Pipeline!D24,0)</f>
        <v>0</v>
      </c>
      <c r="E37" s="56" t="n">
        <f aca="false">IFERROR(Revenue!E26/Project_Pipeline!E24,0)</f>
        <v>26.1947675101543</v>
      </c>
      <c r="F37" s="56" t="n">
        <f aca="false">IFERROR(Revenue!F26/Project_Pipeline!F24,0)</f>
        <v>27.4277516092037</v>
      </c>
      <c r="G37" s="56" t="n">
        <f aca="false">IFERROR(Revenue!G26/Project_Pipeline!G24,0)</f>
        <v>28.7255874101649</v>
      </c>
      <c r="H37" s="56" t="n">
        <f aca="false">IFERROR(Revenue!H26/Project_Pipeline!H24,0)</f>
        <v>30.0914006510114</v>
      </c>
      <c r="I37" s="56" t="n">
        <f aca="false">IFERROR(Revenue!I26/Project_Pipeline!I24,0)</f>
        <v>31.5284156695829</v>
      </c>
      <c r="J37" s="56" t="n">
        <f aca="false">IFERROR(Revenue!J26/Project_Pipeline!J24,0)</f>
        <v>33.0400971563787</v>
      </c>
      <c r="K37" s="56" t="n">
        <f aca="false">IFERROR(Revenue!K26/Project_Pipeline!K24,0)</f>
        <v>34.6300630086924</v>
      </c>
      <c r="L37" s="56" t="n">
        <f aca="false">IFERROR(Revenue!L26/Project_Pipeline!L24,0)</f>
        <v>36.3020983395084</v>
      </c>
      <c r="M37" s="5"/>
      <c r="N37" s="5"/>
      <c r="O37" s="5"/>
      <c r="P37" s="5"/>
      <c r="Q37" s="5"/>
      <c r="R37" s="5"/>
      <c r="S37" s="5"/>
      <c r="T37" s="5"/>
      <c r="U37" s="5"/>
      <c r="V37" s="5"/>
      <c r="W37" s="5"/>
      <c r="X37" s="5"/>
    </row>
    <row r="38" customFormat="false" ht="15" hidden="false" customHeight="false" outlineLevel="0" collapsed="false">
      <c r="A38" s="5"/>
      <c r="B38" s="53" t="s">
        <v>401</v>
      </c>
      <c r="C38" s="56" t="n">
        <f aca="false">IFERROR((COGS!C18+OpEx!C21)/Project_Pipeline!C24,0)</f>
        <v>0</v>
      </c>
      <c r="D38" s="56" t="n">
        <f aca="false">IFERROR((COGS!D18+OpEx!D21)/Project_Pipeline!D24,0)</f>
        <v>0</v>
      </c>
      <c r="E38" s="56" t="n">
        <f aca="false">IFERROR((COGS!E18+OpEx!E21)/Project_Pipeline!E24,0)</f>
        <v>23.2468934564383</v>
      </c>
      <c r="F38" s="56" t="n">
        <f aca="false">IFERROR((COGS!F18+OpEx!F21)/Project_Pipeline!F24,0)</f>
        <v>21.7955936139188</v>
      </c>
      <c r="G38" s="56" t="n">
        <f aca="false">IFERROR((COGS!G18+OpEx!G21)/Project_Pipeline!G24,0)</f>
        <v>21.2094505996372</v>
      </c>
      <c r="H38" s="56" t="n">
        <f aca="false">IFERROR((COGS!H18+OpEx!H21)/Project_Pipeline!H24,0)</f>
        <v>20.1332360171894</v>
      </c>
      <c r="I38" s="56" t="n">
        <f aca="false">IFERROR((COGS!I18+OpEx!I21)/Project_Pipeline!I24,0)</f>
        <v>19.6938933814029</v>
      </c>
      <c r="J38" s="56" t="n">
        <f aca="false">IFERROR((COGS!J18+OpEx!J21)/Project_Pipeline!J24,0)</f>
        <v>18.9471585933859</v>
      </c>
      <c r="K38" s="56" t="n">
        <f aca="false">IFERROR((COGS!K18+OpEx!K21)/Project_Pipeline!K24,0)</f>
        <v>18.6728023295172</v>
      </c>
      <c r="L38" s="56" t="n">
        <f aca="false">IFERROR((COGS!L18+OpEx!L21)/Project_Pipeline!L24,0)</f>
        <v>18.2132227335923</v>
      </c>
      <c r="M38" s="5"/>
      <c r="N38" s="5"/>
      <c r="O38" s="5"/>
      <c r="P38" s="5"/>
      <c r="Q38" s="5"/>
      <c r="R38" s="5"/>
      <c r="S38" s="5"/>
      <c r="T38" s="5"/>
      <c r="U38" s="5"/>
      <c r="V38" s="5"/>
      <c r="W38" s="5"/>
      <c r="X38" s="5"/>
    </row>
    <row r="39" customFormat="false" ht="15" hidden="false" customHeight="false" outlineLevel="0" collapsed="false">
      <c r="A39" s="5"/>
      <c r="B39" s="53" t="s">
        <v>402</v>
      </c>
      <c r="C39" s="56" t="n">
        <f aca="false">C37-C38</f>
        <v>0</v>
      </c>
      <c r="D39" s="56" t="n">
        <f aca="false">D37-D38</f>
        <v>0</v>
      </c>
      <c r="E39" s="56" t="n">
        <f aca="false">E37-E38</f>
        <v>2.94787405371598</v>
      </c>
      <c r="F39" s="56" t="n">
        <f aca="false">F37-F38</f>
        <v>5.63215799528483</v>
      </c>
      <c r="G39" s="56" t="n">
        <f aca="false">G37-G38</f>
        <v>7.51613681052771</v>
      </c>
      <c r="H39" s="56" t="n">
        <f aca="false">H37-H38</f>
        <v>9.95816463382197</v>
      </c>
      <c r="I39" s="56" t="n">
        <f aca="false">I37-I38</f>
        <v>11.83452228818</v>
      </c>
      <c r="J39" s="56" t="n">
        <f aca="false">J37-J38</f>
        <v>14.0929385629928</v>
      </c>
      <c r="K39" s="56" t="n">
        <f aca="false">K37-K38</f>
        <v>15.9572606791753</v>
      </c>
      <c r="L39" s="56" t="n">
        <f aca="false">L37-L38</f>
        <v>18.0888756059162</v>
      </c>
      <c r="M39" s="5"/>
      <c r="N39" s="5"/>
      <c r="O39" s="5"/>
      <c r="P39" s="5"/>
      <c r="Q39" s="5"/>
      <c r="R39" s="5"/>
      <c r="S39" s="5"/>
      <c r="T39" s="5"/>
      <c r="U39" s="5"/>
      <c r="V39" s="5"/>
      <c r="W39" s="5"/>
      <c r="X39" s="5"/>
    </row>
    <row r="40" customFormat="false" ht="15" hidden="false" customHeight="false" outlineLevel="0" collapsed="false">
      <c r="A40" s="5"/>
      <c r="B40" s="5"/>
      <c r="C40" s="5"/>
      <c r="D40" s="5"/>
      <c r="E40" s="5"/>
      <c r="F40" s="5"/>
      <c r="G40" s="5"/>
      <c r="H40" s="5"/>
      <c r="I40" s="5"/>
      <c r="J40" s="5"/>
      <c r="K40" s="5"/>
      <c r="L40" s="5"/>
      <c r="M40" s="5"/>
      <c r="N40" s="5"/>
      <c r="O40" s="5"/>
      <c r="P40" s="5"/>
      <c r="Q40" s="5"/>
      <c r="R40" s="5"/>
      <c r="S40" s="5"/>
      <c r="T40" s="5"/>
      <c r="U40" s="5"/>
      <c r="V40" s="5"/>
      <c r="W40" s="5"/>
      <c r="X40" s="5"/>
    </row>
    <row r="41" customFormat="false" ht="15" hidden="false" customHeight="false" outlineLevel="0" collapsed="false">
      <c r="A41" s="5"/>
      <c r="B41" s="21" t="s">
        <v>403</v>
      </c>
      <c r="C41" s="22"/>
      <c r="D41" s="22"/>
      <c r="E41" s="22"/>
      <c r="F41" s="22"/>
      <c r="G41" s="22"/>
      <c r="H41" s="22"/>
      <c r="I41" s="22"/>
      <c r="J41" s="22"/>
      <c r="K41" s="22"/>
      <c r="L41" s="22"/>
      <c r="M41" s="5"/>
      <c r="N41" s="5"/>
      <c r="O41" s="5"/>
      <c r="P41" s="5"/>
      <c r="Q41" s="5"/>
      <c r="R41" s="5"/>
      <c r="S41" s="5"/>
      <c r="T41" s="5"/>
      <c r="U41" s="5"/>
      <c r="V41" s="5"/>
      <c r="W41" s="5"/>
      <c r="X41" s="5"/>
    </row>
    <row r="42" customFormat="false" ht="15" hidden="false" customHeight="false" outlineLevel="0" collapsed="false">
      <c r="A42" s="5"/>
      <c r="B42" s="53" t="s">
        <v>404</v>
      </c>
      <c r="C42" s="5"/>
      <c r="D42" s="5"/>
      <c r="E42" s="5"/>
      <c r="F42" s="5"/>
      <c r="G42" s="5"/>
      <c r="H42" s="5"/>
      <c r="I42" s="5"/>
      <c r="J42" s="5"/>
      <c r="K42" s="5"/>
      <c r="L42" s="5"/>
      <c r="M42" s="5"/>
      <c r="N42" s="58" t="n">
        <f aca="false">-Equity_Injection-Debt_Amount</f>
        <v>-30000000</v>
      </c>
      <c r="O42" s="58" t="n">
        <f aca="false">C16</f>
        <v>-13875586.3013699</v>
      </c>
      <c r="P42" s="58" t="n">
        <f aca="false">D16</f>
        <v>-4030750.61643836</v>
      </c>
      <c r="Q42" s="58" t="n">
        <f aca="false">E16</f>
        <v>-3009204.27353808</v>
      </c>
      <c r="R42" s="58" t="n">
        <f aca="false">F16</f>
        <v>-2801446.06817488</v>
      </c>
      <c r="S42" s="58" t="n">
        <f aca="false">G16</f>
        <v>-3082837.18896699</v>
      </c>
      <c r="T42" s="58" t="n">
        <f aca="false">H16</f>
        <v>-3216658.04381497</v>
      </c>
      <c r="U42" s="58" t="n">
        <f aca="false">I16</f>
        <v>-3562215.22702482</v>
      </c>
      <c r="V42" s="58" t="n">
        <f aca="false">J16</f>
        <v>-3787244.54223992</v>
      </c>
      <c r="W42" s="58" t="n">
        <f aca="false">K16</f>
        <v>-4111950.82407076</v>
      </c>
      <c r="X42" s="58" t="n">
        <f aca="false">L16+C29</f>
        <v>106285687.986754</v>
      </c>
    </row>
    <row r="43" customFormat="false" ht="15" hidden="false" customHeight="false" outlineLevel="0" collapsed="false">
      <c r="A43" s="5"/>
      <c r="B43" s="5"/>
      <c r="C43" s="5"/>
      <c r="D43" s="5"/>
      <c r="E43" s="5"/>
      <c r="F43" s="5"/>
      <c r="G43" s="5"/>
      <c r="H43" s="5"/>
      <c r="I43" s="5"/>
      <c r="J43" s="5"/>
      <c r="K43" s="5"/>
      <c r="L43" s="5"/>
      <c r="M43" s="5"/>
      <c r="N43" s="5"/>
      <c r="O43" s="5"/>
      <c r="P43" s="5"/>
      <c r="Q43" s="5"/>
      <c r="R43" s="5"/>
      <c r="S43" s="5"/>
      <c r="T43" s="5"/>
      <c r="U43" s="5"/>
      <c r="V43" s="5"/>
      <c r="W43" s="5"/>
      <c r="X43" s="5"/>
    </row>
    <row r="44" customFormat="false" ht="15" hidden="false" customHeight="false" outlineLevel="0" collapsed="false">
      <c r="A44" s="5"/>
      <c r="B44" s="6" t="s">
        <v>405</v>
      </c>
      <c r="C44" s="67" t="n">
        <f aca="false">IFERROR(IRR(N42:X42),"n/a")</f>
        <v>0.0518419122257747</v>
      </c>
      <c r="D44" s="5"/>
      <c r="E44" s="5"/>
      <c r="F44" s="5"/>
      <c r="G44" s="5"/>
      <c r="H44" s="5"/>
      <c r="I44" s="5"/>
      <c r="J44" s="5"/>
      <c r="K44" s="5"/>
      <c r="L44" s="5"/>
      <c r="M44" s="5"/>
      <c r="N44" s="5"/>
      <c r="O44" s="5"/>
      <c r="P44" s="5"/>
      <c r="Q44" s="5"/>
      <c r="R44" s="5"/>
      <c r="S44" s="5"/>
      <c r="T44" s="5"/>
      <c r="U44" s="5"/>
      <c r="V44" s="5"/>
      <c r="W44" s="5"/>
      <c r="X44" s="5"/>
    </row>
    <row r="45" customFormat="false" ht="15" hidden="false" customHeight="false" outlineLevel="0" collapsed="false">
      <c r="A45" s="5"/>
      <c r="B45" s="6" t="s">
        <v>406</v>
      </c>
      <c r="C45" s="68" t="n">
        <f aca="false">IFERROR(SUM(O42:X42)/-N42,0)</f>
        <v>2.16025983003717</v>
      </c>
      <c r="D45" s="5"/>
      <c r="E45" s="5"/>
      <c r="F45" s="5"/>
      <c r="G45" s="5"/>
      <c r="H45" s="5"/>
      <c r="I45" s="5"/>
      <c r="J45" s="5"/>
      <c r="K45" s="5"/>
      <c r="L45" s="5"/>
      <c r="M45" s="5"/>
      <c r="N45" s="5"/>
      <c r="O45" s="5"/>
      <c r="P45" s="5"/>
      <c r="Q45" s="5"/>
      <c r="R45" s="5"/>
      <c r="S45" s="5"/>
      <c r="T45" s="5"/>
      <c r="U45" s="5"/>
      <c r="V45" s="5"/>
      <c r="W45" s="5"/>
      <c r="X45" s="5"/>
    </row>
    <row r="46" customFormat="false" ht="15" hidden="false" customHeight="false" outlineLevel="0" collapsed="false">
      <c r="A46" s="5"/>
      <c r="B46" s="6" t="s">
        <v>407</v>
      </c>
      <c r="C46" s="66" t="n">
        <f aca="false">N42+C22+C30</f>
        <v>-23306045.0621199</v>
      </c>
      <c r="D46" s="5"/>
      <c r="E46" s="5"/>
      <c r="F46" s="5"/>
      <c r="G46" s="5"/>
      <c r="H46" s="5"/>
      <c r="I46" s="5"/>
      <c r="J46" s="5"/>
      <c r="K46" s="5"/>
      <c r="L46" s="5"/>
      <c r="M46" s="5"/>
      <c r="N46" s="5"/>
      <c r="O46" s="5"/>
      <c r="P46" s="5"/>
      <c r="Q46" s="5"/>
      <c r="R46" s="5"/>
      <c r="S46" s="5"/>
      <c r="T46" s="5"/>
      <c r="U46" s="5"/>
      <c r="V46" s="5"/>
      <c r="W46" s="5"/>
      <c r="X46"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L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4"/>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48" t="s">
        <v>408</v>
      </c>
      <c r="C2" s="5"/>
      <c r="D2" s="5"/>
      <c r="E2" s="5"/>
      <c r="F2" s="5"/>
      <c r="G2" s="5"/>
      <c r="H2" s="5"/>
      <c r="I2" s="5"/>
      <c r="J2" s="5"/>
      <c r="K2" s="5"/>
      <c r="L2" s="5"/>
    </row>
    <row r="3" customFormat="false" ht="15" hidden="false" customHeight="false" outlineLevel="0" collapsed="false">
      <c r="A3" s="5"/>
      <c r="B3" s="9" t="s">
        <v>409</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49" t="s">
        <v>226</v>
      </c>
      <c r="C6" s="50" t="n">
        <v>2026</v>
      </c>
      <c r="D6" s="50" t="n">
        <v>2027</v>
      </c>
      <c r="E6" s="50" t="n">
        <v>2028</v>
      </c>
      <c r="F6" s="50" t="n">
        <v>2029</v>
      </c>
      <c r="G6" s="50" t="n">
        <v>2030</v>
      </c>
      <c r="H6" s="50" t="n">
        <v>2031</v>
      </c>
      <c r="I6" s="50" t="n">
        <v>2032</v>
      </c>
      <c r="J6" s="50" t="n">
        <v>2033</v>
      </c>
      <c r="K6" s="50" t="n">
        <v>2034</v>
      </c>
      <c r="L6" s="50" t="n">
        <v>2035</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21" t="s">
        <v>363</v>
      </c>
      <c r="C8" s="22"/>
      <c r="D8" s="22"/>
      <c r="E8" s="22"/>
      <c r="F8" s="22"/>
      <c r="G8" s="22"/>
      <c r="H8" s="22"/>
      <c r="I8" s="22"/>
      <c r="J8" s="22"/>
      <c r="K8" s="22"/>
      <c r="L8" s="22"/>
    </row>
    <row r="9" customFormat="false" ht="15" hidden="false" customHeight="false" outlineLevel="0" collapsed="false">
      <c r="A9" s="5"/>
      <c r="B9" s="53" t="s">
        <v>410</v>
      </c>
      <c r="C9" s="69" t="str">
        <f aca="false">IF(ABS(Balance_Sheet!C28)&lt;1,"PASS","FAIL")</f>
        <v>PASS</v>
      </c>
      <c r="D9" s="69" t="str">
        <f aca="false">IF(ABS(Balance_Sheet!D28)&lt;1,"PASS","FAIL")</f>
        <v>PASS</v>
      </c>
      <c r="E9" s="69" t="str">
        <f aca="false">IF(ABS(Balance_Sheet!E28)&lt;1,"PASS","FAIL")</f>
        <v>PASS</v>
      </c>
      <c r="F9" s="69" t="str">
        <f aca="false">IF(ABS(Balance_Sheet!F28)&lt;1,"PASS","FAIL")</f>
        <v>PASS</v>
      </c>
      <c r="G9" s="69" t="str">
        <f aca="false">IF(ABS(Balance_Sheet!G28)&lt;1,"PASS","FAIL")</f>
        <v>PASS</v>
      </c>
      <c r="H9" s="69" t="str">
        <f aca="false">IF(ABS(Balance_Sheet!H28)&lt;1,"PASS","FAIL")</f>
        <v>PASS</v>
      </c>
      <c r="I9" s="69" t="str">
        <f aca="false">IF(ABS(Balance_Sheet!I28)&lt;1,"PASS","FAIL")</f>
        <v>PASS</v>
      </c>
      <c r="J9" s="69" t="str">
        <f aca="false">IF(ABS(Balance_Sheet!J28)&lt;1,"PASS","FAIL")</f>
        <v>PASS</v>
      </c>
      <c r="K9" s="69" t="str">
        <f aca="false">IF(ABS(Balance_Sheet!K28)&lt;1,"PASS","FAIL")</f>
        <v>PASS</v>
      </c>
      <c r="L9" s="69" t="str">
        <f aca="false">IF(ABS(Balance_Sheet!L28)&lt;1,"PASS","FAIL")</f>
        <v>PASS</v>
      </c>
    </row>
    <row r="10" customFormat="false" ht="15" hidden="false" customHeight="false" outlineLevel="0" collapsed="false">
      <c r="A10" s="5"/>
      <c r="B10" s="5"/>
      <c r="C10" s="5"/>
      <c r="D10" s="5"/>
      <c r="E10" s="5"/>
      <c r="F10" s="5"/>
      <c r="G10" s="5"/>
      <c r="H10" s="5"/>
      <c r="I10" s="5"/>
      <c r="J10" s="5"/>
      <c r="K10" s="5"/>
      <c r="L10" s="5"/>
    </row>
    <row r="11" customFormat="false" ht="15" hidden="false" customHeight="false" outlineLevel="0" collapsed="false">
      <c r="A11" s="5"/>
      <c r="B11" s="21" t="s">
        <v>411</v>
      </c>
      <c r="C11" s="22"/>
      <c r="D11" s="22"/>
      <c r="E11" s="22"/>
      <c r="F11" s="22"/>
      <c r="G11" s="22"/>
      <c r="H11" s="22"/>
      <c r="I11" s="22"/>
      <c r="J11" s="22"/>
      <c r="K11" s="22"/>
      <c r="L11" s="22"/>
    </row>
    <row r="12" customFormat="false" ht="15" hidden="false" customHeight="false" outlineLevel="0" collapsed="false">
      <c r="A12" s="5"/>
      <c r="B12" s="53" t="s">
        <v>412</v>
      </c>
      <c r="C12" s="69" t="str">
        <f aca="false">IF(Cash_Flow!C28&gt;=0,"PASS","FAIL")</f>
        <v>PASS</v>
      </c>
      <c r="D12" s="69" t="str">
        <f aca="false">IF(Cash_Flow!D28&gt;=0,"PASS","FAIL")</f>
        <v>PASS</v>
      </c>
      <c r="E12" s="69" t="str">
        <f aca="false">IF(Cash_Flow!E28&gt;=0,"PASS","FAIL")</f>
        <v>PASS</v>
      </c>
      <c r="F12" s="69" t="str">
        <f aca="false">IF(Cash_Flow!F28&gt;=0,"PASS","FAIL")</f>
        <v>PASS</v>
      </c>
      <c r="G12" s="69" t="str">
        <f aca="false">IF(Cash_Flow!G28&gt;=0,"PASS","FAIL")</f>
        <v>PASS</v>
      </c>
      <c r="H12" s="69" t="str">
        <f aca="false">IF(Cash_Flow!H28&gt;=0,"PASS","FAIL")</f>
        <v>PASS</v>
      </c>
      <c r="I12" s="69" t="str">
        <f aca="false">IF(Cash_Flow!I28&gt;=0,"PASS","FAIL")</f>
        <v>PASS</v>
      </c>
      <c r="J12" s="69" t="str">
        <f aca="false">IF(Cash_Flow!J28&gt;=0,"PASS","FAIL")</f>
        <v>PASS</v>
      </c>
      <c r="K12" s="69" t="str">
        <f aca="false">IF(Cash_Flow!K28&gt;=0,"PASS","FAIL")</f>
        <v>PASS</v>
      </c>
      <c r="L12" s="69" t="str">
        <f aca="false">IF(Cash_Flow!L28&gt;=0,"PASS","FAIL")</f>
        <v>PASS</v>
      </c>
    </row>
    <row r="13" customFormat="false" ht="15" hidden="false" customHeight="false" outlineLevel="0" collapsed="false">
      <c r="A13" s="5"/>
      <c r="B13" s="5"/>
      <c r="C13" s="5"/>
      <c r="D13" s="5"/>
      <c r="E13" s="5"/>
      <c r="F13" s="5"/>
      <c r="G13" s="5"/>
      <c r="H13" s="5"/>
      <c r="I13" s="5"/>
      <c r="J13" s="5"/>
      <c r="K13" s="5"/>
      <c r="L13" s="5"/>
    </row>
    <row r="14" customFormat="false" ht="15" hidden="false" customHeight="false" outlineLevel="0" collapsed="false">
      <c r="A14" s="5"/>
      <c r="B14" s="21" t="s">
        <v>413</v>
      </c>
      <c r="C14" s="22"/>
      <c r="D14" s="22"/>
      <c r="E14" s="22"/>
      <c r="F14" s="22"/>
      <c r="G14" s="22"/>
      <c r="H14" s="22"/>
      <c r="I14" s="22"/>
      <c r="J14" s="22"/>
      <c r="K14" s="22"/>
      <c r="L14" s="22"/>
    </row>
    <row r="15" customFormat="false" ht="15" hidden="false" customHeight="false" outlineLevel="0" collapsed="false">
      <c r="A15" s="5"/>
      <c r="B15" s="53" t="s">
        <v>414</v>
      </c>
      <c r="C15" s="69" t="str">
        <f aca="false">IF(Project_Pipeline!C20&gt;=0,"PASS","FAIL")</f>
        <v>PASS</v>
      </c>
      <c r="D15" s="69" t="str">
        <f aca="false">IF(Project_Pipeline!D20&gt;=0,"PASS","FAIL")</f>
        <v>PASS</v>
      </c>
      <c r="E15" s="69" t="str">
        <f aca="false">IF(Project_Pipeline!E20&gt;=0,"PASS","FAIL")</f>
        <v>PASS</v>
      </c>
      <c r="F15" s="69" t="str">
        <f aca="false">IF(Project_Pipeline!F20&gt;=0,"PASS","FAIL")</f>
        <v>PASS</v>
      </c>
      <c r="G15" s="69" t="str">
        <f aca="false">IF(Project_Pipeline!G20&gt;=0,"PASS","FAIL")</f>
        <v>PASS</v>
      </c>
      <c r="H15" s="69" t="str">
        <f aca="false">IF(Project_Pipeline!H20&gt;=0,"PASS","FAIL")</f>
        <v>PASS</v>
      </c>
      <c r="I15" s="69" t="str">
        <f aca="false">IF(Project_Pipeline!I20&gt;=0,"PASS","FAIL")</f>
        <v>PASS</v>
      </c>
      <c r="J15" s="69" t="str">
        <f aca="false">IF(Project_Pipeline!J20&gt;=0,"PASS","FAIL")</f>
        <v>PASS</v>
      </c>
      <c r="K15" s="69" t="str">
        <f aca="false">IF(Project_Pipeline!K20&gt;=0,"PASS","FAIL")</f>
        <v>PASS</v>
      </c>
      <c r="L15" s="69" t="str">
        <f aca="false">IF(Project_Pipeline!L20&gt;=0,"PASS","FAIL")</f>
        <v>PASS</v>
      </c>
    </row>
    <row r="16" customFormat="false" ht="15" hidden="false" customHeight="false" outlineLevel="0" collapsed="false">
      <c r="A16" s="5"/>
      <c r="B16" s="53" t="s">
        <v>415</v>
      </c>
      <c r="C16" s="69" t="str">
        <f aca="false">IF(ABS(Project_Pipeline!C25+Project_Pipeline!C26-Project_Pipeline!C24)&lt;0.001,"PASS","FAIL")</f>
        <v>PASS</v>
      </c>
      <c r="D16" s="69" t="str">
        <f aca="false">IF(ABS(Project_Pipeline!D25+Project_Pipeline!D26-Project_Pipeline!D24)&lt;0.001,"PASS","FAIL")</f>
        <v>PASS</v>
      </c>
      <c r="E16" s="69" t="str">
        <f aca="false">IF(ABS(Project_Pipeline!E25+Project_Pipeline!E26-Project_Pipeline!E24)&lt;0.001,"PASS","FAIL")</f>
        <v>PASS</v>
      </c>
      <c r="F16" s="69" t="str">
        <f aca="false">IF(ABS(Project_Pipeline!F25+Project_Pipeline!F26-Project_Pipeline!F24)&lt;0.001,"PASS","FAIL")</f>
        <v>PASS</v>
      </c>
      <c r="G16" s="69" t="str">
        <f aca="false">IF(ABS(Project_Pipeline!G25+Project_Pipeline!G26-Project_Pipeline!G24)&lt;0.001,"PASS","FAIL")</f>
        <v>PASS</v>
      </c>
      <c r="H16" s="69" t="str">
        <f aca="false">IF(ABS(Project_Pipeline!H25+Project_Pipeline!H26-Project_Pipeline!H24)&lt;0.001,"PASS","FAIL")</f>
        <v>PASS</v>
      </c>
      <c r="I16" s="69" t="str">
        <f aca="false">IF(ABS(Project_Pipeline!I25+Project_Pipeline!I26-Project_Pipeline!I24)&lt;0.001,"PASS","FAIL")</f>
        <v>PASS</v>
      </c>
      <c r="J16" s="69" t="str">
        <f aca="false">IF(ABS(Project_Pipeline!J25+Project_Pipeline!J26-Project_Pipeline!J24)&lt;0.001,"PASS","FAIL")</f>
        <v>PASS</v>
      </c>
      <c r="K16" s="69" t="str">
        <f aca="false">IF(ABS(Project_Pipeline!K25+Project_Pipeline!K26-Project_Pipeline!K24)&lt;0.001,"PASS","FAIL")</f>
        <v>PASS</v>
      </c>
      <c r="L16" s="69" t="str">
        <f aca="false">IF(ABS(Project_Pipeline!L25+Project_Pipeline!L26-Project_Pipeline!L24)&lt;0.001,"PASS","FAIL")</f>
        <v>PASS</v>
      </c>
    </row>
    <row r="17" customFormat="false" ht="15" hidden="false" customHeight="false" outlineLevel="0" collapsed="false">
      <c r="A17" s="5"/>
      <c r="B17" s="5"/>
      <c r="C17" s="5"/>
      <c r="D17" s="5"/>
      <c r="E17" s="5"/>
      <c r="F17" s="5"/>
      <c r="G17" s="5"/>
      <c r="H17" s="5"/>
      <c r="I17" s="5"/>
      <c r="J17" s="5"/>
      <c r="K17" s="5"/>
      <c r="L17" s="5"/>
    </row>
    <row r="18" customFormat="false" ht="15" hidden="false" customHeight="false" outlineLevel="0" collapsed="false">
      <c r="A18" s="5"/>
      <c r="B18" s="21" t="s">
        <v>416</v>
      </c>
      <c r="C18" s="22"/>
      <c r="D18" s="22"/>
      <c r="E18" s="22"/>
      <c r="F18" s="22"/>
      <c r="G18" s="22"/>
      <c r="H18" s="22"/>
      <c r="I18" s="22"/>
      <c r="J18" s="22"/>
      <c r="K18" s="22"/>
      <c r="L18" s="22"/>
    </row>
    <row r="19" customFormat="false" ht="15" hidden="false" customHeight="false" outlineLevel="0" collapsed="false">
      <c r="A19" s="5"/>
      <c r="B19" s="53" t="s">
        <v>417</v>
      </c>
      <c r="C19" s="69" t="str">
        <f aca="false">IF(Debt_Schedule!C12&lt;=Debt_Schedule!C9,"PASS","FAIL")</f>
        <v>PASS</v>
      </c>
      <c r="D19" s="69" t="str">
        <f aca="false">IF(Debt_Schedule!D12&lt;=Debt_Schedule!D9,"PASS","FAIL")</f>
        <v>PASS</v>
      </c>
      <c r="E19" s="69" t="str">
        <f aca="false">IF(Debt_Schedule!E12&lt;=Debt_Schedule!E9,"PASS","FAIL")</f>
        <v>PASS</v>
      </c>
      <c r="F19" s="69" t="str">
        <f aca="false">IF(Debt_Schedule!F12&lt;=Debt_Schedule!F9,"PASS","FAIL")</f>
        <v>PASS</v>
      </c>
      <c r="G19" s="69" t="str">
        <f aca="false">IF(Debt_Schedule!G12&lt;=Debt_Schedule!G9,"PASS","FAIL")</f>
        <v>PASS</v>
      </c>
      <c r="H19" s="69" t="str">
        <f aca="false">IF(Debt_Schedule!H12&lt;=Debt_Schedule!H9,"PASS","FAIL")</f>
        <v>PASS</v>
      </c>
      <c r="I19" s="69" t="str">
        <f aca="false">IF(Debt_Schedule!I12&lt;=Debt_Schedule!I9,"PASS","FAIL")</f>
        <v>PASS</v>
      </c>
      <c r="J19" s="69" t="str">
        <f aca="false">IF(Debt_Schedule!J12&lt;=Debt_Schedule!J9,"PASS","FAIL")</f>
        <v>PASS</v>
      </c>
      <c r="K19" s="69" t="str">
        <f aca="false">IF(Debt_Schedule!K12&lt;=Debt_Schedule!K9,"PASS","FAIL")</f>
        <v>PASS</v>
      </c>
      <c r="L19" s="69" t="str">
        <f aca="false">IF(Debt_Schedule!L12&lt;=Debt_Schedule!L9,"PASS","FAIL")</f>
        <v>PASS</v>
      </c>
    </row>
    <row r="20" customFormat="false" ht="15" hidden="false" customHeight="false" outlineLevel="0" collapsed="false">
      <c r="A20" s="5"/>
      <c r="B20" s="53" t="s">
        <v>418</v>
      </c>
      <c r="C20" s="69" t="str">
        <f aca="false">IF(Debt_Schedule!C16=0,"N/A",IF(IFERROR(Cash_Flow!C13/Debt_Schedule!C16,0)&gt;1.25,"PASS","WARN"))</f>
        <v>WARN</v>
      </c>
      <c r="D20" s="69" t="str">
        <f aca="false">IF(Debt_Schedule!D16=0,"N/A",IF(IFERROR(Cash_Flow!D13/Debt_Schedule!D16,0)&gt;1.25,"PASS","WARN"))</f>
        <v>WARN</v>
      </c>
      <c r="E20" s="69" t="str">
        <f aca="false">IF(Debt_Schedule!E16=0,"N/A",IF(IFERROR(Cash_Flow!E13/Debt_Schedule!E16,0)&gt;1.25,"PASS","WARN"))</f>
        <v>WARN</v>
      </c>
      <c r="F20" s="69" t="str">
        <f aca="false">IF(Debt_Schedule!F16=0,"N/A",IF(IFERROR(Cash_Flow!F13/Debt_Schedule!F16,0)&gt;1.25,"PASS","WARN"))</f>
        <v>WARN</v>
      </c>
      <c r="G20" s="69" t="str">
        <f aca="false">IF(Debt_Schedule!G16=0,"N/A",IF(IFERROR(Cash_Flow!G13/Debt_Schedule!G16,0)&gt;1.25,"PASS","WARN"))</f>
        <v>WARN</v>
      </c>
      <c r="H20" s="69" t="str">
        <f aca="false">IF(Debt_Schedule!H16=0,"N/A",IF(IFERROR(Cash_Flow!H13/Debt_Schedule!H16,0)&gt;1.25,"PASS","WARN"))</f>
        <v>PASS</v>
      </c>
      <c r="I20" s="69" t="str">
        <f aca="false">IF(Debt_Schedule!I16=0,"N/A",IF(IFERROR(Cash_Flow!I13/Debt_Schedule!I16,0)&gt;1.25,"PASS","WARN"))</f>
        <v>PASS</v>
      </c>
      <c r="J20" s="69" t="str">
        <f aca="false">IF(Debt_Schedule!J16=0,"N/A",IF(IFERROR(Cash_Flow!J13/Debt_Schedule!J16,0)&gt;1.25,"PASS","WARN"))</f>
        <v>N/A</v>
      </c>
      <c r="K20" s="69" t="str">
        <f aca="false">IF(Debt_Schedule!K16=0,"N/A",IF(IFERROR(Cash_Flow!K13/Debt_Schedule!K16,0)&gt;1.25,"PASS","WARN"))</f>
        <v>N/A</v>
      </c>
      <c r="L20" s="69" t="str">
        <f aca="false">IF(Debt_Schedule!L16=0,"N/A",IF(IFERROR(Cash_Flow!L13/Debt_Schedule!L16,0)&gt;1.25,"PASS","WARN"))</f>
        <v>N/A</v>
      </c>
    </row>
    <row r="21" customFormat="false" ht="15" hidden="false" customHeight="false" outlineLevel="0" collapsed="false">
      <c r="A21" s="5"/>
      <c r="B21" s="5"/>
      <c r="C21" s="5"/>
      <c r="D21" s="5"/>
      <c r="E21" s="5"/>
      <c r="F21" s="5"/>
      <c r="G21" s="5"/>
      <c r="H21" s="5"/>
      <c r="I21" s="5"/>
      <c r="J21" s="5"/>
      <c r="K21" s="5"/>
      <c r="L21" s="5"/>
    </row>
    <row r="22" customFormat="false" ht="15" hidden="false" customHeight="false" outlineLevel="0" collapsed="false">
      <c r="A22" s="5"/>
      <c r="B22" s="21" t="s">
        <v>419</v>
      </c>
      <c r="C22" s="22"/>
      <c r="D22" s="22"/>
      <c r="E22" s="22"/>
      <c r="F22" s="22"/>
      <c r="G22" s="22"/>
      <c r="H22" s="22"/>
      <c r="I22" s="22"/>
      <c r="J22" s="22"/>
      <c r="K22" s="22"/>
      <c r="L22" s="22"/>
    </row>
    <row r="23" customFormat="false" ht="15" hidden="false" customHeight="false" outlineLevel="0" collapsed="false">
      <c r="A23" s="5"/>
      <c r="B23" s="53" t="s">
        <v>420</v>
      </c>
      <c r="C23" s="69" t="str">
        <f aca="false">IF(Project_Pipeline!C7&lt;=Issuance_Lag,"N/A",IF(Revenue!C26&gt;0,"PASS","FAIL"))</f>
        <v>N/A</v>
      </c>
      <c r="D23" s="69" t="str">
        <f aca="false">IF(Project_Pipeline!D7&lt;=Issuance_Lag,"N/A",IF(Revenue!D26&gt;0,"PASS","FAIL"))</f>
        <v>N/A</v>
      </c>
      <c r="E23" s="69" t="str">
        <f aca="false">IF(Project_Pipeline!E7&lt;=Issuance_Lag,"N/A",IF(Revenue!E26&gt;0,"PASS","FAIL"))</f>
        <v>PASS</v>
      </c>
      <c r="F23" s="69" t="str">
        <f aca="false">IF(Project_Pipeline!F7&lt;=Issuance_Lag,"N/A",IF(Revenue!F26&gt;0,"PASS","FAIL"))</f>
        <v>PASS</v>
      </c>
      <c r="G23" s="69" t="str">
        <f aca="false">IF(Project_Pipeline!G7&lt;=Issuance_Lag,"N/A",IF(Revenue!G26&gt;0,"PASS","FAIL"))</f>
        <v>PASS</v>
      </c>
      <c r="H23" s="69" t="str">
        <f aca="false">IF(Project_Pipeline!H7&lt;=Issuance_Lag,"N/A",IF(Revenue!H26&gt;0,"PASS","FAIL"))</f>
        <v>PASS</v>
      </c>
      <c r="I23" s="69" t="str">
        <f aca="false">IF(Project_Pipeline!I7&lt;=Issuance_Lag,"N/A",IF(Revenue!I26&gt;0,"PASS","FAIL"))</f>
        <v>PASS</v>
      </c>
      <c r="J23" s="69" t="str">
        <f aca="false">IF(Project_Pipeline!J7&lt;=Issuance_Lag,"N/A",IF(Revenue!J26&gt;0,"PASS","FAIL"))</f>
        <v>PASS</v>
      </c>
      <c r="K23" s="69" t="str">
        <f aca="false">IF(Project_Pipeline!K7&lt;=Issuance_Lag,"N/A",IF(Revenue!K26&gt;0,"PASS","FAIL"))</f>
        <v>PASS</v>
      </c>
      <c r="L23" s="69" t="str">
        <f aca="false">IF(Project_Pipeline!L7&lt;=Issuance_Lag,"N/A",IF(Revenue!L26&gt;0,"PASS","FAIL"))</f>
        <v>PASS</v>
      </c>
    </row>
    <row r="24" customFormat="false" ht="15" hidden="false" customHeight="false" outlineLevel="0" collapsed="false">
      <c r="A24" s="5"/>
      <c r="B24" s="5"/>
      <c r="C24" s="5"/>
      <c r="D24" s="5"/>
      <c r="E24" s="5"/>
      <c r="F24" s="5"/>
      <c r="G24" s="5"/>
      <c r="H24" s="5"/>
      <c r="I24" s="5"/>
      <c r="J24" s="5"/>
      <c r="K24" s="5"/>
      <c r="L24" s="5"/>
    </row>
    <row r="25" customFormat="false" ht="15" hidden="false" customHeight="false" outlineLevel="0" collapsed="false">
      <c r="A25" s="5"/>
      <c r="B25" s="21" t="s">
        <v>370</v>
      </c>
      <c r="C25" s="22"/>
      <c r="D25" s="22"/>
      <c r="E25" s="22"/>
      <c r="F25" s="22"/>
      <c r="G25" s="22"/>
      <c r="H25" s="22"/>
      <c r="I25" s="22"/>
      <c r="J25" s="22"/>
      <c r="K25" s="22"/>
      <c r="L25" s="22"/>
    </row>
    <row r="26" customFormat="false" ht="15" hidden="false" customHeight="false" outlineLevel="0" collapsed="false">
      <c r="A26" s="5"/>
      <c r="B26" s="53" t="s">
        <v>421</v>
      </c>
      <c r="C26" s="69" t="str">
        <f aca="false">IF(Revenue!C22&gt;=-1,"PASS","FAIL")</f>
        <v>PASS</v>
      </c>
      <c r="D26" s="69" t="str">
        <f aca="false">IF(Revenue!D22&gt;=-1,"PASS","FAIL")</f>
        <v>PASS</v>
      </c>
      <c r="E26" s="69" t="str">
        <f aca="false">IF(Revenue!E22&gt;=-1,"PASS","FAIL")</f>
        <v>PASS</v>
      </c>
      <c r="F26" s="69" t="str">
        <f aca="false">IF(Revenue!F22&gt;=-1,"PASS","FAIL")</f>
        <v>PASS</v>
      </c>
      <c r="G26" s="69" t="str">
        <f aca="false">IF(Revenue!G22&gt;=-1,"PASS","FAIL")</f>
        <v>PASS</v>
      </c>
      <c r="H26" s="69" t="str">
        <f aca="false">IF(Revenue!H22&gt;=-1,"PASS","FAIL")</f>
        <v>PASS</v>
      </c>
      <c r="I26" s="69" t="str">
        <f aca="false">IF(Revenue!I22&gt;=-1,"PASS","FAIL")</f>
        <v>PASS</v>
      </c>
      <c r="J26" s="69" t="str">
        <f aca="false">IF(Revenue!J22&gt;=-1,"PASS","FAIL")</f>
        <v>PASS</v>
      </c>
      <c r="K26" s="69" t="str">
        <f aca="false">IF(Revenue!K22&gt;=-1,"PASS","FAIL")</f>
        <v>PASS</v>
      </c>
      <c r="L26" s="69" t="str">
        <f aca="false">IF(Revenue!L22&gt;=-1,"PASS","FAIL")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9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3" min="3" style="0" width="16"/>
    <col collapsed="false" customWidth="true" hidden="false" outlineLevel="0" max="4" min="4" style="0" width="12"/>
    <col collapsed="false" customWidth="true" hidden="false" outlineLevel="0" max="5" min="5" style="0" width="44"/>
    <col collapsed="false" customWidth="true" hidden="false" outlineLevel="0" max="6" min="6" style="0" width="18"/>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62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19" t="s">
        <v>63</v>
      </c>
      <c r="C6" s="20" t="s">
        <v>64</v>
      </c>
      <c r="D6" s="19" t="s">
        <v>65</v>
      </c>
      <c r="E6" s="19" t="s">
        <v>66</v>
      </c>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21" t="s">
        <v>67</v>
      </c>
      <c r="C8" s="22"/>
      <c r="D8" s="22"/>
      <c r="E8" s="22"/>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23" t="s">
        <v>68</v>
      </c>
      <c r="C9" s="24" t="n">
        <v>25</v>
      </c>
      <c r="D9" s="25" t="s">
        <v>69</v>
      </c>
      <c r="E9" s="26" t="s">
        <v>70</v>
      </c>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23" t="s">
        <v>71</v>
      </c>
      <c r="C10" s="27" t="n">
        <v>0.05</v>
      </c>
      <c r="D10" s="25"/>
      <c r="E10" s="26" t="s">
        <v>72</v>
      </c>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23" t="s">
        <v>73</v>
      </c>
      <c r="C11" s="27" t="n">
        <v>0.2</v>
      </c>
      <c r="D11" s="25"/>
      <c r="E11" s="26" t="s">
        <v>74</v>
      </c>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23" t="s">
        <v>75</v>
      </c>
      <c r="C12" s="28" t="n">
        <v>2</v>
      </c>
      <c r="D12" s="25" t="s">
        <v>76</v>
      </c>
      <c r="E12" s="26" t="s">
        <v>77</v>
      </c>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23" t="s">
        <v>78</v>
      </c>
      <c r="C13" s="28" t="n">
        <v>12000</v>
      </c>
      <c r="D13" s="25" t="s">
        <v>79</v>
      </c>
      <c r="E13" s="26" t="s">
        <v>80</v>
      </c>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23" t="s">
        <v>81</v>
      </c>
      <c r="C14" s="27" t="n">
        <v>0.2</v>
      </c>
      <c r="D14" s="25"/>
      <c r="E14" s="26" t="s">
        <v>82</v>
      </c>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21" t="s">
        <v>83</v>
      </c>
      <c r="C19" s="22"/>
      <c r="D19" s="22"/>
      <c r="E19" s="22"/>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23" t="s">
        <v>84</v>
      </c>
      <c r="C20" s="27" t="n">
        <v>0.15</v>
      </c>
      <c r="D20" s="25"/>
      <c r="E20" s="26" t="s">
        <v>85</v>
      </c>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23" t="s">
        <v>86</v>
      </c>
      <c r="C21" s="27" t="n">
        <v>0.07</v>
      </c>
      <c r="D21" s="25"/>
      <c r="E21" s="26" t="s">
        <v>87</v>
      </c>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23" t="s">
        <v>88</v>
      </c>
      <c r="C22" s="27" t="n">
        <v>0.1</v>
      </c>
      <c r="D22" s="25"/>
      <c r="E22" s="26" t="s">
        <v>89</v>
      </c>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23" t="s">
        <v>90</v>
      </c>
      <c r="C23" s="27" t="n">
        <v>0.05</v>
      </c>
      <c r="D23" s="25"/>
      <c r="E23" s="26" t="s">
        <v>91</v>
      </c>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21" t="s">
        <v>92</v>
      </c>
      <c r="C25" s="22"/>
      <c r="D25" s="22"/>
      <c r="E25" s="22"/>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29" t="s">
        <v>93</v>
      </c>
      <c r="C26" s="30" t="s">
        <v>94</v>
      </c>
      <c r="D26" s="30" t="s">
        <v>95</v>
      </c>
      <c r="E26" s="30" t="s">
        <v>96</v>
      </c>
      <c r="F26" s="30" t="s">
        <v>97</v>
      </c>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7" t="s">
        <v>98</v>
      </c>
      <c r="C27" s="27" t="n">
        <v>0.5</v>
      </c>
      <c r="D27" s="31" t="n">
        <v>12</v>
      </c>
      <c r="E27" s="24" t="n">
        <v>25</v>
      </c>
      <c r="F27" s="28" t="n">
        <v>30</v>
      </c>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7" t="s">
        <v>99</v>
      </c>
      <c r="C28" s="27" t="n">
        <v>0.25</v>
      </c>
      <c r="D28" s="31" t="n">
        <v>8</v>
      </c>
      <c r="E28" s="24" t="n">
        <v>20</v>
      </c>
      <c r="F28" s="28" t="n">
        <v>20</v>
      </c>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7" t="s">
        <v>100</v>
      </c>
      <c r="C29" s="27" t="n">
        <v>0.15</v>
      </c>
      <c r="D29" s="31" t="n">
        <v>5</v>
      </c>
      <c r="E29" s="24" t="n">
        <v>18</v>
      </c>
      <c r="F29" s="28" t="n">
        <v>30</v>
      </c>
      <c r="G29" s="5"/>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7" t="s">
        <v>101</v>
      </c>
      <c r="C30" s="27" t="n">
        <v>0.1</v>
      </c>
      <c r="D30" s="31" t="n">
        <v>15</v>
      </c>
      <c r="E30" s="24" t="n">
        <v>35</v>
      </c>
      <c r="F30" s="28" t="n">
        <v>40</v>
      </c>
      <c r="G30" s="5"/>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32" t="s">
        <v>102</v>
      </c>
      <c r="C31" s="33" t="n">
        <f aca="false">SUM(C27:C30)</f>
        <v>1</v>
      </c>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34" t="s">
        <v>103</v>
      </c>
      <c r="C32" s="35" t="n">
        <f aca="false">SUMPRODUCT(C27:C30,D27:D30)</f>
        <v>10.25</v>
      </c>
      <c r="D32" s="36" t="s">
        <v>104</v>
      </c>
      <c r="E32" s="9" t="s">
        <v>105</v>
      </c>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34" t="s">
        <v>106</v>
      </c>
      <c r="C33" s="37" t="n">
        <f aca="false">SUMPRODUCT(C27:C30,E27:E30)</f>
        <v>23.7</v>
      </c>
      <c r="D33" s="36" t="s">
        <v>69</v>
      </c>
      <c r="E33" s="9" t="s">
        <v>107</v>
      </c>
      <c r="F33" s="5"/>
      <c r="G33" s="5"/>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21" t="s">
        <v>108</v>
      </c>
      <c r="C35" s="22"/>
      <c r="D35" s="22"/>
      <c r="E35" s="22"/>
      <c r="F35" s="5"/>
      <c r="G35" s="5"/>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23" t="s">
        <v>109</v>
      </c>
      <c r="C36" s="27" t="n">
        <v>0.6</v>
      </c>
      <c r="D36" s="25"/>
      <c r="E36" s="26" t="s">
        <v>110</v>
      </c>
      <c r="F36" s="5"/>
      <c r="G36" s="5"/>
      <c r="H36" s="5"/>
      <c r="I36" s="5"/>
      <c r="J36" s="5"/>
      <c r="K36" s="5"/>
      <c r="L36" s="5"/>
      <c r="M36" s="5"/>
      <c r="N36" s="5"/>
      <c r="O36" s="5"/>
      <c r="P36" s="5"/>
      <c r="Q36" s="5"/>
      <c r="R36" s="5"/>
      <c r="S36" s="5"/>
      <c r="T36" s="5"/>
      <c r="U36" s="5"/>
      <c r="V36" s="5"/>
      <c r="W36" s="5"/>
      <c r="X36" s="5"/>
      <c r="Y36" s="5"/>
      <c r="Z36" s="5"/>
      <c r="AA36" s="5"/>
      <c r="AB36" s="5"/>
      <c r="AC36" s="5"/>
      <c r="AD36" s="5"/>
    </row>
    <row r="37" customFormat="false" ht="15" hidden="false" customHeight="false" outlineLevel="0" collapsed="false">
      <c r="A37" s="5"/>
      <c r="B37" s="23" t="s">
        <v>111</v>
      </c>
      <c r="C37" s="27" t="n">
        <v>0.4</v>
      </c>
      <c r="D37" s="25"/>
      <c r="E37" s="26" t="s">
        <v>112</v>
      </c>
      <c r="F37" s="5"/>
      <c r="G37" s="5"/>
      <c r="H37" s="5"/>
      <c r="I37" s="5"/>
      <c r="J37" s="5"/>
      <c r="K37" s="5"/>
      <c r="L37" s="5"/>
      <c r="M37" s="5"/>
      <c r="N37" s="5"/>
      <c r="O37" s="5"/>
      <c r="P37" s="5"/>
      <c r="Q37" s="5"/>
      <c r="R37" s="5"/>
      <c r="S37" s="5"/>
      <c r="T37" s="5"/>
      <c r="U37" s="5"/>
      <c r="V37" s="5"/>
      <c r="W37" s="5"/>
      <c r="X37" s="5"/>
      <c r="Y37" s="5"/>
      <c r="Z37" s="5"/>
      <c r="AA37" s="5"/>
      <c r="AB37" s="5"/>
      <c r="AC37" s="5"/>
      <c r="AD37" s="5"/>
    </row>
    <row r="38" customFormat="false" ht="15" hidden="false" customHeight="false" outlineLevel="0" collapsed="false">
      <c r="A38" s="5"/>
      <c r="B38" s="23" t="s">
        <v>113</v>
      </c>
      <c r="C38" s="27" t="n">
        <v>0.2</v>
      </c>
      <c r="D38" s="25"/>
      <c r="E38" s="26" t="s">
        <v>114</v>
      </c>
      <c r="F38" s="5"/>
      <c r="G38" s="5"/>
      <c r="H38" s="5"/>
      <c r="I38" s="5"/>
      <c r="J38" s="5"/>
      <c r="K38" s="5"/>
      <c r="L38" s="5"/>
      <c r="M38" s="5"/>
      <c r="N38" s="5"/>
      <c r="O38" s="5"/>
      <c r="P38" s="5"/>
      <c r="Q38" s="5"/>
      <c r="R38" s="5"/>
      <c r="S38" s="5"/>
      <c r="T38" s="5"/>
      <c r="U38" s="5"/>
      <c r="V38" s="5"/>
      <c r="W38" s="5"/>
      <c r="X38" s="5"/>
      <c r="Y38" s="5"/>
      <c r="Z38" s="5"/>
      <c r="AA38" s="5"/>
      <c r="AB38" s="5"/>
      <c r="AC38" s="5"/>
      <c r="AD38" s="5"/>
    </row>
    <row r="39" customFormat="false" ht="15" hidden="false" customHeight="false" outlineLevel="0" collapsed="false">
      <c r="A39" s="5"/>
      <c r="B39" s="23" t="s">
        <v>115</v>
      </c>
      <c r="C39" s="27" t="n">
        <v>0.05</v>
      </c>
      <c r="D39" s="25"/>
      <c r="E39" s="26" t="s">
        <v>116</v>
      </c>
      <c r="F39" s="5"/>
      <c r="G39" s="5"/>
      <c r="H39" s="5"/>
      <c r="I39" s="5"/>
      <c r="J39" s="5"/>
      <c r="K39" s="5"/>
      <c r="L39" s="5"/>
      <c r="M39" s="5"/>
      <c r="N39" s="5"/>
      <c r="O39" s="5"/>
      <c r="P39" s="5"/>
      <c r="Q39" s="5"/>
      <c r="R39" s="5"/>
      <c r="S39" s="5"/>
      <c r="T39" s="5"/>
      <c r="U39" s="5"/>
      <c r="V39" s="5"/>
      <c r="W39" s="5"/>
      <c r="X39" s="5"/>
      <c r="Y39" s="5"/>
      <c r="Z39" s="5"/>
      <c r="AA39" s="5"/>
      <c r="AB39" s="5"/>
      <c r="AC39" s="5"/>
      <c r="AD39" s="5"/>
    </row>
    <row r="40" customFormat="false" ht="15" hidden="false" customHeight="false" outlineLevel="0" collapsed="false">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customFormat="false" ht="15" hidden="false" customHeight="false" outlineLevel="0" collapsed="false">
      <c r="A41" s="5"/>
      <c r="B41" s="21" t="s">
        <v>117</v>
      </c>
      <c r="C41" s="22"/>
      <c r="D41" s="22"/>
      <c r="E41" s="22"/>
      <c r="F41" s="5"/>
      <c r="G41" s="5"/>
      <c r="H41" s="5"/>
      <c r="I41" s="5"/>
      <c r="J41" s="5"/>
      <c r="K41" s="5"/>
      <c r="L41" s="5"/>
      <c r="M41" s="5"/>
      <c r="N41" s="5"/>
      <c r="O41" s="5"/>
      <c r="P41" s="5"/>
      <c r="Q41" s="5"/>
      <c r="R41" s="5"/>
      <c r="S41" s="5"/>
      <c r="T41" s="5"/>
      <c r="U41" s="5"/>
      <c r="V41" s="5"/>
      <c r="W41" s="5"/>
      <c r="X41" s="5"/>
      <c r="Y41" s="5"/>
      <c r="Z41" s="5"/>
      <c r="AA41" s="5"/>
      <c r="AB41" s="5"/>
      <c r="AC41" s="5"/>
      <c r="AD41" s="5"/>
    </row>
    <row r="42" customFormat="false" ht="15" hidden="false" customHeight="false" outlineLevel="0" collapsed="false">
      <c r="A42" s="5"/>
      <c r="B42" s="23" t="s">
        <v>118</v>
      </c>
      <c r="C42" s="28" t="n">
        <v>50000</v>
      </c>
      <c r="D42" s="25" t="s">
        <v>119</v>
      </c>
      <c r="E42" s="26" t="s">
        <v>120</v>
      </c>
      <c r="F42" s="5"/>
      <c r="G42" s="5"/>
      <c r="H42" s="5"/>
      <c r="I42" s="5"/>
      <c r="J42" s="5"/>
      <c r="K42" s="5"/>
      <c r="L42" s="5"/>
      <c r="M42" s="5"/>
      <c r="N42" s="5"/>
      <c r="O42" s="5"/>
      <c r="P42" s="5"/>
      <c r="Q42" s="5"/>
      <c r="R42" s="5"/>
      <c r="S42" s="5"/>
      <c r="T42" s="5"/>
      <c r="U42" s="5"/>
      <c r="V42" s="5"/>
      <c r="W42" s="5"/>
      <c r="X42" s="5"/>
      <c r="Y42" s="5"/>
      <c r="Z42" s="5"/>
      <c r="AA42" s="5"/>
      <c r="AB42" s="5"/>
      <c r="AC42" s="5"/>
      <c r="AD42" s="5"/>
    </row>
    <row r="43" customFormat="false" ht="15" hidden="false" customHeight="false" outlineLevel="0" collapsed="false">
      <c r="A43" s="5"/>
      <c r="B43" s="23" t="s">
        <v>121</v>
      </c>
      <c r="C43" s="27" t="n">
        <v>0.15</v>
      </c>
      <c r="D43" s="25"/>
      <c r="E43" s="26" t="s">
        <v>122</v>
      </c>
      <c r="F43" s="5"/>
      <c r="G43" s="5"/>
      <c r="H43" s="5"/>
      <c r="I43" s="5"/>
      <c r="J43" s="5"/>
      <c r="K43" s="5"/>
      <c r="L43" s="5"/>
      <c r="M43" s="5"/>
      <c r="N43" s="5"/>
      <c r="O43" s="5"/>
      <c r="P43" s="5"/>
      <c r="Q43" s="5"/>
      <c r="R43" s="5"/>
      <c r="S43" s="5"/>
      <c r="T43" s="5"/>
      <c r="U43" s="5"/>
      <c r="V43" s="5"/>
      <c r="W43" s="5"/>
      <c r="X43" s="5"/>
      <c r="Y43" s="5"/>
      <c r="Z43" s="5"/>
      <c r="AA43" s="5"/>
      <c r="AB43" s="5"/>
      <c r="AC43" s="5"/>
      <c r="AD43" s="5"/>
    </row>
    <row r="44" customFormat="false" ht="15" hidden="false" customHeight="false" outlineLevel="0" collapsed="false">
      <c r="A44" s="5"/>
      <c r="B44" s="23" t="s">
        <v>123</v>
      </c>
      <c r="C44" s="27" t="n">
        <v>0.08</v>
      </c>
      <c r="D44" s="25"/>
      <c r="E44" s="26" t="s">
        <v>124</v>
      </c>
      <c r="F44" s="5"/>
      <c r="G44" s="5"/>
      <c r="H44" s="5"/>
      <c r="I44" s="5"/>
      <c r="J44" s="5"/>
      <c r="K44" s="5"/>
      <c r="L44" s="5"/>
      <c r="M44" s="5"/>
      <c r="N44" s="5"/>
      <c r="O44" s="5"/>
      <c r="P44" s="5"/>
      <c r="Q44" s="5"/>
      <c r="R44" s="5"/>
      <c r="S44" s="5"/>
      <c r="T44" s="5"/>
      <c r="U44" s="5"/>
      <c r="V44" s="5"/>
      <c r="W44" s="5"/>
      <c r="X44" s="5"/>
      <c r="Y44" s="5"/>
      <c r="Z44" s="5"/>
      <c r="AA44" s="5"/>
      <c r="AB44" s="5"/>
      <c r="AC44" s="5"/>
      <c r="AD44" s="5"/>
    </row>
    <row r="45" customFormat="false" ht="15" hidden="false" customHeight="false" outlineLevel="0" collapsed="false">
      <c r="A45" s="5"/>
      <c r="B45" s="23" t="s">
        <v>125</v>
      </c>
      <c r="C45" s="24" t="n">
        <v>18</v>
      </c>
      <c r="D45" s="25" t="s">
        <v>69</v>
      </c>
      <c r="E45" s="26" t="s">
        <v>126</v>
      </c>
      <c r="F45" s="5"/>
      <c r="G45" s="5"/>
      <c r="H45" s="5"/>
      <c r="I45" s="5"/>
      <c r="J45" s="5"/>
      <c r="K45" s="5"/>
      <c r="L45" s="5"/>
      <c r="M45" s="5"/>
      <c r="N45" s="5"/>
      <c r="O45" s="5"/>
      <c r="P45" s="5"/>
      <c r="Q45" s="5"/>
      <c r="R45" s="5"/>
      <c r="S45" s="5"/>
      <c r="T45" s="5"/>
      <c r="U45" s="5"/>
      <c r="V45" s="5"/>
      <c r="W45" s="5"/>
      <c r="X45" s="5"/>
      <c r="Y45" s="5"/>
      <c r="Z45" s="5"/>
      <c r="AA45" s="5"/>
      <c r="AB45" s="5"/>
      <c r="AC45" s="5"/>
      <c r="AD45" s="5"/>
    </row>
    <row r="46" customFormat="false" ht="15" hidden="false" customHeight="false" outlineLevel="0" collapsed="false">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customFormat="false" ht="15" hidden="false" customHeight="false" outlineLevel="0" collapsed="false">
      <c r="A47" s="5"/>
      <c r="B47" s="21" t="s">
        <v>127</v>
      </c>
      <c r="C47" s="22"/>
      <c r="D47" s="22"/>
      <c r="E47" s="22"/>
      <c r="F47" s="5"/>
      <c r="G47" s="5"/>
      <c r="H47" s="5"/>
      <c r="I47" s="5"/>
      <c r="J47" s="5"/>
      <c r="K47" s="5"/>
      <c r="L47" s="5"/>
      <c r="M47" s="5"/>
      <c r="N47" s="5"/>
      <c r="O47" s="5"/>
      <c r="P47" s="5"/>
      <c r="Q47" s="5"/>
      <c r="R47" s="5"/>
      <c r="S47" s="5"/>
      <c r="T47" s="5"/>
      <c r="U47" s="5"/>
      <c r="V47" s="5"/>
      <c r="W47" s="5"/>
      <c r="X47" s="5"/>
      <c r="Y47" s="5"/>
      <c r="Z47" s="5"/>
      <c r="AA47" s="5"/>
      <c r="AB47" s="5"/>
      <c r="AC47" s="5"/>
      <c r="AD47" s="5"/>
    </row>
    <row r="48" customFormat="false" ht="15" hidden="false" customHeight="false" outlineLevel="0" collapsed="false">
      <c r="A48" s="5"/>
      <c r="B48" s="23" t="s">
        <v>128</v>
      </c>
      <c r="C48" s="24" t="n">
        <v>0.2</v>
      </c>
      <c r="D48" s="25" t="s">
        <v>69</v>
      </c>
      <c r="E48" s="26" t="s">
        <v>129</v>
      </c>
      <c r="F48" s="5"/>
      <c r="G48" s="5"/>
      <c r="H48" s="5"/>
      <c r="I48" s="5"/>
      <c r="J48" s="5"/>
      <c r="K48" s="5"/>
      <c r="L48" s="5"/>
      <c r="M48" s="5"/>
      <c r="N48" s="5"/>
      <c r="O48" s="5"/>
      <c r="P48" s="5"/>
      <c r="Q48" s="5"/>
      <c r="R48" s="5"/>
      <c r="S48" s="5"/>
      <c r="T48" s="5"/>
      <c r="U48" s="5"/>
      <c r="V48" s="5"/>
      <c r="W48" s="5"/>
      <c r="X48" s="5"/>
      <c r="Y48" s="5"/>
      <c r="Z48" s="5"/>
      <c r="AA48" s="5"/>
      <c r="AB48" s="5"/>
      <c r="AC48" s="5"/>
      <c r="AD48" s="5"/>
    </row>
    <row r="49" customFormat="false" ht="15" hidden="false" customHeight="false" outlineLevel="0" collapsed="false">
      <c r="A49" s="5"/>
      <c r="B49" s="23" t="s">
        <v>130</v>
      </c>
      <c r="C49" s="27" t="n">
        <v>0.2</v>
      </c>
      <c r="D49" s="25"/>
      <c r="E49" s="26" t="s">
        <v>131</v>
      </c>
      <c r="F49" s="5"/>
      <c r="G49" s="5"/>
      <c r="H49" s="5"/>
      <c r="I49" s="5"/>
      <c r="J49" s="5"/>
      <c r="K49" s="5"/>
      <c r="L49" s="5"/>
      <c r="M49" s="5"/>
      <c r="N49" s="5"/>
      <c r="O49" s="5"/>
      <c r="P49" s="5"/>
      <c r="Q49" s="5"/>
      <c r="R49" s="5"/>
      <c r="S49" s="5"/>
      <c r="T49" s="5"/>
      <c r="U49" s="5"/>
      <c r="V49" s="5"/>
      <c r="W49" s="5"/>
      <c r="X49" s="5"/>
      <c r="Y49" s="5"/>
      <c r="Z49" s="5"/>
      <c r="AA49" s="5"/>
      <c r="AB49" s="5"/>
      <c r="AC49" s="5"/>
      <c r="AD49" s="5"/>
    </row>
    <row r="50" customFormat="false" ht="15" hidden="false" customHeight="false" outlineLevel="0" collapsed="false">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customFormat="false" ht="15" hidden="false" customHeight="false" outlineLevel="0" collapsed="false">
      <c r="A51" s="5"/>
      <c r="B51" s="21" t="s">
        <v>132</v>
      </c>
      <c r="C51" s="22"/>
      <c r="D51" s="22"/>
      <c r="E51" s="22"/>
      <c r="F51" s="5"/>
      <c r="G51" s="5"/>
      <c r="H51" s="5"/>
      <c r="I51" s="5"/>
      <c r="J51" s="5"/>
      <c r="K51" s="5"/>
      <c r="L51" s="5"/>
      <c r="M51" s="5"/>
      <c r="N51" s="5"/>
      <c r="O51" s="5"/>
      <c r="P51" s="5"/>
      <c r="Q51" s="5"/>
      <c r="R51" s="5"/>
      <c r="S51" s="5"/>
      <c r="T51" s="5"/>
      <c r="U51" s="5"/>
      <c r="V51" s="5"/>
      <c r="W51" s="5"/>
      <c r="X51" s="5"/>
      <c r="Y51" s="5"/>
      <c r="Z51" s="5"/>
      <c r="AA51" s="5"/>
      <c r="AB51" s="5"/>
      <c r="AC51" s="5"/>
      <c r="AD51" s="5"/>
    </row>
    <row r="52" customFormat="false" ht="15" hidden="false" customHeight="false" outlineLevel="0" collapsed="false">
      <c r="A52" s="5"/>
      <c r="B52" s="23" t="s">
        <v>133</v>
      </c>
      <c r="C52" s="38" t="n">
        <v>200000</v>
      </c>
      <c r="D52" s="25" t="s">
        <v>134</v>
      </c>
      <c r="E52" s="26" t="s">
        <v>135</v>
      </c>
      <c r="F52" s="5"/>
      <c r="G52" s="5"/>
      <c r="H52" s="5"/>
      <c r="I52" s="5"/>
      <c r="J52" s="5"/>
      <c r="K52" s="5"/>
      <c r="L52" s="5"/>
      <c r="M52" s="5"/>
      <c r="N52" s="5"/>
      <c r="O52" s="5"/>
      <c r="P52" s="5"/>
      <c r="Q52" s="5"/>
      <c r="R52" s="5"/>
      <c r="S52" s="5"/>
      <c r="T52" s="5"/>
      <c r="U52" s="5"/>
      <c r="V52" s="5"/>
      <c r="W52" s="5"/>
      <c r="X52" s="5"/>
      <c r="Y52" s="5"/>
      <c r="Z52" s="5"/>
      <c r="AA52" s="5"/>
      <c r="AB52" s="5"/>
      <c r="AC52" s="5"/>
      <c r="AD52" s="5"/>
    </row>
    <row r="53" customFormat="false" ht="15" hidden="false" customHeight="false" outlineLevel="0" collapsed="false">
      <c r="A53" s="5"/>
      <c r="B53" s="23" t="s">
        <v>136</v>
      </c>
      <c r="C53" s="38" t="n">
        <v>100000</v>
      </c>
      <c r="D53" s="25" t="s">
        <v>134</v>
      </c>
      <c r="E53" s="26" t="s">
        <v>137</v>
      </c>
      <c r="F53" s="5"/>
      <c r="G53" s="5"/>
      <c r="H53" s="5"/>
      <c r="I53" s="5"/>
      <c r="J53" s="5"/>
      <c r="K53" s="5"/>
      <c r="L53" s="5"/>
      <c r="M53" s="5"/>
      <c r="N53" s="5"/>
      <c r="O53" s="5"/>
      <c r="P53" s="5"/>
      <c r="Q53" s="5"/>
      <c r="R53" s="5"/>
      <c r="S53" s="5"/>
      <c r="T53" s="5"/>
      <c r="U53" s="5"/>
      <c r="V53" s="5"/>
      <c r="W53" s="5"/>
      <c r="X53" s="5"/>
      <c r="Y53" s="5"/>
      <c r="Z53" s="5"/>
      <c r="AA53" s="5"/>
      <c r="AB53" s="5"/>
      <c r="AC53" s="5"/>
      <c r="AD53" s="5"/>
    </row>
    <row r="54" customFormat="false" ht="15" hidden="false" customHeight="false" outlineLevel="0" collapsed="false">
      <c r="A54" s="5"/>
      <c r="B54" s="23" t="s">
        <v>138</v>
      </c>
      <c r="C54" s="38" t="n">
        <v>50000</v>
      </c>
      <c r="D54" s="25" t="s">
        <v>134</v>
      </c>
      <c r="E54" s="26" t="s">
        <v>139</v>
      </c>
      <c r="F54" s="5"/>
      <c r="G54" s="5"/>
      <c r="H54" s="5"/>
      <c r="I54" s="5"/>
      <c r="J54" s="5"/>
      <c r="K54" s="5"/>
      <c r="L54" s="5"/>
      <c r="M54" s="5"/>
      <c r="N54" s="5"/>
      <c r="O54" s="5"/>
      <c r="P54" s="5"/>
      <c r="Q54" s="5"/>
      <c r="R54" s="5"/>
      <c r="S54" s="5"/>
      <c r="T54" s="5"/>
      <c r="U54" s="5"/>
      <c r="V54" s="5"/>
      <c r="W54" s="5"/>
      <c r="X54" s="5"/>
      <c r="Y54" s="5"/>
      <c r="Z54" s="5"/>
      <c r="AA54" s="5"/>
      <c r="AB54" s="5"/>
      <c r="AC54" s="5"/>
      <c r="AD54" s="5"/>
    </row>
    <row r="55" customFormat="false" ht="15" hidden="false" customHeight="false" outlineLevel="0" collapsed="false">
      <c r="A55" s="5"/>
      <c r="B55" s="23" t="s">
        <v>140</v>
      </c>
      <c r="C55" s="38" t="n">
        <v>150000</v>
      </c>
      <c r="D55" s="25" t="s">
        <v>134</v>
      </c>
      <c r="E55" s="26" t="s">
        <v>141</v>
      </c>
      <c r="F55" s="5"/>
      <c r="G55" s="5"/>
      <c r="H55" s="5"/>
      <c r="I55" s="5"/>
      <c r="J55" s="5"/>
      <c r="K55" s="5"/>
      <c r="L55" s="5"/>
      <c r="M55" s="5"/>
      <c r="N55" s="5"/>
      <c r="O55" s="5"/>
      <c r="P55" s="5"/>
      <c r="Q55" s="5"/>
      <c r="R55" s="5"/>
      <c r="S55" s="5"/>
      <c r="T55" s="5"/>
      <c r="U55" s="5"/>
      <c r="V55" s="5"/>
      <c r="W55" s="5"/>
      <c r="X55" s="5"/>
      <c r="Y55" s="5"/>
      <c r="Z55" s="5"/>
      <c r="AA55" s="5"/>
      <c r="AB55" s="5"/>
      <c r="AC55" s="5"/>
      <c r="AD55" s="5"/>
    </row>
    <row r="56" customFormat="false" ht="15" hidden="false" customHeight="false" outlineLevel="0" collapsed="false">
      <c r="A56" s="5"/>
      <c r="B56" s="23" t="s">
        <v>142</v>
      </c>
      <c r="C56" s="27" t="n">
        <v>0.05</v>
      </c>
      <c r="D56" s="25"/>
      <c r="E56" s="26" t="s">
        <v>143</v>
      </c>
      <c r="F56" s="5"/>
      <c r="G56" s="5"/>
      <c r="H56" s="5"/>
      <c r="I56" s="5"/>
      <c r="J56" s="5"/>
      <c r="K56" s="5"/>
      <c r="L56" s="5"/>
      <c r="M56" s="5"/>
      <c r="N56" s="5"/>
      <c r="O56" s="5"/>
      <c r="P56" s="5"/>
      <c r="Q56" s="5"/>
      <c r="R56" s="5"/>
      <c r="S56" s="5"/>
      <c r="T56" s="5"/>
      <c r="U56" s="5"/>
      <c r="V56" s="5"/>
      <c r="W56" s="5"/>
      <c r="X56" s="5"/>
      <c r="Y56" s="5"/>
      <c r="Z56" s="5"/>
      <c r="AA56" s="5"/>
      <c r="AB56" s="5"/>
      <c r="AC56" s="5"/>
      <c r="AD56" s="5"/>
    </row>
    <row r="57" customFormat="false" ht="15" hidden="false" customHeight="false" outlineLevel="0" collapsed="false">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customFormat="false" ht="15" hidden="false" customHeight="false" outlineLevel="0" collapsed="false">
      <c r="A58" s="5"/>
      <c r="B58" s="21" t="s">
        <v>144</v>
      </c>
      <c r="C58" s="22"/>
      <c r="D58" s="22"/>
      <c r="E58" s="22"/>
      <c r="F58" s="5"/>
      <c r="G58" s="5"/>
      <c r="H58" s="5"/>
      <c r="I58" s="5"/>
      <c r="J58" s="5"/>
      <c r="K58" s="5"/>
      <c r="L58" s="5"/>
      <c r="M58" s="5"/>
      <c r="N58" s="5"/>
      <c r="O58" s="5"/>
      <c r="P58" s="5"/>
      <c r="Q58" s="5"/>
      <c r="R58" s="5"/>
      <c r="S58" s="5"/>
      <c r="T58" s="5"/>
      <c r="U58" s="5"/>
      <c r="V58" s="5"/>
      <c r="W58" s="5"/>
      <c r="X58" s="5"/>
      <c r="Y58" s="5"/>
      <c r="Z58" s="5"/>
      <c r="AA58" s="5"/>
      <c r="AB58" s="5"/>
      <c r="AC58" s="5"/>
      <c r="AD58" s="5"/>
    </row>
    <row r="59" customFormat="false" ht="15" hidden="false" customHeight="false" outlineLevel="0" collapsed="false">
      <c r="A59" s="5"/>
      <c r="B59" s="23" t="s">
        <v>145</v>
      </c>
      <c r="C59" s="28" t="n">
        <v>12</v>
      </c>
      <c r="D59" s="25" t="s">
        <v>146</v>
      </c>
      <c r="E59" s="26" t="s">
        <v>147</v>
      </c>
      <c r="F59" s="5"/>
      <c r="G59" s="5"/>
      <c r="H59" s="5"/>
      <c r="I59" s="5"/>
      <c r="J59" s="5"/>
      <c r="K59" s="5"/>
      <c r="L59" s="5"/>
      <c r="M59" s="5"/>
      <c r="N59" s="5"/>
      <c r="O59" s="5"/>
      <c r="P59" s="5"/>
      <c r="Q59" s="5"/>
      <c r="R59" s="5"/>
      <c r="S59" s="5"/>
      <c r="T59" s="5"/>
      <c r="U59" s="5"/>
      <c r="V59" s="5"/>
      <c r="W59" s="5"/>
      <c r="X59" s="5"/>
      <c r="Y59" s="5"/>
      <c r="Z59" s="5"/>
      <c r="AA59" s="5"/>
      <c r="AB59" s="5"/>
      <c r="AC59" s="5"/>
      <c r="AD59" s="5"/>
    </row>
    <row r="60" customFormat="false" ht="15" hidden="false" customHeight="false" outlineLevel="0" collapsed="false">
      <c r="A60" s="5"/>
      <c r="B60" s="23" t="s">
        <v>148</v>
      </c>
      <c r="C60" s="27" t="n">
        <v>0.06</v>
      </c>
      <c r="D60" s="25"/>
      <c r="E60" s="26" t="s">
        <v>149</v>
      </c>
      <c r="F60" s="5"/>
      <c r="G60" s="5"/>
      <c r="H60" s="5"/>
      <c r="I60" s="5"/>
      <c r="J60" s="5"/>
      <c r="K60" s="5"/>
      <c r="L60" s="5"/>
      <c r="M60" s="5"/>
      <c r="N60" s="5"/>
      <c r="O60" s="5"/>
      <c r="P60" s="5"/>
      <c r="Q60" s="5"/>
      <c r="R60" s="5"/>
      <c r="S60" s="5"/>
      <c r="T60" s="5"/>
      <c r="U60" s="5"/>
      <c r="V60" s="5"/>
      <c r="W60" s="5"/>
      <c r="X60" s="5"/>
      <c r="Y60" s="5"/>
      <c r="Z60" s="5"/>
      <c r="AA60" s="5"/>
      <c r="AB60" s="5"/>
      <c r="AC60" s="5"/>
      <c r="AD60" s="5"/>
    </row>
    <row r="61" customFormat="false" ht="15" hidden="false" customHeight="false" outlineLevel="0" collapsed="false">
      <c r="A61" s="5"/>
      <c r="B61" s="23" t="s">
        <v>150</v>
      </c>
      <c r="C61" s="38" t="n">
        <v>85000</v>
      </c>
      <c r="D61" s="25" t="s">
        <v>151</v>
      </c>
      <c r="E61" s="26" t="s">
        <v>152</v>
      </c>
      <c r="F61" s="5"/>
      <c r="G61" s="5"/>
      <c r="H61" s="5"/>
      <c r="I61" s="5"/>
      <c r="J61" s="5"/>
      <c r="K61" s="5"/>
      <c r="L61" s="5"/>
      <c r="M61" s="5"/>
      <c r="N61" s="5"/>
      <c r="O61" s="5"/>
      <c r="P61" s="5"/>
      <c r="Q61" s="5"/>
      <c r="R61" s="5"/>
      <c r="S61" s="5"/>
      <c r="T61" s="5"/>
      <c r="U61" s="5"/>
      <c r="V61" s="5"/>
      <c r="W61" s="5"/>
      <c r="X61" s="5"/>
      <c r="Y61" s="5"/>
      <c r="Z61" s="5"/>
      <c r="AA61" s="5"/>
      <c r="AB61" s="5"/>
      <c r="AC61" s="5"/>
      <c r="AD61" s="5"/>
    </row>
    <row r="62" customFormat="false" ht="15" hidden="false" customHeight="false" outlineLevel="0" collapsed="false">
      <c r="A62" s="5"/>
      <c r="B62" s="23" t="s">
        <v>153</v>
      </c>
      <c r="C62" s="27" t="n">
        <v>0.03</v>
      </c>
      <c r="D62" s="25"/>
      <c r="E62" s="26" t="s">
        <v>154</v>
      </c>
      <c r="F62" s="5"/>
      <c r="G62" s="5"/>
      <c r="H62" s="5"/>
      <c r="I62" s="5"/>
      <c r="J62" s="5"/>
      <c r="K62" s="5"/>
      <c r="L62" s="5"/>
      <c r="M62" s="5"/>
      <c r="N62" s="5"/>
      <c r="O62" s="5"/>
      <c r="P62" s="5"/>
      <c r="Q62" s="5"/>
      <c r="R62" s="5"/>
      <c r="S62" s="5"/>
      <c r="T62" s="5"/>
      <c r="U62" s="5"/>
      <c r="V62" s="5"/>
      <c r="W62" s="5"/>
      <c r="X62" s="5"/>
      <c r="Y62" s="5"/>
      <c r="Z62" s="5"/>
      <c r="AA62" s="5"/>
      <c r="AB62" s="5"/>
      <c r="AC62" s="5"/>
      <c r="AD62" s="5"/>
    </row>
    <row r="63" customFormat="false" ht="15" hidden="false" customHeight="false" outlineLevel="0" collapsed="false">
      <c r="A63" s="5"/>
      <c r="B63" s="23" t="s">
        <v>155</v>
      </c>
      <c r="C63" s="38" t="n">
        <v>150000</v>
      </c>
      <c r="D63" s="25" t="s">
        <v>151</v>
      </c>
      <c r="E63" s="26" t="s">
        <v>156</v>
      </c>
      <c r="F63" s="5"/>
      <c r="G63" s="5"/>
      <c r="H63" s="5"/>
      <c r="I63" s="5"/>
      <c r="J63" s="5"/>
      <c r="K63" s="5"/>
      <c r="L63" s="5"/>
      <c r="M63" s="5"/>
      <c r="N63" s="5"/>
      <c r="O63" s="5"/>
      <c r="P63" s="5"/>
      <c r="Q63" s="5"/>
      <c r="R63" s="5"/>
      <c r="S63" s="5"/>
      <c r="T63" s="5"/>
      <c r="U63" s="5"/>
      <c r="V63" s="5"/>
      <c r="W63" s="5"/>
      <c r="X63" s="5"/>
      <c r="Y63" s="5"/>
      <c r="Z63" s="5"/>
      <c r="AA63" s="5"/>
      <c r="AB63" s="5"/>
      <c r="AC63" s="5"/>
      <c r="AD63" s="5"/>
    </row>
    <row r="64" customFormat="false" ht="15" hidden="false" customHeight="false" outlineLevel="0" collapsed="false">
      <c r="A64" s="5"/>
      <c r="B64" s="23" t="s">
        <v>157</v>
      </c>
      <c r="C64" s="27" t="n">
        <v>0.05</v>
      </c>
      <c r="D64" s="25"/>
      <c r="E64" s="26" t="s">
        <v>158</v>
      </c>
      <c r="F64" s="5"/>
      <c r="G64" s="5"/>
      <c r="H64" s="5"/>
      <c r="I64" s="5"/>
      <c r="J64" s="5"/>
      <c r="K64" s="5"/>
      <c r="L64" s="5"/>
      <c r="M64" s="5"/>
      <c r="N64" s="5"/>
      <c r="O64" s="5"/>
      <c r="P64" s="5"/>
      <c r="Q64" s="5"/>
      <c r="R64" s="5"/>
      <c r="S64" s="5"/>
      <c r="T64" s="5"/>
      <c r="U64" s="5"/>
      <c r="V64" s="5"/>
      <c r="W64" s="5"/>
      <c r="X64" s="5"/>
      <c r="Y64" s="5"/>
      <c r="Z64" s="5"/>
      <c r="AA64" s="5"/>
      <c r="AB64" s="5"/>
      <c r="AC64" s="5"/>
      <c r="AD64" s="5"/>
    </row>
    <row r="65" customFormat="false" ht="15" hidden="false" customHeight="false" outlineLevel="0" collapsed="false">
      <c r="A65" s="5"/>
      <c r="B65" s="23" t="s">
        <v>159</v>
      </c>
      <c r="C65" s="38" t="n">
        <v>100000</v>
      </c>
      <c r="D65" s="25" t="s">
        <v>151</v>
      </c>
      <c r="E65" s="26" t="s">
        <v>160</v>
      </c>
      <c r="F65" s="5"/>
      <c r="G65" s="5"/>
      <c r="H65" s="5"/>
      <c r="I65" s="5"/>
      <c r="J65" s="5"/>
      <c r="K65" s="5"/>
      <c r="L65" s="5"/>
      <c r="M65" s="5"/>
      <c r="N65" s="5"/>
      <c r="O65" s="5"/>
      <c r="P65" s="5"/>
      <c r="Q65" s="5"/>
      <c r="R65" s="5"/>
      <c r="S65" s="5"/>
      <c r="T65" s="5"/>
      <c r="U65" s="5"/>
      <c r="V65" s="5"/>
      <c r="W65" s="5"/>
      <c r="X65" s="5"/>
      <c r="Y65" s="5"/>
      <c r="Z65" s="5"/>
      <c r="AA65" s="5"/>
      <c r="AB65" s="5"/>
      <c r="AC65" s="5"/>
      <c r="AD65" s="5"/>
    </row>
    <row r="66" customFormat="false" ht="15" hidden="false" customHeight="false" outlineLevel="0" collapsed="false">
      <c r="A66" s="5"/>
      <c r="B66" s="23" t="s">
        <v>161</v>
      </c>
      <c r="C66" s="38" t="n">
        <v>75000</v>
      </c>
      <c r="D66" s="25" t="s">
        <v>151</v>
      </c>
      <c r="E66" s="26" t="s">
        <v>162</v>
      </c>
      <c r="F66" s="5"/>
      <c r="G66" s="5"/>
      <c r="H66" s="5"/>
      <c r="I66" s="5"/>
      <c r="J66" s="5"/>
      <c r="K66" s="5"/>
      <c r="L66" s="5"/>
      <c r="M66" s="5"/>
      <c r="N66" s="5"/>
      <c r="O66" s="5"/>
      <c r="P66" s="5"/>
      <c r="Q66" s="5"/>
      <c r="R66" s="5"/>
      <c r="S66" s="5"/>
      <c r="T66" s="5"/>
      <c r="U66" s="5"/>
      <c r="V66" s="5"/>
      <c r="W66" s="5"/>
      <c r="X66" s="5"/>
      <c r="Y66" s="5"/>
      <c r="Z66" s="5"/>
      <c r="AA66" s="5"/>
      <c r="AB66" s="5"/>
      <c r="AC66" s="5"/>
      <c r="AD66" s="5"/>
    </row>
    <row r="67" customFormat="false" ht="15" hidden="false" customHeight="false" outlineLevel="0" collapsed="false">
      <c r="A67" s="5"/>
      <c r="B67" s="23" t="s">
        <v>163</v>
      </c>
      <c r="C67" s="27" t="n">
        <v>0.025</v>
      </c>
      <c r="D67" s="25"/>
      <c r="E67" s="26" t="s">
        <v>164</v>
      </c>
      <c r="F67" s="5"/>
      <c r="G67" s="5"/>
      <c r="H67" s="5"/>
      <c r="I67" s="5"/>
      <c r="J67" s="5"/>
      <c r="K67" s="5"/>
      <c r="L67" s="5"/>
      <c r="M67" s="5"/>
      <c r="N67" s="5"/>
      <c r="O67" s="5"/>
      <c r="P67" s="5"/>
      <c r="Q67" s="5"/>
      <c r="R67" s="5"/>
      <c r="S67" s="5"/>
      <c r="T67" s="5"/>
      <c r="U67" s="5"/>
      <c r="V67" s="5"/>
      <c r="W67" s="5"/>
      <c r="X67" s="5"/>
      <c r="Y67" s="5"/>
      <c r="Z67" s="5"/>
      <c r="AA67" s="5"/>
      <c r="AB67" s="5"/>
      <c r="AC67" s="5"/>
      <c r="AD67" s="5"/>
    </row>
    <row r="68" customFormat="false" ht="15" hidden="false" customHeight="false" outlineLevel="0" collapsed="false">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row>
    <row r="69" customFormat="false" ht="15" hidden="false" customHeight="false" outlineLevel="0" collapsed="false">
      <c r="A69" s="5"/>
      <c r="B69" s="21" t="s">
        <v>165</v>
      </c>
      <c r="C69" s="22"/>
      <c r="D69" s="22"/>
      <c r="E69" s="22"/>
      <c r="F69" s="5"/>
      <c r="G69" s="5"/>
      <c r="H69" s="5"/>
      <c r="I69" s="5"/>
      <c r="J69" s="5"/>
      <c r="K69" s="5"/>
      <c r="L69" s="5"/>
      <c r="M69" s="5"/>
      <c r="N69" s="5"/>
      <c r="O69" s="5"/>
      <c r="P69" s="5"/>
      <c r="Q69" s="5"/>
      <c r="R69" s="5"/>
      <c r="S69" s="5"/>
      <c r="T69" s="5"/>
      <c r="U69" s="5"/>
      <c r="V69" s="5"/>
      <c r="W69" s="5"/>
      <c r="X69" s="5"/>
      <c r="Y69" s="5"/>
      <c r="Z69" s="5"/>
      <c r="AA69" s="5"/>
      <c r="AB69" s="5"/>
      <c r="AC69" s="5"/>
      <c r="AD69" s="5"/>
    </row>
    <row r="70" customFormat="false" ht="15" hidden="false" customHeight="false" outlineLevel="0" collapsed="false">
      <c r="A70" s="5"/>
      <c r="B70" s="23" t="s">
        <v>166</v>
      </c>
      <c r="C70" s="38" t="n">
        <v>1000</v>
      </c>
      <c r="D70" s="25" t="s">
        <v>167</v>
      </c>
      <c r="E70" s="26" t="s">
        <v>168</v>
      </c>
      <c r="F70" s="5"/>
      <c r="G70" s="5"/>
      <c r="H70" s="5"/>
      <c r="I70" s="5"/>
      <c r="J70" s="5"/>
      <c r="K70" s="5"/>
      <c r="L70" s="5"/>
      <c r="M70" s="5"/>
      <c r="N70" s="5"/>
      <c r="O70" s="5"/>
      <c r="P70" s="5"/>
      <c r="Q70" s="5"/>
      <c r="R70" s="5"/>
      <c r="S70" s="5"/>
      <c r="T70" s="5"/>
      <c r="U70" s="5"/>
      <c r="V70" s="5"/>
      <c r="W70" s="5"/>
      <c r="X70" s="5"/>
      <c r="Y70" s="5"/>
      <c r="Z70" s="5"/>
      <c r="AA70" s="5"/>
      <c r="AB70" s="5"/>
      <c r="AC70" s="5"/>
      <c r="AD70" s="5"/>
    </row>
    <row r="71" customFormat="false" ht="15" hidden="false" customHeight="false" outlineLevel="0" collapsed="false">
      <c r="A71" s="5"/>
      <c r="B71" s="23" t="s">
        <v>169</v>
      </c>
      <c r="C71" s="38" t="n">
        <v>200000</v>
      </c>
      <c r="D71" s="25" t="s">
        <v>134</v>
      </c>
      <c r="E71" s="26" t="s">
        <v>170</v>
      </c>
      <c r="F71" s="5"/>
      <c r="G71" s="5"/>
      <c r="H71" s="5"/>
      <c r="I71" s="5"/>
      <c r="J71" s="5"/>
      <c r="K71" s="5"/>
      <c r="L71" s="5"/>
      <c r="M71" s="5"/>
      <c r="N71" s="5"/>
      <c r="O71" s="5"/>
      <c r="P71" s="5"/>
      <c r="Q71" s="5"/>
      <c r="R71" s="5"/>
      <c r="S71" s="5"/>
      <c r="T71" s="5"/>
      <c r="U71" s="5"/>
      <c r="V71" s="5"/>
      <c r="W71" s="5"/>
      <c r="X71" s="5"/>
      <c r="Y71" s="5"/>
      <c r="Z71" s="5"/>
      <c r="AA71" s="5"/>
      <c r="AB71" s="5"/>
      <c r="AC71" s="5"/>
      <c r="AD71" s="5"/>
    </row>
    <row r="72" customFormat="false" ht="15" hidden="false" customHeight="false" outlineLevel="0" collapsed="false">
      <c r="A72" s="5"/>
      <c r="B72" s="23" t="s">
        <v>171</v>
      </c>
      <c r="C72" s="28" t="n">
        <v>20</v>
      </c>
      <c r="D72" s="25" t="s">
        <v>76</v>
      </c>
      <c r="E72" s="26" t="s">
        <v>172</v>
      </c>
      <c r="F72" s="5"/>
      <c r="G72" s="5"/>
      <c r="H72" s="5"/>
      <c r="I72" s="5"/>
      <c r="J72" s="5"/>
      <c r="K72" s="5"/>
      <c r="L72" s="5"/>
      <c r="M72" s="5"/>
      <c r="N72" s="5"/>
      <c r="O72" s="5"/>
      <c r="P72" s="5"/>
      <c r="Q72" s="5"/>
      <c r="R72" s="5"/>
      <c r="S72" s="5"/>
      <c r="T72" s="5"/>
      <c r="U72" s="5"/>
      <c r="V72" s="5"/>
      <c r="W72" s="5"/>
      <c r="X72" s="5"/>
      <c r="Y72" s="5"/>
      <c r="Z72" s="5"/>
      <c r="AA72" s="5"/>
      <c r="AB72" s="5"/>
      <c r="AC72" s="5"/>
      <c r="AD72" s="5"/>
    </row>
    <row r="73" customFormat="false" ht="15" hidden="false" customHeight="false" outlineLevel="0" collapsed="false">
      <c r="A73" s="5"/>
      <c r="B73" s="23" t="s">
        <v>173</v>
      </c>
      <c r="C73" s="28" t="n">
        <v>5</v>
      </c>
      <c r="D73" s="25" t="s">
        <v>76</v>
      </c>
      <c r="E73" s="26" t="s">
        <v>174</v>
      </c>
      <c r="F73" s="5"/>
      <c r="G73" s="5"/>
      <c r="H73" s="5"/>
      <c r="I73" s="5"/>
      <c r="J73" s="5"/>
      <c r="K73" s="5"/>
      <c r="L73" s="5"/>
      <c r="M73" s="5"/>
      <c r="N73" s="5"/>
      <c r="O73" s="5"/>
      <c r="P73" s="5"/>
      <c r="Q73" s="5"/>
      <c r="R73" s="5"/>
      <c r="S73" s="5"/>
      <c r="T73" s="5"/>
      <c r="U73" s="5"/>
      <c r="V73" s="5"/>
      <c r="W73" s="5"/>
      <c r="X73" s="5"/>
      <c r="Y73" s="5"/>
      <c r="Z73" s="5"/>
      <c r="AA73" s="5"/>
      <c r="AB73" s="5"/>
      <c r="AC73" s="5"/>
      <c r="AD73" s="5"/>
    </row>
    <row r="74" customFormat="false" ht="15" hidden="false" customHeight="false" outlineLevel="0" collapsed="false">
      <c r="A74" s="5"/>
      <c r="B74" s="23" t="s">
        <v>175</v>
      </c>
      <c r="C74" s="27" t="n">
        <v>0.8</v>
      </c>
      <c r="D74" s="25"/>
      <c r="E74" s="26" t="s">
        <v>176</v>
      </c>
      <c r="F74" s="5"/>
      <c r="G74" s="5"/>
      <c r="H74" s="5"/>
      <c r="I74" s="5"/>
      <c r="J74" s="5"/>
      <c r="K74" s="5"/>
      <c r="L74" s="5"/>
      <c r="M74" s="5"/>
      <c r="N74" s="5"/>
      <c r="O74" s="5"/>
      <c r="P74" s="5"/>
      <c r="Q74" s="5"/>
      <c r="R74" s="5"/>
      <c r="S74" s="5"/>
      <c r="T74" s="5"/>
      <c r="U74" s="5"/>
      <c r="V74" s="5"/>
      <c r="W74" s="5"/>
      <c r="X74" s="5"/>
      <c r="Y74" s="5"/>
      <c r="Z74" s="5"/>
      <c r="AA74" s="5"/>
      <c r="AB74" s="5"/>
      <c r="AC74" s="5"/>
      <c r="AD74" s="5"/>
    </row>
    <row r="75" customFormat="false" ht="15" hidden="false" customHeight="false" outlineLevel="0" collapsed="false">
      <c r="A75" s="5"/>
      <c r="B75" s="23" t="s">
        <v>177</v>
      </c>
      <c r="C75" s="27" t="n">
        <v>0.1</v>
      </c>
      <c r="D75" s="25"/>
      <c r="E75" s="26" t="s">
        <v>178</v>
      </c>
      <c r="F75" s="5"/>
      <c r="G75" s="5"/>
      <c r="H75" s="5"/>
      <c r="I75" s="5"/>
      <c r="J75" s="5"/>
      <c r="K75" s="5"/>
      <c r="L75" s="5"/>
      <c r="M75" s="5"/>
      <c r="N75" s="5"/>
      <c r="O75" s="5"/>
      <c r="P75" s="5"/>
      <c r="Q75" s="5"/>
      <c r="R75" s="5"/>
      <c r="S75" s="5"/>
      <c r="T75" s="5"/>
      <c r="U75" s="5"/>
      <c r="V75" s="5"/>
      <c r="W75" s="5"/>
      <c r="X75" s="5"/>
      <c r="Y75" s="5"/>
      <c r="Z75" s="5"/>
      <c r="AA75" s="5"/>
      <c r="AB75" s="5"/>
      <c r="AC75" s="5"/>
      <c r="AD75" s="5"/>
    </row>
    <row r="76" customFormat="false" ht="15" hidden="false" customHeight="false" outlineLevel="0" collapsed="false">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row>
    <row r="77" customFormat="false" ht="15" hidden="false" customHeight="false" outlineLevel="0" collapsed="false">
      <c r="A77" s="5"/>
      <c r="B77" s="21" t="s">
        <v>179</v>
      </c>
      <c r="C77" s="22"/>
      <c r="D77" s="22"/>
      <c r="E77" s="22"/>
      <c r="F77" s="5"/>
      <c r="G77" s="5"/>
      <c r="H77" s="5"/>
      <c r="I77" s="5"/>
      <c r="J77" s="5"/>
      <c r="K77" s="5"/>
      <c r="L77" s="5"/>
      <c r="M77" s="5"/>
      <c r="N77" s="5"/>
      <c r="O77" s="5"/>
      <c r="P77" s="5"/>
      <c r="Q77" s="5"/>
      <c r="R77" s="5"/>
      <c r="S77" s="5"/>
      <c r="T77" s="5"/>
      <c r="U77" s="5"/>
      <c r="V77" s="5"/>
      <c r="W77" s="5"/>
      <c r="X77" s="5"/>
      <c r="Y77" s="5"/>
      <c r="Z77" s="5"/>
      <c r="AA77" s="5"/>
      <c r="AB77" s="5"/>
      <c r="AC77" s="5"/>
      <c r="AD77" s="5"/>
    </row>
    <row r="78" customFormat="false" ht="15" hidden="false" customHeight="false" outlineLevel="0" collapsed="false">
      <c r="A78" s="5"/>
      <c r="B78" s="23" t="s">
        <v>180</v>
      </c>
      <c r="C78" s="28" t="n">
        <v>40</v>
      </c>
      <c r="D78" s="25" t="s">
        <v>181</v>
      </c>
      <c r="E78" s="26" t="s">
        <v>182</v>
      </c>
      <c r="F78" s="5"/>
      <c r="G78" s="5"/>
      <c r="H78" s="5"/>
      <c r="I78" s="5"/>
      <c r="J78" s="5"/>
      <c r="K78" s="5"/>
      <c r="L78" s="5"/>
      <c r="M78" s="5"/>
      <c r="N78" s="5"/>
      <c r="O78" s="5"/>
      <c r="P78" s="5"/>
      <c r="Q78" s="5"/>
      <c r="R78" s="5"/>
      <c r="S78" s="5"/>
      <c r="T78" s="5"/>
      <c r="U78" s="5"/>
      <c r="V78" s="5"/>
      <c r="W78" s="5"/>
      <c r="X78" s="5"/>
      <c r="Y78" s="5"/>
      <c r="Z78" s="5"/>
      <c r="AA78" s="5"/>
      <c r="AB78" s="5"/>
      <c r="AC78" s="5"/>
      <c r="AD78" s="5"/>
    </row>
    <row r="79" customFormat="false" ht="15" hidden="false" customHeight="false" outlineLevel="0" collapsed="false">
      <c r="A79" s="5"/>
      <c r="B79" s="23" t="s">
        <v>183</v>
      </c>
      <c r="C79" s="28" t="n">
        <v>120</v>
      </c>
      <c r="D79" s="25" t="s">
        <v>181</v>
      </c>
      <c r="E79" s="26" t="s">
        <v>184</v>
      </c>
      <c r="F79" s="5"/>
      <c r="G79" s="5"/>
      <c r="H79" s="5"/>
      <c r="I79" s="5"/>
      <c r="J79" s="5"/>
      <c r="K79" s="5"/>
      <c r="L79" s="5"/>
      <c r="M79" s="5"/>
      <c r="N79" s="5"/>
      <c r="O79" s="5"/>
      <c r="P79" s="5"/>
      <c r="Q79" s="5"/>
      <c r="R79" s="5"/>
      <c r="S79" s="5"/>
      <c r="T79" s="5"/>
      <c r="U79" s="5"/>
      <c r="V79" s="5"/>
      <c r="W79" s="5"/>
      <c r="X79" s="5"/>
      <c r="Y79" s="5"/>
      <c r="Z79" s="5"/>
      <c r="AA79" s="5"/>
      <c r="AB79" s="5"/>
      <c r="AC79" s="5"/>
      <c r="AD79" s="5"/>
    </row>
    <row r="80" customFormat="false" ht="15" hidden="false" customHeight="false" outlineLevel="0" collapsed="false">
      <c r="A80" s="5"/>
      <c r="B80" s="23" t="s">
        <v>185</v>
      </c>
      <c r="C80" s="28" t="n">
        <v>45</v>
      </c>
      <c r="D80" s="25" t="s">
        <v>181</v>
      </c>
      <c r="E80" s="26" t="s">
        <v>186</v>
      </c>
      <c r="F80" s="5"/>
      <c r="G80" s="5"/>
      <c r="H80" s="5"/>
      <c r="I80" s="5"/>
      <c r="J80" s="5"/>
      <c r="K80" s="5"/>
      <c r="L80" s="5"/>
      <c r="M80" s="5"/>
      <c r="N80" s="5"/>
      <c r="O80" s="5"/>
      <c r="P80" s="5"/>
      <c r="Q80" s="5"/>
      <c r="R80" s="5"/>
      <c r="S80" s="5"/>
      <c r="T80" s="5"/>
      <c r="U80" s="5"/>
      <c r="V80" s="5"/>
      <c r="W80" s="5"/>
      <c r="X80" s="5"/>
      <c r="Y80" s="5"/>
      <c r="Z80" s="5"/>
      <c r="AA80" s="5"/>
      <c r="AB80" s="5"/>
      <c r="AC80" s="5"/>
      <c r="AD80" s="5"/>
    </row>
    <row r="81" customFormat="false" ht="15" hidden="false" customHeight="false" outlineLevel="0" collapsed="false">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row>
    <row r="82" customFormat="false" ht="15" hidden="false" customHeight="false" outlineLevel="0" collapsed="false">
      <c r="A82" s="5"/>
      <c r="B82" s="21" t="s">
        <v>187</v>
      </c>
      <c r="C82" s="22"/>
      <c r="D82" s="22"/>
      <c r="E82" s="22"/>
      <c r="F82" s="5"/>
      <c r="G82" s="5"/>
      <c r="H82" s="5"/>
      <c r="I82" s="5"/>
      <c r="J82" s="5"/>
      <c r="K82" s="5"/>
      <c r="L82" s="5"/>
      <c r="M82" s="5"/>
      <c r="N82" s="5"/>
      <c r="O82" s="5"/>
      <c r="P82" s="5"/>
      <c r="Q82" s="5"/>
      <c r="R82" s="5"/>
      <c r="S82" s="5"/>
      <c r="T82" s="5"/>
      <c r="U82" s="5"/>
      <c r="V82" s="5"/>
      <c r="W82" s="5"/>
      <c r="X82" s="5"/>
      <c r="Y82" s="5"/>
      <c r="Z82" s="5"/>
      <c r="AA82" s="5"/>
      <c r="AB82" s="5"/>
      <c r="AC82" s="5"/>
      <c r="AD82" s="5"/>
    </row>
    <row r="83" customFormat="false" ht="15" hidden="false" customHeight="false" outlineLevel="0" collapsed="false">
      <c r="A83" s="5"/>
      <c r="B83" s="23" t="s">
        <v>188</v>
      </c>
      <c r="C83" s="38" t="n">
        <v>25000000</v>
      </c>
      <c r="D83" s="25" t="s">
        <v>134</v>
      </c>
      <c r="E83" s="26" t="s">
        <v>189</v>
      </c>
      <c r="F83" s="5"/>
      <c r="G83" s="5"/>
      <c r="H83" s="5"/>
      <c r="I83" s="5"/>
      <c r="J83" s="5"/>
      <c r="K83" s="5"/>
      <c r="L83" s="5"/>
      <c r="M83" s="5"/>
      <c r="N83" s="5"/>
      <c r="O83" s="5"/>
      <c r="P83" s="5"/>
      <c r="Q83" s="5"/>
      <c r="R83" s="5"/>
      <c r="S83" s="5"/>
      <c r="T83" s="5"/>
      <c r="U83" s="5"/>
      <c r="V83" s="5"/>
      <c r="W83" s="5"/>
      <c r="X83" s="5"/>
      <c r="Y83" s="5"/>
      <c r="Z83" s="5"/>
      <c r="AA83" s="5"/>
      <c r="AB83" s="5"/>
      <c r="AC83" s="5"/>
      <c r="AD83" s="5"/>
    </row>
    <row r="84" customFormat="false" ht="15" hidden="false" customHeight="false" outlineLevel="0" collapsed="false">
      <c r="A84" s="5"/>
      <c r="B84" s="23" t="s">
        <v>190</v>
      </c>
      <c r="C84" s="38" t="n">
        <v>25000000</v>
      </c>
      <c r="D84" s="25" t="s">
        <v>134</v>
      </c>
      <c r="E84" s="26" t="s">
        <v>191</v>
      </c>
      <c r="F84" s="5"/>
      <c r="G84" s="5"/>
      <c r="H84" s="5"/>
      <c r="I84" s="5"/>
      <c r="J84" s="5"/>
      <c r="K84" s="5"/>
      <c r="L84" s="5"/>
      <c r="M84" s="5"/>
      <c r="N84" s="5"/>
      <c r="O84" s="5"/>
      <c r="P84" s="5"/>
      <c r="Q84" s="5"/>
      <c r="R84" s="5"/>
      <c r="S84" s="5"/>
      <c r="T84" s="5"/>
      <c r="U84" s="5"/>
      <c r="V84" s="5"/>
      <c r="W84" s="5"/>
      <c r="X84" s="5"/>
      <c r="Y84" s="5"/>
      <c r="Z84" s="5"/>
      <c r="AA84" s="5"/>
      <c r="AB84" s="5"/>
      <c r="AC84" s="5"/>
      <c r="AD84" s="5"/>
    </row>
    <row r="85" customFormat="false" ht="15" hidden="false" customHeight="false" outlineLevel="0" collapsed="false">
      <c r="A85" s="5"/>
      <c r="B85" s="23" t="s">
        <v>192</v>
      </c>
      <c r="C85" s="38" t="n">
        <v>5000000</v>
      </c>
      <c r="D85" s="25" t="s">
        <v>134</v>
      </c>
      <c r="E85" s="26" t="s">
        <v>193</v>
      </c>
      <c r="F85" s="5"/>
      <c r="G85" s="5"/>
      <c r="H85" s="5"/>
      <c r="I85" s="5"/>
      <c r="J85" s="5"/>
      <c r="K85" s="5"/>
      <c r="L85" s="5"/>
      <c r="M85" s="5"/>
      <c r="N85" s="5"/>
      <c r="O85" s="5"/>
      <c r="P85" s="5"/>
      <c r="Q85" s="5"/>
      <c r="R85" s="5"/>
      <c r="S85" s="5"/>
      <c r="T85" s="5"/>
      <c r="U85" s="5"/>
      <c r="V85" s="5"/>
      <c r="W85" s="5"/>
      <c r="X85" s="5"/>
      <c r="Y85" s="5"/>
      <c r="Z85" s="5"/>
      <c r="AA85" s="5"/>
      <c r="AB85" s="5"/>
      <c r="AC85" s="5"/>
      <c r="AD85" s="5"/>
    </row>
    <row r="86" customFormat="false" ht="15" hidden="false" customHeight="false" outlineLevel="0" collapsed="false">
      <c r="A86" s="5"/>
      <c r="B86" s="23" t="s">
        <v>194</v>
      </c>
      <c r="C86" s="27" t="n">
        <v>0.1</v>
      </c>
      <c r="D86" s="25"/>
      <c r="E86" s="26" t="s">
        <v>195</v>
      </c>
      <c r="F86" s="5"/>
      <c r="G86" s="5"/>
      <c r="H86" s="5"/>
      <c r="I86" s="5"/>
      <c r="J86" s="5"/>
      <c r="K86" s="5"/>
      <c r="L86" s="5"/>
      <c r="M86" s="5"/>
      <c r="N86" s="5"/>
      <c r="O86" s="5"/>
      <c r="P86" s="5"/>
      <c r="Q86" s="5"/>
      <c r="R86" s="5"/>
      <c r="S86" s="5"/>
      <c r="T86" s="5"/>
      <c r="U86" s="5"/>
      <c r="V86" s="5"/>
      <c r="W86" s="5"/>
      <c r="X86" s="5"/>
      <c r="Y86" s="5"/>
      <c r="Z86" s="5"/>
      <c r="AA86" s="5"/>
      <c r="AB86" s="5"/>
      <c r="AC86" s="5"/>
      <c r="AD86" s="5"/>
    </row>
    <row r="87" customFormat="false" ht="15" hidden="false" customHeight="false" outlineLevel="0" collapsed="false">
      <c r="A87" s="5"/>
      <c r="B87" s="23" t="s">
        <v>196</v>
      </c>
      <c r="C87" s="28" t="n">
        <v>7</v>
      </c>
      <c r="D87" s="25" t="s">
        <v>76</v>
      </c>
      <c r="E87" s="26" t="s">
        <v>197</v>
      </c>
      <c r="F87" s="5"/>
      <c r="G87" s="5"/>
      <c r="H87" s="5"/>
      <c r="I87" s="5"/>
      <c r="J87" s="5"/>
      <c r="K87" s="5"/>
      <c r="L87" s="5"/>
      <c r="M87" s="5"/>
      <c r="N87" s="5"/>
      <c r="O87" s="5"/>
      <c r="P87" s="5"/>
      <c r="Q87" s="5"/>
      <c r="R87" s="5"/>
      <c r="S87" s="5"/>
      <c r="T87" s="5"/>
      <c r="U87" s="5"/>
      <c r="V87" s="5"/>
      <c r="W87" s="5"/>
      <c r="X87" s="5"/>
      <c r="Y87" s="5"/>
      <c r="Z87" s="5"/>
      <c r="AA87" s="5"/>
      <c r="AB87" s="5"/>
      <c r="AC87" s="5"/>
      <c r="AD87" s="5"/>
    </row>
    <row r="88" customFormat="false" ht="15" hidden="false" customHeight="false" outlineLevel="0" collapsed="false">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row>
    <row r="89" customFormat="false" ht="15" hidden="false" customHeight="false" outlineLevel="0" collapsed="false">
      <c r="A89" s="5"/>
      <c r="B89" s="21" t="s">
        <v>198</v>
      </c>
      <c r="C89" s="22"/>
      <c r="D89" s="22"/>
      <c r="E89" s="22"/>
      <c r="F89" s="5"/>
      <c r="G89" s="5"/>
      <c r="H89" s="5"/>
      <c r="I89" s="5"/>
      <c r="J89" s="5"/>
      <c r="K89" s="5"/>
      <c r="L89" s="5"/>
      <c r="M89" s="5"/>
      <c r="N89" s="5"/>
      <c r="O89" s="5"/>
      <c r="P89" s="5"/>
      <c r="Q89" s="5"/>
      <c r="R89" s="5"/>
      <c r="S89" s="5"/>
      <c r="T89" s="5"/>
      <c r="U89" s="5"/>
      <c r="V89" s="5"/>
      <c r="W89" s="5"/>
      <c r="X89" s="5"/>
      <c r="Y89" s="5"/>
      <c r="Z89" s="5"/>
      <c r="AA89" s="5"/>
      <c r="AB89" s="5"/>
      <c r="AC89" s="5"/>
      <c r="AD89" s="5"/>
    </row>
    <row r="90" customFormat="false" ht="15" hidden="false" customHeight="false" outlineLevel="0" collapsed="false">
      <c r="A90" s="5"/>
      <c r="B90" s="23" t="s">
        <v>199</v>
      </c>
      <c r="C90" s="27" t="n">
        <v>0.25</v>
      </c>
      <c r="D90" s="25"/>
      <c r="E90" s="26" t="s">
        <v>200</v>
      </c>
      <c r="F90" s="5"/>
      <c r="G90" s="5"/>
      <c r="H90" s="5"/>
      <c r="I90" s="5"/>
      <c r="J90" s="5"/>
      <c r="K90" s="5"/>
      <c r="L90" s="5"/>
      <c r="M90" s="5"/>
      <c r="N90" s="5"/>
      <c r="O90" s="5"/>
      <c r="P90" s="5"/>
      <c r="Q90" s="5"/>
      <c r="R90" s="5"/>
      <c r="S90" s="5"/>
      <c r="T90" s="5"/>
      <c r="U90" s="5"/>
      <c r="V90" s="5"/>
      <c r="W90" s="5"/>
      <c r="X90" s="5"/>
      <c r="Y90" s="5"/>
      <c r="Z90" s="5"/>
      <c r="AA90" s="5"/>
      <c r="AB90" s="5"/>
      <c r="AC90" s="5"/>
      <c r="AD90" s="5"/>
    </row>
    <row r="91" customFormat="false" ht="15" hidden="false" customHeight="false" outlineLevel="0" collapsed="false">
      <c r="A91" s="5"/>
      <c r="B91" s="23" t="s">
        <v>201</v>
      </c>
      <c r="C91" s="27" t="n">
        <v>0.12</v>
      </c>
      <c r="D91" s="25"/>
      <c r="E91" s="26" t="s">
        <v>202</v>
      </c>
      <c r="F91" s="5"/>
      <c r="G91" s="5"/>
      <c r="H91" s="5"/>
      <c r="I91" s="5"/>
      <c r="J91" s="5"/>
      <c r="K91" s="5"/>
      <c r="L91" s="5"/>
      <c r="M91" s="5"/>
      <c r="N91" s="5"/>
      <c r="O91" s="5"/>
      <c r="P91" s="5"/>
      <c r="Q91" s="5"/>
      <c r="R91" s="5"/>
      <c r="S91" s="5"/>
      <c r="T91" s="5"/>
      <c r="U91" s="5"/>
      <c r="V91" s="5"/>
      <c r="W91" s="5"/>
      <c r="X91" s="5"/>
      <c r="Y91" s="5"/>
      <c r="Z91" s="5"/>
      <c r="AA91" s="5"/>
      <c r="AB91" s="5"/>
      <c r="AC91" s="5"/>
      <c r="AD91" s="5"/>
    </row>
    <row r="92" customFormat="false" ht="15" hidden="false" customHeight="false" outlineLevel="0" collapsed="false">
      <c r="A92" s="5"/>
      <c r="B92" s="23" t="s">
        <v>203</v>
      </c>
      <c r="C92" s="27" t="n">
        <v>0.025</v>
      </c>
      <c r="D92" s="25"/>
      <c r="E92" s="26" t="s">
        <v>204</v>
      </c>
      <c r="F92" s="5"/>
      <c r="G92" s="5"/>
      <c r="H92" s="5"/>
      <c r="I92" s="5"/>
      <c r="J92" s="5"/>
      <c r="K92" s="5"/>
      <c r="L92" s="5"/>
      <c r="M92" s="5"/>
      <c r="N92" s="5"/>
      <c r="O92" s="5"/>
      <c r="P92" s="5"/>
      <c r="Q92" s="5"/>
      <c r="R92" s="5"/>
      <c r="S92" s="5"/>
      <c r="T92" s="5"/>
      <c r="U92" s="5"/>
      <c r="V92" s="5"/>
      <c r="W92" s="5"/>
      <c r="X92" s="5"/>
      <c r="Y92" s="5"/>
      <c r="Z92" s="5"/>
      <c r="AA92" s="5"/>
      <c r="AB92" s="5"/>
      <c r="AC92" s="5"/>
      <c r="AD92" s="5"/>
    </row>
    <row r="93" customFormat="false" ht="15" hidden="false" customHeight="false" outlineLevel="0" collapsed="false">
      <c r="A93" s="5"/>
      <c r="B93" s="23" t="s">
        <v>205</v>
      </c>
      <c r="C93" s="39" t="n">
        <v>15</v>
      </c>
      <c r="D93" s="25" t="s">
        <v>206</v>
      </c>
      <c r="E93" s="26" t="s">
        <v>207</v>
      </c>
      <c r="F93" s="5"/>
      <c r="G93" s="5"/>
      <c r="H93" s="5"/>
      <c r="I93" s="5"/>
      <c r="J93" s="5"/>
      <c r="K93" s="5"/>
      <c r="L93" s="5"/>
      <c r="M93" s="5"/>
      <c r="N93" s="5"/>
      <c r="O93" s="5"/>
      <c r="P93" s="5"/>
      <c r="Q93" s="5"/>
      <c r="R93" s="5"/>
      <c r="S93" s="5"/>
      <c r="T93" s="5"/>
      <c r="U93" s="5"/>
      <c r="V93" s="5"/>
      <c r="W93" s="5"/>
      <c r="X93" s="5"/>
      <c r="Y93" s="5"/>
      <c r="Z93" s="5"/>
      <c r="AA93" s="5"/>
      <c r="AB93" s="5"/>
      <c r="AC93" s="5"/>
      <c r="AD93"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40" t="s">
        <v>208</v>
      </c>
    </row>
    <row r="3" customFormat="false" ht="3.75" hidden="false" customHeight="true" outlineLevel="0" collapsed="false">
      <c r="A3" s="5"/>
      <c r="B3" s="41"/>
    </row>
    <row r="4" customFormat="false" ht="15" hidden="false" customHeight="false" outlineLevel="0" collapsed="false">
      <c r="A4" s="5"/>
      <c r="B4" s="5"/>
    </row>
    <row r="5" customFormat="false" ht="19.5" hidden="false" customHeight="true" outlineLevel="0" collapsed="false">
      <c r="A5" s="5"/>
      <c r="B5" s="42" t="s">
        <v>209</v>
      </c>
    </row>
    <row r="6" customFormat="false" ht="48" hidden="false" customHeight="true" outlineLevel="0" collapsed="false">
      <c r="A6" s="5"/>
      <c r="B6" s="43" t="s">
        <v>210</v>
      </c>
    </row>
    <row r="7" customFormat="false" ht="15" hidden="false" customHeight="false" outlineLevel="0" collapsed="false">
      <c r="A7" s="5"/>
      <c r="B7" s="5"/>
    </row>
    <row r="8" customFormat="false" ht="19.5" hidden="false" customHeight="true" outlineLevel="0" collapsed="false">
      <c r="A8" s="5"/>
      <c r="B8" s="42" t="s">
        <v>211</v>
      </c>
    </row>
    <row r="9" customFormat="false" ht="61.5" hidden="false" customHeight="true" outlineLevel="0" collapsed="false">
      <c r="A9" s="5"/>
      <c r="B9" s="43" t="s">
        <v>212</v>
      </c>
    </row>
    <row r="10" customFormat="false" ht="15" hidden="false" customHeight="false" outlineLevel="0" collapsed="false">
      <c r="A10" s="5"/>
      <c r="B10" s="5"/>
    </row>
    <row r="11" customFormat="false" ht="19.5" hidden="false" customHeight="true" outlineLevel="0" collapsed="false">
      <c r="A11" s="5"/>
      <c r="B11" s="42" t="s">
        <v>213</v>
      </c>
    </row>
    <row r="12" customFormat="false" ht="75.75" hidden="false" customHeight="true" outlineLevel="0" collapsed="false">
      <c r="A12" s="5"/>
      <c r="B12" s="43" t="s">
        <v>214</v>
      </c>
    </row>
    <row r="13" customFormat="false" ht="15" hidden="false" customHeight="false" outlineLevel="0" collapsed="false">
      <c r="A13" s="5"/>
      <c r="B13" s="5"/>
    </row>
    <row r="14" customFormat="false" ht="19.5" hidden="false" customHeight="true" outlineLevel="0" collapsed="false">
      <c r="A14" s="5"/>
      <c r="B14" s="42" t="s">
        <v>215</v>
      </c>
    </row>
    <row r="15" customFormat="false" ht="61.5" hidden="false" customHeight="true" outlineLevel="0" collapsed="false">
      <c r="A15" s="5"/>
      <c r="B15" s="43" t="s">
        <v>216</v>
      </c>
    </row>
    <row r="16" customFormat="false" ht="15" hidden="false" customHeight="false" outlineLevel="0" collapsed="false">
      <c r="A16" s="5"/>
      <c r="B16" s="5"/>
    </row>
    <row r="17" customFormat="false" ht="19.5" hidden="false" customHeight="true" outlineLevel="0" collapsed="false">
      <c r="A17" s="5"/>
      <c r="B17" s="42" t="s">
        <v>217</v>
      </c>
    </row>
    <row r="18" customFormat="false" ht="33.75" hidden="false" customHeight="true" outlineLevel="0" collapsed="false">
      <c r="A18" s="5"/>
      <c r="B18" s="43" t="s">
        <v>218</v>
      </c>
    </row>
    <row r="19" customFormat="false" ht="15" hidden="false" customHeight="false" outlineLevel="0" collapsed="false">
      <c r="A19" s="5"/>
      <c r="B19" s="5"/>
    </row>
    <row r="20" customFormat="false" ht="19.5" hidden="false" customHeight="true" outlineLevel="0" collapsed="false">
      <c r="A20" s="5"/>
      <c r="B20" s="42" t="s">
        <v>219</v>
      </c>
    </row>
    <row r="21" customFormat="false" ht="33.75" hidden="false" customHeight="true" outlineLevel="0" collapsed="false">
      <c r="A21" s="5"/>
      <c r="B21" s="43" t="s">
        <v>220</v>
      </c>
    </row>
    <row r="22" customFormat="false" ht="15" hidden="false" customHeight="false" outlineLevel="0" collapsed="false">
      <c r="A22" s="5"/>
      <c r="B22" s="5"/>
    </row>
    <row r="23" customFormat="false" ht="21.75" hidden="false" customHeight="true" outlineLevel="0" collapsed="false">
      <c r="A23" s="5"/>
      <c r="B23" s="44" t="s">
        <v>221</v>
      </c>
    </row>
    <row r="24" customFormat="false" ht="15" hidden="false" customHeight="false" outlineLevel="0" collapsed="false">
      <c r="A24" s="5"/>
      <c r="B24" s="5"/>
    </row>
    <row r="25" customFormat="false" ht="18" hidden="false" customHeight="true" outlineLevel="0" collapsed="false">
      <c r="A25" s="5"/>
      <c r="B25" s="45" t="s">
        <v>222</v>
      </c>
    </row>
    <row r="26" customFormat="false" ht="201.75" hidden="false" customHeight="true" outlineLevel="0" collapsed="false">
      <c r="A26" s="5"/>
      <c r="B26" s="46" t="s">
        <v>223</v>
      </c>
    </row>
    <row r="27" customFormat="false" ht="15" hidden="false" customHeight="false" outlineLevel="0" collapsed="false">
      <c r="A27" s="5"/>
      <c r="B27" s="5"/>
    </row>
    <row r="28" customFormat="false" ht="18" hidden="false" customHeight="true" outlineLevel="0" collapsed="false">
      <c r="A28" s="5"/>
      <c r="B28" s="47" t="s">
        <v>224</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L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4"/>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48" t="s">
        <v>67</v>
      </c>
      <c r="C2" s="5"/>
      <c r="D2" s="5"/>
      <c r="E2" s="5"/>
      <c r="F2" s="5"/>
      <c r="G2" s="5"/>
      <c r="H2" s="5"/>
      <c r="I2" s="5"/>
      <c r="J2" s="5"/>
      <c r="K2" s="5"/>
      <c r="L2" s="5"/>
    </row>
    <row r="3" customFormat="false" ht="15" hidden="false" customHeight="false" outlineLevel="0" collapsed="false">
      <c r="A3" s="5"/>
      <c r="B3" s="9" t="s">
        <v>225</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49" t="s">
        <v>226</v>
      </c>
      <c r="C6" s="50" t="n">
        <v>2026</v>
      </c>
      <c r="D6" s="50" t="n">
        <v>2027</v>
      </c>
      <c r="E6" s="50" t="n">
        <v>2028</v>
      </c>
      <c r="F6" s="50" t="n">
        <v>2029</v>
      </c>
      <c r="G6" s="50" t="n">
        <v>2030</v>
      </c>
      <c r="H6" s="50" t="n">
        <v>2031</v>
      </c>
      <c r="I6" s="50" t="n">
        <v>2032</v>
      </c>
      <c r="J6" s="50" t="n">
        <v>2033</v>
      </c>
      <c r="K6" s="50" t="n">
        <v>2034</v>
      </c>
      <c r="L6" s="50" t="n">
        <v>2035</v>
      </c>
    </row>
    <row r="7" customFormat="false" ht="15" hidden="false" customHeight="false" outlineLevel="0" collapsed="false">
      <c r="A7" s="5"/>
      <c r="B7" s="9" t="s">
        <v>227</v>
      </c>
      <c r="C7" s="51" t="n">
        <v>1</v>
      </c>
      <c r="D7" s="51" t="n">
        <v>2</v>
      </c>
      <c r="E7" s="51" t="n">
        <v>3</v>
      </c>
      <c r="F7" s="51" t="n">
        <v>4</v>
      </c>
      <c r="G7" s="51" t="n">
        <v>5</v>
      </c>
      <c r="H7" s="51" t="n">
        <v>6</v>
      </c>
      <c r="I7" s="51" t="n">
        <v>7</v>
      </c>
      <c r="J7" s="51" t="n">
        <v>8</v>
      </c>
      <c r="K7" s="51" t="n">
        <v>9</v>
      </c>
      <c r="L7" s="51" t="n">
        <v>10</v>
      </c>
    </row>
    <row r="8" customFormat="false" ht="15" hidden="false" customHeight="false" outlineLevel="0" collapsed="false">
      <c r="A8" s="5"/>
      <c r="B8" s="5"/>
      <c r="C8" s="5"/>
      <c r="D8" s="5"/>
      <c r="E8" s="5"/>
      <c r="F8" s="5"/>
      <c r="G8" s="5"/>
      <c r="H8" s="5"/>
      <c r="I8" s="5"/>
      <c r="J8" s="5"/>
      <c r="K8" s="5"/>
      <c r="L8" s="5"/>
    </row>
    <row r="9" customFormat="false" ht="15" hidden="false" customHeight="false" outlineLevel="0" collapsed="false">
      <c r="A9" s="5"/>
      <c r="B9" s="21" t="s">
        <v>228</v>
      </c>
      <c r="C9" s="22"/>
      <c r="D9" s="22"/>
      <c r="E9" s="22"/>
      <c r="F9" s="22"/>
      <c r="G9" s="22"/>
      <c r="H9" s="22"/>
      <c r="I9" s="22"/>
      <c r="J9" s="22"/>
      <c r="K9" s="22"/>
      <c r="L9" s="22"/>
    </row>
    <row r="10" customFormat="false" ht="15" hidden="false" customHeight="false" outlineLevel="0" collapsed="false">
      <c r="A10" s="5"/>
      <c r="B10" s="23" t="s">
        <v>229</v>
      </c>
      <c r="C10" s="52" t="n">
        <f aca="false">Initial_Hectares</f>
        <v>12000</v>
      </c>
      <c r="D10" s="52" t="n">
        <f aca="false">ROUND(C10*(1+Hectare_Growth),0)</f>
        <v>14400</v>
      </c>
      <c r="E10" s="52" t="n">
        <f aca="false">ROUND(D10*(1+Hectare_Growth),0)</f>
        <v>17280</v>
      </c>
      <c r="F10" s="52" t="n">
        <f aca="false">ROUND(E10*(1+Hectare_Growth),0)</f>
        <v>20736</v>
      </c>
      <c r="G10" s="52" t="n">
        <f aca="false">ROUND(F10*(1+Hectare_Growth),0)</f>
        <v>24883</v>
      </c>
      <c r="H10" s="52" t="n">
        <f aca="false">ROUND(G10*(1+Hectare_Growth),0)</f>
        <v>29860</v>
      </c>
      <c r="I10" s="52" t="n">
        <f aca="false">ROUND(H10*(1+Hectare_Growth),0)</f>
        <v>35832</v>
      </c>
      <c r="J10" s="52" t="n">
        <f aca="false">ROUND(I10*(1+Hectare_Growth),0)</f>
        <v>42998</v>
      </c>
      <c r="K10" s="52" t="n">
        <f aca="false">ROUND(J10*(1+Hectare_Growth),0)</f>
        <v>51598</v>
      </c>
      <c r="L10" s="52" t="n">
        <f aca="false">ROUND(K10*(1+Hectare_Growth),0)</f>
        <v>61918</v>
      </c>
    </row>
    <row r="11" customFormat="false" ht="15" hidden="false" customHeight="false" outlineLevel="0" collapsed="false">
      <c r="A11" s="5"/>
      <c r="B11" s="53" t="s">
        <v>230</v>
      </c>
      <c r="C11" s="52" t="n">
        <f aca="false">C10</f>
        <v>12000</v>
      </c>
      <c r="D11" s="52" t="n">
        <f aca="false">D10-C10</f>
        <v>2400</v>
      </c>
      <c r="E11" s="52" t="n">
        <f aca="false">E10-D10</f>
        <v>2880</v>
      </c>
      <c r="F11" s="52" t="n">
        <f aca="false">F10-E10</f>
        <v>3456</v>
      </c>
      <c r="G11" s="52" t="n">
        <f aca="false">G10-F10</f>
        <v>4147</v>
      </c>
      <c r="H11" s="52" t="n">
        <f aca="false">H10-G10</f>
        <v>4977</v>
      </c>
      <c r="I11" s="52" t="n">
        <f aca="false">I10-H10</f>
        <v>5972</v>
      </c>
      <c r="J11" s="52" t="n">
        <f aca="false">J10-I10</f>
        <v>7166</v>
      </c>
      <c r="K11" s="52" t="n">
        <f aca="false">K10-J10</f>
        <v>8600</v>
      </c>
      <c r="L11" s="52" t="n">
        <f aca="false">L10-K10</f>
        <v>10320</v>
      </c>
    </row>
    <row r="12" customFormat="false" ht="15" hidden="false" customHeight="false" outlineLevel="0" collapsed="false">
      <c r="A12" s="5"/>
      <c r="B12" s="5"/>
      <c r="C12" s="5"/>
      <c r="D12" s="5"/>
      <c r="E12" s="5"/>
      <c r="F12" s="5"/>
      <c r="G12" s="5"/>
      <c r="H12" s="5"/>
      <c r="I12" s="5"/>
      <c r="J12" s="5"/>
      <c r="K12" s="5"/>
      <c r="L12" s="5"/>
    </row>
    <row r="13" customFormat="false" ht="15" hidden="false" customHeight="false" outlineLevel="0" collapsed="false">
      <c r="A13" s="5"/>
      <c r="B13" s="21" t="s">
        <v>231</v>
      </c>
      <c r="C13" s="22"/>
      <c r="D13" s="22"/>
      <c r="E13" s="22"/>
      <c r="F13" s="22"/>
      <c r="G13" s="22"/>
      <c r="H13" s="22"/>
      <c r="I13" s="22"/>
      <c r="J13" s="22"/>
      <c r="K13" s="22"/>
      <c r="L13" s="22"/>
    </row>
    <row r="14" customFormat="false" ht="15" hidden="false" customHeight="false" outlineLevel="0" collapsed="false">
      <c r="A14" s="5"/>
      <c r="B14" s="23" t="s">
        <v>232</v>
      </c>
      <c r="C14" s="52" t="n">
        <f aca="false">IF(C7&gt;Issuance_Lag,C10*Blended_Yield,0)</f>
        <v>0</v>
      </c>
      <c r="D14" s="52" t="n">
        <f aca="false">IF(D7&gt;Issuance_Lag,D10*Blended_Yield,0)</f>
        <v>0</v>
      </c>
      <c r="E14" s="52" t="n">
        <f aca="false">IF(E7&gt;Issuance_Lag,E10*Blended_Yield,0)</f>
        <v>177120</v>
      </c>
      <c r="F14" s="52" t="n">
        <f aca="false">IF(F7&gt;Issuance_Lag,F10*Blended_Yield,0)</f>
        <v>212544</v>
      </c>
      <c r="G14" s="52" t="n">
        <f aca="false">IF(G7&gt;Issuance_Lag,G10*Blended_Yield,0)</f>
        <v>255050.75</v>
      </c>
      <c r="H14" s="52" t="n">
        <f aca="false">IF(H7&gt;Issuance_Lag,H10*Blended_Yield,0)</f>
        <v>306065</v>
      </c>
      <c r="I14" s="52" t="n">
        <f aca="false">IF(I7&gt;Issuance_Lag,I10*Blended_Yield,0)</f>
        <v>367278</v>
      </c>
      <c r="J14" s="52" t="n">
        <f aca="false">IF(J7&gt;Issuance_Lag,J10*Blended_Yield,0)</f>
        <v>440729.5</v>
      </c>
      <c r="K14" s="52" t="n">
        <f aca="false">IF(K7&gt;Issuance_Lag,K10*Blended_Yield,0)</f>
        <v>528879.5</v>
      </c>
      <c r="L14" s="52" t="n">
        <f aca="false">IF(L7&gt;Issuance_Lag,L10*Blended_Yield,0)</f>
        <v>634659.5</v>
      </c>
    </row>
    <row r="15" customFormat="false" ht="15" hidden="false" customHeight="false" outlineLevel="0" collapsed="false">
      <c r="A15" s="5"/>
      <c r="B15" s="53" t="s">
        <v>233</v>
      </c>
      <c r="C15" s="52" t="n">
        <f aca="false">-C14*Buffer_Pool</f>
        <v>-0</v>
      </c>
      <c r="D15" s="52" t="n">
        <f aca="false">-D14*Buffer_Pool</f>
        <v>-0</v>
      </c>
      <c r="E15" s="52" t="n">
        <f aca="false">-E14*Buffer_Pool</f>
        <v>-26568</v>
      </c>
      <c r="F15" s="52" t="n">
        <f aca="false">-F14*Buffer_Pool</f>
        <v>-31881.6</v>
      </c>
      <c r="G15" s="52" t="n">
        <f aca="false">-G14*Buffer_Pool</f>
        <v>-38257.6125</v>
      </c>
      <c r="H15" s="52" t="n">
        <f aca="false">-H14*Buffer_Pool</f>
        <v>-45909.75</v>
      </c>
      <c r="I15" s="52" t="n">
        <f aca="false">-I14*Buffer_Pool</f>
        <v>-55091.7</v>
      </c>
      <c r="J15" s="52" t="n">
        <f aca="false">-J14*Buffer_Pool</f>
        <v>-66109.425</v>
      </c>
      <c r="K15" s="52" t="n">
        <f aca="false">-K14*Buffer_Pool</f>
        <v>-79331.925</v>
      </c>
      <c r="L15" s="52" t="n">
        <f aca="false">-L14*Buffer_Pool</f>
        <v>-95198.925</v>
      </c>
    </row>
    <row r="16" customFormat="false" ht="15" hidden="false" customHeight="false" outlineLevel="0" collapsed="false">
      <c r="A16" s="5"/>
      <c r="B16" s="53" t="s">
        <v>234</v>
      </c>
      <c r="C16" s="52" t="n">
        <f aca="false">C14+C15</f>
        <v>0</v>
      </c>
      <c r="D16" s="52" t="n">
        <f aca="false">D14+D15</f>
        <v>0</v>
      </c>
      <c r="E16" s="52" t="n">
        <f aca="false">E14+E15</f>
        <v>150552</v>
      </c>
      <c r="F16" s="52" t="n">
        <f aca="false">F14+F15</f>
        <v>180662.4</v>
      </c>
      <c r="G16" s="52" t="n">
        <f aca="false">G14+G15</f>
        <v>216793.1375</v>
      </c>
      <c r="H16" s="52" t="n">
        <f aca="false">H14+H15</f>
        <v>260155.25</v>
      </c>
      <c r="I16" s="52" t="n">
        <f aca="false">I14+I15</f>
        <v>312186.3</v>
      </c>
      <c r="J16" s="52" t="n">
        <f aca="false">J14+J15</f>
        <v>374620.075</v>
      </c>
      <c r="K16" s="52" t="n">
        <f aca="false">K14+K15</f>
        <v>449547.575</v>
      </c>
      <c r="L16" s="52" t="n">
        <f aca="false">L14+L15</f>
        <v>539460.575</v>
      </c>
    </row>
    <row r="17" customFormat="false" ht="15" hidden="false" customHeight="false" outlineLevel="0" collapsed="false">
      <c r="A17" s="5"/>
      <c r="B17" s="53" t="s">
        <v>235</v>
      </c>
      <c r="C17" s="52" t="n">
        <f aca="false">-C16*Leakage_Pct</f>
        <v>-0</v>
      </c>
      <c r="D17" s="52" t="n">
        <f aca="false">-D16*Leakage_Pct</f>
        <v>-0</v>
      </c>
      <c r="E17" s="52" t="n">
        <f aca="false">-E16*Leakage_Pct</f>
        <v>-10538.64</v>
      </c>
      <c r="F17" s="52" t="n">
        <f aca="false">-F16*Leakage_Pct</f>
        <v>-12646.368</v>
      </c>
      <c r="G17" s="52" t="n">
        <f aca="false">-G16*Leakage_Pct</f>
        <v>-15175.519625</v>
      </c>
      <c r="H17" s="52" t="n">
        <f aca="false">-H16*Leakage_Pct</f>
        <v>-18210.8675</v>
      </c>
      <c r="I17" s="52" t="n">
        <f aca="false">-I16*Leakage_Pct</f>
        <v>-21853.041</v>
      </c>
      <c r="J17" s="52" t="n">
        <f aca="false">-J16*Leakage_Pct</f>
        <v>-26223.40525</v>
      </c>
      <c r="K17" s="52" t="n">
        <f aca="false">-K16*Leakage_Pct</f>
        <v>-31468.33025</v>
      </c>
      <c r="L17" s="52" t="n">
        <f aca="false">-L16*Leakage_Pct</f>
        <v>-37762.24025</v>
      </c>
    </row>
    <row r="18" customFormat="false" ht="15" hidden="false" customHeight="false" outlineLevel="0" collapsed="false">
      <c r="A18" s="5"/>
      <c r="B18" s="53" t="s">
        <v>236</v>
      </c>
      <c r="C18" s="52" t="n">
        <f aca="false">-(C16+C17)*Additionality_Pct</f>
        <v>-0</v>
      </c>
      <c r="D18" s="52" t="n">
        <f aca="false">-(D16+D17)*Additionality_Pct</f>
        <v>-0</v>
      </c>
      <c r="E18" s="52" t="n">
        <f aca="false">-(E16+E17)*Additionality_Pct</f>
        <v>-14001.336</v>
      </c>
      <c r="F18" s="52" t="n">
        <f aca="false">-(F16+F17)*Additionality_Pct</f>
        <v>-16801.6032</v>
      </c>
      <c r="G18" s="52" t="n">
        <f aca="false">-(G16+G17)*Additionality_Pct</f>
        <v>-20161.7617875</v>
      </c>
      <c r="H18" s="52" t="n">
        <f aca="false">-(H16+H17)*Additionality_Pct</f>
        <v>-24194.43825</v>
      </c>
      <c r="I18" s="52" t="n">
        <f aca="false">-(I16+I17)*Additionality_Pct</f>
        <v>-29033.3259</v>
      </c>
      <c r="J18" s="52" t="n">
        <f aca="false">-(J16+J17)*Additionality_Pct</f>
        <v>-34839.666975</v>
      </c>
      <c r="K18" s="52" t="n">
        <f aca="false">-(K16+K17)*Additionality_Pct</f>
        <v>-41807.924475</v>
      </c>
      <c r="L18" s="52" t="n">
        <f aca="false">-(L16+L17)*Additionality_Pct</f>
        <v>-50169.833475</v>
      </c>
    </row>
    <row r="19" customFormat="false" ht="15" hidden="false" customHeight="false" outlineLevel="0" collapsed="false">
      <c r="A19" s="5"/>
      <c r="B19" s="53" t="s">
        <v>237</v>
      </c>
      <c r="C19" s="52" t="n">
        <f aca="false">-(C16+C17+C18)*Performance_Pct</f>
        <v>-0</v>
      </c>
      <c r="D19" s="52" t="n">
        <f aca="false">-(D16+D17+D18)*Performance_Pct</f>
        <v>-0</v>
      </c>
      <c r="E19" s="52" t="n">
        <f aca="false">-(E16+E17+E18)*Performance_Pct</f>
        <v>-6300.6012</v>
      </c>
      <c r="F19" s="52" t="n">
        <f aca="false">-(F16+F17+F18)*Performance_Pct</f>
        <v>-7560.72144</v>
      </c>
      <c r="G19" s="52" t="n">
        <f aca="false">-(G16+G17+G18)*Performance_Pct</f>
        <v>-9072.792804375</v>
      </c>
      <c r="H19" s="52" t="n">
        <f aca="false">-(H16+H17+H18)*Performance_Pct</f>
        <v>-10887.4972125</v>
      </c>
      <c r="I19" s="52" t="n">
        <f aca="false">-(I16+I17+I18)*Performance_Pct</f>
        <v>-13064.996655</v>
      </c>
      <c r="J19" s="52" t="n">
        <f aca="false">-(J16+J17+J18)*Performance_Pct</f>
        <v>-15677.85013875</v>
      </c>
      <c r="K19" s="52" t="n">
        <f aca="false">-(K16+K17+K18)*Performance_Pct</f>
        <v>-18813.56601375</v>
      </c>
      <c r="L19" s="52" t="n">
        <f aca="false">-(L16+L17+L18)*Performance_Pct</f>
        <v>-22576.42506375</v>
      </c>
    </row>
    <row r="20" customFormat="false" ht="15" hidden="false" customHeight="false" outlineLevel="0" collapsed="false">
      <c r="A20" s="5"/>
      <c r="B20" s="54" t="s">
        <v>238</v>
      </c>
      <c r="C20" s="55" t="n">
        <f aca="false">C16+C17+C18+C19</f>
        <v>0</v>
      </c>
      <c r="D20" s="55" t="n">
        <f aca="false">D16+D17+D18+D19</f>
        <v>0</v>
      </c>
      <c r="E20" s="55" t="n">
        <f aca="false">E16+E17+E18+E19</f>
        <v>119711.4228</v>
      </c>
      <c r="F20" s="55" t="n">
        <f aca="false">F16+F17+F18+F19</f>
        <v>143653.70736</v>
      </c>
      <c r="G20" s="55" t="n">
        <f aca="false">G16+G17+G18+G19</f>
        <v>172383.063283125</v>
      </c>
      <c r="H20" s="55" t="n">
        <f aca="false">H16+H17+H18+H19</f>
        <v>206862.4470375</v>
      </c>
      <c r="I20" s="55" t="n">
        <f aca="false">I16+I17+I18+I19</f>
        <v>248234.936445</v>
      </c>
      <c r="J20" s="55" t="n">
        <f aca="false">J16+J17+J18+J19</f>
        <v>297879.15263625</v>
      </c>
      <c r="K20" s="55" t="n">
        <f aca="false">K16+K17+K18+K19</f>
        <v>357457.75426125</v>
      </c>
      <c r="L20" s="55" t="n">
        <f aca="false">L16+L17+L18+L19</f>
        <v>428952.07621125</v>
      </c>
    </row>
    <row r="21" customFormat="false" ht="15" hidden="false" customHeight="false" outlineLevel="0" collapsed="false">
      <c r="A21" s="5"/>
      <c r="B21" s="5"/>
      <c r="C21" s="5"/>
      <c r="D21" s="5"/>
      <c r="E21" s="5"/>
      <c r="F21" s="5"/>
      <c r="G21" s="5"/>
      <c r="H21" s="5"/>
      <c r="I21" s="5"/>
      <c r="J21" s="5"/>
      <c r="K21" s="5"/>
      <c r="L21" s="5"/>
    </row>
    <row r="22" customFormat="false" ht="15" hidden="false" customHeight="false" outlineLevel="0" collapsed="false">
      <c r="A22" s="5"/>
      <c r="B22" s="21" t="s">
        <v>239</v>
      </c>
      <c r="C22" s="22"/>
      <c r="D22" s="22"/>
      <c r="E22" s="22"/>
      <c r="F22" s="22"/>
      <c r="G22" s="22"/>
      <c r="H22" s="22"/>
      <c r="I22" s="22"/>
      <c r="J22" s="22"/>
      <c r="K22" s="22"/>
      <c r="L22" s="22"/>
    </row>
    <row r="23" customFormat="false" ht="15" hidden="false" customHeight="false" outlineLevel="0" collapsed="false">
      <c r="A23" s="5"/>
      <c r="B23" s="53" t="s">
        <v>240</v>
      </c>
      <c r="C23" s="52" t="n">
        <f aca="false">ROUND(C20*Retirement_Pct,0)</f>
        <v>0</v>
      </c>
      <c r="D23" s="52" t="n">
        <f aca="false">ROUND(D20*Retirement_Pct,0)</f>
        <v>0</v>
      </c>
      <c r="E23" s="52" t="n">
        <f aca="false">ROUND(E20*Retirement_Pct,0)</f>
        <v>5986</v>
      </c>
      <c r="F23" s="52" t="n">
        <f aca="false">ROUND(F20*Retirement_Pct,0)</f>
        <v>7183</v>
      </c>
      <c r="G23" s="52" t="n">
        <f aca="false">ROUND(G20*Retirement_Pct,0)</f>
        <v>8619</v>
      </c>
      <c r="H23" s="52" t="n">
        <f aca="false">ROUND(H20*Retirement_Pct,0)</f>
        <v>10343</v>
      </c>
      <c r="I23" s="52" t="n">
        <f aca="false">ROUND(I20*Retirement_Pct,0)</f>
        <v>12412</v>
      </c>
      <c r="J23" s="52" t="n">
        <f aca="false">ROUND(J20*Retirement_Pct,0)</f>
        <v>14894</v>
      </c>
      <c r="K23" s="52" t="n">
        <f aca="false">ROUND(K20*Retirement_Pct,0)</f>
        <v>17873</v>
      </c>
      <c r="L23" s="52" t="n">
        <f aca="false">ROUND(L20*Retirement_Pct,0)</f>
        <v>21448</v>
      </c>
    </row>
    <row r="24" customFormat="false" ht="15" hidden="false" customHeight="false" outlineLevel="0" collapsed="false">
      <c r="A24" s="5"/>
      <c r="B24" s="34" t="s">
        <v>241</v>
      </c>
      <c r="C24" s="52" t="n">
        <f aca="false">C20-C23</f>
        <v>0</v>
      </c>
      <c r="D24" s="52" t="n">
        <f aca="false">D20-D23</f>
        <v>0</v>
      </c>
      <c r="E24" s="52" t="n">
        <f aca="false">E20-E23</f>
        <v>113725.4228</v>
      </c>
      <c r="F24" s="52" t="n">
        <f aca="false">F20-F23</f>
        <v>136470.70736</v>
      </c>
      <c r="G24" s="52" t="n">
        <f aca="false">G20-G23</f>
        <v>163764.063283125</v>
      </c>
      <c r="H24" s="52" t="n">
        <f aca="false">H20-H23</f>
        <v>196519.4470375</v>
      </c>
      <c r="I24" s="52" t="n">
        <f aca="false">I20-I23</f>
        <v>235822.936445</v>
      </c>
      <c r="J24" s="52" t="n">
        <f aca="false">J20-J23</f>
        <v>282985.15263625</v>
      </c>
      <c r="K24" s="52" t="n">
        <f aca="false">K20-K23</f>
        <v>339584.75426125</v>
      </c>
      <c r="L24" s="52" t="n">
        <f aca="false">L20-L23</f>
        <v>407504.07621125</v>
      </c>
    </row>
    <row r="25" customFormat="false" ht="15" hidden="false" customHeight="false" outlineLevel="0" collapsed="false">
      <c r="A25" s="5"/>
      <c r="B25" s="53" t="s">
        <v>242</v>
      </c>
      <c r="C25" s="52" t="n">
        <f aca="false">ROUND(C24*Spot_Alloc,0)</f>
        <v>0</v>
      </c>
      <c r="D25" s="52" t="n">
        <f aca="false">ROUND(D24*Spot_Alloc,0)</f>
        <v>0</v>
      </c>
      <c r="E25" s="52" t="n">
        <f aca="false">ROUND(E24*Spot_Alloc,0)</f>
        <v>68235</v>
      </c>
      <c r="F25" s="52" t="n">
        <f aca="false">ROUND(F24*Spot_Alloc,0)</f>
        <v>81882</v>
      </c>
      <c r="G25" s="52" t="n">
        <f aca="false">ROUND(G24*Spot_Alloc,0)</f>
        <v>98258</v>
      </c>
      <c r="H25" s="52" t="n">
        <f aca="false">ROUND(H24*Spot_Alloc,0)</f>
        <v>117912</v>
      </c>
      <c r="I25" s="52" t="n">
        <f aca="false">ROUND(I24*Spot_Alloc,0)</f>
        <v>141494</v>
      </c>
      <c r="J25" s="52" t="n">
        <f aca="false">ROUND(J24*Spot_Alloc,0)</f>
        <v>169791</v>
      </c>
      <c r="K25" s="52" t="n">
        <f aca="false">ROUND(K24*Spot_Alloc,0)</f>
        <v>203751</v>
      </c>
      <c r="L25" s="52" t="n">
        <f aca="false">ROUND(L24*Spot_Alloc,0)</f>
        <v>244502</v>
      </c>
    </row>
    <row r="26" customFormat="false" ht="15" hidden="false" customHeight="false" outlineLevel="0" collapsed="false">
      <c r="A26" s="5"/>
      <c r="B26" s="53" t="s">
        <v>243</v>
      </c>
      <c r="C26" s="52" t="n">
        <f aca="false">C24-C25</f>
        <v>0</v>
      </c>
      <c r="D26" s="52" t="n">
        <f aca="false">D24-D25</f>
        <v>0</v>
      </c>
      <c r="E26" s="52" t="n">
        <f aca="false">E24-E25</f>
        <v>45490.4228</v>
      </c>
      <c r="F26" s="52" t="n">
        <f aca="false">F24-F25</f>
        <v>54588.70736</v>
      </c>
      <c r="G26" s="52" t="n">
        <f aca="false">G24-G25</f>
        <v>65506.063283125</v>
      </c>
      <c r="H26" s="52" t="n">
        <f aca="false">H24-H25</f>
        <v>78607.4470375</v>
      </c>
      <c r="I26" s="52" t="n">
        <f aca="false">I24-I25</f>
        <v>94328.936445</v>
      </c>
      <c r="J26" s="52" t="n">
        <f aca="false">J24-J25</f>
        <v>113194.15263625</v>
      </c>
      <c r="K26" s="52" t="n">
        <f aca="false">K24-K25</f>
        <v>135833.75426125</v>
      </c>
      <c r="L26" s="52" t="n">
        <f aca="false">L24-L25</f>
        <v>163002.07621125</v>
      </c>
    </row>
    <row r="27" customFormat="false" ht="15" hidden="false" customHeight="false" outlineLevel="0" collapsed="false">
      <c r="A27" s="5"/>
      <c r="B27" s="53" t="s">
        <v>244</v>
      </c>
      <c r="C27" s="52" t="n">
        <f aca="false">C25+C26-C24</f>
        <v>0</v>
      </c>
      <c r="D27" s="52" t="n">
        <f aca="false">D25+D26-D24</f>
        <v>0</v>
      </c>
      <c r="E27" s="52" t="n">
        <f aca="false">E25+E26-E24</f>
        <v>0</v>
      </c>
      <c r="F27" s="52" t="n">
        <f aca="false">F25+F26-F24</f>
        <v>0</v>
      </c>
      <c r="G27" s="52" t="n">
        <f aca="false">G25+G26-G24</f>
        <v>0</v>
      </c>
      <c r="H27" s="52" t="n">
        <f aca="false">H25+H26-H24</f>
        <v>0</v>
      </c>
      <c r="I27" s="52" t="n">
        <f aca="false">I25+I26-I24</f>
        <v>0</v>
      </c>
      <c r="J27" s="52" t="n">
        <f aca="false">J25+J26-J24</f>
        <v>0</v>
      </c>
      <c r="K27" s="52" t="n">
        <f aca="false">K25+K26-K24</f>
        <v>0</v>
      </c>
      <c r="L27" s="52" t="n">
        <f aca="false">L25+L26-L24</f>
        <v>0</v>
      </c>
    </row>
    <row r="28" customFormat="false" ht="15" hidden="false" customHeight="false" outlineLevel="0" collapsed="false">
      <c r="A28" s="5"/>
      <c r="B28" s="5"/>
      <c r="C28" s="5"/>
      <c r="D28" s="5"/>
      <c r="E28" s="5"/>
      <c r="F28" s="5"/>
      <c r="G28" s="5"/>
      <c r="H28" s="5"/>
      <c r="I28" s="5"/>
      <c r="J28" s="5"/>
      <c r="K28" s="5"/>
      <c r="L28" s="5"/>
    </row>
    <row r="29" customFormat="false" ht="15" hidden="false" customHeight="false" outlineLevel="0" collapsed="false">
      <c r="A29" s="5"/>
      <c r="B29" s="21" t="s">
        <v>245</v>
      </c>
      <c r="C29" s="22"/>
      <c r="D29" s="22"/>
      <c r="E29" s="22"/>
      <c r="F29" s="22"/>
      <c r="G29" s="22"/>
      <c r="H29" s="22"/>
      <c r="I29" s="22"/>
      <c r="J29" s="22"/>
      <c r="K29" s="22"/>
      <c r="L29" s="22"/>
    </row>
    <row r="30" customFormat="false" ht="15" hidden="false" customHeight="false" outlineLevel="0" collapsed="false">
      <c r="A30" s="5"/>
      <c r="B30" s="23" t="s">
        <v>246</v>
      </c>
      <c r="C30" s="56" t="n">
        <f aca="false">Spot_Price*(1+Spot_Escalation)^(C7-1)</f>
        <v>25</v>
      </c>
      <c r="D30" s="56" t="n">
        <f aca="false">Spot_Price*(1+Spot_Escalation)^(D7-1)</f>
        <v>26.25</v>
      </c>
      <c r="E30" s="56" t="n">
        <f aca="false">Spot_Price*(1+Spot_Escalation)^(E7-1)</f>
        <v>27.5625</v>
      </c>
      <c r="F30" s="56" t="n">
        <f aca="false">Spot_Price*(1+Spot_Escalation)^(F7-1)</f>
        <v>28.940625</v>
      </c>
      <c r="G30" s="56" t="n">
        <f aca="false">Spot_Price*(1+Spot_Escalation)^(G7-1)</f>
        <v>30.38765625</v>
      </c>
      <c r="H30" s="56" t="n">
        <f aca="false">Spot_Price*(1+Spot_Escalation)^(H7-1)</f>
        <v>31.9070390625</v>
      </c>
      <c r="I30" s="56" t="n">
        <f aca="false">Spot_Price*(1+Spot_Escalation)^(I7-1)</f>
        <v>33.502391015625</v>
      </c>
      <c r="J30" s="56" t="n">
        <f aca="false">Spot_Price*(1+Spot_Escalation)^(J7-1)</f>
        <v>35.1775105664063</v>
      </c>
      <c r="K30" s="56" t="n">
        <f aca="false">Spot_Price*(1+Spot_Escalation)^(K7-1)</f>
        <v>36.9363860947266</v>
      </c>
      <c r="L30" s="56" t="n">
        <f aca="false">Spot_Price*(1+Spot_Escalation)^(L7-1)</f>
        <v>38.7832053994629</v>
      </c>
    </row>
    <row r="31" customFormat="false" ht="15" hidden="false" customHeight="false" outlineLevel="0" collapsed="false">
      <c r="A31" s="5"/>
      <c r="B31" s="53" t="s">
        <v>247</v>
      </c>
      <c r="C31" s="56" t="n">
        <f aca="false">C30*(1-Forward_Discount)</f>
        <v>20</v>
      </c>
      <c r="D31" s="56" t="n">
        <f aca="false">D30*(1-Forward_Discount)</f>
        <v>21</v>
      </c>
      <c r="E31" s="56" t="n">
        <f aca="false">E30*(1-Forward_Discount)</f>
        <v>22.05</v>
      </c>
      <c r="F31" s="56" t="n">
        <f aca="false">F30*(1-Forward_Discount)</f>
        <v>23.1525</v>
      </c>
      <c r="G31" s="56" t="n">
        <f aca="false">G30*(1-Forward_Discount)</f>
        <v>24.310125</v>
      </c>
      <c r="H31" s="56" t="n">
        <f aca="false">H30*(1-Forward_Discount)</f>
        <v>25.52563125</v>
      </c>
      <c r="I31" s="56" t="n">
        <f aca="false">I30*(1-Forward_Discount)</f>
        <v>26.8019128125</v>
      </c>
      <c r="J31" s="56" t="n">
        <f aca="false">J30*(1-Forward_Discount)</f>
        <v>28.142008453125</v>
      </c>
      <c r="K31" s="56" t="n">
        <f aca="false">K30*(1-Forward_Discount)</f>
        <v>29.5491088757813</v>
      </c>
      <c r="L31" s="56" t="n">
        <f aca="false">L30*(1-Forward_Discount)</f>
        <v>31.0265643195703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L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3"/>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48" t="s">
        <v>248</v>
      </c>
      <c r="C2" s="5"/>
      <c r="D2" s="5"/>
      <c r="E2" s="5"/>
      <c r="F2" s="5"/>
      <c r="G2" s="5"/>
      <c r="H2" s="5"/>
      <c r="I2" s="5"/>
      <c r="J2" s="5"/>
      <c r="K2" s="5"/>
      <c r="L2" s="5"/>
    </row>
    <row r="3" customFormat="false" ht="15" hidden="false" customHeight="false" outlineLevel="0" collapsed="false">
      <c r="A3" s="5"/>
      <c r="B3" s="9" t="s">
        <v>249</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49" t="s">
        <v>226</v>
      </c>
      <c r="C6" s="50" t="n">
        <v>2026</v>
      </c>
      <c r="D6" s="50" t="n">
        <v>2027</v>
      </c>
      <c r="E6" s="50" t="n">
        <v>2028</v>
      </c>
      <c r="F6" s="50" t="n">
        <v>2029</v>
      </c>
      <c r="G6" s="50" t="n">
        <v>2030</v>
      </c>
      <c r="H6" s="50" t="n">
        <v>2031</v>
      </c>
      <c r="I6" s="50" t="n">
        <v>2032</v>
      </c>
      <c r="J6" s="50" t="n">
        <v>2033</v>
      </c>
      <c r="K6" s="50" t="n">
        <v>2034</v>
      </c>
      <c r="L6" s="50" t="n">
        <v>2035</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49" t="s">
        <v>250</v>
      </c>
      <c r="C8" s="5"/>
      <c r="D8" s="5"/>
      <c r="E8" s="5"/>
      <c r="F8" s="5"/>
      <c r="G8" s="5"/>
      <c r="H8" s="5"/>
      <c r="I8" s="5"/>
      <c r="J8" s="5"/>
      <c r="K8" s="5"/>
      <c r="L8" s="5"/>
    </row>
    <row r="9" customFormat="false" ht="15" hidden="false" customHeight="false" outlineLevel="0" collapsed="false">
      <c r="A9" s="5"/>
      <c r="B9" s="23" t="s">
        <v>251</v>
      </c>
      <c r="C9" s="57" t="n">
        <f aca="false">Project_Pipeline!C20</f>
        <v>0</v>
      </c>
      <c r="D9" s="52" t="n">
        <v>0</v>
      </c>
      <c r="E9" s="52" t="n">
        <v>0</v>
      </c>
      <c r="F9" s="52" t="n">
        <v>0</v>
      </c>
      <c r="G9" s="52" t="n">
        <v>0</v>
      </c>
      <c r="H9" s="52" t="n">
        <v>0</v>
      </c>
      <c r="I9" s="52" t="n">
        <v>0</v>
      </c>
      <c r="J9" s="52" t="n">
        <v>0</v>
      </c>
      <c r="K9" s="52" t="n">
        <v>0</v>
      </c>
      <c r="L9" s="52" t="n">
        <v>0</v>
      </c>
    </row>
    <row r="10" customFormat="false" ht="15" hidden="false" customHeight="false" outlineLevel="0" collapsed="false">
      <c r="A10" s="5"/>
      <c r="B10" s="23" t="s">
        <v>252</v>
      </c>
      <c r="C10" s="52" t="n">
        <v>0</v>
      </c>
      <c r="D10" s="57" t="n">
        <f aca="false">Project_Pipeline!D20</f>
        <v>0</v>
      </c>
      <c r="E10" s="52" t="n">
        <v>0</v>
      </c>
      <c r="F10" s="52" t="n">
        <v>0</v>
      </c>
      <c r="G10" s="52" t="n">
        <v>0</v>
      </c>
      <c r="H10" s="52" t="n">
        <v>0</v>
      </c>
      <c r="I10" s="52" t="n">
        <v>0</v>
      </c>
      <c r="J10" s="52" t="n">
        <v>0</v>
      </c>
      <c r="K10" s="52" t="n">
        <v>0</v>
      </c>
      <c r="L10" s="52" t="n">
        <v>0</v>
      </c>
    </row>
    <row r="11" customFormat="false" ht="15" hidden="false" customHeight="false" outlineLevel="0" collapsed="false">
      <c r="A11" s="5"/>
      <c r="B11" s="23" t="s">
        <v>253</v>
      </c>
      <c r="C11" s="52" t="n">
        <v>0</v>
      </c>
      <c r="D11" s="52" t="n">
        <v>0</v>
      </c>
      <c r="E11" s="57" t="n">
        <f aca="false">Project_Pipeline!E20</f>
        <v>119711.4228</v>
      </c>
      <c r="F11" s="52" t="n">
        <v>0</v>
      </c>
      <c r="G11" s="52" t="n">
        <v>0</v>
      </c>
      <c r="H11" s="52" t="n">
        <v>0</v>
      </c>
      <c r="I11" s="52" t="n">
        <v>0</v>
      </c>
      <c r="J11" s="52" t="n">
        <v>0</v>
      </c>
      <c r="K11" s="52" t="n">
        <v>0</v>
      </c>
      <c r="L11" s="52" t="n">
        <v>0</v>
      </c>
    </row>
    <row r="12" customFormat="false" ht="15" hidden="false" customHeight="false" outlineLevel="0" collapsed="false">
      <c r="A12" s="5"/>
      <c r="B12" s="23" t="s">
        <v>254</v>
      </c>
      <c r="C12" s="52" t="n">
        <v>0</v>
      </c>
      <c r="D12" s="52" t="n">
        <v>0</v>
      </c>
      <c r="E12" s="52" t="n">
        <v>0</v>
      </c>
      <c r="F12" s="57" t="n">
        <f aca="false">Project_Pipeline!F20</f>
        <v>143653.70736</v>
      </c>
      <c r="G12" s="52" t="n">
        <v>0</v>
      </c>
      <c r="H12" s="52" t="n">
        <v>0</v>
      </c>
      <c r="I12" s="52" t="n">
        <v>0</v>
      </c>
      <c r="J12" s="52" t="n">
        <v>0</v>
      </c>
      <c r="K12" s="52" t="n">
        <v>0</v>
      </c>
      <c r="L12" s="52" t="n">
        <v>0</v>
      </c>
    </row>
    <row r="13" customFormat="false" ht="15" hidden="false" customHeight="false" outlineLevel="0" collapsed="false">
      <c r="A13" s="5"/>
      <c r="B13" s="23" t="s">
        <v>255</v>
      </c>
      <c r="C13" s="52" t="n">
        <v>0</v>
      </c>
      <c r="D13" s="52" t="n">
        <v>0</v>
      </c>
      <c r="E13" s="52" t="n">
        <v>0</v>
      </c>
      <c r="F13" s="52" t="n">
        <v>0</v>
      </c>
      <c r="G13" s="57" t="n">
        <f aca="false">Project_Pipeline!G20</f>
        <v>172383.063283125</v>
      </c>
      <c r="H13" s="52" t="n">
        <v>0</v>
      </c>
      <c r="I13" s="52" t="n">
        <v>0</v>
      </c>
      <c r="J13" s="52" t="n">
        <v>0</v>
      </c>
      <c r="K13" s="52" t="n">
        <v>0</v>
      </c>
      <c r="L13" s="52" t="n">
        <v>0</v>
      </c>
    </row>
    <row r="14" customFormat="false" ht="15" hidden="false" customHeight="false" outlineLevel="0" collapsed="false">
      <c r="A14" s="5"/>
      <c r="B14" s="23" t="s">
        <v>256</v>
      </c>
      <c r="C14" s="52" t="n">
        <v>0</v>
      </c>
      <c r="D14" s="52" t="n">
        <v>0</v>
      </c>
      <c r="E14" s="52" t="n">
        <v>0</v>
      </c>
      <c r="F14" s="52" t="n">
        <v>0</v>
      </c>
      <c r="G14" s="52" t="n">
        <v>0</v>
      </c>
      <c r="H14" s="57" t="n">
        <f aca="false">Project_Pipeline!H20</f>
        <v>206862.4470375</v>
      </c>
      <c r="I14" s="52" t="n">
        <v>0</v>
      </c>
      <c r="J14" s="52" t="n">
        <v>0</v>
      </c>
      <c r="K14" s="52" t="n">
        <v>0</v>
      </c>
      <c r="L14" s="52" t="n">
        <v>0</v>
      </c>
    </row>
    <row r="15" customFormat="false" ht="15" hidden="false" customHeight="false" outlineLevel="0" collapsed="false">
      <c r="A15" s="5"/>
      <c r="B15" s="23" t="s">
        <v>257</v>
      </c>
      <c r="C15" s="52" t="n">
        <v>0</v>
      </c>
      <c r="D15" s="52" t="n">
        <v>0</v>
      </c>
      <c r="E15" s="52" t="n">
        <v>0</v>
      </c>
      <c r="F15" s="52" t="n">
        <v>0</v>
      </c>
      <c r="G15" s="52" t="n">
        <v>0</v>
      </c>
      <c r="H15" s="52" t="n">
        <v>0</v>
      </c>
      <c r="I15" s="57" t="n">
        <f aca="false">Project_Pipeline!I20</f>
        <v>248234.936445</v>
      </c>
      <c r="J15" s="52" t="n">
        <v>0</v>
      </c>
      <c r="K15" s="52" t="n">
        <v>0</v>
      </c>
      <c r="L15" s="52" t="n">
        <v>0</v>
      </c>
    </row>
    <row r="16" customFormat="false" ht="15" hidden="false" customHeight="false" outlineLevel="0" collapsed="false">
      <c r="A16" s="5"/>
      <c r="B16" s="23" t="s">
        <v>258</v>
      </c>
      <c r="C16" s="52" t="n">
        <v>0</v>
      </c>
      <c r="D16" s="52" t="n">
        <v>0</v>
      </c>
      <c r="E16" s="52" t="n">
        <v>0</v>
      </c>
      <c r="F16" s="52" t="n">
        <v>0</v>
      </c>
      <c r="G16" s="52" t="n">
        <v>0</v>
      </c>
      <c r="H16" s="52" t="n">
        <v>0</v>
      </c>
      <c r="I16" s="52" t="n">
        <v>0</v>
      </c>
      <c r="J16" s="57" t="n">
        <f aca="false">Project_Pipeline!J20</f>
        <v>297879.15263625</v>
      </c>
      <c r="K16" s="52" t="n">
        <v>0</v>
      </c>
      <c r="L16" s="52" t="n">
        <v>0</v>
      </c>
    </row>
    <row r="17" customFormat="false" ht="15" hidden="false" customHeight="false" outlineLevel="0" collapsed="false">
      <c r="A17" s="5"/>
      <c r="B17" s="23" t="s">
        <v>259</v>
      </c>
      <c r="C17" s="52" t="n">
        <v>0</v>
      </c>
      <c r="D17" s="52" t="n">
        <v>0</v>
      </c>
      <c r="E17" s="52" t="n">
        <v>0</v>
      </c>
      <c r="F17" s="52" t="n">
        <v>0</v>
      </c>
      <c r="G17" s="52" t="n">
        <v>0</v>
      </c>
      <c r="H17" s="52" t="n">
        <v>0</v>
      </c>
      <c r="I17" s="52" t="n">
        <v>0</v>
      </c>
      <c r="J17" s="52" t="n">
        <v>0</v>
      </c>
      <c r="K17" s="57" t="n">
        <f aca="false">Project_Pipeline!K20</f>
        <v>357457.75426125</v>
      </c>
      <c r="L17" s="52" t="n">
        <v>0</v>
      </c>
    </row>
    <row r="18" customFormat="false" ht="15" hidden="false" customHeight="false" outlineLevel="0" collapsed="false">
      <c r="A18" s="5"/>
      <c r="B18" s="23" t="s">
        <v>260</v>
      </c>
      <c r="C18" s="52" t="n">
        <v>0</v>
      </c>
      <c r="D18" s="52" t="n">
        <v>0</v>
      </c>
      <c r="E18" s="52" t="n">
        <v>0</v>
      </c>
      <c r="F18" s="52" t="n">
        <v>0</v>
      </c>
      <c r="G18" s="52" t="n">
        <v>0</v>
      </c>
      <c r="H18" s="52" t="n">
        <v>0</v>
      </c>
      <c r="I18" s="52" t="n">
        <v>0</v>
      </c>
      <c r="J18" s="52" t="n">
        <v>0</v>
      </c>
      <c r="K18" s="52" t="n">
        <v>0</v>
      </c>
      <c r="L18" s="57" t="n">
        <f aca="false">Project_Pipeline!L20</f>
        <v>428952.07621125</v>
      </c>
    </row>
    <row r="19" customFormat="false" ht="15" hidden="false" customHeight="false" outlineLevel="0" collapsed="false">
      <c r="A19" s="5"/>
      <c r="B19" s="5"/>
      <c r="C19" s="5"/>
      <c r="D19" s="5"/>
      <c r="E19" s="5"/>
      <c r="F19" s="5"/>
      <c r="G19" s="5"/>
      <c r="H19" s="5"/>
      <c r="I19" s="5"/>
      <c r="J19" s="5"/>
      <c r="K19" s="5"/>
      <c r="L19" s="5"/>
    </row>
    <row r="20" customFormat="false" ht="15" hidden="false" customHeight="false" outlineLevel="0" collapsed="false">
      <c r="A20" s="5"/>
      <c r="B20" s="6" t="s">
        <v>261</v>
      </c>
      <c r="C20" s="55" t="n">
        <f aca="false">SUM(C9:C18)</f>
        <v>0</v>
      </c>
      <c r="D20" s="55" t="n">
        <f aca="false">SUM(D9:D18)</f>
        <v>0</v>
      </c>
      <c r="E20" s="55" t="n">
        <f aca="false">SUM(E9:E18)</f>
        <v>119711.4228</v>
      </c>
      <c r="F20" s="55" t="n">
        <f aca="false">SUM(F9:F18)</f>
        <v>143653.70736</v>
      </c>
      <c r="G20" s="55" t="n">
        <f aca="false">SUM(G9:G18)</f>
        <v>172383.063283125</v>
      </c>
      <c r="H20" s="55" t="n">
        <f aca="false">SUM(H9:H18)</f>
        <v>206862.4470375</v>
      </c>
      <c r="I20" s="55" t="n">
        <f aca="false">SUM(I9:I18)</f>
        <v>248234.936445</v>
      </c>
      <c r="J20" s="55" t="n">
        <f aca="false">SUM(J9:J18)</f>
        <v>297879.15263625</v>
      </c>
      <c r="K20" s="55" t="n">
        <f aca="false">SUM(K9:K18)</f>
        <v>357457.75426125</v>
      </c>
      <c r="L20" s="55" t="n">
        <f aca="false">SUM(L9:L18)</f>
        <v>428952.07621125</v>
      </c>
    </row>
    <row r="21" customFormat="false" ht="15" hidden="false" customHeight="false" outlineLevel="0" collapsed="false">
      <c r="A21" s="5"/>
      <c r="B21" s="5"/>
      <c r="C21" s="5"/>
      <c r="D21" s="5"/>
      <c r="E21" s="5"/>
      <c r="F21" s="5"/>
      <c r="G21" s="5"/>
      <c r="H21" s="5"/>
      <c r="I21" s="5"/>
      <c r="J21" s="5"/>
      <c r="K21" s="5"/>
      <c r="L21" s="5"/>
    </row>
    <row r="22" customFormat="false" ht="15" hidden="false" customHeight="false" outlineLevel="0" collapsed="false">
      <c r="A22" s="5"/>
      <c r="B22" s="26" t="s">
        <v>262</v>
      </c>
      <c r="C22" s="5"/>
      <c r="D22" s="5"/>
      <c r="E22" s="5"/>
      <c r="F22" s="5"/>
      <c r="G22" s="5"/>
      <c r="H22" s="5"/>
      <c r="I22" s="5"/>
      <c r="J22" s="5"/>
      <c r="K22" s="5"/>
      <c r="L22"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L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4"/>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48" t="s">
        <v>22</v>
      </c>
      <c r="C2" s="5"/>
      <c r="D2" s="5"/>
      <c r="E2" s="5"/>
      <c r="F2" s="5"/>
      <c r="G2" s="5"/>
      <c r="H2" s="5"/>
      <c r="I2" s="5"/>
      <c r="J2" s="5"/>
      <c r="K2" s="5"/>
      <c r="L2" s="5"/>
    </row>
    <row r="3" customFormat="false" ht="15" hidden="false" customHeight="false" outlineLevel="0" collapsed="false">
      <c r="A3" s="5"/>
      <c r="B3" s="9" t="s">
        <v>263</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49" t="s">
        <v>226</v>
      </c>
      <c r="C6" s="50" t="n">
        <v>2026</v>
      </c>
      <c r="D6" s="50" t="n">
        <v>2027</v>
      </c>
      <c r="E6" s="50" t="n">
        <v>2028</v>
      </c>
      <c r="F6" s="50" t="n">
        <v>2029</v>
      </c>
      <c r="G6" s="50" t="n">
        <v>2030</v>
      </c>
      <c r="H6" s="50" t="n">
        <v>2031</v>
      </c>
      <c r="I6" s="50" t="n">
        <v>2032</v>
      </c>
      <c r="J6" s="50" t="n">
        <v>2033</v>
      </c>
      <c r="K6" s="50" t="n">
        <v>2034</v>
      </c>
      <c r="L6" s="50" t="n">
        <v>2035</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21" t="s">
        <v>264</v>
      </c>
      <c r="C8" s="22"/>
      <c r="D8" s="22"/>
      <c r="E8" s="22"/>
      <c r="F8" s="22"/>
      <c r="G8" s="22"/>
      <c r="H8" s="22"/>
      <c r="I8" s="22"/>
      <c r="J8" s="22"/>
      <c r="K8" s="22"/>
      <c r="L8" s="22"/>
    </row>
    <row r="9" customFormat="false" ht="15" hidden="false" customHeight="false" outlineLevel="0" collapsed="false">
      <c r="A9" s="5"/>
      <c r="B9" s="53" t="s">
        <v>265</v>
      </c>
      <c r="C9" s="58" t="n">
        <f aca="false">Project_Pipeline!C25*Project_Pipeline!C30</f>
        <v>0</v>
      </c>
      <c r="D9" s="58" t="n">
        <f aca="false">Project_Pipeline!D25*Project_Pipeline!D30</f>
        <v>0</v>
      </c>
      <c r="E9" s="58" t="n">
        <f aca="false">Project_Pipeline!E25*Project_Pipeline!E30</f>
        <v>1880727.1875</v>
      </c>
      <c r="F9" s="58" t="n">
        <f aca="false">Project_Pipeline!F25*Project_Pipeline!F30</f>
        <v>2369716.25625</v>
      </c>
      <c r="G9" s="58" t="n">
        <f aca="false">Project_Pipeline!G25*Project_Pipeline!G30</f>
        <v>2985830.3278125</v>
      </c>
      <c r="H9" s="58" t="n">
        <f aca="false">Project_Pipeline!H25*Project_Pipeline!H30</f>
        <v>3762222.7899375</v>
      </c>
      <c r="I9" s="58" t="n">
        <f aca="false">Project_Pipeline!I25*Project_Pipeline!I30</f>
        <v>4740387.31436485</v>
      </c>
      <c r="J9" s="58" t="n">
        <f aca="false">Project_Pipeline!J25*Project_Pipeline!J30</f>
        <v>5972824.69658069</v>
      </c>
      <c r="K9" s="58" t="n">
        <f aca="false">Project_Pipeline!K25*Project_Pipeline!K30</f>
        <v>7525825.60318663</v>
      </c>
      <c r="L9" s="58" t="n">
        <f aca="false">Project_Pipeline!L25*Project_Pipeline!L30</f>
        <v>9482571.28657948</v>
      </c>
    </row>
    <row r="10" customFormat="false" ht="15" hidden="false" customHeight="false" outlineLevel="0" collapsed="false">
      <c r="A10" s="5"/>
      <c r="B10" s="53" t="s">
        <v>266</v>
      </c>
      <c r="C10" s="58" t="n">
        <f aca="false">Project_Pipeline!C26*Project_Pipeline!C31</f>
        <v>0</v>
      </c>
      <c r="D10" s="58" t="n">
        <f aca="false">Project_Pipeline!D26*Project_Pipeline!D31</f>
        <v>0</v>
      </c>
      <c r="E10" s="58" t="n">
        <f aca="false">Project_Pipeline!E26*Project_Pipeline!E31</f>
        <v>1003063.82274</v>
      </c>
      <c r="F10" s="58" t="n">
        <f aca="false">Project_Pipeline!F26*Project_Pipeline!F31</f>
        <v>1263865.0471524</v>
      </c>
      <c r="G10" s="58" t="n">
        <f aca="false">Project_Pipeline!G26*Project_Pipeline!G31</f>
        <v>1592460.58667068</v>
      </c>
      <c r="H10" s="58" t="n">
        <f aca="false">Project_Pipeline!H26*Project_Pipeline!H31</f>
        <v>2006504.70658313</v>
      </c>
      <c r="I10" s="58" t="n">
        <f aca="false">Project_Pipeline!I26*Project_Pipeline!I31</f>
        <v>2528195.93029474</v>
      </c>
      <c r="J10" s="58" t="n">
        <f aca="false">Project_Pipeline!J26*Project_Pipeline!J31</f>
        <v>3185510.80033367</v>
      </c>
      <c r="K10" s="58" t="n">
        <f aca="false">Project_Pipeline!K26*Project_Pipeline!K31</f>
        <v>4013766.39367179</v>
      </c>
      <c r="L10" s="58" t="n">
        <f aca="false">Project_Pipeline!L26*Project_Pipeline!L31</f>
        <v>5057394.40179185</v>
      </c>
    </row>
    <row r="11" customFormat="false" ht="15" hidden="false" customHeight="false" outlineLevel="0" collapsed="false">
      <c r="A11" s="5"/>
      <c r="B11" s="54" t="s">
        <v>267</v>
      </c>
      <c r="C11" s="59" t="n">
        <f aca="false">C9+C10</f>
        <v>0</v>
      </c>
      <c r="D11" s="59" t="n">
        <f aca="false">D9+D10</f>
        <v>0</v>
      </c>
      <c r="E11" s="59" t="n">
        <f aca="false">E9+E10</f>
        <v>2883791.01024</v>
      </c>
      <c r="F11" s="59" t="n">
        <f aca="false">F9+F10</f>
        <v>3633581.3034024</v>
      </c>
      <c r="G11" s="59" t="n">
        <f aca="false">G9+G10</f>
        <v>4578290.91448318</v>
      </c>
      <c r="H11" s="59" t="n">
        <f aca="false">H9+H10</f>
        <v>5768727.49652063</v>
      </c>
      <c r="I11" s="59" t="n">
        <f aca="false">I9+I10</f>
        <v>7268583.24465959</v>
      </c>
      <c r="J11" s="59" t="n">
        <f aca="false">J9+J10</f>
        <v>9158335.49691436</v>
      </c>
      <c r="K11" s="59" t="n">
        <f aca="false">K9+K10</f>
        <v>11539591.9968584</v>
      </c>
      <c r="L11" s="59" t="n">
        <f aca="false">L9+L10</f>
        <v>14539965.6883713</v>
      </c>
    </row>
    <row r="12" customFormat="false" ht="15" hidden="false" customHeight="false" outlineLevel="0" collapsed="false">
      <c r="A12" s="5"/>
      <c r="B12" s="5"/>
      <c r="C12" s="5"/>
      <c r="D12" s="5"/>
      <c r="E12" s="5"/>
      <c r="F12" s="5"/>
      <c r="G12" s="5"/>
      <c r="H12" s="5"/>
      <c r="I12" s="5"/>
      <c r="J12" s="5"/>
      <c r="K12" s="5"/>
      <c r="L12" s="5"/>
    </row>
    <row r="13" customFormat="false" ht="15" hidden="false" customHeight="false" outlineLevel="0" collapsed="false">
      <c r="A13" s="5"/>
      <c r="B13" s="21" t="s">
        <v>268</v>
      </c>
      <c r="C13" s="22"/>
      <c r="D13" s="22"/>
      <c r="E13" s="22"/>
      <c r="F13" s="22"/>
      <c r="G13" s="22"/>
      <c r="H13" s="22"/>
      <c r="I13" s="22"/>
      <c r="J13" s="22"/>
      <c r="K13" s="22"/>
      <c r="L13" s="22"/>
    </row>
    <row r="14" customFormat="false" ht="15" hidden="false" customHeight="false" outlineLevel="0" collapsed="false">
      <c r="A14" s="5"/>
      <c r="B14" s="53" t="s">
        <v>269</v>
      </c>
      <c r="C14" s="52" t="n">
        <f aca="false">ROUND(Trading_Vol_Y1*(1+Trading_Vol_Growth)^(Project_Pipeline!C7-1),0)</f>
        <v>50000</v>
      </c>
      <c r="D14" s="52" t="n">
        <f aca="false">ROUND(Trading_Vol_Y1*(1+Trading_Vol_Growth)^(Project_Pipeline!D7-1),0)</f>
        <v>57500</v>
      </c>
      <c r="E14" s="52" t="n">
        <f aca="false">ROUND(Trading_Vol_Y1*(1+Trading_Vol_Growth)^(Project_Pipeline!E7-1),0)</f>
        <v>66125</v>
      </c>
      <c r="F14" s="52" t="n">
        <f aca="false">ROUND(Trading_Vol_Y1*(1+Trading_Vol_Growth)^(Project_Pipeline!F7-1),0)</f>
        <v>76044</v>
      </c>
      <c r="G14" s="52" t="n">
        <f aca="false">ROUND(Trading_Vol_Y1*(1+Trading_Vol_Growth)^(Project_Pipeline!G7-1),0)</f>
        <v>87450</v>
      </c>
      <c r="H14" s="52" t="n">
        <f aca="false">ROUND(Trading_Vol_Y1*(1+Trading_Vol_Growth)^(Project_Pipeline!H7-1),0)</f>
        <v>100568</v>
      </c>
      <c r="I14" s="52" t="n">
        <f aca="false">ROUND(Trading_Vol_Y1*(1+Trading_Vol_Growth)^(Project_Pipeline!I7-1),0)</f>
        <v>115653</v>
      </c>
      <c r="J14" s="52" t="n">
        <f aca="false">ROUND(Trading_Vol_Y1*(1+Trading_Vol_Growth)^(Project_Pipeline!J7-1),0)</f>
        <v>133001</v>
      </c>
      <c r="K14" s="52" t="n">
        <f aca="false">ROUND(Trading_Vol_Y1*(1+Trading_Vol_Growth)^(Project_Pipeline!K7-1),0)</f>
        <v>152951</v>
      </c>
      <c r="L14" s="52" t="n">
        <f aca="false">ROUND(Trading_Vol_Y1*(1+Trading_Vol_Growth)^(Project_Pipeline!L7-1),0)</f>
        <v>175894</v>
      </c>
    </row>
    <row r="15" customFormat="false" ht="15" hidden="false" customHeight="false" outlineLevel="0" collapsed="false">
      <c r="A15" s="5"/>
      <c r="B15" s="53" t="s">
        <v>270</v>
      </c>
      <c r="C15" s="58" t="n">
        <f aca="false">C14*Trading_Avg_Price</f>
        <v>900000</v>
      </c>
      <c r="D15" s="58" t="n">
        <f aca="false">D14*Trading_Avg_Price</f>
        <v>1035000</v>
      </c>
      <c r="E15" s="58" t="n">
        <f aca="false">E14*Trading_Avg_Price</f>
        <v>1190250</v>
      </c>
      <c r="F15" s="58" t="n">
        <f aca="false">F14*Trading_Avg_Price</f>
        <v>1368792</v>
      </c>
      <c r="G15" s="58" t="n">
        <f aca="false">G14*Trading_Avg_Price</f>
        <v>1574100</v>
      </c>
      <c r="H15" s="58" t="n">
        <f aca="false">H14*Trading_Avg_Price</f>
        <v>1810224</v>
      </c>
      <c r="I15" s="58" t="n">
        <f aca="false">I14*Trading_Avg_Price</f>
        <v>2081754</v>
      </c>
      <c r="J15" s="58" t="n">
        <f aca="false">J14*Trading_Avg_Price</f>
        <v>2394018</v>
      </c>
      <c r="K15" s="58" t="n">
        <f aca="false">K14*Trading_Avg_Price</f>
        <v>2753118</v>
      </c>
      <c r="L15" s="58" t="n">
        <f aca="false">L14*Trading_Avg_Price</f>
        <v>3166092</v>
      </c>
    </row>
    <row r="16" customFormat="false" ht="15" hidden="false" customHeight="false" outlineLevel="0" collapsed="false">
      <c r="A16" s="5"/>
      <c r="B16" s="54" t="s">
        <v>271</v>
      </c>
      <c r="C16" s="59" t="n">
        <f aca="false">C15*Trading_Margin</f>
        <v>72000</v>
      </c>
      <c r="D16" s="59" t="n">
        <f aca="false">D15*Trading_Margin</f>
        <v>82800</v>
      </c>
      <c r="E16" s="59" t="n">
        <f aca="false">E15*Trading_Margin</f>
        <v>95220</v>
      </c>
      <c r="F16" s="59" t="n">
        <f aca="false">F15*Trading_Margin</f>
        <v>109503.36</v>
      </c>
      <c r="G16" s="59" t="n">
        <f aca="false">G15*Trading_Margin</f>
        <v>125928</v>
      </c>
      <c r="H16" s="59" t="n">
        <f aca="false">H15*Trading_Margin</f>
        <v>144817.92</v>
      </c>
      <c r="I16" s="59" t="n">
        <f aca="false">I15*Trading_Margin</f>
        <v>166540.32</v>
      </c>
      <c r="J16" s="59" t="n">
        <f aca="false">J15*Trading_Margin</f>
        <v>191521.44</v>
      </c>
      <c r="K16" s="59" t="n">
        <f aca="false">K15*Trading_Margin</f>
        <v>220249.44</v>
      </c>
      <c r="L16" s="59" t="n">
        <f aca="false">L15*Trading_Margin</f>
        <v>253287.36</v>
      </c>
    </row>
    <row r="17" customFormat="false" ht="15" hidden="false" customHeight="false" outlineLevel="0" collapsed="false">
      <c r="A17" s="5"/>
      <c r="B17" s="60" t="s">
        <v>272</v>
      </c>
      <c r="C17" s="60"/>
      <c r="D17" s="60"/>
      <c r="E17" s="60"/>
      <c r="F17" s="60"/>
      <c r="G17" s="60"/>
      <c r="H17" s="60"/>
      <c r="I17" s="60"/>
      <c r="J17" s="60"/>
      <c r="K17" s="60"/>
      <c r="L17" s="60"/>
    </row>
    <row r="18" customFormat="false" ht="15" hidden="false" customHeight="false" outlineLevel="0" collapsed="false">
      <c r="A18" s="5"/>
      <c r="B18" s="5"/>
      <c r="C18" s="5"/>
      <c r="D18" s="5"/>
      <c r="E18" s="5"/>
      <c r="F18" s="5"/>
      <c r="G18" s="5"/>
      <c r="H18" s="5"/>
      <c r="I18" s="5"/>
      <c r="J18" s="5"/>
      <c r="K18" s="5"/>
      <c r="L18" s="5"/>
    </row>
    <row r="19" customFormat="false" ht="15" hidden="false" customHeight="false" outlineLevel="0" collapsed="false">
      <c r="A19" s="5"/>
      <c r="B19" s="21" t="s">
        <v>273</v>
      </c>
      <c r="C19" s="22"/>
      <c r="D19" s="22"/>
      <c r="E19" s="22"/>
      <c r="F19" s="22"/>
      <c r="G19" s="22"/>
      <c r="H19" s="22"/>
      <c r="I19" s="22"/>
      <c r="J19" s="22"/>
      <c r="K19" s="22"/>
      <c r="L19" s="22"/>
    </row>
    <row r="20" customFormat="false" ht="15" hidden="false" customHeight="false" outlineLevel="0" collapsed="false">
      <c r="A20" s="5"/>
      <c r="B20" s="53" t="s">
        <v>274</v>
      </c>
      <c r="C20" s="58" t="n">
        <f aca="false">D10*Forward_Upfront_Pct</f>
        <v>0</v>
      </c>
      <c r="D20" s="58" t="n">
        <f aca="false">E10*Forward_Upfront_Pct</f>
        <v>200612.764548</v>
      </c>
      <c r="E20" s="58" t="n">
        <f aca="false">F10*Forward_Upfront_Pct</f>
        <v>252773.00943048</v>
      </c>
      <c r="F20" s="58" t="n">
        <f aca="false">G10*Forward_Upfront_Pct</f>
        <v>318492.117334136</v>
      </c>
      <c r="G20" s="58" t="n">
        <f aca="false">H10*Forward_Upfront_Pct</f>
        <v>401300.941316626</v>
      </c>
      <c r="H20" s="58" t="n">
        <f aca="false">I10*Forward_Upfront_Pct</f>
        <v>505639.186058949</v>
      </c>
      <c r="I20" s="58" t="n">
        <f aca="false">J10*Forward_Upfront_Pct</f>
        <v>637102.160066734</v>
      </c>
      <c r="J20" s="58" t="n">
        <f aca="false">K10*Forward_Upfront_Pct</f>
        <v>802753.278734359</v>
      </c>
      <c r="K20" s="58" t="n">
        <f aca="false">L10*Forward_Upfront_Pct</f>
        <v>1011478.88035837</v>
      </c>
      <c r="L20" s="58" t="n">
        <f aca="false">0</f>
        <v>0</v>
      </c>
    </row>
    <row r="21" customFormat="false" ht="15" hidden="false" customHeight="false" outlineLevel="0" collapsed="false">
      <c r="A21" s="5"/>
      <c r="B21" s="53" t="s">
        <v>275</v>
      </c>
      <c r="C21" s="58" t="n">
        <f aca="false">C10*Forward_Upfront_Pct</f>
        <v>0</v>
      </c>
      <c r="D21" s="58" t="n">
        <f aca="false">D10*Forward_Upfront_Pct</f>
        <v>0</v>
      </c>
      <c r="E21" s="58" t="n">
        <f aca="false">E10*Forward_Upfront_Pct</f>
        <v>200612.764548</v>
      </c>
      <c r="F21" s="58" t="n">
        <f aca="false">F10*Forward_Upfront_Pct</f>
        <v>252773.00943048</v>
      </c>
      <c r="G21" s="58" t="n">
        <f aca="false">G10*Forward_Upfront_Pct</f>
        <v>318492.117334136</v>
      </c>
      <c r="H21" s="58" t="n">
        <f aca="false">H10*Forward_Upfront_Pct</f>
        <v>401300.941316626</v>
      </c>
      <c r="I21" s="58" t="n">
        <f aca="false">I10*Forward_Upfront_Pct</f>
        <v>505639.186058949</v>
      </c>
      <c r="J21" s="58" t="n">
        <f aca="false">J10*Forward_Upfront_Pct</f>
        <v>637102.160066734</v>
      </c>
      <c r="K21" s="58" t="n">
        <f aca="false">K10*Forward_Upfront_Pct</f>
        <v>802753.278734359</v>
      </c>
      <c r="L21" s="58" t="n">
        <f aca="false">L10*Forward_Upfront_Pct</f>
        <v>1011478.88035837</v>
      </c>
    </row>
    <row r="22" customFormat="false" ht="15" hidden="false" customHeight="false" outlineLevel="0" collapsed="false">
      <c r="A22" s="5"/>
      <c r="B22" s="54" t="s">
        <v>276</v>
      </c>
      <c r="C22" s="59" t="n">
        <f aca="false">C20-C21</f>
        <v>0</v>
      </c>
      <c r="D22" s="59" t="n">
        <f aca="false">C22+D20-D21</f>
        <v>200612.764548</v>
      </c>
      <c r="E22" s="59" t="n">
        <f aca="false">D22+E20-E21</f>
        <v>252773.00943048</v>
      </c>
      <c r="F22" s="59" t="n">
        <f aca="false">E22+F20-F21</f>
        <v>318492.117334136</v>
      </c>
      <c r="G22" s="59" t="n">
        <f aca="false">F22+G20-G21</f>
        <v>401300.941316626</v>
      </c>
      <c r="H22" s="59" t="n">
        <f aca="false">G22+H20-H21</f>
        <v>505639.186058949</v>
      </c>
      <c r="I22" s="59" t="n">
        <f aca="false">H22+I20-I21</f>
        <v>637102.160066734</v>
      </c>
      <c r="J22" s="59" t="n">
        <f aca="false">I22+J20-J21</f>
        <v>802753.278734359</v>
      </c>
      <c r="K22" s="59" t="n">
        <f aca="false">J22+K20-K21</f>
        <v>1011478.88035837</v>
      </c>
      <c r="L22" s="59" t="n">
        <f aca="false">K22+L20-L21</f>
        <v>0</v>
      </c>
    </row>
    <row r="23" customFormat="false" ht="15" hidden="false" customHeight="false" outlineLevel="0" collapsed="false">
      <c r="A23" s="5"/>
      <c r="B23" s="53" t="s">
        <v>277</v>
      </c>
      <c r="C23" s="58" t="n">
        <f aca="false">C22</f>
        <v>0</v>
      </c>
      <c r="D23" s="58" t="n">
        <f aca="false">D22-C22</f>
        <v>200612.764548</v>
      </c>
      <c r="E23" s="58" t="n">
        <f aca="false">E22-D22</f>
        <v>52160.2448824801</v>
      </c>
      <c r="F23" s="58" t="n">
        <f aca="false">F22-E22</f>
        <v>65719.1079036559</v>
      </c>
      <c r="G23" s="58" t="n">
        <f aca="false">G22-F22</f>
        <v>82808.8239824902</v>
      </c>
      <c r="H23" s="58" t="n">
        <f aca="false">H22-G22</f>
        <v>104338.244742323</v>
      </c>
      <c r="I23" s="58" t="n">
        <f aca="false">I22-H22</f>
        <v>131462.974007785</v>
      </c>
      <c r="J23" s="58" t="n">
        <f aca="false">J22-I22</f>
        <v>165651.118667625</v>
      </c>
      <c r="K23" s="58" t="n">
        <f aca="false">K22-J22</f>
        <v>208725.601624011</v>
      </c>
      <c r="L23" s="58" t="n">
        <f aca="false">L22-K22</f>
        <v>-1011478.88035837</v>
      </c>
    </row>
    <row r="24" customFormat="false" ht="15" hidden="false" customHeight="false" outlineLevel="0" collapsed="false">
      <c r="A24" s="5"/>
      <c r="B24" s="5"/>
      <c r="C24" s="5"/>
      <c r="D24" s="5"/>
      <c r="E24" s="5"/>
      <c r="F24" s="5"/>
      <c r="G24" s="5"/>
      <c r="H24" s="5"/>
      <c r="I24" s="5"/>
      <c r="J24" s="5"/>
      <c r="K24" s="5"/>
      <c r="L24" s="5"/>
    </row>
    <row r="25" customFormat="false" ht="15" hidden="false" customHeight="false" outlineLevel="0" collapsed="false">
      <c r="A25" s="5"/>
      <c r="B25" s="21" t="s">
        <v>278</v>
      </c>
      <c r="C25" s="22"/>
      <c r="D25" s="22"/>
      <c r="E25" s="22"/>
      <c r="F25" s="22"/>
      <c r="G25" s="22"/>
      <c r="H25" s="22"/>
      <c r="I25" s="22"/>
      <c r="J25" s="22"/>
      <c r="K25" s="22"/>
      <c r="L25" s="22"/>
    </row>
    <row r="26" customFormat="false" ht="15" hidden="false" customHeight="false" outlineLevel="0" collapsed="false">
      <c r="A26" s="5"/>
      <c r="B26" s="54" t="s">
        <v>279</v>
      </c>
      <c r="C26" s="61" t="n">
        <f aca="false">C11+C16</f>
        <v>72000</v>
      </c>
      <c r="D26" s="61" t="n">
        <f aca="false">D11+D16</f>
        <v>82800</v>
      </c>
      <c r="E26" s="61" t="n">
        <f aca="false">E11+E16</f>
        <v>2979011.01024</v>
      </c>
      <c r="F26" s="61" t="n">
        <f aca="false">F11+F16</f>
        <v>3743084.6634024</v>
      </c>
      <c r="G26" s="61" t="n">
        <f aca="false">G11+G16</f>
        <v>4704218.91448318</v>
      </c>
      <c r="H26" s="61" t="n">
        <f aca="false">H11+H16</f>
        <v>5913545.41652063</v>
      </c>
      <c r="I26" s="61" t="n">
        <f aca="false">I11+I16</f>
        <v>7435123.56465959</v>
      </c>
      <c r="J26" s="61" t="n">
        <f aca="false">J11+J16</f>
        <v>9349856.93691436</v>
      </c>
      <c r="K26" s="61" t="n">
        <f aca="false">K11+K16</f>
        <v>11759841.4368584</v>
      </c>
      <c r="L26" s="61" t="n">
        <f aca="false">L11+L16</f>
        <v>14793253.0483713</v>
      </c>
    </row>
  </sheetData>
  <mergeCells count="1">
    <mergeCell ref="B17:L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L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4"/>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48" t="s">
        <v>127</v>
      </c>
      <c r="C2" s="5"/>
      <c r="D2" s="5"/>
      <c r="E2" s="5"/>
      <c r="F2" s="5"/>
      <c r="G2" s="5"/>
      <c r="H2" s="5"/>
      <c r="I2" s="5"/>
      <c r="J2" s="5"/>
      <c r="K2" s="5"/>
      <c r="L2" s="5"/>
    </row>
    <row r="3" customFormat="false" ht="15" hidden="false" customHeight="false" outlineLevel="0" collapsed="false">
      <c r="A3" s="5"/>
      <c r="B3" s="9" t="s">
        <v>280</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49" t="s">
        <v>226</v>
      </c>
      <c r="C6" s="50" t="n">
        <v>2026</v>
      </c>
      <c r="D6" s="50" t="n">
        <v>2027</v>
      </c>
      <c r="E6" s="50" t="n">
        <v>2028</v>
      </c>
      <c r="F6" s="50" t="n">
        <v>2029</v>
      </c>
      <c r="G6" s="50" t="n">
        <v>2030</v>
      </c>
      <c r="H6" s="50" t="n">
        <v>2031</v>
      </c>
      <c r="I6" s="50" t="n">
        <v>2032</v>
      </c>
      <c r="J6" s="50" t="n">
        <v>2033</v>
      </c>
      <c r="K6" s="50" t="n">
        <v>2034</v>
      </c>
      <c r="L6" s="50" t="n">
        <v>2035</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21" t="s">
        <v>281</v>
      </c>
      <c r="C8" s="22"/>
      <c r="D8" s="22"/>
      <c r="E8" s="22"/>
      <c r="F8" s="22"/>
      <c r="G8" s="22"/>
      <c r="H8" s="22"/>
      <c r="I8" s="22"/>
      <c r="J8" s="22"/>
      <c r="K8" s="22"/>
      <c r="L8" s="22"/>
    </row>
    <row r="9" customFormat="false" ht="15" hidden="false" customHeight="false" outlineLevel="0" collapsed="false">
      <c r="A9" s="5"/>
      <c r="B9" s="53" t="s">
        <v>282</v>
      </c>
      <c r="C9" s="58" t="n">
        <f aca="false">Project_Pipeline!C20*Registry_Fee</f>
        <v>0</v>
      </c>
      <c r="D9" s="58" t="n">
        <f aca="false">Project_Pipeline!D20*Registry_Fee</f>
        <v>0</v>
      </c>
      <c r="E9" s="58" t="n">
        <f aca="false">Project_Pipeline!E20*Registry_Fee</f>
        <v>23942.28456</v>
      </c>
      <c r="F9" s="58" t="n">
        <f aca="false">Project_Pipeline!F20*Registry_Fee</f>
        <v>28730.741472</v>
      </c>
      <c r="G9" s="58" t="n">
        <f aca="false">Project_Pipeline!G20*Registry_Fee</f>
        <v>34476.612656625</v>
      </c>
      <c r="H9" s="58" t="n">
        <f aca="false">Project_Pipeline!H20*Registry_Fee</f>
        <v>41372.4894075</v>
      </c>
      <c r="I9" s="58" t="n">
        <f aca="false">Project_Pipeline!I20*Registry_Fee</f>
        <v>49646.987289</v>
      </c>
      <c r="J9" s="58" t="n">
        <f aca="false">Project_Pipeline!J20*Registry_Fee</f>
        <v>59575.83052725</v>
      </c>
      <c r="K9" s="58" t="n">
        <f aca="false">Project_Pipeline!K20*Registry_Fee</f>
        <v>71491.55085225</v>
      </c>
      <c r="L9" s="58" t="n">
        <f aca="false">Project_Pipeline!L20*Registry_Fee</f>
        <v>85790.41524225</v>
      </c>
    </row>
    <row r="10" customFormat="false" ht="15" hidden="false" customHeight="false" outlineLevel="0" collapsed="false">
      <c r="A10" s="5"/>
      <c r="B10" s="53" t="s">
        <v>283</v>
      </c>
      <c r="C10" s="58" t="n">
        <f aca="false">IF(Project_Pipeline!C7=1,Validation_Y1,IF(Project_Pipeline!C7=2,Validation_Y2,0))</f>
        <v>200000</v>
      </c>
      <c r="D10" s="58" t="n">
        <f aca="false">IF(Project_Pipeline!D7=1,Validation_Y1,IF(Project_Pipeline!D7=2,Validation_Y2,0))</f>
        <v>100000</v>
      </c>
      <c r="E10" s="58" t="n">
        <f aca="false">IF(Project_Pipeline!E7=1,Validation_Y1,IF(Project_Pipeline!E7=2,Validation_Y2,0))</f>
        <v>0</v>
      </c>
      <c r="F10" s="58" t="n">
        <f aca="false">IF(Project_Pipeline!F7=1,Validation_Y1,IF(Project_Pipeline!F7=2,Validation_Y2,0))</f>
        <v>0</v>
      </c>
      <c r="G10" s="58" t="n">
        <f aca="false">IF(Project_Pipeline!G7=1,Validation_Y1,IF(Project_Pipeline!G7=2,Validation_Y2,0))</f>
        <v>0</v>
      </c>
      <c r="H10" s="58" t="n">
        <f aca="false">IF(Project_Pipeline!H7=1,Validation_Y1,IF(Project_Pipeline!H7=2,Validation_Y2,0))</f>
        <v>0</v>
      </c>
      <c r="I10" s="58" t="n">
        <f aca="false">IF(Project_Pipeline!I7=1,Validation_Y1,IF(Project_Pipeline!I7=2,Validation_Y2,0))</f>
        <v>0</v>
      </c>
      <c r="J10" s="58" t="n">
        <f aca="false">IF(Project_Pipeline!J7=1,Validation_Y1,IF(Project_Pipeline!J7=2,Validation_Y2,0))</f>
        <v>0</v>
      </c>
      <c r="K10" s="58" t="n">
        <f aca="false">IF(Project_Pipeline!K7=1,Validation_Y1,IF(Project_Pipeline!K7=2,Validation_Y2,0))</f>
        <v>0</v>
      </c>
      <c r="L10" s="58" t="n">
        <f aca="false">IF(Project_Pipeline!L7=1,Validation_Y1,IF(Project_Pipeline!L7=2,Validation_Y2,0))</f>
        <v>0</v>
      </c>
    </row>
    <row r="11" customFormat="false" ht="15" hidden="false" customHeight="false" outlineLevel="0" collapsed="false">
      <c r="A11" s="5"/>
      <c r="B11" s="53" t="s">
        <v>138</v>
      </c>
      <c r="C11" s="58" t="n">
        <f aca="false">IF(AND(Project_Pipeline!C7&gt;=3,MOD(Project_Pipeline!C7-3,2)=0),Verify_Recur,0)</f>
        <v>0</v>
      </c>
      <c r="D11" s="58" t="n">
        <f aca="false">IF(AND(Project_Pipeline!D7&gt;=3,MOD(Project_Pipeline!D7-3,2)=0),Verify_Recur,0)</f>
        <v>0</v>
      </c>
      <c r="E11" s="58" t="n">
        <f aca="false">IF(AND(Project_Pipeline!E7&gt;=3,MOD(Project_Pipeline!E7-3,2)=0),Verify_Recur,0)</f>
        <v>50000</v>
      </c>
      <c r="F11" s="58" t="n">
        <f aca="false">IF(AND(Project_Pipeline!F7&gt;=3,MOD(Project_Pipeline!F7-3,2)=0),Verify_Recur,0)</f>
        <v>0</v>
      </c>
      <c r="G11" s="58" t="n">
        <f aca="false">IF(AND(Project_Pipeline!G7&gt;=3,MOD(Project_Pipeline!G7-3,2)=0),Verify_Recur,0)</f>
        <v>50000</v>
      </c>
      <c r="H11" s="58" t="n">
        <f aca="false">IF(AND(Project_Pipeline!H7&gt;=3,MOD(Project_Pipeline!H7-3,2)=0),Verify_Recur,0)</f>
        <v>0</v>
      </c>
      <c r="I11" s="58" t="n">
        <f aca="false">IF(AND(Project_Pipeline!I7&gt;=3,MOD(Project_Pipeline!I7-3,2)=0),Verify_Recur,0)</f>
        <v>50000</v>
      </c>
      <c r="J11" s="58" t="n">
        <f aca="false">IF(AND(Project_Pipeline!J7&gt;=3,MOD(Project_Pipeline!J7-3,2)=0),Verify_Recur,0)</f>
        <v>0</v>
      </c>
      <c r="K11" s="58" t="n">
        <f aca="false">IF(AND(Project_Pipeline!K7&gt;=3,MOD(Project_Pipeline!K7-3,2)=0),Verify_Recur,0)</f>
        <v>50000</v>
      </c>
      <c r="L11" s="58" t="n">
        <f aca="false">IF(AND(Project_Pipeline!L7&gt;=3,MOD(Project_Pipeline!L7-3,2)=0),Verify_Recur,0)</f>
        <v>0</v>
      </c>
    </row>
    <row r="12" customFormat="false" ht="15" hidden="false" customHeight="false" outlineLevel="0" collapsed="false">
      <c r="A12" s="5"/>
      <c r="B12" s="53" t="s">
        <v>130</v>
      </c>
      <c r="C12" s="58" t="n">
        <f aca="false">Revenue!C11*Community_Share</f>
        <v>0</v>
      </c>
      <c r="D12" s="58" t="n">
        <f aca="false">Revenue!D11*Community_Share</f>
        <v>0</v>
      </c>
      <c r="E12" s="58" t="n">
        <f aca="false">Revenue!E11*Community_Share</f>
        <v>576758.202048</v>
      </c>
      <c r="F12" s="58" t="n">
        <f aca="false">Revenue!F11*Community_Share</f>
        <v>726716.26068048</v>
      </c>
      <c r="G12" s="58" t="n">
        <f aca="false">Revenue!G11*Community_Share</f>
        <v>915658.182896636</v>
      </c>
      <c r="H12" s="58" t="n">
        <f aca="false">Revenue!H11*Community_Share</f>
        <v>1153745.49930413</v>
      </c>
      <c r="I12" s="58" t="n">
        <f aca="false">Revenue!I11*Community_Share</f>
        <v>1453716.64893192</v>
      </c>
      <c r="J12" s="58" t="n">
        <f aca="false">Revenue!J11*Community_Share</f>
        <v>1831667.09938287</v>
      </c>
      <c r="K12" s="58" t="n">
        <f aca="false">Revenue!K11*Community_Share</f>
        <v>2307918.39937169</v>
      </c>
      <c r="L12" s="58" t="n">
        <f aca="false">Revenue!L11*Community_Share</f>
        <v>2907993.13767427</v>
      </c>
    </row>
    <row r="13" customFormat="false" ht="15" hidden="false" customHeight="false" outlineLevel="0" collapsed="false">
      <c r="A13" s="5"/>
      <c r="B13" s="5"/>
      <c r="C13" s="5"/>
      <c r="D13" s="5"/>
      <c r="E13" s="5"/>
      <c r="F13" s="5"/>
      <c r="G13" s="5"/>
      <c r="H13" s="5"/>
      <c r="I13" s="5"/>
      <c r="J13" s="5"/>
      <c r="K13" s="5"/>
      <c r="L13" s="5"/>
    </row>
    <row r="14" customFormat="false" ht="15" hidden="false" customHeight="false" outlineLevel="0" collapsed="false">
      <c r="A14" s="5"/>
      <c r="B14" s="21" t="s">
        <v>284</v>
      </c>
      <c r="C14" s="22"/>
      <c r="D14" s="22"/>
      <c r="E14" s="22"/>
      <c r="F14" s="22"/>
      <c r="G14" s="22"/>
      <c r="H14" s="22"/>
      <c r="I14" s="22"/>
      <c r="J14" s="22"/>
      <c r="K14" s="22"/>
      <c r="L14" s="22"/>
    </row>
    <row r="15" customFormat="false" ht="15" hidden="false" customHeight="false" outlineLevel="0" collapsed="false">
      <c r="A15" s="5"/>
      <c r="B15" s="53" t="s">
        <v>285</v>
      </c>
      <c r="C15" s="58" t="n">
        <f aca="false">Project_Pipeline!C23*Project_Pipeline!C30</f>
        <v>0</v>
      </c>
      <c r="D15" s="58" t="n">
        <f aca="false">Project_Pipeline!D23*Project_Pipeline!D30</f>
        <v>0</v>
      </c>
      <c r="E15" s="58" t="n">
        <f aca="false">Project_Pipeline!E23*Project_Pipeline!E30</f>
        <v>164989.125</v>
      </c>
      <c r="F15" s="58" t="n">
        <f aca="false">Project_Pipeline!F23*Project_Pipeline!F30</f>
        <v>207880.509375</v>
      </c>
      <c r="G15" s="58" t="n">
        <f aca="false">Project_Pipeline!G23*Project_Pipeline!G30</f>
        <v>261911.20921875</v>
      </c>
      <c r="H15" s="58" t="n">
        <f aca="false">Project_Pipeline!H23*Project_Pipeline!H30</f>
        <v>330014.505023438</v>
      </c>
      <c r="I15" s="58" t="n">
        <f aca="false">Project_Pipeline!I23*Project_Pipeline!I30</f>
        <v>415831.677285938</v>
      </c>
      <c r="J15" s="58" t="n">
        <f aca="false">Project_Pipeline!J23*Project_Pipeline!J30</f>
        <v>523933.842376055</v>
      </c>
      <c r="K15" s="58" t="n">
        <f aca="false">Project_Pipeline!K23*Project_Pipeline!K30</f>
        <v>660164.028671048</v>
      </c>
      <c r="L15" s="58" t="n">
        <f aca="false">Project_Pipeline!L23*Project_Pipeline!L30</f>
        <v>831822.18940768</v>
      </c>
    </row>
    <row r="16" customFormat="false" ht="15" hidden="false" customHeight="false" outlineLevel="0" collapsed="false">
      <c r="A16" s="5"/>
      <c r="B16" s="5"/>
      <c r="C16" s="5"/>
      <c r="D16" s="5"/>
      <c r="E16" s="5"/>
      <c r="F16" s="5"/>
      <c r="G16" s="5"/>
      <c r="H16" s="5"/>
      <c r="I16" s="5"/>
      <c r="J16" s="5"/>
      <c r="K16" s="5"/>
      <c r="L16" s="5"/>
    </row>
    <row r="17" customFormat="false" ht="15" hidden="false" customHeight="false" outlineLevel="0" collapsed="false">
      <c r="A17" s="5"/>
      <c r="B17" s="21" t="s">
        <v>278</v>
      </c>
      <c r="C17" s="22"/>
      <c r="D17" s="22"/>
      <c r="E17" s="22"/>
      <c r="F17" s="22"/>
      <c r="G17" s="22"/>
      <c r="H17" s="22"/>
      <c r="I17" s="22"/>
      <c r="J17" s="22"/>
      <c r="K17" s="22"/>
      <c r="L17" s="22"/>
    </row>
    <row r="18" customFormat="false" ht="15" hidden="false" customHeight="false" outlineLevel="0" collapsed="false">
      <c r="A18" s="5"/>
      <c r="B18" s="54" t="s">
        <v>286</v>
      </c>
      <c r="C18" s="61" t="n">
        <f aca="false">C9+C10+C11+C12+C15</f>
        <v>200000</v>
      </c>
      <c r="D18" s="61" t="n">
        <f aca="false">D9+D10+D11+D12+D15</f>
        <v>100000</v>
      </c>
      <c r="E18" s="61" t="n">
        <f aca="false">E9+E10+E11+E12+E15</f>
        <v>815689.611608</v>
      </c>
      <c r="F18" s="61" t="n">
        <f aca="false">F9+F10+F11+F12+F15</f>
        <v>963327.51152748</v>
      </c>
      <c r="G18" s="61" t="n">
        <f aca="false">G9+G10+G11+G12+G15</f>
        <v>1262046.00477201</v>
      </c>
      <c r="H18" s="61" t="n">
        <f aca="false">H9+H10+H11+H12+H15</f>
        <v>1525132.49373506</v>
      </c>
      <c r="I18" s="61" t="n">
        <f aca="false">I9+I10+I11+I12+I15</f>
        <v>1969195.31350686</v>
      </c>
      <c r="J18" s="61" t="n">
        <f aca="false">J9+J10+J11+J12+J15</f>
        <v>2415176.77228618</v>
      </c>
      <c r="K18" s="61" t="n">
        <f aca="false">K9+K10+K11+K12+K15</f>
        <v>3089573.97889498</v>
      </c>
      <c r="L18" s="61" t="n">
        <f aca="false">L9+L10+L11+L12+L15</f>
        <v>3825605.7423242</v>
      </c>
    </row>
    <row r="19" customFormat="false" ht="15" hidden="false" customHeight="false" outlineLevel="0" collapsed="false">
      <c r="A19" s="5"/>
      <c r="B19" s="5"/>
      <c r="C19" s="5"/>
      <c r="D19" s="5"/>
      <c r="E19" s="5"/>
      <c r="F19" s="5"/>
      <c r="G19" s="5"/>
      <c r="H19" s="5"/>
      <c r="I19" s="5"/>
      <c r="J19" s="5"/>
      <c r="K19" s="5"/>
      <c r="L19" s="5"/>
    </row>
    <row r="20" customFormat="false" ht="15" hidden="false" customHeight="false" outlineLevel="0" collapsed="false">
      <c r="A20" s="5"/>
      <c r="B20" s="54" t="s">
        <v>287</v>
      </c>
      <c r="C20" s="61" t="n">
        <f aca="false">Revenue!C26-C18</f>
        <v>-128000</v>
      </c>
      <c r="D20" s="61" t="n">
        <f aca="false">Revenue!D26-D18</f>
        <v>-17200</v>
      </c>
      <c r="E20" s="61" t="n">
        <f aca="false">Revenue!E26-E18</f>
        <v>2163321.398632</v>
      </c>
      <c r="F20" s="61" t="n">
        <f aca="false">Revenue!F26-F18</f>
        <v>2779757.15187492</v>
      </c>
      <c r="G20" s="61" t="n">
        <f aca="false">Revenue!G26-G18</f>
        <v>3442172.90971117</v>
      </c>
      <c r="H20" s="61" t="n">
        <f aca="false">Revenue!H26-H18</f>
        <v>4388412.92278557</v>
      </c>
      <c r="I20" s="61" t="n">
        <f aca="false">Revenue!I26-I18</f>
        <v>5465928.25115273</v>
      </c>
      <c r="J20" s="61" t="n">
        <f aca="false">Revenue!J26-J18</f>
        <v>6934680.16462818</v>
      </c>
      <c r="K20" s="61" t="n">
        <f aca="false">Revenue!K26-K18</f>
        <v>8670267.45796344</v>
      </c>
      <c r="L20" s="61" t="n">
        <f aca="false">Revenue!L26-L18</f>
        <v>10967647.3060471</v>
      </c>
    </row>
    <row r="21" customFormat="false" ht="15" hidden="false" customHeight="false" outlineLevel="0" collapsed="false">
      <c r="A21" s="5"/>
      <c r="B21" s="53" t="s">
        <v>288</v>
      </c>
      <c r="C21" s="62" t="n">
        <f aca="false">IFERROR(C20/Revenue!C26,0)</f>
        <v>-1.77777777777778</v>
      </c>
      <c r="D21" s="62" t="n">
        <f aca="false">IFERROR(D20/Revenue!D26,0)</f>
        <v>-0.207729468599034</v>
      </c>
      <c r="E21" s="62" t="n">
        <f aca="false">IFERROR(E20/Revenue!E26,0)</f>
        <v>0.726187782185375</v>
      </c>
      <c r="F21" s="62" t="n">
        <f aca="false">IFERROR(F20/Revenue!F26,0)</f>
        <v>0.742638065084044</v>
      </c>
      <c r="G21" s="62" t="n">
        <f aca="false">IFERROR(G20/Revenue!G26,0)</f>
        <v>0.731720392329858</v>
      </c>
      <c r="H21" s="62" t="n">
        <f aca="false">IFERROR(H20/Revenue!H26,0)</f>
        <v>0.742095073883374</v>
      </c>
      <c r="I21" s="62" t="n">
        <f aca="false">IFERROR(I20/Revenue!I26,0)</f>
        <v>0.735149618377995</v>
      </c>
      <c r="J21" s="62" t="n">
        <f aca="false">IFERROR(J20/Revenue!J26,0)</f>
        <v>0.741688371428362</v>
      </c>
      <c r="K21" s="62" t="n">
        <f aca="false">IFERROR(K20/Revenue!K26,0)</f>
        <v>0.737277581888864</v>
      </c>
      <c r="L21" s="62" t="n">
        <f aca="false">IFERROR(L20/Revenue!L26,0)</f>
        <v>0.741395234042496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L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4"/>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48" t="s">
        <v>144</v>
      </c>
      <c r="C2" s="5"/>
      <c r="D2" s="5"/>
      <c r="E2" s="5"/>
      <c r="F2" s="5"/>
      <c r="G2" s="5"/>
      <c r="H2" s="5"/>
      <c r="I2" s="5"/>
      <c r="J2" s="5"/>
      <c r="K2" s="5"/>
      <c r="L2" s="5"/>
    </row>
    <row r="3" customFormat="false" ht="15" hidden="false" customHeight="false" outlineLevel="0" collapsed="false">
      <c r="A3" s="5"/>
      <c r="B3" s="9" t="s">
        <v>289</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49" t="s">
        <v>226</v>
      </c>
      <c r="C6" s="50" t="n">
        <v>2026</v>
      </c>
      <c r="D6" s="50" t="n">
        <v>2027</v>
      </c>
      <c r="E6" s="50" t="n">
        <v>2028</v>
      </c>
      <c r="F6" s="50" t="n">
        <v>2029</v>
      </c>
      <c r="G6" s="50" t="n">
        <v>2030</v>
      </c>
      <c r="H6" s="50" t="n">
        <v>2031</v>
      </c>
      <c r="I6" s="50" t="n">
        <v>2032</v>
      </c>
      <c r="J6" s="50" t="n">
        <v>2033</v>
      </c>
      <c r="K6" s="50" t="n">
        <v>2034</v>
      </c>
      <c r="L6" s="50" t="n">
        <v>2035</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21" t="s">
        <v>290</v>
      </c>
      <c r="C8" s="22"/>
      <c r="D8" s="22"/>
      <c r="E8" s="22"/>
      <c r="F8" s="22"/>
      <c r="G8" s="22"/>
      <c r="H8" s="22"/>
      <c r="I8" s="22"/>
      <c r="J8" s="22"/>
      <c r="K8" s="22"/>
      <c r="L8" s="22"/>
    </row>
    <row r="9" customFormat="false" ht="15" hidden="false" customHeight="false" outlineLevel="0" collapsed="false">
      <c r="A9" s="5"/>
      <c r="B9" s="53" t="s">
        <v>291</v>
      </c>
      <c r="C9" s="52" t="n">
        <f aca="false">ROUND(Headcount_Init*(1+Headcount_Growth)^(Project_Pipeline!C7-1),0)</f>
        <v>12</v>
      </c>
      <c r="D9" s="52" t="n">
        <f aca="false">ROUND(Headcount_Init*(1+Headcount_Growth)^(Project_Pipeline!D7-1),0)</f>
        <v>13</v>
      </c>
      <c r="E9" s="52" t="n">
        <f aca="false">ROUND(Headcount_Init*(1+Headcount_Growth)^(Project_Pipeline!E7-1),0)</f>
        <v>13</v>
      </c>
      <c r="F9" s="52" t="n">
        <f aca="false">ROUND(Headcount_Init*(1+Headcount_Growth)^(Project_Pipeline!F7-1),0)</f>
        <v>14</v>
      </c>
      <c r="G9" s="52" t="n">
        <f aca="false">ROUND(Headcount_Init*(1+Headcount_Growth)^(Project_Pipeline!G7-1),0)</f>
        <v>15</v>
      </c>
      <c r="H9" s="52" t="n">
        <f aca="false">ROUND(Headcount_Init*(1+Headcount_Growth)^(Project_Pipeline!H7-1),0)</f>
        <v>16</v>
      </c>
      <c r="I9" s="52" t="n">
        <f aca="false">ROUND(Headcount_Init*(1+Headcount_Growth)^(Project_Pipeline!I7-1),0)</f>
        <v>17</v>
      </c>
      <c r="J9" s="52" t="n">
        <f aca="false">ROUND(Headcount_Init*(1+Headcount_Growth)^(Project_Pipeline!J7-1),0)</f>
        <v>18</v>
      </c>
      <c r="K9" s="52" t="n">
        <f aca="false">ROUND(Headcount_Init*(1+Headcount_Growth)^(Project_Pipeline!K7-1),0)</f>
        <v>19</v>
      </c>
      <c r="L9" s="52" t="n">
        <f aca="false">ROUND(Headcount_Init*(1+Headcount_Growth)^(Project_Pipeline!L7-1),0)</f>
        <v>20</v>
      </c>
    </row>
    <row r="10" customFormat="false" ht="15" hidden="false" customHeight="false" outlineLevel="0" collapsed="false">
      <c r="A10" s="5"/>
      <c r="B10" s="53" t="s">
        <v>292</v>
      </c>
      <c r="C10" s="58" t="n">
        <f aca="false">Avg_Salary*(1+Salary_Escalation)^(Project_Pipeline!C7-1)</f>
        <v>85000</v>
      </c>
      <c r="D10" s="58" t="n">
        <f aca="false">Avg_Salary*(1+Salary_Escalation)^(Project_Pipeline!D7-1)</f>
        <v>87550</v>
      </c>
      <c r="E10" s="58" t="n">
        <f aca="false">Avg_Salary*(1+Salary_Escalation)^(Project_Pipeline!E7-1)</f>
        <v>90176.5</v>
      </c>
      <c r="F10" s="58" t="n">
        <f aca="false">Avg_Salary*(1+Salary_Escalation)^(Project_Pipeline!F7-1)</f>
        <v>92881.795</v>
      </c>
      <c r="G10" s="58" t="n">
        <f aca="false">Avg_Salary*(1+Salary_Escalation)^(Project_Pipeline!G7-1)</f>
        <v>95668.24885</v>
      </c>
      <c r="H10" s="58" t="n">
        <f aca="false">Avg_Salary*(1+Salary_Escalation)^(Project_Pipeline!H7-1)</f>
        <v>98538.2963155</v>
      </c>
      <c r="I10" s="58" t="n">
        <f aca="false">Avg_Salary*(1+Salary_Escalation)^(Project_Pipeline!I7-1)</f>
        <v>101494.445204965</v>
      </c>
      <c r="J10" s="58" t="n">
        <f aca="false">Avg_Salary*(1+Salary_Escalation)^(Project_Pipeline!J7-1)</f>
        <v>104539.278561114</v>
      </c>
      <c r="K10" s="58" t="n">
        <f aca="false">Avg_Salary*(1+Salary_Escalation)^(Project_Pipeline!K7-1)</f>
        <v>107675.456917947</v>
      </c>
      <c r="L10" s="58" t="n">
        <f aca="false">Avg_Salary*(1+Salary_Escalation)^(Project_Pipeline!L7-1)</f>
        <v>110905.720625486</v>
      </c>
    </row>
    <row r="11" customFormat="false" ht="15" hidden="false" customHeight="false" outlineLevel="0" collapsed="false">
      <c r="A11" s="5"/>
      <c r="B11" s="54" t="s">
        <v>293</v>
      </c>
      <c r="C11" s="59" t="n">
        <f aca="false">C9*C10</f>
        <v>1020000</v>
      </c>
      <c r="D11" s="59" t="n">
        <f aca="false">D9*D10</f>
        <v>1138150</v>
      </c>
      <c r="E11" s="59" t="n">
        <f aca="false">E9*E10</f>
        <v>1172294.5</v>
      </c>
      <c r="F11" s="59" t="n">
        <f aca="false">F9*F10</f>
        <v>1300345.13</v>
      </c>
      <c r="G11" s="59" t="n">
        <f aca="false">G9*G10</f>
        <v>1435023.73275</v>
      </c>
      <c r="H11" s="59" t="n">
        <f aca="false">H9*H10</f>
        <v>1576612.741048</v>
      </c>
      <c r="I11" s="59" t="n">
        <f aca="false">I9*I10</f>
        <v>1725405.56848441</v>
      </c>
      <c r="J11" s="59" t="n">
        <f aca="false">J9*J10</f>
        <v>1881707.01410005</v>
      </c>
      <c r="K11" s="59" t="n">
        <f aca="false">K9*K10</f>
        <v>2045833.681441</v>
      </c>
      <c r="L11" s="59" t="n">
        <f aca="false">L9*L10</f>
        <v>2218114.41250972</v>
      </c>
    </row>
    <row r="12" customFormat="false" ht="15" hidden="false" customHeight="false" outlineLevel="0" collapsed="false">
      <c r="A12" s="5"/>
      <c r="B12" s="5"/>
      <c r="C12" s="5"/>
      <c r="D12" s="5"/>
      <c r="E12" s="5"/>
      <c r="F12" s="5"/>
      <c r="G12" s="5"/>
      <c r="H12" s="5"/>
      <c r="I12" s="5"/>
      <c r="J12" s="5"/>
      <c r="K12" s="5"/>
      <c r="L12" s="5"/>
    </row>
    <row r="13" customFormat="false" ht="15" hidden="false" customHeight="false" outlineLevel="0" collapsed="false">
      <c r="A13" s="5"/>
      <c r="B13" s="21" t="s">
        <v>294</v>
      </c>
      <c r="C13" s="22"/>
      <c r="D13" s="22"/>
      <c r="E13" s="22"/>
      <c r="F13" s="22"/>
      <c r="G13" s="22"/>
      <c r="H13" s="22"/>
      <c r="I13" s="22"/>
      <c r="J13" s="22"/>
      <c r="K13" s="22"/>
      <c r="L13" s="22"/>
    </row>
    <row r="14" customFormat="false" ht="15" hidden="false" customHeight="false" outlineLevel="0" collapsed="false">
      <c r="A14" s="5"/>
      <c r="B14" s="53" t="s">
        <v>295</v>
      </c>
      <c r="C14" s="58" t="n">
        <f aca="false">MRV_OpEx_Y1*(1+MRV_Escalation)^(Project_Pipeline!C7-1)</f>
        <v>150000</v>
      </c>
      <c r="D14" s="58" t="n">
        <f aca="false">MRV_OpEx_Y1*(1+MRV_Escalation)^(Project_Pipeline!D7-1)</f>
        <v>157500</v>
      </c>
      <c r="E14" s="58" t="n">
        <f aca="false">MRV_OpEx_Y1*(1+MRV_Escalation)^(Project_Pipeline!E7-1)</f>
        <v>165375</v>
      </c>
      <c r="F14" s="58" t="n">
        <f aca="false">MRV_OpEx_Y1*(1+MRV_Escalation)^(Project_Pipeline!F7-1)</f>
        <v>173643.75</v>
      </c>
      <c r="G14" s="58" t="n">
        <f aca="false">MRV_OpEx_Y1*(1+MRV_Escalation)^(Project_Pipeline!G7-1)</f>
        <v>182325.9375</v>
      </c>
      <c r="H14" s="58" t="n">
        <f aca="false">MRV_OpEx_Y1*(1+MRV_Escalation)^(Project_Pipeline!H7-1)</f>
        <v>191442.234375</v>
      </c>
      <c r="I14" s="58" t="n">
        <f aca="false">MRV_OpEx_Y1*(1+MRV_Escalation)^(Project_Pipeline!I7-1)</f>
        <v>201014.34609375</v>
      </c>
      <c r="J14" s="58" t="n">
        <f aca="false">MRV_OpEx_Y1*(1+MRV_Escalation)^(Project_Pipeline!J7-1)</f>
        <v>211065.063398438</v>
      </c>
      <c r="K14" s="58" t="n">
        <f aca="false">MRV_OpEx_Y1*(1+MRV_Escalation)^(Project_Pipeline!K7-1)</f>
        <v>221618.316568359</v>
      </c>
      <c r="L14" s="58" t="n">
        <f aca="false">MRV_OpEx_Y1*(1+MRV_Escalation)^(Project_Pipeline!L7-1)</f>
        <v>232699.232396777</v>
      </c>
    </row>
    <row r="15" customFormat="false" ht="15" hidden="false" customHeight="false" outlineLevel="0" collapsed="false">
      <c r="A15" s="5"/>
      <c r="B15" s="53" t="s">
        <v>155</v>
      </c>
      <c r="C15" s="58" t="n">
        <f aca="false">Legal_Costs*(1+OpEx_Escalation)^(Project_Pipeline!C7-1)</f>
        <v>150000</v>
      </c>
      <c r="D15" s="58" t="n">
        <f aca="false">Legal_Costs*(1+OpEx_Escalation)^(Project_Pipeline!D7-1)</f>
        <v>153750</v>
      </c>
      <c r="E15" s="58" t="n">
        <f aca="false">Legal_Costs*(1+OpEx_Escalation)^(Project_Pipeline!E7-1)</f>
        <v>157593.75</v>
      </c>
      <c r="F15" s="58" t="n">
        <f aca="false">Legal_Costs*(1+OpEx_Escalation)^(Project_Pipeline!F7-1)</f>
        <v>161533.59375</v>
      </c>
      <c r="G15" s="58" t="n">
        <f aca="false">Legal_Costs*(1+OpEx_Escalation)^(Project_Pipeline!G7-1)</f>
        <v>165571.93359375</v>
      </c>
      <c r="H15" s="58" t="n">
        <f aca="false">Legal_Costs*(1+OpEx_Escalation)^(Project_Pipeline!H7-1)</f>
        <v>169711.231933594</v>
      </c>
      <c r="I15" s="58" t="n">
        <f aca="false">Legal_Costs*(1+OpEx_Escalation)^(Project_Pipeline!I7-1)</f>
        <v>173954.012731934</v>
      </c>
      <c r="J15" s="58" t="n">
        <f aca="false">Legal_Costs*(1+OpEx_Escalation)^(Project_Pipeline!J7-1)</f>
        <v>178302.863050232</v>
      </c>
      <c r="K15" s="58" t="n">
        <f aca="false">Legal_Costs*(1+OpEx_Escalation)^(Project_Pipeline!K7-1)</f>
        <v>182760.434626488</v>
      </c>
      <c r="L15" s="58" t="n">
        <f aca="false">Legal_Costs*(1+OpEx_Escalation)^(Project_Pipeline!L7-1)</f>
        <v>187329.44549215</v>
      </c>
    </row>
    <row r="16" customFormat="false" ht="15" hidden="false" customHeight="false" outlineLevel="0" collapsed="false">
      <c r="A16" s="5"/>
      <c r="B16" s="53" t="s">
        <v>296</v>
      </c>
      <c r="C16" s="58" t="n">
        <f aca="false">Revenue!C26*Marketing_Pct</f>
        <v>3600</v>
      </c>
      <c r="D16" s="58" t="n">
        <f aca="false">Revenue!D26*Marketing_Pct</f>
        <v>4140</v>
      </c>
      <c r="E16" s="58" t="n">
        <f aca="false">Revenue!E26*Marketing_Pct</f>
        <v>148950.550512</v>
      </c>
      <c r="F16" s="58" t="n">
        <f aca="false">Revenue!F26*Marketing_Pct</f>
        <v>187154.23317012</v>
      </c>
      <c r="G16" s="58" t="n">
        <f aca="false">Revenue!G26*Marketing_Pct</f>
        <v>235210.945724159</v>
      </c>
      <c r="H16" s="58" t="n">
        <f aca="false">Revenue!H26*Marketing_Pct</f>
        <v>295677.270826032</v>
      </c>
      <c r="I16" s="58" t="n">
        <f aca="false">Revenue!I26*Marketing_Pct</f>
        <v>371756.17823298</v>
      </c>
      <c r="J16" s="58" t="n">
        <f aca="false">Revenue!J26*Marketing_Pct</f>
        <v>467492.846845718</v>
      </c>
      <c r="K16" s="58" t="n">
        <f aca="false">Revenue!K26*Marketing_Pct</f>
        <v>587992.071842921</v>
      </c>
      <c r="L16" s="58" t="n">
        <f aca="false">Revenue!L26*Marketing_Pct</f>
        <v>739662.652418567</v>
      </c>
    </row>
    <row r="17" customFormat="false" ht="15" hidden="false" customHeight="false" outlineLevel="0" collapsed="false">
      <c r="A17" s="5"/>
      <c r="B17" s="53" t="s">
        <v>297</v>
      </c>
      <c r="C17" s="58" t="n">
        <f aca="false">Tech_Costs*(1+OpEx_Escalation)^(Project_Pipeline!C7-1)</f>
        <v>100000</v>
      </c>
      <c r="D17" s="58" t="n">
        <f aca="false">Tech_Costs*(1+OpEx_Escalation)^(Project_Pipeline!D7-1)</f>
        <v>102500</v>
      </c>
      <c r="E17" s="58" t="n">
        <f aca="false">Tech_Costs*(1+OpEx_Escalation)^(Project_Pipeline!E7-1)</f>
        <v>105062.5</v>
      </c>
      <c r="F17" s="58" t="n">
        <f aca="false">Tech_Costs*(1+OpEx_Escalation)^(Project_Pipeline!F7-1)</f>
        <v>107689.0625</v>
      </c>
      <c r="G17" s="58" t="n">
        <f aca="false">Tech_Costs*(1+OpEx_Escalation)^(Project_Pipeline!G7-1)</f>
        <v>110381.2890625</v>
      </c>
      <c r="H17" s="58" t="n">
        <f aca="false">Tech_Costs*(1+OpEx_Escalation)^(Project_Pipeline!H7-1)</f>
        <v>113140.821289062</v>
      </c>
      <c r="I17" s="58" t="n">
        <f aca="false">Tech_Costs*(1+OpEx_Escalation)^(Project_Pipeline!I7-1)</f>
        <v>115969.341821289</v>
      </c>
      <c r="J17" s="58" t="n">
        <f aca="false">Tech_Costs*(1+OpEx_Escalation)^(Project_Pipeline!J7-1)</f>
        <v>118868.575366821</v>
      </c>
      <c r="K17" s="58" t="n">
        <f aca="false">Tech_Costs*(1+OpEx_Escalation)^(Project_Pipeline!K7-1)</f>
        <v>121840.289750992</v>
      </c>
      <c r="L17" s="58" t="n">
        <f aca="false">Tech_Costs*(1+OpEx_Escalation)^(Project_Pipeline!L7-1)</f>
        <v>124886.296994767</v>
      </c>
    </row>
    <row r="18" customFormat="false" ht="15" hidden="false" customHeight="false" outlineLevel="0" collapsed="false">
      <c r="A18" s="5"/>
      <c r="B18" s="53" t="s">
        <v>161</v>
      </c>
      <c r="C18" s="58" t="n">
        <f aca="false">Insurance_Costs*(1+OpEx_Escalation)^(Project_Pipeline!C7-1)</f>
        <v>75000</v>
      </c>
      <c r="D18" s="58" t="n">
        <f aca="false">Insurance_Costs*(1+OpEx_Escalation)^(Project_Pipeline!D7-1)</f>
        <v>76875</v>
      </c>
      <c r="E18" s="58" t="n">
        <f aca="false">Insurance_Costs*(1+OpEx_Escalation)^(Project_Pipeline!E7-1)</f>
        <v>78796.875</v>
      </c>
      <c r="F18" s="58" t="n">
        <f aca="false">Insurance_Costs*(1+OpEx_Escalation)^(Project_Pipeline!F7-1)</f>
        <v>80766.796875</v>
      </c>
      <c r="G18" s="58" t="n">
        <f aca="false">Insurance_Costs*(1+OpEx_Escalation)^(Project_Pipeline!G7-1)</f>
        <v>82785.966796875</v>
      </c>
      <c r="H18" s="58" t="n">
        <f aca="false">Insurance_Costs*(1+OpEx_Escalation)^(Project_Pipeline!H7-1)</f>
        <v>84855.6159667968</v>
      </c>
      <c r="I18" s="58" t="n">
        <f aca="false">Insurance_Costs*(1+OpEx_Escalation)^(Project_Pipeline!I7-1)</f>
        <v>86977.0063659668</v>
      </c>
      <c r="J18" s="58" t="n">
        <f aca="false">Insurance_Costs*(1+OpEx_Escalation)^(Project_Pipeline!J7-1)</f>
        <v>89151.4315251159</v>
      </c>
      <c r="K18" s="58" t="n">
        <f aca="false">Insurance_Costs*(1+OpEx_Escalation)^(Project_Pipeline!K7-1)</f>
        <v>91380.2173132438</v>
      </c>
      <c r="L18" s="58" t="n">
        <f aca="false">Insurance_Costs*(1+OpEx_Escalation)^(Project_Pipeline!L7-1)</f>
        <v>93664.7227460749</v>
      </c>
    </row>
    <row r="19" customFormat="false" ht="15" hidden="false" customHeight="false" outlineLevel="0" collapsed="false">
      <c r="A19" s="5"/>
      <c r="B19" s="5"/>
      <c r="C19" s="5"/>
      <c r="D19" s="5"/>
      <c r="E19" s="5"/>
      <c r="F19" s="5"/>
      <c r="G19" s="5"/>
      <c r="H19" s="5"/>
      <c r="I19" s="5"/>
      <c r="J19" s="5"/>
      <c r="K19" s="5"/>
      <c r="L19" s="5"/>
    </row>
    <row r="20" customFormat="false" ht="15" hidden="false" customHeight="false" outlineLevel="0" collapsed="false">
      <c r="A20" s="5"/>
      <c r="B20" s="21" t="s">
        <v>278</v>
      </c>
      <c r="C20" s="22"/>
      <c r="D20" s="22"/>
      <c r="E20" s="22"/>
      <c r="F20" s="22"/>
      <c r="G20" s="22"/>
      <c r="H20" s="22"/>
      <c r="I20" s="22"/>
      <c r="J20" s="22"/>
      <c r="K20" s="22"/>
      <c r="L20" s="22"/>
    </row>
    <row r="21" customFormat="false" ht="15" hidden="false" customHeight="false" outlineLevel="0" collapsed="false">
      <c r="A21" s="5"/>
      <c r="B21" s="54" t="s">
        <v>298</v>
      </c>
      <c r="C21" s="61" t="n">
        <f aca="false">C11+C14+C15+C16+C17+C18</f>
        <v>1498600</v>
      </c>
      <c r="D21" s="61" t="n">
        <f aca="false">D11+D14+D15+D16+D17+D18</f>
        <v>1632915</v>
      </c>
      <c r="E21" s="61" t="n">
        <f aca="false">E11+E14+E15+E16+E17+E18</f>
        <v>1828073.175512</v>
      </c>
      <c r="F21" s="61" t="n">
        <f aca="false">F11+F14+F15+F16+F17+F18</f>
        <v>2011132.56629512</v>
      </c>
      <c r="G21" s="61" t="n">
        <f aca="false">G11+G14+G15+G16+G17+G18</f>
        <v>2211299.80542728</v>
      </c>
      <c r="H21" s="61" t="n">
        <f aca="false">H11+H14+H15+H16+H17+H18</f>
        <v>2431439.91543849</v>
      </c>
      <c r="I21" s="61" t="n">
        <f aca="false">I11+I14+I15+I16+I17+I18</f>
        <v>2675076.45373032</v>
      </c>
      <c r="J21" s="61" t="n">
        <f aca="false">J11+J14+J15+J16+J17+J18</f>
        <v>2946587.79428638</v>
      </c>
      <c r="K21" s="61" t="n">
        <f aca="false">K11+K14+K15+K16+K17+K18</f>
        <v>3251425.01154301</v>
      </c>
      <c r="L21" s="61" t="n">
        <f aca="false">L11+L14+L15+L16+L17+L18</f>
        <v>3596356.76255805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L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4"/>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48" t="s">
        <v>299</v>
      </c>
      <c r="C2" s="5"/>
      <c r="D2" s="5"/>
      <c r="E2" s="5"/>
      <c r="F2" s="5"/>
      <c r="G2" s="5"/>
      <c r="H2" s="5"/>
      <c r="I2" s="5"/>
      <c r="J2" s="5"/>
      <c r="K2" s="5"/>
      <c r="L2" s="5"/>
    </row>
    <row r="3" customFormat="false" ht="15" hidden="false" customHeight="false" outlineLevel="0" collapsed="false">
      <c r="A3" s="5"/>
      <c r="B3" s="9" t="s">
        <v>300</v>
      </c>
      <c r="C3" s="5"/>
      <c r="D3" s="5"/>
      <c r="E3" s="5"/>
      <c r="F3" s="5"/>
      <c r="G3" s="5"/>
      <c r="H3" s="5"/>
      <c r="I3" s="5"/>
      <c r="J3" s="5"/>
      <c r="K3" s="5"/>
      <c r="L3" s="5"/>
    </row>
    <row r="4" customFormat="false" ht="15" hidden="false" customHeight="false" outlineLevel="0" collapsed="false">
      <c r="A4" s="5"/>
      <c r="B4" s="5"/>
      <c r="C4" s="5"/>
      <c r="D4" s="5"/>
      <c r="E4" s="5"/>
      <c r="F4" s="5"/>
      <c r="G4" s="5"/>
      <c r="H4" s="5"/>
      <c r="I4" s="5"/>
      <c r="J4" s="5"/>
      <c r="K4" s="5"/>
      <c r="L4" s="5"/>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49" t="s">
        <v>226</v>
      </c>
      <c r="C6" s="50" t="n">
        <v>2026</v>
      </c>
      <c r="D6" s="50" t="n">
        <v>2027</v>
      </c>
      <c r="E6" s="50" t="n">
        <v>2028</v>
      </c>
      <c r="F6" s="50" t="n">
        <v>2029</v>
      </c>
      <c r="G6" s="50" t="n">
        <v>2030</v>
      </c>
      <c r="H6" s="50" t="n">
        <v>2031</v>
      </c>
      <c r="I6" s="50" t="n">
        <v>2032</v>
      </c>
      <c r="J6" s="50" t="n">
        <v>2033</v>
      </c>
      <c r="K6" s="50" t="n">
        <v>2034</v>
      </c>
      <c r="L6" s="50" t="n">
        <v>2035</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21" t="s">
        <v>165</v>
      </c>
      <c r="C8" s="22"/>
      <c r="D8" s="22"/>
      <c r="E8" s="22"/>
      <c r="F8" s="22"/>
      <c r="G8" s="22"/>
      <c r="H8" s="22"/>
      <c r="I8" s="22"/>
      <c r="J8" s="22"/>
      <c r="K8" s="22"/>
      <c r="L8" s="22"/>
    </row>
    <row r="9" customFormat="false" ht="15" hidden="false" customHeight="false" outlineLevel="0" collapsed="false">
      <c r="A9" s="5"/>
      <c r="B9" s="54" t="s">
        <v>301</v>
      </c>
      <c r="C9" s="59" t="n">
        <f aca="false">Project_Pipeline!C11*Capex_Per_Ha+IF(Project_Pipeline!C7=1,MRV_Equip_Capex,0)</f>
        <v>12200000</v>
      </c>
      <c r="D9" s="59" t="n">
        <f aca="false">Project_Pipeline!D11*Capex_Per_Ha+IF(Project_Pipeline!D7=1,MRV_Equip_Capex,0)</f>
        <v>2400000</v>
      </c>
      <c r="E9" s="59" t="n">
        <f aca="false">Project_Pipeline!E11*Capex_Per_Ha+IF(Project_Pipeline!E7=1,MRV_Equip_Capex,0)</f>
        <v>2880000</v>
      </c>
      <c r="F9" s="59" t="n">
        <f aca="false">Project_Pipeline!F11*Capex_Per_Ha+IF(Project_Pipeline!F7=1,MRV_Equip_Capex,0)</f>
        <v>3456000</v>
      </c>
      <c r="G9" s="59" t="n">
        <f aca="false">Project_Pipeline!G11*Capex_Per_Ha+IF(Project_Pipeline!G7=1,MRV_Equip_Capex,0)</f>
        <v>4147000</v>
      </c>
      <c r="H9" s="59" t="n">
        <f aca="false">Project_Pipeline!H11*Capex_Per_Ha+IF(Project_Pipeline!H7=1,MRV_Equip_Capex,0)</f>
        <v>4977000</v>
      </c>
      <c r="I9" s="59" t="n">
        <f aca="false">Project_Pipeline!I11*Capex_Per_Ha+IF(Project_Pipeline!I7=1,MRV_Equip_Capex,0)</f>
        <v>5972000</v>
      </c>
      <c r="J9" s="59" t="n">
        <f aca="false">Project_Pipeline!J11*Capex_Per_Ha+IF(Project_Pipeline!J7=1,MRV_Equip_Capex,0)</f>
        <v>7166000</v>
      </c>
      <c r="K9" s="59" t="n">
        <f aca="false">Project_Pipeline!K11*Capex_Per_Ha+IF(Project_Pipeline!K7=1,MRV_Equip_Capex,0)</f>
        <v>8600000</v>
      </c>
      <c r="L9" s="59" t="n">
        <f aca="false">Project_Pipeline!L11*Capex_Per_Ha+IF(Project_Pipeline!L7=1,MRV_Equip_Capex,0)</f>
        <v>10320000</v>
      </c>
    </row>
    <row r="10" customFormat="false" ht="15" hidden="false" customHeight="false" outlineLevel="0" collapsed="false">
      <c r="A10" s="5"/>
      <c r="B10" s="53" t="s">
        <v>302</v>
      </c>
      <c r="C10" s="58" t="n">
        <f aca="false">C9*Asset_Mix_Planting</f>
        <v>9760000</v>
      </c>
      <c r="D10" s="58" t="n">
        <f aca="false">D9*Asset_Mix_Planting</f>
        <v>1920000</v>
      </c>
      <c r="E10" s="58" t="n">
        <f aca="false">E9*Asset_Mix_Planting</f>
        <v>2304000</v>
      </c>
      <c r="F10" s="58" t="n">
        <f aca="false">F9*Asset_Mix_Planting</f>
        <v>2764800</v>
      </c>
      <c r="G10" s="58" t="n">
        <f aca="false">G9*Asset_Mix_Planting</f>
        <v>3317600</v>
      </c>
      <c r="H10" s="58" t="n">
        <f aca="false">H9*Asset_Mix_Planting</f>
        <v>3981600</v>
      </c>
      <c r="I10" s="58" t="n">
        <f aca="false">I9*Asset_Mix_Planting</f>
        <v>4777600</v>
      </c>
      <c r="J10" s="58" t="n">
        <f aca="false">J9*Asset_Mix_Planting</f>
        <v>5732800</v>
      </c>
      <c r="K10" s="58" t="n">
        <f aca="false">K9*Asset_Mix_Planting</f>
        <v>6880000</v>
      </c>
      <c r="L10" s="58" t="n">
        <f aca="false">L9*Asset_Mix_Planting</f>
        <v>8256000</v>
      </c>
    </row>
    <row r="11" customFormat="false" ht="15" hidden="false" customHeight="false" outlineLevel="0" collapsed="false">
      <c r="A11" s="5"/>
      <c r="B11" s="53" t="s">
        <v>303</v>
      </c>
      <c r="C11" s="58" t="n">
        <f aca="false">C9*(1-Asset_Mix_Planting)</f>
        <v>2440000</v>
      </c>
      <c r="D11" s="58" t="n">
        <f aca="false">D9*(1-Asset_Mix_Planting)</f>
        <v>480000</v>
      </c>
      <c r="E11" s="58" t="n">
        <f aca="false">E9*(1-Asset_Mix_Planting)</f>
        <v>576000</v>
      </c>
      <c r="F11" s="58" t="n">
        <f aca="false">F9*(1-Asset_Mix_Planting)</f>
        <v>691200</v>
      </c>
      <c r="G11" s="58" t="n">
        <f aca="false">G9*(1-Asset_Mix_Planting)</f>
        <v>829400</v>
      </c>
      <c r="H11" s="58" t="n">
        <f aca="false">H9*(1-Asset_Mix_Planting)</f>
        <v>995400</v>
      </c>
      <c r="I11" s="58" t="n">
        <f aca="false">I9*(1-Asset_Mix_Planting)</f>
        <v>1194400</v>
      </c>
      <c r="J11" s="58" t="n">
        <f aca="false">J9*(1-Asset_Mix_Planting)</f>
        <v>1433200</v>
      </c>
      <c r="K11" s="58" t="n">
        <f aca="false">K9*(1-Asset_Mix_Planting)</f>
        <v>1720000</v>
      </c>
      <c r="L11" s="58" t="n">
        <f aca="false">L9*(1-Asset_Mix_Planting)</f>
        <v>2064000</v>
      </c>
    </row>
    <row r="12" customFormat="false" ht="15" hidden="false" customHeight="false" outlineLevel="0" collapsed="false">
      <c r="A12" s="5"/>
      <c r="B12" s="5"/>
      <c r="C12" s="5"/>
      <c r="D12" s="5"/>
      <c r="E12" s="5"/>
      <c r="F12" s="5"/>
      <c r="G12" s="5"/>
      <c r="H12" s="5"/>
      <c r="I12" s="5"/>
      <c r="J12" s="5"/>
      <c r="K12" s="5"/>
      <c r="L12" s="5"/>
    </row>
    <row r="13" customFormat="false" ht="15" hidden="false" customHeight="false" outlineLevel="0" collapsed="false">
      <c r="A13" s="5"/>
      <c r="B13" s="63" t="s">
        <v>304</v>
      </c>
      <c r="C13" s="58" t="n">
        <f aca="false">C9*Maint_Capex_Pct</f>
        <v>1220000</v>
      </c>
      <c r="D13" s="58" t="n">
        <f aca="false">D9*Maint_Capex_Pct</f>
        <v>240000</v>
      </c>
      <c r="E13" s="58" t="n">
        <f aca="false">E9*Maint_Capex_Pct</f>
        <v>288000</v>
      </c>
      <c r="F13" s="58" t="n">
        <f aca="false">F9*Maint_Capex_Pct</f>
        <v>345600</v>
      </c>
      <c r="G13" s="58" t="n">
        <f aca="false">G9*Maint_Capex_Pct</f>
        <v>414700</v>
      </c>
      <c r="H13" s="58" t="n">
        <f aca="false">H9*Maint_Capex_Pct</f>
        <v>497700</v>
      </c>
      <c r="I13" s="58" t="n">
        <f aca="false">I9*Maint_Capex_Pct</f>
        <v>597200</v>
      </c>
      <c r="J13" s="58" t="n">
        <f aca="false">J9*Maint_Capex_Pct</f>
        <v>716600</v>
      </c>
      <c r="K13" s="58" t="n">
        <f aca="false">K9*Maint_Capex_Pct</f>
        <v>860000</v>
      </c>
      <c r="L13" s="58" t="n">
        <f aca="false">L9*Maint_Capex_Pct</f>
        <v>1032000</v>
      </c>
    </row>
    <row r="14" customFormat="false" ht="15" hidden="false" customHeight="false" outlineLevel="0" collapsed="false">
      <c r="A14" s="5"/>
      <c r="B14" s="63" t="s">
        <v>305</v>
      </c>
      <c r="C14" s="58" t="n">
        <f aca="false">C9*(1-Maint_Capex_Pct)</f>
        <v>10980000</v>
      </c>
      <c r="D14" s="58" t="n">
        <f aca="false">D9*(1-Maint_Capex_Pct)</f>
        <v>2160000</v>
      </c>
      <c r="E14" s="58" t="n">
        <f aca="false">E9*(1-Maint_Capex_Pct)</f>
        <v>2592000</v>
      </c>
      <c r="F14" s="58" t="n">
        <f aca="false">F9*(1-Maint_Capex_Pct)</f>
        <v>3110400</v>
      </c>
      <c r="G14" s="58" t="n">
        <f aca="false">G9*(1-Maint_Capex_Pct)</f>
        <v>3732300</v>
      </c>
      <c r="H14" s="58" t="n">
        <f aca="false">H9*(1-Maint_Capex_Pct)</f>
        <v>4479300</v>
      </c>
      <c r="I14" s="58" t="n">
        <f aca="false">I9*(1-Maint_Capex_Pct)</f>
        <v>5374800</v>
      </c>
      <c r="J14" s="58" t="n">
        <f aca="false">J9*(1-Maint_Capex_Pct)</f>
        <v>6449400</v>
      </c>
      <c r="K14" s="58" t="n">
        <f aca="false">K9*(1-Maint_Capex_Pct)</f>
        <v>7740000</v>
      </c>
      <c r="L14" s="58" t="n">
        <f aca="false">L9*(1-Maint_Capex_Pct)</f>
        <v>9288000</v>
      </c>
    </row>
    <row r="15" customFormat="false" ht="15" hidden="false" customHeight="false" outlineLevel="0" collapsed="false">
      <c r="A15" s="5"/>
      <c r="B15" s="5"/>
      <c r="C15" s="5"/>
      <c r="D15" s="5"/>
      <c r="E15" s="5"/>
      <c r="F15" s="5"/>
      <c r="G15" s="5"/>
      <c r="H15" s="5"/>
      <c r="I15" s="5"/>
      <c r="J15" s="5"/>
      <c r="K15" s="5"/>
      <c r="L15" s="5"/>
    </row>
    <row r="16" customFormat="false" ht="15" hidden="false" customHeight="false" outlineLevel="0" collapsed="false">
      <c r="A16" s="5"/>
      <c r="B16" s="21" t="s">
        <v>306</v>
      </c>
      <c r="C16" s="22"/>
      <c r="D16" s="22"/>
      <c r="E16" s="22"/>
      <c r="F16" s="22"/>
      <c r="G16" s="22"/>
      <c r="H16" s="22"/>
      <c r="I16" s="22"/>
      <c r="J16" s="22"/>
      <c r="K16" s="22"/>
      <c r="L16" s="22"/>
    </row>
    <row r="17" customFormat="false" ht="15" hidden="false" customHeight="false" outlineLevel="0" collapsed="false">
      <c r="A17" s="5"/>
      <c r="B17" s="53" t="s">
        <v>307</v>
      </c>
      <c r="C17" s="58" t="n">
        <f aca="false">SUM($C$10:C10)/Planting_Life</f>
        <v>488000</v>
      </c>
      <c r="D17" s="58" t="n">
        <f aca="false">SUM($C$10:D10)/Planting_Life</f>
        <v>584000</v>
      </c>
      <c r="E17" s="58" t="n">
        <f aca="false">SUM($C$10:E10)/Planting_Life</f>
        <v>699200</v>
      </c>
      <c r="F17" s="58" t="n">
        <f aca="false">SUM($C$10:F10)/Planting_Life</f>
        <v>837440</v>
      </c>
      <c r="G17" s="58" t="n">
        <f aca="false">SUM($C$10:G10)/Planting_Life</f>
        <v>1003320</v>
      </c>
      <c r="H17" s="58" t="n">
        <f aca="false">SUM($C$10:H10)/Planting_Life</f>
        <v>1202400</v>
      </c>
      <c r="I17" s="58" t="n">
        <f aca="false">SUM($C$10:I10)/Planting_Life</f>
        <v>1441280</v>
      </c>
      <c r="J17" s="58" t="n">
        <f aca="false">SUM($C$10:J10)/Planting_Life</f>
        <v>1727920</v>
      </c>
      <c r="K17" s="58" t="n">
        <f aca="false">SUM($C$10:K10)/Planting_Life</f>
        <v>2071920</v>
      </c>
      <c r="L17" s="58" t="n">
        <f aca="false">SUM($C$10:L10)/Planting_Life</f>
        <v>2484720</v>
      </c>
    </row>
    <row r="18" customFormat="false" ht="15" hidden="false" customHeight="false" outlineLevel="0" collapsed="false">
      <c r="A18" s="5"/>
      <c r="B18" s="53" t="s">
        <v>308</v>
      </c>
      <c r="C18" s="58" t="n">
        <f aca="false">SUMPRODUCT((COLUMN($C$11:$L$11)&gt;=COLUMN(C11)-MRV_Life+1)*(COLUMN($C$11:$L$11)&lt;=COLUMN(C11)),$C$11:$L$11)/MRV_Life</f>
        <v>488000</v>
      </c>
      <c r="D18" s="58" t="n">
        <f aca="false">SUMPRODUCT((COLUMN($C$11:$L$11)&gt;=COLUMN(D11)-MRV_Life+1)*(COLUMN($C$11:$L$11)&lt;=COLUMN(D11)),$C$11:$L$11)/MRV_Life</f>
        <v>584000</v>
      </c>
      <c r="E18" s="58" t="n">
        <f aca="false">SUMPRODUCT((COLUMN($C$11:$L$11)&gt;=COLUMN(E11)-MRV_Life+1)*(COLUMN($C$11:$L$11)&lt;=COLUMN(E11)),$C$11:$L$11)/MRV_Life</f>
        <v>699200</v>
      </c>
      <c r="F18" s="58" t="n">
        <f aca="false">SUMPRODUCT((COLUMN($C$11:$L$11)&gt;=COLUMN(F11)-MRV_Life+1)*(COLUMN($C$11:$L$11)&lt;=COLUMN(F11)),$C$11:$L$11)/MRV_Life</f>
        <v>837440</v>
      </c>
      <c r="G18" s="58" t="n">
        <f aca="false">SUMPRODUCT((COLUMN($C$11:$L$11)&gt;=COLUMN(G11)-MRV_Life+1)*(COLUMN($C$11:$L$11)&lt;=COLUMN(G11)),$C$11:$L$11)/MRV_Life</f>
        <v>1003320</v>
      </c>
      <c r="H18" s="58" t="n">
        <f aca="false">SUMPRODUCT((COLUMN($C$11:$L$11)&gt;=COLUMN(H11)-MRV_Life+1)*(COLUMN($C$11:$L$11)&lt;=COLUMN(H11)),$C$11:$L$11)/MRV_Life</f>
        <v>714400</v>
      </c>
      <c r="I18" s="58" t="n">
        <f aca="false">SUMPRODUCT((COLUMN($C$11:$L$11)&gt;=COLUMN(I11)-MRV_Life+1)*(COLUMN($C$11:$L$11)&lt;=COLUMN(I11)),$C$11:$L$11)/MRV_Life</f>
        <v>857280</v>
      </c>
      <c r="J18" s="58" t="n">
        <f aca="false">SUMPRODUCT((COLUMN($C$11:$L$11)&gt;=COLUMN(J11)-MRV_Life+1)*(COLUMN($C$11:$L$11)&lt;=COLUMN(J11)),$C$11:$L$11)/MRV_Life</f>
        <v>1028720</v>
      </c>
      <c r="K18" s="58" t="n">
        <f aca="false">SUMPRODUCT((COLUMN($C$11:$L$11)&gt;=COLUMN(K11)-MRV_Life+1)*(COLUMN($C$11:$L$11)&lt;=COLUMN(K11)),$C$11:$L$11)/MRV_Life</f>
        <v>1234480</v>
      </c>
      <c r="L18" s="58" t="n">
        <f aca="false">SUMPRODUCT((COLUMN($C$11:$L$11)&gt;=COLUMN(L11)-MRV_Life+1)*(COLUMN($C$11:$L$11)&lt;=COLUMN(L11)),$C$11:$L$11)/MRV_Life</f>
        <v>1481400</v>
      </c>
    </row>
    <row r="19" customFormat="false" ht="15" hidden="false" customHeight="false" outlineLevel="0" collapsed="false">
      <c r="A19" s="5"/>
      <c r="B19" s="54" t="s">
        <v>309</v>
      </c>
      <c r="C19" s="59" t="n">
        <f aca="false">C17+C18</f>
        <v>976000</v>
      </c>
      <c r="D19" s="59" t="n">
        <f aca="false">D17+D18</f>
        <v>1168000</v>
      </c>
      <c r="E19" s="59" t="n">
        <f aca="false">E17+E18</f>
        <v>1398400</v>
      </c>
      <c r="F19" s="59" t="n">
        <f aca="false">F17+F18</f>
        <v>1674880</v>
      </c>
      <c r="G19" s="59" t="n">
        <f aca="false">G17+G18</f>
        <v>2006640</v>
      </c>
      <c r="H19" s="59" t="n">
        <f aca="false">H17+H18</f>
        <v>1916800</v>
      </c>
      <c r="I19" s="59" t="n">
        <f aca="false">I17+I18</f>
        <v>2298560</v>
      </c>
      <c r="J19" s="59" t="n">
        <f aca="false">J17+J18</f>
        <v>2756640</v>
      </c>
      <c r="K19" s="59" t="n">
        <f aca="false">K17+K18</f>
        <v>3306400</v>
      </c>
      <c r="L19" s="59" t="n">
        <f aca="false">L17+L18</f>
        <v>3966120</v>
      </c>
    </row>
    <row r="20" customFormat="false" ht="15" hidden="false" customHeight="false" outlineLevel="0" collapsed="false">
      <c r="A20" s="5"/>
      <c r="B20" s="5"/>
      <c r="C20" s="5"/>
      <c r="D20" s="5"/>
      <c r="E20" s="5"/>
      <c r="F20" s="5"/>
      <c r="G20" s="5"/>
      <c r="H20" s="5"/>
      <c r="I20" s="5"/>
      <c r="J20" s="5"/>
      <c r="K20" s="5"/>
      <c r="L20" s="5"/>
    </row>
    <row r="21" customFormat="false" ht="15" hidden="false" customHeight="false" outlineLevel="0" collapsed="false">
      <c r="A21" s="5"/>
      <c r="B21" s="21" t="s">
        <v>310</v>
      </c>
      <c r="C21" s="22"/>
      <c r="D21" s="22"/>
      <c r="E21" s="22"/>
      <c r="F21" s="22"/>
      <c r="G21" s="22"/>
      <c r="H21" s="22"/>
      <c r="I21" s="22"/>
      <c r="J21" s="22"/>
      <c r="K21" s="22"/>
      <c r="L21" s="22"/>
    </row>
    <row r="22" customFormat="false" ht="15" hidden="false" customHeight="false" outlineLevel="0" collapsed="false">
      <c r="A22" s="5"/>
      <c r="B22" s="53" t="s">
        <v>311</v>
      </c>
      <c r="C22" s="58" t="n">
        <f aca="false">C9</f>
        <v>12200000</v>
      </c>
      <c r="D22" s="58" t="n">
        <f aca="false">C22+D9</f>
        <v>14600000</v>
      </c>
      <c r="E22" s="58" t="n">
        <f aca="false">D22+E9</f>
        <v>17480000</v>
      </c>
      <c r="F22" s="58" t="n">
        <f aca="false">E22+F9</f>
        <v>20936000</v>
      </c>
      <c r="G22" s="58" t="n">
        <f aca="false">F22+G9</f>
        <v>25083000</v>
      </c>
      <c r="H22" s="58" t="n">
        <f aca="false">G22+H9</f>
        <v>30060000</v>
      </c>
      <c r="I22" s="58" t="n">
        <f aca="false">H22+I9</f>
        <v>36032000</v>
      </c>
      <c r="J22" s="58" t="n">
        <f aca="false">I22+J9</f>
        <v>43198000</v>
      </c>
      <c r="K22" s="58" t="n">
        <f aca="false">J22+K9</f>
        <v>51798000</v>
      </c>
      <c r="L22" s="58" t="n">
        <f aca="false">K22+L9</f>
        <v>62118000</v>
      </c>
    </row>
    <row r="23" customFormat="false" ht="15" hidden="false" customHeight="false" outlineLevel="0" collapsed="false">
      <c r="A23" s="5"/>
      <c r="B23" s="53" t="s">
        <v>312</v>
      </c>
      <c r="C23" s="58" t="n">
        <f aca="false">C19</f>
        <v>976000</v>
      </c>
      <c r="D23" s="58" t="n">
        <f aca="false">C23+D19</f>
        <v>2144000</v>
      </c>
      <c r="E23" s="58" t="n">
        <f aca="false">D23+E19</f>
        <v>3542400</v>
      </c>
      <c r="F23" s="58" t="n">
        <f aca="false">E23+F19</f>
        <v>5217280</v>
      </c>
      <c r="G23" s="58" t="n">
        <f aca="false">F23+G19</f>
        <v>7223920</v>
      </c>
      <c r="H23" s="58" t="n">
        <f aca="false">G23+H19</f>
        <v>9140720</v>
      </c>
      <c r="I23" s="58" t="n">
        <f aca="false">H23+I19</f>
        <v>11439280</v>
      </c>
      <c r="J23" s="58" t="n">
        <f aca="false">I23+J19</f>
        <v>14195920</v>
      </c>
      <c r="K23" s="58" t="n">
        <f aca="false">J23+K19</f>
        <v>17502320</v>
      </c>
      <c r="L23" s="58" t="n">
        <f aca="false">K23+L19</f>
        <v>21468440</v>
      </c>
    </row>
    <row r="24" customFormat="false" ht="15" hidden="false" customHeight="false" outlineLevel="0" collapsed="false">
      <c r="A24" s="5"/>
      <c r="B24" s="54" t="s">
        <v>310</v>
      </c>
      <c r="C24" s="59" t="n">
        <f aca="false">MAX(0,C22-C23)</f>
        <v>11224000</v>
      </c>
      <c r="D24" s="59" t="n">
        <f aca="false">MAX(0,D22-D23)</f>
        <v>12456000</v>
      </c>
      <c r="E24" s="59" t="n">
        <f aca="false">MAX(0,E22-E23)</f>
        <v>13937600</v>
      </c>
      <c r="F24" s="59" t="n">
        <f aca="false">MAX(0,F22-F23)</f>
        <v>15718720</v>
      </c>
      <c r="G24" s="59" t="n">
        <f aca="false">MAX(0,G22-G23)</f>
        <v>17859080</v>
      </c>
      <c r="H24" s="59" t="n">
        <f aca="false">MAX(0,H22-H23)</f>
        <v>20919280</v>
      </c>
      <c r="I24" s="59" t="n">
        <f aca="false">MAX(0,I22-I23)</f>
        <v>24592720</v>
      </c>
      <c r="J24" s="59" t="n">
        <f aca="false">MAX(0,J22-J23)</f>
        <v>29002080</v>
      </c>
      <c r="K24" s="59" t="n">
        <f aca="false">MAX(0,K22-K23)</f>
        <v>34295680</v>
      </c>
      <c r="L24" s="59" t="n">
        <f aca="false">MAX(0,L22-L23)</f>
        <v>40649560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2026-05-15T18:52:52Z</dcterms:created>
  <dc:creator>openpyxl</dc:creator>
  <dc:description/>
  <dc:language>en-GB</dc:language>
  <cp:lastModifiedBy/>
  <dcterms:modified xsi:type="dcterms:W3CDTF">2026-05-15T18:52:53Z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