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ver" sheetId="1" state="visible" r:id="rId1"/>
    <sheet xmlns:r="http://schemas.openxmlformats.org/officeDocument/2006/relationships" name="Assumptions" sheetId="2" state="visible" r:id="rId2"/>
    <sheet xmlns:r="http://schemas.openxmlformats.org/officeDocument/2006/relationships" name="Bond_Structure" sheetId="3" state="visible" r:id="rId3"/>
    <sheet xmlns:r="http://schemas.openxmlformats.org/officeDocument/2006/relationships" name="Loss_Model" sheetId="4" state="visible" r:id="rId4"/>
    <sheet xmlns:r="http://schemas.openxmlformats.org/officeDocument/2006/relationships" name="Cash_Flows" sheetId="5" state="visible" r:id="rId5"/>
    <sheet xmlns:r="http://schemas.openxmlformats.org/officeDocument/2006/relationships" name="Returns" sheetId="6" state="visible" r:id="rId6"/>
    <sheet xmlns:r="http://schemas.openxmlformats.org/officeDocument/2006/relationships" name="Sensitivity" sheetId="7" state="visible" r:id="rId7"/>
    <sheet xmlns:r="http://schemas.openxmlformats.org/officeDocument/2006/relationships" name="Checks" sheetId="8" state="visible" r:id="rId8"/>
    <sheet xmlns:r="http://schemas.openxmlformats.org/officeDocument/2006/relationships" name="Disclaimer" sheetId="9" state="visible" r:id="rId9"/>
  </sheets>
  <definedNames>
    <definedName name="Scenario_Sel">Assumptions!$C$5</definedName>
    <definedName name="Bond_Principal">Assumptions!$C$7</definedName>
    <definedName name="Bond_Tenor">Assumptions!$C$8</definedName>
    <definedName name="Risk_Free">Assumptions!$C$9</definedName>
    <definedName name="Risk_Spread">Assumptions!$C$10</definedName>
    <definedName name="All_In_Coupon">Assumptions!$C$11</definedName>
    <definedName name="Attach_UNL">Assumptions!$C$13</definedName>
    <definedName name="Exhaust_UNL">Assumptions!$C$14</definedName>
    <definedName name="Layer_Width">Assumptions!$C$15</definedName>
    <definedName name="Attach_Prob">Assumptions!$C$17</definedName>
    <definedName name="Exhaust_Prob">Assumptions!$C$18</definedName>
    <definedName name="Expected_Loss">Assumptions!$C$19</definedName>
    <definedName name="Bond_Multiple">Assumptions!$C$20</definedName>
    <definedName name="Issue_Year">Assumptions!$C$29</definedName>
  </definedNames>
  <calcPr calcId="191029" calcMode="auto" fullCalcOnLoad="1"/>
</workbook>
</file>

<file path=xl/styles.xml><?xml version="1.0" encoding="utf-8"?>
<styleSheet xmlns="http://schemas.openxmlformats.org/spreadsheetml/2006/main">
  <numFmts count="2">
    <numFmt numFmtId="164" formatCode="0.000%"/>
    <numFmt numFmtId="165" formatCode="0.00&quot;x&quot;"/>
  </numFmts>
  <fonts count="21">
    <font>
      <name val="Calibri"/>
      <family val="2"/>
      <color theme="1"/>
      <sz val="11"/>
      <scheme val="minor"/>
    </font>
    <font>
      <name val="Arial"/>
      <b val="1"/>
      <color rgb="001F4E79"/>
      <sz val="18"/>
    </font>
    <font>
      <name val="Arial"/>
      <i val="1"/>
      <color rgb="00595959"/>
      <sz val="11"/>
    </font>
    <font>
      <name val="Arial"/>
      <b val="1"/>
      <sz val="11"/>
    </font>
    <font>
      <name val="Arial"/>
      <sz val="11"/>
    </font>
    <font>
      <name val="Arial"/>
      <i val="1"/>
      <color rgb="00FF0000"/>
      <sz val="11"/>
    </font>
    <font>
      <name val="Arial"/>
      <b val="1"/>
      <color rgb="00FFFFFF"/>
      <sz val="11"/>
    </font>
    <font>
      <name val="Arial"/>
      <b val="1"/>
      <color rgb="000070C0"/>
      <sz val="11"/>
    </font>
    <font>
      <name val="Arial"/>
      <b val="1"/>
      <color rgb="001F4E79"/>
      <sz val="11"/>
    </font>
    <font>
      <name val="Arial"/>
      <color rgb="000070C0"/>
      <sz val="11"/>
    </font>
    <font>
      <name val="Arial"/>
      <b val="1"/>
      <color rgb="0000B050"/>
      <sz val="11"/>
    </font>
    <font>
      <name val="Calibri"/>
      <color theme="0"/>
      <sz val="11"/>
    </font>
    <font>
      <name val="Arial"/>
      <b val="1"/>
      <color theme="0"/>
      <sz val="18"/>
    </font>
    <font>
      <name val="Arial"/>
      <i val="1"/>
      <color theme="0"/>
      <sz val="11"/>
    </font>
    <font>
      <name val="Arial"/>
      <b val="1"/>
      <color theme="0"/>
      <sz val="11"/>
    </font>
    <font>
      <name val="Arial"/>
      <b val="1"/>
      <color theme="3"/>
      <sz val="11"/>
    </font>
    <font>
      <name val="Arial"/>
      <b val="1"/>
      <color theme="0"/>
      <sz val="11"/>
      <u val="single"/>
    </font>
    <font>
      <name val="Arial"/>
      <color rgb="00262626"/>
      <sz val="10"/>
    </font>
    <font>
      <name val="Arial"/>
      <b val="1"/>
      <color rgb="001F4E79"/>
      <sz val="10"/>
    </font>
    <font>
      <name val="Arial"/>
      <color rgb="00404040"/>
      <sz val="9"/>
    </font>
    <font>
      <name val="Arial"/>
      <i val="1"/>
      <color rgb="00808080"/>
      <sz val="10"/>
    </font>
  </fonts>
  <fills count="7">
    <fill>
      <patternFill/>
    </fill>
    <fill>
      <patternFill patternType="gray125"/>
    </fill>
    <fill>
      <patternFill patternType="solid">
        <fgColor rgb="001F4E79"/>
      </patternFill>
    </fill>
    <fill>
      <patternFill patternType="solid">
        <fgColor rgb="00DEEAF1"/>
      </patternFill>
    </fill>
    <fill>
      <patternFill patternType="solid">
        <fgColor theme="3"/>
        <bgColor theme="3"/>
      </patternFill>
    </fill>
    <fill>
      <patternFill patternType="solid">
        <fgColor rgb="001F4E79"/>
        <bgColor rgb="001F4E79"/>
      </patternFill>
    </fill>
    <fill>
      <patternFill patternType="solid">
        <fgColor rgb="00F2F2F2"/>
        <bgColor rgb="00F2F2F2"/>
      </patternFill>
    </fill>
  </fills>
  <borders count="3">
    <border>
      <left/>
      <right/>
      <top/>
      <bottom/>
      <diagonal/>
    </border>
    <border>
      <bottom style="thin"/>
    </border>
    <border>
      <bottom style="thin">
        <color rgb="001F4E79"/>
      </bottom>
    </border>
  </borders>
  <cellStyleXfs count="1">
    <xf numFmtId="0" fontId="4" fillId="0" borderId="0"/>
  </cellStyleXfs>
  <cellXfs count="43">
    <xf numFmtId="0" fontId="0" fillId="0" borderId="0" pivotButton="0" quotePrefix="0" xfId="0"/>
    <xf numFmtId="0" fontId="11" fillId="4" borderId="0" pivotButton="0" quotePrefix="0" xfId="0"/>
    <xf numFmtId="0" fontId="12" fillId="4" borderId="0" applyAlignment="1" pivotButton="0" quotePrefix="0" xfId="0">
      <alignment horizontal="left" vertical="center"/>
    </xf>
    <xf numFmtId="0" fontId="16" fillId="4" borderId="0" applyAlignment="1" pivotButton="0" quotePrefix="0" xfId="0">
      <alignment horizontal="left" vertical="center"/>
    </xf>
    <xf numFmtId="0" fontId="13" fillId="4" borderId="0" applyAlignment="1" pivotButton="0" quotePrefix="0" xfId="0">
      <alignment horizontal="left" vertical="center"/>
    </xf>
    <xf numFmtId="0" fontId="3" fillId="0" borderId="0" applyAlignment="1" pivotButton="0" quotePrefix="0" xfId="0">
      <alignment horizontal="left" vertical="center"/>
    </xf>
    <xf numFmtId="0" fontId="4" fillId="0" borderId="0" applyAlignment="1" pivotButton="0" quotePrefix="0" xfId="0">
      <alignment horizontal="left" vertical="center"/>
    </xf>
    <xf numFmtId="0" fontId="4" fillId="0" borderId="0" pivotButton="0" quotePrefix="0" xfId="0"/>
    <xf numFmtId="0" fontId="5" fillId="0" borderId="0" pivotButton="0" quotePrefix="0" xfId="0"/>
    <xf numFmtId="0" fontId="14" fillId="4" borderId="0" applyAlignment="1" pivotButton="0" quotePrefix="0" xfId="0">
      <alignment horizontal="left" vertical="center"/>
    </xf>
    <xf numFmtId="0" fontId="14" fillId="4" borderId="0" applyAlignment="1" pivotButton="0" quotePrefix="0" xfId="0">
      <alignment horizontal="center" vertical="center"/>
    </xf>
    <xf numFmtId="1" fontId="7" fillId="3" borderId="0" applyAlignment="1" pivotButton="0" quotePrefix="0" xfId="0">
      <alignment horizontal="right" vertical="center"/>
    </xf>
    <xf numFmtId="0" fontId="15" fillId="0" borderId="0" applyAlignment="1" pivotButton="0" quotePrefix="0" xfId="0">
      <alignment horizontal="left" vertical="center"/>
    </xf>
    <xf numFmtId="3" fontId="9" fillId="3" borderId="0" applyAlignment="1" pivotButton="0" quotePrefix="0" xfId="0">
      <alignment horizontal="right" vertical="center"/>
    </xf>
    <xf numFmtId="1" fontId="9" fillId="3" borderId="0" applyAlignment="1" pivotButton="0" quotePrefix="0" xfId="0">
      <alignment horizontal="right" vertical="center"/>
    </xf>
    <xf numFmtId="10" fontId="9" fillId="3" borderId="0" applyAlignment="1" pivotButton="0" quotePrefix="0" xfId="0">
      <alignment horizontal="right" vertical="center"/>
    </xf>
    <xf numFmtId="0" fontId="3" fillId="0" borderId="0" pivotButton="0" quotePrefix="0" xfId="0"/>
    <xf numFmtId="10" fontId="3" fillId="0" borderId="0" applyAlignment="1" pivotButton="0" quotePrefix="0" xfId="0">
      <alignment horizontal="right" vertical="center"/>
    </xf>
    <xf numFmtId="3" fontId="3" fillId="0" borderId="0" applyAlignment="1" pivotButton="0" quotePrefix="0" xfId="0">
      <alignment horizontal="right" vertical="center"/>
    </xf>
    <xf numFmtId="164" fontId="9" fillId="3" borderId="0" applyAlignment="1" pivotButton="0" quotePrefix="0" xfId="0">
      <alignment horizontal="right" vertical="center"/>
    </xf>
    <xf numFmtId="165" fontId="3" fillId="0" borderId="0" applyAlignment="1" pivotButton="0" quotePrefix="0" xfId="0">
      <alignment horizontal="right" vertical="center"/>
    </xf>
    <xf numFmtId="1" fontId="3" fillId="0" borderId="0" applyAlignment="1" pivotButton="0" quotePrefix="0" xfId="0">
      <alignment horizontal="center" vertical="center"/>
    </xf>
    <xf numFmtId="0" fontId="12" fillId="4" borderId="0" pivotButton="0" quotePrefix="0" xfId="0"/>
    <xf numFmtId="0" fontId="13" fillId="4" borderId="0" pivotButton="0" quotePrefix="0" xfId="0"/>
    <xf numFmtId="1" fontId="4" fillId="0" borderId="0" applyAlignment="1" pivotButton="0" quotePrefix="0" xfId="0">
      <alignment horizontal="right" vertical="center"/>
    </xf>
    <xf numFmtId="3" fontId="4" fillId="0" borderId="0" applyAlignment="1" pivotButton="0" quotePrefix="0" xfId="0">
      <alignment horizontal="right" vertical="center"/>
    </xf>
    <xf numFmtId="10" fontId="4" fillId="0" borderId="0" applyAlignment="1" pivotButton="0" quotePrefix="0" xfId="0">
      <alignment horizontal="right" vertical="center"/>
    </xf>
    <xf numFmtId="0" fontId="3" fillId="0" borderId="1" applyAlignment="1" pivotButton="0" quotePrefix="0" xfId="0">
      <alignment horizontal="left" vertical="center"/>
    </xf>
    <xf numFmtId="3" fontId="3" fillId="0" borderId="1" applyAlignment="1" pivotButton="0" quotePrefix="0" xfId="0">
      <alignment horizontal="right" vertical="center"/>
    </xf>
    <xf numFmtId="165" fontId="4" fillId="0" borderId="0" applyAlignment="1" pivotButton="0" quotePrefix="0" xfId="0">
      <alignment horizontal="right" vertical="center"/>
    </xf>
    <xf numFmtId="10" fontId="7" fillId="3" borderId="0" applyAlignment="1" pivotButton="0" quotePrefix="0" xfId="0">
      <alignment horizontal="center" vertical="center"/>
    </xf>
    <xf numFmtId="0" fontId="15" fillId="0" borderId="0" pivotButton="0" quotePrefix="0" xfId="0"/>
    <xf numFmtId="10" fontId="7" fillId="3" borderId="0" applyAlignment="1" pivotButton="0" quotePrefix="0" xfId="0">
      <alignment horizontal="right" vertical="center"/>
    </xf>
    <xf numFmtId="0" fontId="10" fillId="0" borderId="0" applyAlignment="1" pivotButton="0" quotePrefix="0" xfId="0">
      <alignment horizontal="right" vertical="center"/>
    </xf>
    <xf numFmtId="0" fontId="3" fillId="0" borderId="0" applyAlignment="1" pivotButton="0" quotePrefix="0" xfId="0">
      <alignment horizontal="right" vertical="center"/>
    </xf>
    <xf numFmtId="0" fontId="1" fillId="0" borderId="0" applyAlignment="1" pivotButton="0" quotePrefix="0" xfId="0">
      <alignment horizontal="left" vertical="center"/>
    </xf>
    <xf numFmtId="0" fontId="0" fillId="0" borderId="2" pivotButton="0" quotePrefix="0" xfId="0"/>
    <xf numFmtId="0" fontId="6" fillId="5" borderId="0" applyAlignment="1" pivotButton="0" quotePrefix="0" xfId="0">
      <alignment horizontal="left" vertical="center" indent="1"/>
    </xf>
    <xf numFmtId="0" fontId="17" fillId="0" borderId="0" applyAlignment="1" pivotButton="0" quotePrefix="0" xfId="0">
      <alignment horizontal="left" vertical="top" wrapText="1" indent="1"/>
    </xf>
    <xf numFmtId="0" fontId="18" fillId="0" borderId="0" applyAlignment="1" pivotButton="0" quotePrefix="0" xfId="0">
      <alignment horizontal="left" vertical="center" indent="1"/>
    </xf>
    <xf numFmtId="0" fontId="8" fillId="0" borderId="0" applyAlignment="1" pivotButton="0" quotePrefix="0" xfId="0">
      <alignment horizontal="left" vertical="center" indent="1"/>
    </xf>
    <xf numFmtId="0" fontId="19" fillId="6" borderId="0" applyAlignment="1" pivotButton="0" quotePrefix="0" xfId="0">
      <alignment horizontal="left" vertical="top" wrapText="1" indent="1"/>
    </xf>
    <xf numFmtId="0" fontId="20" fillId="0" borderId="0" applyAlignment="1" pivotButton="0" quotePrefix="0" xfId="0">
      <alignment horizontal="left" vertical="center" inden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styles" Target="styles.xml" Id="rId10"/><Relationship Type="http://schemas.openxmlformats.org/officeDocument/2006/relationships/theme" Target="theme/theme1.xml" Id="rId11"/></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www.finamodel.com/" TargetMode="External" Id="rId1"/></Relationships>
</file>

<file path=xl/worksheets/sheet1.xml><?xml version="1.0" encoding="utf-8"?>
<worksheet xmlns="http://schemas.openxmlformats.org/spreadsheetml/2006/main">
  <sheetPr>
    <tabColor rgb="001F4E79"/>
    <outlinePr summaryBelow="1" summaryRight="1"/>
    <pageSetUpPr/>
  </sheetPr>
  <dimension ref="A1:AD16"/>
  <sheetViews>
    <sheetView showGridLines="0" workbookViewId="0">
      <selection activeCell="A1" sqref="A1"/>
    </sheetView>
  </sheetViews>
  <sheetFormatPr baseColWidth="8" defaultRowHeight="15"/>
  <cols>
    <col width="3" customWidth="1" min="1" max="1"/>
    <col width="48" customWidth="1" min="2" max="2"/>
    <col width="18" customWidth="1" min="3" max="3"/>
    <col width="22" customWidth="1" min="4" max="4"/>
    <col width="60" customWidth="1" min="5" max="5"/>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 t="inlineStr">
        <is>
          <t>Catastrophe Bond (ILS) Model</t>
        </is>
      </c>
      <c r="C2" s="1" t="n"/>
      <c r="D2" s="3" t="inlineStr">
        <is>
          <t>FINAMODEL.com</t>
        </is>
      </c>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4" t="inlineStr">
        <is>
          <t>Investor-Perspective Cash Flow Model</t>
        </is>
      </c>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row r="5">
      <c r="B5" s="5" t="inlineStr">
        <is>
          <t>Sheet</t>
        </is>
      </c>
      <c r="C5" s="5" t="inlineStr">
        <is>
          <t>Tab</t>
        </is>
      </c>
      <c r="D5" s="5" t="inlineStr">
        <is>
          <t>Purpose</t>
        </is>
      </c>
      <c r="E5" s="5" t="inlineStr"/>
    </row>
    <row r="6">
      <c r="B6" s="6" t="inlineStr">
        <is>
          <t>Cover</t>
        </is>
      </c>
      <c r="C6" s="6" t="inlineStr">
        <is>
          <t>Navy</t>
        </is>
      </c>
      <c r="D6" s="6" t="inlineStr">
        <is>
          <t>Title, sheet index</t>
        </is>
      </c>
      <c r="E6" s="6" t="inlineStr"/>
    </row>
    <row r="7">
      <c r="B7" s="6" t="inlineStr">
        <is>
          <t>Assumptions</t>
        </is>
      </c>
      <c r="C7" s="6" t="inlineStr">
        <is>
          <t>Blue</t>
        </is>
      </c>
      <c r="D7" s="6" t="inlineStr">
        <is>
          <t>Inputs and named ranges</t>
        </is>
      </c>
      <c r="E7" s="6" t="inlineStr"/>
    </row>
    <row r="8">
      <c r="B8" s="6" t="inlineStr">
        <is>
          <t>Bond_Structure</t>
        </is>
      </c>
      <c r="C8" s="6" t="inlineStr">
        <is>
          <t>Blue</t>
        </is>
      </c>
      <c r="D8" s="6" t="inlineStr">
        <is>
          <t>Notional roll-forward, coupon stream</t>
        </is>
      </c>
      <c r="E8" s="6" t="inlineStr"/>
    </row>
    <row r="9">
      <c r="B9" s="6" t="inlineStr">
        <is>
          <t>Loss_Model</t>
        </is>
      </c>
      <c r="C9" s="6" t="inlineStr">
        <is>
          <t>Blue</t>
        </is>
      </c>
      <c r="D9" s="6" t="inlineStr">
        <is>
          <t>Scenario loss path, cumulative loss, payout</t>
        </is>
      </c>
      <c r="E9" s="6" t="inlineStr"/>
    </row>
    <row r="10">
      <c r="B10" s="6" t="inlineStr">
        <is>
          <t>Cash_Flows</t>
        </is>
      </c>
      <c r="C10" s="6" t="inlineStr">
        <is>
          <t>Green</t>
        </is>
      </c>
      <c r="D10" s="6" t="inlineStr">
        <is>
          <t>Year 0 outflow, coupons, return of principal</t>
        </is>
      </c>
      <c r="E10" s="6" t="inlineStr"/>
    </row>
    <row r="11">
      <c r="B11" s="6" t="inlineStr">
        <is>
          <t>Returns</t>
        </is>
      </c>
      <c r="C11" s="6" t="inlineStr">
        <is>
          <t>Orange</t>
        </is>
      </c>
      <c r="D11" s="6" t="inlineStr">
        <is>
          <t>IRR, YTM, loss-adjusted return, multiple</t>
        </is>
      </c>
      <c r="E11" s="6" t="inlineStr"/>
    </row>
    <row r="12">
      <c r="B12" s="6" t="inlineStr">
        <is>
          <t>Sensitivity</t>
        </is>
      </c>
      <c r="C12" s="6" t="inlineStr">
        <is>
          <t>Orange</t>
        </is>
      </c>
      <c r="D12" s="6" t="inlineStr">
        <is>
          <t>IRR sensitivity: EL ladder x spread ladder</t>
        </is>
      </c>
      <c r="E12" s="6" t="inlineStr"/>
    </row>
    <row r="13">
      <c r="B13" s="6" t="inlineStr">
        <is>
          <t>Checks</t>
        </is>
      </c>
      <c r="C13" s="6" t="inlineStr">
        <is>
          <t>Red</t>
        </is>
      </c>
      <c r="D13" s="6" t="inlineStr">
        <is>
          <t>Validation: notional, EL bounds, CF identity</t>
        </is>
      </c>
      <c r="E13" s="6" t="inlineStr"/>
    </row>
    <row r="14"/>
    <row r="15">
      <c r="B15" s="7" t="inlineStr">
        <is>
          <t>Model Version: v1 (2026-05-19)</t>
        </is>
      </c>
    </row>
    <row r="16">
      <c r="B16" s="8" t="inlineStr">
        <is>
          <t>Status: TEMPLATE - assumptions must be confirmed before use</t>
        </is>
      </c>
    </row>
  </sheetData>
  <hyperlinks>
    <hyperlink xmlns:r="http://schemas.openxmlformats.org/officeDocument/2006/relationships" ref="D2" r:id="rId1"/>
  </hyperlinks>
  <pageMargins left="0.75" right="0.75" top="1" bottom="1" header="0.5" footer="0.5"/>
</worksheet>
</file>

<file path=xl/worksheets/sheet2.xml><?xml version="1.0" encoding="utf-8"?>
<worksheet xmlns="http://schemas.openxmlformats.org/spreadsheetml/2006/main">
  <sheetPr>
    <tabColor rgb="005B9BD5"/>
    <outlinePr summaryBelow="1" summaryRight="1"/>
    <pageSetUpPr/>
  </sheetPr>
  <dimension ref="A1:AD29"/>
  <sheetViews>
    <sheetView showGridLines="0" workbookViewId="0">
      <selection activeCell="A1" sqref="A1"/>
    </sheetView>
  </sheetViews>
  <sheetFormatPr baseColWidth="8" defaultRowHeight="15"/>
  <cols>
    <col width="3" customWidth="1" min="1" max="1"/>
    <col width="34" customWidth="1" min="2" max="2"/>
    <col width="18" customWidth="1" min="3" max="3"/>
    <col width="12" customWidth="1" min="4" max="4"/>
    <col width="18" customWidth="1" min="5" max="5"/>
    <col width="18" customWidth="1" min="6" max="6"/>
    <col width="18" customWidth="1" min="7" max="7"/>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 t="inlineStr">
        <is>
          <t>Assumptions</t>
        </is>
      </c>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1" t="n"/>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c r="A4" s="9" t="inlineStr"/>
      <c r="B4" s="10" t="inlineStr">
        <is>
          <t>Parameter</t>
        </is>
      </c>
      <c r="C4" s="10" t="inlineStr">
        <is>
          <t>Value</t>
        </is>
      </c>
      <c r="D4" s="10" t="inlineStr">
        <is>
          <t>Unit</t>
        </is>
      </c>
      <c r="E4" s="10" t="inlineStr">
        <is>
          <t>Notes</t>
        </is>
      </c>
    </row>
    <row r="5">
      <c r="B5" s="5" t="inlineStr">
        <is>
          <t>Scenario Selector</t>
        </is>
      </c>
      <c r="C5" s="11" t="n">
        <v>1</v>
      </c>
      <c r="D5" s="7" t="inlineStr">
        <is>
          <t>1-4</t>
        </is>
      </c>
      <c r="E5" s="7" t="inlineStr">
        <is>
          <t>1=No event; 2=Partial Y2; 3=Total Y3; 4=EL each year</t>
        </is>
      </c>
    </row>
    <row r="6">
      <c r="B6" s="12" t="inlineStr">
        <is>
          <t>Bond Structure</t>
        </is>
      </c>
    </row>
    <row r="7">
      <c r="B7" s="7" t="inlineStr">
        <is>
          <t>Bond Principal</t>
        </is>
      </c>
      <c r="C7" s="13" t="n">
        <v>200000000</v>
      </c>
      <c r="D7" s="7" t="inlineStr">
        <is>
          <t>USD</t>
        </is>
      </c>
      <c r="E7" s="7" t="inlineStr">
        <is>
          <t>Notional / face value</t>
        </is>
      </c>
    </row>
    <row r="8">
      <c r="B8" s="7" t="inlineStr">
        <is>
          <t>Bond Tenor</t>
        </is>
      </c>
      <c r="C8" s="14" t="n">
        <v>4</v>
      </c>
      <c r="D8" s="7" t="inlineStr">
        <is>
          <t>years</t>
        </is>
      </c>
      <c r="E8" s="7" t="inlineStr">
        <is>
          <t>Annual pay; matures end of year T</t>
        </is>
      </c>
    </row>
    <row r="9">
      <c r="B9" s="7" t="inlineStr">
        <is>
          <t>Collateral Yield</t>
        </is>
      </c>
      <c r="C9" s="15" t="n">
        <v>0.045</v>
      </c>
      <c r="D9" s="7" t="inlineStr">
        <is>
          <t>p.a.</t>
        </is>
      </c>
      <c r="E9" s="7" t="inlineStr">
        <is>
          <t>Short-dated US Treasury / repo</t>
        </is>
      </c>
    </row>
    <row r="10">
      <c r="B10" s="7" t="inlineStr">
        <is>
          <t>Risk Spread</t>
        </is>
      </c>
      <c r="C10" s="15" t="n">
        <v>0.065</v>
      </c>
      <c r="D10" s="7" t="inlineStr">
        <is>
          <t>p.a.</t>
        </is>
      </c>
      <c r="E10" s="7" t="inlineStr">
        <is>
          <t>Premium above collateral yield</t>
        </is>
      </c>
    </row>
    <row r="11">
      <c r="B11" s="16" t="inlineStr">
        <is>
          <t>All-In Coupon</t>
        </is>
      </c>
      <c r="C11" s="17">
        <f>Risk_Free+Risk_Spread</f>
        <v/>
      </c>
      <c r="D11" s="7" t="inlineStr">
        <is>
          <t>p.a.</t>
        </is>
      </c>
      <c r="E11" s="7" t="inlineStr">
        <is>
          <t>Collateral + Spread</t>
        </is>
      </c>
    </row>
    <row r="12">
      <c r="B12" s="12" t="inlineStr">
        <is>
          <t>Trigger Layer (Indemnity UNL)</t>
        </is>
      </c>
    </row>
    <row r="13">
      <c r="B13" s="7" t="inlineStr">
        <is>
          <t>Attachment Point</t>
        </is>
      </c>
      <c r="C13" s="13" t="n">
        <v>1500000000</v>
      </c>
      <c r="D13" s="7" t="inlineStr">
        <is>
          <t>USD</t>
        </is>
      </c>
      <c r="E13" s="7" t="inlineStr">
        <is>
          <t>Sponsor UNL above which payout starts</t>
        </is>
      </c>
    </row>
    <row r="14">
      <c r="B14" s="7" t="inlineStr">
        <is>
          <t>Exhaustion Point</t>
        </is>
      </c>
      <c r="C14" s="13" t="n">
        <v>1900000000</v>
      </c>
      <c r="D14" s="7" t="inlineStr">
        <is>
          <t>USD</t>
        </is>
      </c>
      <c r="E14" s="7" t="inlineStr">
        <is>
          <t>UNL above which all principal is paid</t>
        </is>
      </c>
    </row>
    <row r="15">
      <c r="B15" s="16" t="inlineStr">
        <is>
          <t>Layer Width</t>
        </is>
      </c>
      <c r="C15" s="18">
        <f>Exhaust_UNL-Attach_UNL</f>
        <v/>
      </c>
      <c r="D15" s="7" t="inlineStr">
        <is>
          <t>USD</t>
        </is>
      </c>
      <c r="E15" s="7" t="inlineStr">
        <is>
          <t>Exhaustion minus Attachment</t>
        </is>
      </c>
    </row>
    <row r="16">
      <c r="B16" s="12" t="inlineStr">
        <is>
          <t>Loss Model</t>
        </is>
      </c>
    </row>
    <row r="17">
      <c r="B17" s="7" t="inlineStr">
        <is>
          <t>Attachment Probability</t>
        </is>
      </c>
      <c r="C17" s="19" t="n">
        <v>0.032</v>
      </c>
      <c r="D17" s="7" t="inlineStr">
        <is>
          <t>p.a.</t>
        </is>
      </c>
      <c r="E17" s="7" t="inlineStr">
        <is>
          <t>P(loss reaches attachment)</t>
        </is>
      </c>
    </row>
    <row r="18">
      <c r="B18" s="7" t="inlineStr">
        <is>
          <t>Exhaustion Probability</t>
        </is>
      </c>
      <c r="C18" s="19" t="n">
        <v>0.011</v>
      </c>
      <c r="D18" s="7" t="inlineStr">
        <is>
          <t>p.a.</t>
        </is>
      </c>
      <c r="E18" s="7" t="inlineStr">
        <is>
          <t>P(loss reaches exhaustion)</t>
        </is>
      </c>
    </row>
    <row r="19">
      <c r="B19" s="7" t="inlineStr">
        <is>
          <t>Expected Loss (EL)</t>
        </is>
      </c>
      <c r="C19" s="19" t="n">
        <v>0.021</v>
      </c>
      <c r="D19" s="7" t="inlineStr">
        <is>
          <t>p.a.</t>
        </is>
      </c>
      <c r="E19" s="7" t="inlineStr">
        <is>
          <t>Modelled annual EL</t>
        </is>
      </c>
    </row>
    <row r="20">
      <c r="B20" s="16" t="inlineStr">
        <is>
          <t>Multiple (Spread / EL)</t>
        </is>
      </c>
      <c r="C20" s="20">
        <f>Risk_Spread/Expected_Loss</f>
        <v/>
      </c>
      <c r="D20" s="7" t="inlineStr">
        <is>
          <t>x</t>
        </is>
      </c>
      <c r="E20" s="7" t="inlineStr">
        <is>
          <t>Spread coverage of EL</t>
        </is>
      </c>
    </row>
    <row r="21"/>
    <row r="22">
      <c r="B22" s="12" t="inlineStr">
        <is>
          <t>Scenario Loss Paths</t>
        </is>
      </c>
      <c r="C22" s="21" t="inlineStr">
        <is>
          <t>Y1</t>
        </is>
      </c>
      <c r="D22" s="21" t="inlineStr">
        <is>
          <t>Y2</t>
        </is>
      </c>
      <c r="E22" s="21" t="inlineStr">
        <is>
          <t>Y3</t>
        </is>
      </c>
      <c r="F22" s="21" t="inlineStr">
        <is>
          <t>Y4</t>
        </is>
      </c>
    </row>
    <row r="23">
      <c r="B23" s="7" t="inlineStr">
        <is>
          <t>Scenario 1 - No Event</t>
        </is>
      </c>
      <c r="C23" s="15" t="n">
        <v>0</v>
      </c>
      <c r="D23" s="15" t="n">
        <v>0</v>
      </c>
      <c r="E23" s="15" t="n">
        <v>0</v>
      </c>
      <c r="F23" s="15" t="n">
        <v>0</v>
      </c>
      <c r="G23" s="7" t="inlineStr">
        <is>
          <t>% of Principal</t>
        </is>
      </c>
    </row>
    <row r="24">
      <c r="B24" s="7" t="inlineStr">
        <is>
          <t>Scenario 2 - Partial Y2</t>
        </is>
      </c>
      <c r="C24" s="15" t="n">
        <v>0</v>
      </c>
      <c r="D24" s="15" t="n">
        <v>0.25</v>
      </c>
      <c r="E24" s="15" t="n">
        <v>0</v>
      </c>
      <c r="F24" s="15" t="n">
        <v>0</v>
      </c>
      <c r="G24" s="7" t="inlineStr">
        <is>
          <t>% of Principal</t>
        </is>
      </c>
    </row>
    <row r="25">
      <c r="B25" s="7" t="inlineStr">
        <is>
          <t>Scenario 3 - Total Y3</t>
        </is>
      </c>
      <c r="C25" s="15" t="n">
        <v>0</v>
      </c>
      <c r="D25" s="15" t="n">
        <v>0</v>
      </c>
      <c r="E25" s="15" t="n">
        <v>1</v>
      </c>
      <c r="F25" s="15" t="n">
        <v>0</v>
      </c>
      <c r="G25" s="7" t="inlineStr">
        <is>
          <t>% of Principal</t>
        </is>
      </c>
    </row>
    <row r="26">
      <c r="B26" s="7" t="inlineStr">
        <is>
          <t>Scenario 4 - EL Path</t>
        </is>
      </c>
      <c r="C26" s="15" t="n">
        <v>0.021</v>
      </c>
      <c r="D26" s="15" t="n">
        <v>0.021</v>
      </c>
      <c r="E26" s="15" t="n">
        <v>0.021</v>
      </c>
      <c r="F26" s="15" t="n">
        <v>0.021</v>
      </c>
      <c r="G26" s="7" t="inlineStr">
        <is>
          <t>% of Principal</t>
        </is>
      </c>
    </row>
    <row r="27"/>
    <row r="28">
      <c r="B28" s="12" t="inlineStr">
        <is>
          <t>Other</t>
        </is>
      </c>
    </row>
    <row r="29">
      <c r="B29" s="7" t="inlineStr">
        <is>
          <t>Issue Year</t>
        </is>
      </c>
      <c r="C29" s="14" t="n">
        <v>2026</v>
      </c>
      <c r="D29" s="7" t="inlineStr">
        <is>
          <t>year</t>
        </is>
      </c>
      <c r="E29" s="7" t="inlineStr">
        <is>
          <t>First coupon year</t>
        </is>
      </c>
    </row>
  </sheetData>
  <pageMargins left="0.75" right="0.75" top="1" bottom="1" header="0.5" footer="0.5"/>
</worksheet>
</file>

<file path=xl/worksheets/sheet3.xml><?xml version="1.0" encoding="utf-8"?>
<worksheet xmlns="http://schemas.openxmlformats.org/spreadsheetml/2006/main">
  <sheetPr>
    <tabColor rgb="002E75B6"/>
    <outlinePr summaryBelow="1" summaryRight="1"/>
    <pageSetUpPr/>
  </sheetPr>
  <dimension ref="A1:AD16"/>
  <sheetViews>
    <sheetView showGridLines="0" workbookViewId="0">
      <selection activeCell="A1" sqref="A1"/>
    </sheetView>
  </sheetViews>
  <sheetFormatPr baseColWidth="8" defaultRowHeight="15"/>
  <cols>
    <col width="3" customWidth="1" min="1" max="1"/>
    <col width="34" customWidth="1" min="2" max="2"/>
    <col width="16" customWidth="1" min="3" max="3"/>
    <col width="16" customWidth="1" min="4" max="4"/>
    <col width="16" customWidth="1" min="5" max="5"/>
    <col width="16" customWidth="1" min="6" max="6"/>
    <col width="16" customWidth="1" min="7" max="7"/>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2" t="inlineStr">
        <is>
          <t>Bond Structure</t>
        </is>
      </c>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23" t="inlineStr">
        <is>
          <t>Notional roll-forward and coupon stream</t>
        </is>
      </c>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row r="5">
      <c r="B5" s="5" t="inlineStr">
        <is>
          <t>Year</t>
        </is>
      </c>
      <c r="C5" s="24">
        <f>Issue_Year+C6</f>
        <v/>
      </c>
      <c r="D5" s="24">
        <f>Issue_Year+D6</f>
        <v/>
      </c>
      <c r="E5" s="24">
        <f>Issue_Year+E6</f>
        <v/>
      </c>
      <c r="F5" s="24">
        <f>Issue_Year+F6</f>
        <v/>
      </c>
      <c r="G5" s="24">
        <f>Issue_Year+G6</f>
        <v/>
      </c>
    </row>
    <row r="6">
      <c r="B6" s="5" t="inlineStr">
        <is>
          <t>Period</t>
        </is>
      </c>
      <c r="C6" s="24">
        <f>Bond_Tenor-Bond_Tenor+0</f>
        <v/>
      </c>
      <c r="D6" s="24">
        <f>C6+1</f>
        <v/>
      </c>
      <c r="E6" s="24">
        <f>D6+1</f>
        <v/>
      </c>
      <c r="F6" s="24">
        <f>E6+1</f>
        <v/>
      </c>
      <c r="G6" s="24">
        <f>F6+1</f>
        <v/>
      </c>
    </row>
    <row r="7">
      <c r="B7" s="12" t="inlineStr">
        <is>
          <t>Notional Roll-Forward</t>
        </is>
      </c>
    </row>
    <row r="8">
      <c r="B8" s="6" t="inlineStr">
        <is>
          <t xml:space="preserve">  Notional Open</t>
        </is>
      </c>
      <c r="C8" s="25">
        <f>0</f>
        <v/>
      </c>
      <c r="D8" s="25">
        <f>Bond_Principal</f>
        <v/>
      </c>
      <c r="E8" s="25">
        <f>D11</f>
        <v/>
      </c>
      <c r="F8" s="25">
        <f>E11</f>
        <v/>
      </c>
      <c r="G8" s="25">
        <f>F11</f>
        <v/>
      </c>
    </row>
    <row r="9">
      <c r="B9" s="6" t="inlineStr">
        <is>
          <t xml:space="preserve">  Annual Loss (% Principal)</t>
        </is>
      </c>
      <c r="C9" s="26">
        <f>0</f>
        <v/>
      </c>
      <c r="D9" s="26">
        <f>CHOOSE(Scenario_Sel,Assumptions!C$23,Assumptions!C$24,Assumptions!C$25,Assumptions!C$26)</f>
        <v/>
      </c>
      <c r="E9" s="26">
        <f>CHOOSE(Scenario_Sel,Assumptions!D$23,Assumptions!D$24,Assumptions!D$25,Assumptions!D$26)</f>
        <v/>
      </c>
      <c r="F9" s="26">
        <f>CHOOSE(Scenario_Sel,Assumptions!E$23,Assumptions!E$24,Assumptions!E$25,Assumptions!E$26)</f>
        <v/>
      </c>
      <c r="G9" s="26">
        <f>CHOOSE(Scenario_Sel,Assumptions!F$23,Assumptions!F$24,Assumptions!F$25,Assumptions!F$26)</f>
        <v/>
      </c>
    </row>
    <row r="10">
      <c r="B10" s="6" t="inlineStr">
        <is>
          <t xml:space="preserve">  Annual Loss (USD)</t>
        </is>
      </c>
      <c r="C10" s="25">
        <f>0</f>
        <v/>
      </c>
      <c r="D10" s="25">
        <f>MIN(D9*Bond_Principal,D8)</f>
        <v/>
      </c>
      <c r="E10" s="25">
        <f>MIN(E9*Bond_Principal,E8)</f>
        <v/>
      </c>
      <c r="F10" s="25">
        <f>MIN(F9*Bond_Principal,F8)</f>
        <v/>
      </c>
      <c r="G10" s="25">
        <f>MIN(G9*Bond_Principal,G8)</f>
        <v/>
      </c>
    </row>
    <row r="11">
      <c r="B11" s="5" t="inlineStr">
        <is>
          <t xml:space="preserve">  Notional Close</t>
        </is>
      </c>
      <c r="C11" s="18">
        <f>0</f>
        <v/>
      </c>
      <c r="D11" s="18">
        <f>D8-D10</f>
        <v/>
      </c>
      <c r="E11" s="18">
        <f>E8-E10</f>
        <v/>
      </c>
      <c r="F11" s="18">
        <f>F8-F10</f>
        <v/>
      </c>
      <c r="G11" s="18">
        <f>G8-G10</f>
        <v/>
      </c>
    </row>
    <row r="12">
      <c r="B12" s="12" t="inlineStr">
        <is>
          <t>Coupon Stream</t>
        </is>
      </c>
    </row>
    <row r="13">
      <c r="B13" s="6" t="inlineStr">
        <is>
          <t xml:space="preserve">  Coupon Rate</t>
        </is>
      </c>
      <c r="C13" s="26">
        <f>All_In_Coupon</f>
        <v/>
      </c>
      <c r="D13" s="26">
        <f>All_In_Coupon</f>
        <v/>
      </c>
      <c r="E13" s="26">
        <f>All_In_Coupon</f>
        <v/>
      </c>
      <c r="F13" s="26">
        <f>All_In_Coupon</f>
        <v/>
      </c>
      <c r="G13" s="26">
        <f>All_In_Coupon</f>
        <v/>
      </c>
    </row>
    <row r="14">
      <c r="B14" s="5" t="inlineStr">
        <is>
          <t xml:space="preserve">  Coupon Paid</t>
        </is>
      </c>
      <c r="C14" s="18">
        <f>0</f>
        <v/>
      </c>
      <c r="D14" s="18">
        <f>D8*All_In_Coupon</f>
        <v/>
      </c>
      <c r="E14" s="18">
        <f>E8*All_In_Coupon</f>
        <v/>
      </c>
      <c r="F14" s="18">
        <f>F8*All_In_Coupon</f>
        <v/>
      </c>
      <c r="G14" s="18">
        <f>G8*All_In_Coupon</f>
        <v/>
      </c>
    </row>
    <row r="15">
      <c r="B15" s="6" t="inlineStr">
        <is>
          <t xml:space="preserve">  Principal Returned</t>
        </is>
      </c>
      <c r="C15" s="25">
        <f>0</f>
        <v/>
      </c>
      <c r="D15" s="25">
        <f>IF(D6=Bond_Tenor,D11,0)</f>
        <v/>
      </c>
      <c r="E15" s="25">
        <f>IF(E6=Bond_Tenor,E11,0)</f>
        <v/>
      </c>
      <c r="F15" s="25">
        <f>IF(F6=Bond_Tenor,F11,0)</f>
        <v/>
      </c>
      <c r="G15" s="25">
        <f>IF(G6=Bond_Tenor,G11,0)</f>
        <v/>
      </c>
    </row>
    <row r="16">
      <c r="B16" s="27" t="inlineStr">
        <is>
          <t>Investor Inflow</t>
        </is>
      </c>
      <c r="C16" s="28">
        <f>0</f>
        <v/>
      </c>
      <c r="D16" s="28">
        <f>D14+D15</f>
        <v/>
      </c>
      <c r="E16" s="28">
        <f>E14+E15</f>
        <v/>
      </c>
      <c r="F16" s="28">
        <f>F14+F15</f>
        <v/>
      </c>
      <c r="G16" s="28">
        <f>G14+G15</f>
        <v/>
      </c>
    </row>
  </sheetData>
  <pageMargins left="0.75" right="0.75" top="1" bottom="1" header="0.5" footer="0.5"/>
</worksheet>
</file>

<file path=xl/worksheets/sheet4.xml><?xml version="1.0" encoding="utf-8"?>
<worksheet xmlns="http://schemas.openxmlformats.org/spreadsheetml/2006/main">
  <sheetPr>
    <tabColor rgb="002E75B6"/>
    <outlinePr summaryBelow="1" summaryRight="1"/>
    <pageSetUpPr/>
  </sheetPr>
  <dimension ref="A1:AD17"/>
  <sheetViews>
    <sheetView showGridLines="0" workbookViewId="0">
      <selection activeCell="A1" sqref="A1"/>
    </sheetView>
  </sheetViews>
  <sheetFormatPr baseColWidth="8" defaultRowHeight="15"/>
  <cols>
    <col width="3" customWidth="1" min="1" max="1"/>
    <col width="34" customWidth="1" min="2" max="2"/>
    <col width="16" customWidth="1" min="3" max="3"/>
    <col width="16" customWidth="1" min="4" max="4"/>
    <col width="16" customWidth="1" min="5" max="5"/>
    <col width="16" customWidth="1" min="6" max="6"/>
    <col width="16" customWidth="1" min="7" max="7"/>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2" t="inlineStr">
        <is>
          <t>Loss Model</t>
        </is>
      </c>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23" t="inlineStr">
        <is>
          <t>Loss path and payout</t>
        </is>
      </c>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row r="5">
      <c r="B5" s="5" t="inlineStr">
        <is>
          <t>Year</t>
        </is>
      </c>
      <c r="C5" s="24">
        <f>Issue_Year+C6</f>
        <v/>
      </c>
      <c r="D5" s="24">
        <f>Issue_Year+D6</f>
        <v/>
      </c>
      <c r="E5" s="24">
        <f>Issue_Year+E6</f>
        <v/>
      </c>
      <c r="F5" s="24">
        <f>Issue_Year+F6</f>
        <v/>
      </c>
      <c r="G5" s="24">
        <f>Issue_Year+G6</f>
        <v/>
      </c>
    </row>
    <row r="6">
      <c r="B6" s="5" t="inlineStr">
        <is>
          <t>Period</t>
        </is>
      </c>
      <c r="C6" s="24">
        <f>Bond_Tenor-Bond_Tenor+0</f>
        <v/>
      </c>
      <c r="D6" s="24">
        <f>C6+1</f>
        <v/>
      </c>
      <c r="E6" s="24">
        <f>D6+1</f>
        <v/>
      </c>
      <c r="F6" s="24">
        <f>E6+1</f>
        <v/>
      </c>
      <c r="G6" s="24">
        <f>F6+1</f>
        <v/>
      </c>
    </row>
    <row r="7">
      <c r="B7" s="12" t="inlineStr">
        <is>
          <t>Scenario Loss Path</t>
        </is>
      </c>
    </row>
    <row r="8">
      <c r="B8" s="6" t="inlineStr">
        <is>
          <t xml:space="preserve">  Annual Loss (% Principal)</t>
        </is>
      </c>
      <c r="C8" s="26">
        <f>Bond_Structure!C9</f>
        <v/>
      </c>
      <c r="D8" s="26">
        <f>Bond_Structure!D9</f>
        <v/>
      </c>
      <c r="E8" s="26">
        <f>Bond_Structure!E9</f>
        <v/>
      </c>
      <c r="F8" s="26">
        <f>Bond_Structure!F9</f>
        <v/>
      </c>
      <c r="G8" s="26">
        <f>Bond_Structure!G9</f>
        <v/>
      </c>
    </row>
    <row r="9">
      <c r="B9" s="6" t="inlineStr">
        <is>
          <t xml:space="preserve">  Annual Loss (USD)</t>
        </is>
      </c>
      <c r="C9" s="25">
        <f>Bond_Structure!C10</f>
        <v/>
      </c>
      <c r="D9" s="25">
        <f>Bond_Structure!D10</f>
        <v/>
      </c>
      <c r="E9" s="25">
        <f>Bond_Structure!E10</f>
        <v/>
      </c>
      <c r="F9" s="25">
        <f>Bond_Structure!F10</f>
        <v/>
      </c>
      <c r="G9" s="25">
        <f>Bond_Structure!G10</f>
        <v/>
      </c>
    </row>
    <row r="10">
      <c r="B10" s="5" t="inlineStr">
        <is>
          <t xml:space="preserve">  Cumulative Loss</t>
        </is>
      </c>
      <c r="C10" s="18">
        <f>C9</f>
        <v/>
      </c>
      <c r="D10" s="18">
        <f>C10+D9</f>
        <v/>
      </c>
      <c r="E10" s="18">
        <f>D10+E9</f>
        <v/>
      </c>
      <c r="F10" s="18">
        <f>E10+F9</f>
        <v/>
      </c>
      <c r="G10" s="18">
        <f>F10+G9</f>
        <v/>
      </c>
    </row>
    <row r="11">
      <c r="B11" s="12" t="inlineStr">
        <is>
          <t>Layer Mechanics (illustrative)</t>
        </is>
      </c>
    </row>
    <row r="12">
      <c r="B12" s="6" t="inlineStr">
        <is>
          <t xml:space="preserve">  Payout to Cedant</t>
        </is>
      </c>
      <c r="C12" s="25">
        <f>C9</f>
        <v/>
      </c>
      <c r="D12" s="25">
        <f>D9</f>
        <v/>
      </c>
      <c r="E12" s="25">
        <f>E9</f>
        <v/>
      </c>
      <c r="F12" s="25">
        <f>F9</f>
        <v/>
      </c>
      <c r="G12" s="25">
        <f>G9</f>
        <v/>
      </c>
    </row>
    <row r="13">
      <c r="B13" s="12" t="inlineStr">
        <is>
          <t>Layer Reference (constant)</t>
        </is>
      </c>
    </row>
    <row r="14">
      <c r="B14" s="6" t="inlineStr">
        <is>
          <t xml:space="preserve">  Attachment Point (UNL)</t>
        </is>
      </c>
      <c r="C14" s="25">
        <f>Attach_UNL</f>
        <v/>
      </c>
      <c r="D14" s="25">
        <f>Attach_UNL</f>
        <v/>
      </c>
      <c r="E14" s="25">
        <f>Attach_UNL</f>
        <v/>
      </c>
      <c r="F14" s="25">
        <f>Attach_UNL</f>
        <v/>
      </c>
      <c r="G14" s="25">
        <f>Attach_UNL</f>
        <v/>
      </c>
    </row>
    <row r="15">
      <c r="B15" s="6" t="inlineStr">
        <is>
          <t xml:space="preserve">  Exhaustion Point (UNL)</t>
        </is>
      </c>
      <c r="C15" s="25">
        <f>Exhaust_UNL</f>
        <v/>
      </c>
      <c r="D15" s="25">
        <f>Exhaust_UNL</f>
        <v/>
      </c>
      <c r="E15" s="25">
        <f>Exhaust_UNL</f>
        <v/>
      </c>
      <c r="F15" s="25">
        <f>Exhaust_UNL</f>
        <v/>
      </c>
      <c r="G15" s="25">
        <f>Exhaust_UNL</f>
        <v/>
      </c>
    </row>
    <row r="16">
      <c r="B16" s="12" t="inlineStr">
        <is>
          <t>EL Benchmark</t>
        </is>
      </c>
    </row>
    <row r="17">
      <c r="B17" s="6" t="inlineStr">
        <is>
          <t xml:space="preserve">  EL Benchmark (USD)</t>
        </is>
      </c>
      <c r="C17" s="25">
        <f>IF(C6&gt;0,Expected_Loss*Bond_Principal,0)</f>
        <v/>
      </c>
      <c r="D17" s="25">
        <f>IF(D6&gt;0,Expected_Loss*Bond_Principal,0)</f>
        <v/>
      </c>
      <c r="E17" s="25">
        <f>IF(E6&gt;0,Expected_Loss*Bond_Principal,0)</f>
        <v/>
      </c>
      <c r="F17" s="25">
        <f>IF(F6&gt;0,Expected_Loss*Bond_Principal,0)</f>
        <v/>
      </c>
      <c r="G17" s="25">
        <f>IF(G6&gt;0,Expected_Loss*Bond_Principal,0)</f>
        <v/>
      </c>
    </row>
  </sheetData>
  <pageMargins left="0.75" right="0.75" top="1" bottom="1" header="0.5" footer="0.5"/>
</worksheet>
</file>

<file path=xl/worksheets/sheet5.xml><?xml version="1.0" encoding="utf-8"?>
<worksheet xmlns="http://schemas.openxmlformats.org/spreadsheetml/2006/main">
  <sheetPr>
    <tabColor rgb="0070AD47"/>
    <outlinePr summaryBelow="1" summaryRight="1"/>
    <pageSetUpPr/>
  </sheetPr>
  <dimension ref="A1:AD13"/>
  <sheetViews>
    <sheetView showGridLines="0" workbookViewId="0">
      <selection activeCell="A1" sqref="A1"/>
    </sheetView>
  </sheetViews>
  <sheetFormatPr baseColWidth="8" defaultRowHeight="15"/>
  <cols>
    <col width="3" customWidth="1" min="1" max="1"/>
    <col width="34" customWidth="1" min="2" max="2"/>
    <col width="16" customWidth="1" min="3" max="3"/>
    <col width="16" customWidth="1" min="4" max="4"/>
    <col width="16" customWidth="1" min="5" max="5"/>
    <col width="16" customWidth="1" min="6" max="6"/>
    <col width="16" customWidth="1" min="7" max="7"/>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2" t="inlineStr">
        <is>
          <t>Investor Cash Flows</t>
        </is>
      </c>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23" t="inlineStr">
        <is>
          <t>Issuance, coupons, principal</t>
        </is>
      </c>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row r="5">
      <c r="B5" s="5" t="inlineStr">
        <is>
          <t>Year</t>
        </is>
      </c>
      <c r="C5" s="24">
        <f>Issue_Year+C6</f>
        <v/>
      </c>
      <c r="D5" s="24">
        <f>Issue_Year+D6</f>
        <v/>
      </c>
      <c r="E5" s="24">
        <f>Issue_Year+E6</f>
        <v/>
      </c>
      <c r="F5" s="24">
        <f>Issue_Year+F6</f>
        <v/>
      </c>
      <c r="G5" s="24">
        <f>Issue_Year+G6</f>
        <v/>
      </c>
    </row>
    <row r="6">
      <c r="B6" s="5" t="inlineStr">
        <is>
          <t>Period</t>
        </is>
      </c>
      <c r="C6" s="24">
        <f>Bond_Tenor-Bond_Tenor+0</f>
        <v/>
      </c>
      <c r="D6" s="24">
        <f>C6+1</f>
        <v/>
      </c>
      <c r="E6" s="24">
        <f>D6+1</f>
        <v/>
      </c>
      <c r="F6" s="24">
        <f>E6+1</f>
        <v/>
      </c>
      <c r="G6" s="24">
        <f>F6+1</f>
        <v/>
      </c>
    </row>
    <row r="7">
      <c r="B7" s="12" t="inlineStr">
        <is>
          <t>Cash Flow Build</t>
        </is>
      </c>
    </row>
    <row r="8">
      <c r="B8" s="6" t="inlineStr">
        <is>
          <t xml:space="preserve">  Principal Out (Issuance)</t>
        </is>
      </c>
      <c r="C8" s="25">
        <f>-Bond_Principal</f>
        <v/>
      </c>
      <c r="D8" s="25">
        <f>0</f>
        <v/>
      </c>
      <c r="E8" s="25">
        <f>0</f>
        <v/>
      </c>
      <c r="F8" s="25">
        <f>0</f>
        <v/>
      </c>
      <c r="G8" s="25">
        <f>0</f>
        <v/>
      </c>
    </row>
    <row r="9">
      <c r="B9" s="6" t="inlineStr">
        <is>
          <t xml:space="preserve">  Coupon Received</t>
        </is>
      </c>
      <c r="C9" s="25">
        <f>Bond_Structure!C14</f>
        <v/>
      </c>
      <c r="D9" s="25">
        <f>Bond_Structure!D14</f>
        <v/>
      </c>
      <c r="E9" s="25">
        <f>Bond_Structure!E14</f>
        <v/>
      </c>
      <c r="F9" s="25">
        <f>Bond_Structure!F14</f>
        <v/>
      </c>
      <c r="G9" s="25">
        <f>Bond_Structure!G14</f>
        <v/>
      </c>
    </row>
    <row r="10">
      <c r="B10" s="6" t="inlineStr">
        <is>
          <t xml:space="preserve">  Principal Returned</t>
        </is>
      </c>
      <c r="C10" s="25">
        <f>Bond_Structure!C15</f>
        <v/>
      </c>
      <c r="D10" s="25">
        <f>Bond_Structure!D15</f>
        <v/>
      </c>
      <c r="E10" s="25">
        <f>Bond_Structure!E15</f>
        <v/>
      </c>
      <c r="F10" s="25">
        <f>Bond_Structure!F15</f>
        <v/>
      </c>
      <c r="G10" s="25">
        <f>Bond_Structure!G15</f>
        <v/>
      </c>
    </row>
    <row r="11"/>
    <row r="12">
      <c r="B12" s="27" t="inlineStr">
        <is>
          <t xml:space="preserve">  Net Cash Flow</t>
        </is>
      </c>
      <c r="C12" s="28">
        <f>C8+C9+C10</f>
        <v/>
      </c>
      <c r="D12" s="28">
        <f>D8+D9+D10</f>
        <v/>
      </c>
      <c r="E12" s="28">
        <f>E8+E9+E10</f>
        <v/>
      </c>
      <c r="F12" s="28">
        <f>F8+F9+F10</f>
        <v/>
      </c>
      <c r="G12" s="28">
        <f>G8+G9+G10</f>
        <v/>
      </c>
    </row>
    <row r="13">
      <c r="B13" s="5" t="inlineStr">
        <is>
          <t xml:space="preserve">  Cumulative Net CF</t>
        </is>
      </c>
      <c r="C13" s="18">
        <f>C12</f>
        <v/>
      </c>
      <c r="D13" s="18">
        <f>C13+D12</f>
        <v/>
      </c>
      <c r="E13" s="18">
        <f>D13+E12</f>
        <v/>
      </c>
      <c r="F13" s="18">
        <f>E13+F12</f>
        <v/>
      </c>
      <c r="G13" s="18">
        <f>F13+G12</f>
        <v/>
      </c>
    </row>
  </sheetData>
  <pageMargins left="0.75" right="0.75" top="1" bottom="1" header="0.5" footer="0.5"/>
</worksheet>
</file>

<file path=xl/worksheets/sheet6.xml><?xml version="1.0" encoding="utf-8"?>
<worksheet xmlns="http://schemas.openxmlformats.org/spreadsheetml/2006/main">
  <sheetPr>
    <tabColor rgb="00ED7D31"/>
    <outlinePr summaryBelow="1" summaryRight="1"/>
    <pageSetUpPr/>
  </sheetPr>
  <dimension ref="A1:AD15"/>
  <sheetViews>
    <sheetView showGridLines="0" workbookViewId="0">
      <selection activeCell="A1" sqref="A1"/>
    </sheetView>
  </sheetViews>
  <sheetFormatPr baseColWidth="8" defaultRowHeight="15"/>
  <cols>
    <col width="3" customWidth="1" min="1" max="1"/>
    <col width="34" customWidth="1" min="2" max="2"/>
    <col width="20" customWidth="1" min="3" max="3"/>
    <col width="20" customWidth="1" min="4" max="4"/>
    <col width="20" customWidth="1" min="5" max="5"/>
    <col width="20" customWidth="1" min="6" max="6"/>
    <col width="20" customWidth="1" min="7" max="7"/>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2" t="inlineStr">
        <is>
          <t>Returns</t>
        </is>
      </c>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23" t="inlineStr">
        <is>
          <t>IRR, YTM, loss-adjusted return, multiple</t>
        </is>
      </c>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row r="5"/>
    <row r="6">
      <c r="B6" s="12" t="inlineStr">
        <is>
          <t>Headline Returns</t>
        </is>
      </c>
    </row>
    <row r="7">
      <c r="B7" s="16" t="inlineStr">
        <is>
          <t>Investor IRR</t>
        </is>
      </c>
      <c r="C7" s="17">
        <f>IFERROR(IRR(Cash_Flows!$C$12:$G$12),0)</f>
        <v/>
      </c>
    </row>
    <row r="8">
      <c r="B8" s="7" t="inlineStr">
        <is>
          <t>YTM (No-Loss Coupon)</t>
        </is>
      </c>
      <c r="C8" s="26">
        <f>All_In_Coupon</f>
        <v/>
      </c>
    </row>
    <row r="9">
      <c r="B9" s="7" t="inlineStr">
        <is>
          <t>Loss-Adjusted Return</t>
        </is>
      </c>
      <c r="C9" s="26">
        <f>All_In_Coupon-Expected_Loss</f>
        <v/>
      </c>
    </row>
    <row r="10">
      <c r="B10" s="7" t="inlineStr">
        <is>
          <t>Spread Multiple</t>
        </is>
      </c>
      <c r="C10" s="29">
        <f>Bond_Multiple</f>
        <v/>
      </c>
    </row>
    <row r="11">
      <c r="B11" s="7" t="inlineStr">
        <is>
          <t>Return on Principal</t>
        </is>
      </c>
      <c r="C11" s="26">
        <f>SUM(Cash_Flows!$D$12:$G$12)/Bond_Principal</f>
        <v/>
      </c>
    </row>
    <row r="12">
      <c r="B12" s="12" t="inlineStr">
        <is>
          <t>Aggregate Cash Flows</t>
        </is>
      </c>
    </row>
    <row r="13">
      <c r="B13" s="7" t="inlineStr">
        <is>
          <t>Sum of Coupons</t>
        </is>
      </c>
      <c r="C13" s="25">
        <f>SUM(Bond_Structure!$D$14:$G$14)</f>
        <v/>
      </c>
    </row>
    <row r="14">
      <c r="B14" s="7" t="inlineStr">
        <is>
          <t>Sum of Losses</t>
        </is>
      </c>
      <c r="C14" s="25">
        <f>SUM(Bond_Structure!$D$10:$G$10)</f>
        <v/>
      </c>
    </row>
    <row r="15">
      <c r="B15" s="7" t="inlineStr">
        <is>
          <t>Principal Returned</t>
        </is>
      </c>
      <c r="C15" s="25">
        <f>Bond_Structure!$G$11</f>
        <v/>
      </c>
    </row>
  </sheetData>
  <pageMargins left="0.75" right="0.75" top="1" bottom="1" header="0.5" footer="0.5"/>
</worksheet>
</file>

<file path=xl/worksheets/sheet7.xml><?xml version="1.0" encoding="utf-8"?>
<worksheet xmlns="http://schemas.openxmlformats.org/spreadsheetml/2006/main">
  <sheetPr>
    <tabColor rgb="00ED7D31"/>
    <outlinePr summaryBelow="1" summaryRight="1"/>
    <pageSetUpPr/>
  </sheetPr>
  <dimension ref="A1:AD12"/>
  <sheetViews>
    <sheetView showGridLines="0" workbookViewId="0">
      <selection activeCell="A1" sqref="A1"/>
    </sheetView>
  </sheetViews>
  <sheetFormatPr baseColWidth="8" defaultRowHeight="15"/>
  <cols>
    <col width="3" customWidth="1" min="1" max="1"/>
    <col width="24" customWidth="1" min="2" max="2"/>
    <col width="16" customWidth="1" min="3" max="3"/>
    <col width="16" customWidth="1" min="4" max="4"/>
    <col width="16" customWidth="1" min="5" max="5"/>
    <col width="16" customWidth="1" min="6" max="6"/>
    <col width="16" customWidth="1" min="7" max="7"/>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2" t="inlineStr">
        <is>
          <t>Sensitivity</t>
        </is>
      </c>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23" t="inlineStr">
        <is>
          <t>No-loss yield ladder</t>
        </is>
      </c>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row r="5">
      <c r="B5" s="16" t="inlineStr">
        <is>
          <t>Spread offset</t>
        </is>
      </c>
      <c r="C5" s="30" t="n">
        <v>-0.02</v>
      </c>
      <c r="D5" s="30" t="n">
        <v>-0.01</v>
      </c>
      <c r="E5" s="30" t="n">
        <v>0</v>
      </c>
      <c r="F5" s="30" t="n">
        <v>0.01</v>
      </c>
      <c r="G5" s="30" t="n">
        <v>0.02</v>
      </c>
    </row>
    <row r="6"/>
    <row r="7">
      <c r="B7" s="31" t="inlineStr">
        <is>
          <t>RF \ Spread</t>
        </is>
      </c>
    </row>
    <row r="8">
      <c r="B8" s="32" t="n">
        <v>-0.02</v>
      </c>
      <c r="C8" s="26">
        <f>Risk_Free+$B8+Risk_Spread+C$5</f>
        <v/>
      </c>
      <c r="D8" s="26">
        <f>Risk_Free+$B8+Risk_Spread+D$5</f>
        <v/>
      </c>
      <c r="E8" s="26">
        <f>Risk_Free+$B8+Risk_Spread+E$5</f>
        <v/>
      </c>
      <c r="F8" s="26">
        <f>Risk_Free+$B8+Risk_Spread+F$5</f>
        <v/>
      </c>
      <c r="G8" s="26">
        <f>Risk_Free+$B8+Risk_Spread+G$5</f>
        <v/>
      </c>
    </row>
    <row r="9">
      <c r="B9" s="32" t="n">
        <v>-0.01</v>
      </c>
      <c r="C9" s="26">
        <f>Risk_Free+$B9+Risk_Spread+C$5</f>
        <v/>
      </c>
      <c r="D9" s="26">
        <f>Risk_Free+$B9+Risk_Spread+D$5</f>
        <v/>
      </c>
      <c r="E9" s="26">
        <f>Risk_Free+$B9+Risk_Spread+E$5</f>
        <v/>
      </c>
      <c r="F9" s="26">
        <f>Risk_Free+$B9+Risk_Spread+F$5</f>
        <v/>
      </c>
      <c r="G9" s="26">
        <f>Risk_Free+$B9+Risk_Spread+G$5</f>
        <v/>
      </c>
    </row>
    <row r="10">
      <c r="B10" s="32" t="n">
        <v>0</v>
      </c>
      <c r="C10" s="26">
        <f>Risk_Free+$B10+Risk_Spread+C$5</f>
        <v/>
      </c>
      <c r="D10" s="26">
        <f>Risk_Free+$B10+Risk_Spread+D$5</f>
        <v/>
      </c>
      <c r="E10" s="26">
        <f>Risk_Free+$B10+Risk_Spread+E$5</f>
        <v/>
      </c>
      <c r="F10" s="26">
        <f>Risk_Free+$B10+Risk_Spread+F$5</f>
        <v/>
      </c>
      <c r="G10" s="26">
        <f>Risk_Free+$B10+Risk_Spread+G$5</f>
        <v/>
      </c>
    </row>
    <row r="11">
      <c r="B11" s="32" t="n">
        <v>0.01</v>
      </c>
      <c r="C11" s="26">
        <f>Risk_Free+$B11+Risk_Spread+C$5</f>
        <v/>
      </c>
      <c r="D11" s="26">
        <f>Risk_Free+$B11+Risk_Spread+D$5</f>
        <v/>
      </c>
      <c r="E11" s="26">
        <f>Risk_Free+$B11+Risk_Spread+E$5</f>
        <v/>
      </c>
      <c r="F11" s="26">
        <f>Risk_Free+$B11+Risk_Spread+F$5</f>
        <v/>
      </c>
      <c r="G11" s="26">
        <f>Risk_Free+$B11+Risk_Spread+G$5</f>
        <v/>
      </c>
    </row>
    <row r="12">
      <c r="B12" s="32" t="n">
        <v>0.02</v>
      </c>
      <c r="C12" s="26">
        <f>Risk_Free+$B12+Risk_Spread+C$5</f>
        <v/>
      </c>
      <c r="D12" s="26">
        <f>Risk_Free+$B12+Risk_Spread+D$5</f>
        <v/>
      </c>
      <c r="E12" s="26">
        <f>Risk_Free+$B12+Risk_Spread+E$5</f>
        <v/>
      </c>
      <c r="F12" s="26">
        <f>Risk_Free+$B12+Risk_Spread+F$5</f>
        <v/>
      </c>
      <c r="G12" s="26">
        <f>Risk_Free+$B12+Risk_Spread+G$5</f>
        <v/>
      </c>
    </row>
  </sheetData>
  <pageMargins left="0.75" right="0.75" top="1" bottom="1" header="0.5" footer="0.5"/>
</worksheet>
</file>

<file path=xl/worksheets/sheet8.xml><?xml version="1.0" encoding="utf-8"?>
<worksheet xmlns="http://schemas.openxmlformats.org/spreadsheetml/2006/main">
  <sheetPr>
    <tabColor rgb="00FF0000"/>
    <outlinePr summaryBelow="1" summaryRight="1"/>
    <pageSetUpPr/>
  </sheetPr>
  <dimension ref="A1:AD15"/>
  <sheetViews>
    <sheetView showGridLines="0" workbookViewId="0">
      <selection activeCell="A1" sqref="A1"/>
    </sheetView>
  </sheetViews>
  <sheetFormatPr baseColWidth="8" defaultRowHeight="15"/>
  <cols>
    <col width="3" customWidth="1" min="1" max="1"/>
    <col width="42" customWidth="1" min="2" max="2"/>
    <col width="18" customWidth="1" min="3" max="3"/>
    <col width="18" customWidth="1" min="4" max="4"/>
    <col width="18" customWidth="1" min="5" max="5"/>
    <col width="18" customWidth="1" min="6" max="6"/>
    <col width="18" customWidth="1" min="7" max="7"/>
  </cols>
  <sheetData>
    <row r="1">
      <c r="A1" s="1" t="n"/>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row>
    <row r="2" ht="21.75" customHeight="1">
      <c r="A2" s="1" t="n"/>
      <c r="B2" s="22" t="inlineStr">
        <is>
          <t>Validation Checks</t>
        </is>
      </c>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row>
    <row r="3">
      <c r="A3" s="1" t="n"/>
      <c r="B3" s="23" t="inlineStr">
        <is>
          <t>All checks must equal 0</t>
        </is>
      </c>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row>
    <row r="4"/>
    <row r="5">
      <c r="B5" s="9" t="inlineStr">
        <is>
          <t>Check</t>
        </is>
      </c>
      <c r="C5" s="10" t="inlineStr">
        <is>
          <t>Result</t>
        </is>
      </c>
      <c r="D5" s="10" t="inlineStr">
        <is>
          <t>Status</t>
        </is>
      </c>
    </row>
    <row r="6"/>
    <row r="7">
      <c r="B7" s="7" t="inlineStr">
        <is>
          <t>Notional non-negative</t>
        </is>
      </c>
      <c r="C7" s="24">
        <f>IF(MIN(Bond_Structure!$D$11:$G$11)&gt;=-0.01,0,1)</f>
        <v/>
      </c>
      <c r="D7" s="33">
        <f>IF(C7=0,"PASS","FAIL")</f>
        <v/>
      </c>
    </row>
    <row r="8">
      <c r="B8" s="7" t="inlineStr">
        <is>
          <t>Cumulative loss capped at Principal</t>
        </is>
      </c>
      <c r="C8" s="24">
        <f>IF(SUM(Bond_Structure!$D$10:$G$10)&lt;=Bond_Principal+0.01,0,1)</f>
        <v/>
      </c>
      <c r="D8" s="33">
        <f>IF(C8=0,"PASS","FAIL")</f>
        <v/>
      </c>
    </row>
    <row r="9">
      <c r="B9" s="7" t="inlineStr">
        <is>
          <t>EL within probability bounds</t>
        </is>
      </c>
      <c r="C9" s="24">
        <f>IF(AND(Expected_Loss&lt;=Attach_Prob,Expected_Loss&gt;=Exhaust_Prob),0,1)</f>
        <v/>
      </c>
      <c r="D9" s="33">
        <f>IF(C9=0,"PASS","FAIL")</f>
        <v/>
      </c>
    </row>
    <row r="10">
      <c r="B10" s="7" t="inlineStr">
        <is>
          <t>Coupon = NotionalOpen x CouponRate</t>
        </is>
      </c>
      <c r="C10" s="24">
        <f>IF(ABS(Bond_Structure!$D$14-Bond_Structure!$D$8*All_In_Coupon)&lt;1,0,1)</f>
        <v/>
      </c>
      <c r="D10" s="33">
        <f>IF(C10=0,"PASS","FAIL")</f>
        <v/>
      </c>
    </row>
    <row r="11">
      <c r="B11" s="7" t="inlineStr">
        <is>
          <t>CF reconciliation</t>
        </is>
      </c>
      <c r="C11" s="24">
        <f>ROUND(SUM(Cash_Flows!$C$12:$G$12)-(SUM(Bond_Structure!$D$14:$G$14)+Bond_Structure!$G$11-Bond_Principal),0)</f>
        <v/>
      </c>
      <c r="D11" s="33">
        <f>IF(C11=0,"PASS","FAIL")</f>
        <v/>
      </c>
    </row>
    <row r="12">
      <c r="B12" s="7" t="inlineStr">
        <is>
          <t>Layer width positive</t>
        </is>
      </c>
      <c r="C12" s="24">
        <f>IF(Layer_Width&gt;0,0,1)</f>
        <v/>
      </c>
      <c r="D12" s="33">
        <f>IF(C12=0,"PASS","FAIL")</f>
        <v/>
      </c>
    </row>
    <row r="13">
      <c r="B13" s="7" t="inlineStr">
        <is>
          <t>Multiple &gt;= 1.0</t>
        </is>
      </c>
      <c r="C13" s="24">
        <f>IF(Bond_Multiple&gt;=1,0,1)</f>
        <v/>
      </c>
      <c r="D13" s="33">
        <f>IF(C13=0,"PASS","FAIL")</f>
        <v/>
      </c>
    </row>
    <row r="14"/>
    <row r="15">
      <c r="B15" s="16" t="inlineStr">
        <is>
          <t>ALL CHECKS PASS</t>
        </is>
      </c>
      <c r="C15" s="34">
        <f>IF(SUM(C7:C13)=0,"YES","NO")</f>
        <v/>
      </c>
    </row>
  </sheetData>
  <pageMargins left="0.75" right="0.75" top="1" bottom="1" header="0.5" footer="0.5"/>
</worksheet>
</file>

<file path=xl/worksheets/sheet9.xml><?xml version="1.0" encoding="utf-8"?>
<worksheet xmlns="http://schemas.openxmlformats.org/spreadsheetml/2006/main">
  <sheetPr>
    <outlinePr summaryBelow="1" summaryRight="1"/>
    <pageSetUpPr/>
  </sheetPr>
  <dimension ref="B2:B28"/>
  <sheetViews>
    <sheetView showGridLines="0" workbookViewId="0">
      <selection activeCell="A1" sqref="A1"/>
    </sheetView>
  </sheetViews>
  <sheetFormatPr baseColWidth="8" defaultRowHeight="15"/>
  <cols>
    <col width="2" customWidth="1" min="1" max="1"/>
    <col width="90" customWidth="1" min="2" max="2"/>
    <col width="2" customWidth="1" min="3" max="3"/>
  </cols>
  <sheetData>
    <row r="2" ht="32" customHeight="1">
      <c r="B2" s="35" t="inlineStr">
        <is>
          <t>Disclaimer, Copyright &amp; License</t>
        </is>
      </c>
    </row>
    <row r="3" ht="4" customHeight="1">
      <c r="B3" s="36" t="n"/>
    </row>
    <row r="5" ht="20" customHeight="1">
      <c r="B5" s="37" t="inlineStr">
        <is>
          <t>Disclaimer</t>
        </is>
      </c>
    </row>
    <row r="6" ht="48" customHeight="1">
      <c r="B6" s="38" t="inlineStr">
        <is>
          <t>This financial model ("the Model") is provided by Finamodel for illustrative and educational purposes only. It is a template — not a finished analysis, valuation, recommendation, or solicitation to buy, sell, or hold any security, asset, or financial instrument.</t>
        </is>
      </c>
    </row>
    <row r="8" ht="20" customHeight="1">
      <c r="B8" s="37" t="inlineStr">
        <is>
          <t>No investment advice</t>
        </is>
      </c>
    </row>
    <row r="9" ht="62" customHeight="1">
      <c r="B9" s="38" t="inlineStr">
        <is>
          <t>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is>
      </c>
    </row>
    <row r="11" ht="20" customHeight="1">
      <c r="B11" s="37" t="inlineStr">
        <is>
          <t>No warranty</t>
        </is>
      </c>
    </row>
    <row r="12" ht="76" customHeight="1">
      <c r="B12" s="38" t="inlineStr">
        <is>
          <t>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is>
      </c>
    </row>
    <row r="14" ht="20" customHeight="1">
      <c r="B14" s="37" t="inlineStr">
        <is>
          <t>Limitation of liability</t>
        </is>
      </c>
    </row>
    <row r="15" ht="62" customHeight="1">
      <c r="B15" s="38" t="inlineStr">
        <is>
          <t>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is>
      </c>
    </row>
    <row r="17" ht="20" customHeight="1">
      <c r="B17" s="37" t="inlineStr">
        <is>
          <t>Forward-looking statements</t>
        </is>
      </c>
    </row>
    <row r="18" ht="34" customHeight="1">
      <c r="B18" s="38" t="inlineStr">
        <is>
          <t>Any projections, forecasts, or scenarios are hypothetical, based on assumptions that may not materialize, and do not represent guaranteed outcomes.</t>
        </is>
      </c>
    </row>
    <row r="20" ht="20" customHeight="1">
      <c r="B20" s="37" t="inlineStr">
        <is>
          <t>Third-party data</t>
        </is>
      </c>
    </row>
    <row r="21" ht="34" customHeight="1">
      <c r="B21" s="38" t="inlineStr">
        <is>
          <t>Where the Model references market data, comparables, or macro indicators, such data is sourced from third parties believed to be reliable but is not independently verified.</t>
        </is>
      </c>
    </row>
    <row r="23" ht="22" customHeight="1">
      <c r="B23" s="39" t="inlineStr">
        <is>
          <t>Copyright © 2026 Finamodel. All rights reserved.</t>
        </is>
      </c>
    </row>
    <row r="25" ht="18" customHeight="1">
      <c r="B25" s="40" t="inlineStr">
        <is>
          <t>License — MIT</t>
        </is>
      </c>
    </row>
    <row r="26" ht="202" customHeight="1">
      <c r="B26" s="41" t="inlineStr">
        <is>
          <t>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is>
      </c>
    </row>
    <row r="28" ht="18" customHeight="1">
      <c r="B28" s="42" t="inlineStr">
        <is>
          <t>Finamodel — github.com/alextapio/finamodel</t>
        </is>
      </c>
    </row>
  </sheetData>
  <printOptions horizontalCentered="1"/>
  <pageMargins left="0.4" right="0.4" top="1" bottom="1" header="0.5" footer="0.5"/>
  <pageSetup orientation="portrait" fitToHeight="1"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2026-05-19T05:19:47Z</dcterms:created>
  <dcterms:modified xmlns:dcterms="http://purl.org/dc/terms/" xmlns:xsi="http://www.w3.org/2001/XMLSchema-instance" xsi:type="dcterms:W3CDTF">2026-05-19T05:19:47Z</dcterms:modified>
</cp:coreProperties>
</file>