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Timing" sheetId="3" state="visible" r:id="rId5"/>
    <sheet name="Construction" sheetId="4" state="visible" r:id="rId6"/>
    <sheet name="CapacityRamp" sheetId="5" state="visible" r:id="rId7"/>
    <sheet name="Revenue" sheetId="6" state="visible" r:id="rId8"/>
    <sheet name="Opex" sheetId="7" state="visible" r:id="rId9"/>
    <sheet name="Capex_Depr" sheetId="8" state="visible" r:id="rId10"/>
    <sheet name="Tax" sheetId="9" state="visible" r:id="rId11"/>
    <sheet name="Waterfall" sheetId="10" state="visible" r:id="rId12"/>
    <sheet name="Debt" sheetId="11" state="visible" r:id="rId13"/>
    <sheet name="CashFlow" sheetId="12" state="visible" r:id="rId14"/>
    <sheet name="BalanceSheet" sheetId="13" state="visible" r:id="rId15"/>
    <sheet name="Returns" sheetId="14" state="visible" r:id="rId16"/>
    <sheet name="Checks" sheetId="15" state="visible" r:id="rId17"/>
    <sheet name="Disclaimer" sheetId="16" state="visible" r:id="rId18"/>
  </sheets>
  <definedNames>
    <definedName function="false" hidden="false" name="All_In_Rate" vbProcedure="false">Assumptions!$C$61</definedName>
    <definedName function="false" hidden="false" name="Anchor_Share" vbProcedure="false">Assumptions!$C$19</definedName>
    <definedName function="false" hidden="false" name="Base_Year" vbProcedure="false">Assumptions!$C$7</definedName>
    <definedName function="false" hidden="false" name="Churn_Pct" vbProcedure="false">Assumptions!$C$51</definedName>
    <definedName function="false" hidden="false" name="Con_DSRA_Seed" vbProcedure="false">Construction!$C$28</definedName>
    <definedName function="false" hidden="false" name="Discount_Rate" vbProcedure="false">Assumptions!$C$67</definedName>
    <definedName function="false" hidden="false" name="DPO_Days" vbProcedure="false">Assumptions!$C$58</definedName>
    <definedName function="false" hidden="false" name="DSO_Days" vbProcedure="false">Assumptions!$C$57</definedName>
    <definedName function="false" hidden="false" name="DSRA_Months" vbProcedure="false">Assumptions!$C$64</definedName>
    <definedName function="false" hidden="false" name="Elec_Escalator" vbProcedure="false">Assumptions!$C$35</definedName>
    <definedName function="false" hidden="false" name="Elec_Rate" vbProcedure="false">Assumptions!$C$34</definedName>
    <definedName function="false" hidden="false" name="Exit_Cap_Rate" vbProcedure="false">Assumptions!$C$69</definedName>
    <definedName function="false" hidden="false" name="Exit_Mult" vbProcedure="false">Assumptions!$C$68</definedName>
    <definedName function="false" hidden="false" name="Gearing" vbProcedure="false">Assumptions!$C$60</definedName>
    <definedName function="false" hidden="false" name="HD_Mix" vbProcedure="false">Assumptions!$C$17</definedName>
    <definedName function="false" hidden="false" name="Hours_Per_Year" vbProcedure="false">Assumptions!$C$26</definedName>
    <definedName function="false" hidden="false" name="Insurance_Pct" vbProcedure="false">Assumptions!$C$46</definedName>
    <definedName function="false" hidden="false" name="kW_Per_Rack_HD" vbProcedure="false">Assumptions!$C$16</definedName>
    <definedName function="false" hidden="false" name="kW_Per_Rack_LD" vbProcedure="false">Assumptions!$C$15</definedName>
    <definedName function="false" hidden="false" name="kW_Per_XConn" vbProcedure="false">Assumptions!$C$37</definedName>
    <definedName function="false" hidden="false" name="Maint_Capex_Pct" vbProcedure="false">Assumptions!$C$50</definedName>
    <definedName function="false" hidden="false" name="Maint_Life" vbProcedure="false">Assumptions!$C$55</definedName>
    <definedName function="false" hidden="false" name="MEP_Cost_MW" vbProcedure="false">Assumptions!$C$22</definedName>
    <definedName function="false" hidden="false" name="MEP_Life" vbProcedure="false">Assumptions!$C$54</definedName>
    <definedName function="false" hidden="false" name="Min_DSCR" vbProcedure="false">Assumptions!$C$63</definedName>
    <definedName function="false" hidden="false" name="NRC_Per_kW" vbProcedure="false">Assumptions!$C$39</definedName>
    <definedName function="false" hidden="false" name="Opex_Bandwidth_MW" vbProcedure="false">Assumptions!$C$44</definedName>
    <definedName function="false" hidden="false" name="Opex_Cyber_MW" vbProcedure="false">Assumptions!$C$45</definedName>
    <definedName function="false" hidden="false" name="Opex_Escalator" vbProcedure="false">Assumptions!$C$49</definedName>
    <definedName function="false" hidden="false" name="Opex_Maint_MW" vbProcedure="false">Assumptions!$C$42</definedName>
    <definedName function="false" hidden="false" name="Opex_Repairs_Pct" vbProcedure="false">Assumptions!$C$43</definedName>
    <definedName function="false" hidden="false" name="Opex_SiteLabour_MW" vbProcedure="false">Assumptions!$C$41</definedName>
    <definedName function="false" hidden="false" name="Ops_Reserve" vbProcedure="false">Assumptions!$C$82</definedName>
    <definedName function="false" hidden="false" name="P1_Occ_Y2" vbProcedure="false">Assumptions!$C$71</definedName>
    <definedName function="false" hidden="false" name="P1_Occ_Y3" vbProcedure="false">Assumptions!$C$72</definedName>
    <definedName function="false" hidden="false" name="P1_Occ_Y4" vbProcedure="false">Assumptions!$C$73</definedName>
    <definedName function="false" hidden="false" name="P1_Occ_Y5" vbProcedure="false">Assumptions!$C$74</definedName>
    <definedName function="false" hidden="false" name="P1_Occ_Y6" vbProcedure="false">Assumptions!$C$75</definedName>
    <definedName function="false" hidden="false" name="P1_Occ_Y7" vbProcedure="false">Assumptions!$C$76</definedName>
    <definedName function="false" hidden="false" name="P2_Occ_Y4" vbProcedure="false">Assumptions!$C$77</definedName>
    <definedName function="false" hidden="false" name="P2_Occ_Y5" vbProcedure="false">Assumptions!$C$78</definedName>
    <definedName function="false" hidden="false" name="P2_Occ_Y6" vbProcedure="false">Assumptions!$C$79</definedName>
    <definedName function="false" hidden="false" name="P2_Occ_Y7" vbProcedure="false">Assumptions!$C$80</definedName>
    <definedName function="false" hidden="false" name="Phase1_MW" vbProcedure="false">Assumptions!$C$10</definedName>
    <definedName function="false" hidden="false" name="Phase2_MW" vbProcedure="false">Assumptions!$C$11</definedName>
    <definedName function="false" hidden="false" name="Power_Markup_Pct" vbProcedure="false">Assumptions!$C$36</definedName>
    <definedName function="false" hidden="false" name="PropTax_Pct" vbProcedure="false">Assumptions!$C$47</definedName>
    <definedName function="false" hidden="false" name="PUE_Y1" vbProcedure="false">Assumptions!$C$27</definedName>
    <definedName function="false" hidden="false" name="PUE_Y2" vbProcedure="false">Assumptions!$C$28</definedName>
    <definedName function="false" hidden="false" name="PUE_Y3" vbProcedure="false">Assumptions!$C$29</definedName>
    <definedName function="false" hidden="false" name="PUE_Y4" vbProcedure="false">Assumptions!$C$30</definedName>
    <definedName function="false" hidden="false" name="PUE_Y5" vbProcedure="false">Assumptions!$C$31</definedName>
    <definedName function="false" hidden="false" name="PUE_Y6" vbProcedure="false">Assumptions!$C$32</definedName>
    <definedName function="false" hidden="false" name="PUE_Y7" vbProcedure="false">Assumptions!$C$33</definedName>
    <definedName function="false" hidden="false" name="Rack_Count_P1" vbProcedure="false">Assumptions!$C$13</definedName>
    <definedName function="false" hidden="false" name="Rack_Count_P2" vbProcedure="false">Assumptions!$C$14</definedName>
    <definedName function="false" hidden="false" name="Rent_Escalator" vbProcedure="false">Assumptions!$C$25</definedName>
    <definedName function="false" hidden="false" name="Rent_Per_kW" vbProcedure="false">Assumptions!$C$24</definedName>
    <definedName function="false" hidden="false" name="SGA_Pct" vbProcedure="false">Assumptions!$C$48</definedName>
    <definedName function="false" hidden="false" name="Shell_Cost_MW" vbProcedure="false">Assumptions!$C$21</definedName>
    <definedName function="false" hidden="false" name="Shell_Life" vbProcedure="false">Assumptions!$C$53</definedName>
    <definedName function="false" hidden="false" name="Target_DSCR" vbProcedure="false">Assumptions!$C$62</definedName>
    <definedName function="false" hidden="false" name="Tax_Rate" vbProcedure="false">Assumptions!$C$66</definedName>
    <definedName function="false" hidden="false" name="Tenant_Count" vbProcedure="false">Assumptions!$C$18</definedName>
    <definedName function="false" hidden="false" name="Total_MW" vbProcedure="false">Assumptions!$C$12</definedName>
    <definedName function="false" hidden="false" name="XConn_Fee" vbProcedure="false">Assumptions!$C$38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<sst xmlns="http://schemas.openxmlformats.org/spreadsheetml/2006/main" count="529" uniqueCount="454">
  <si>
    <t xml:space="preserve">Cloud Infrastructure — Data Centre Colocation</t>
  </si>
  <si>
    <t xml:space="preserve">FINAMODEL.com</t>
  </si>
  <si>
    <t xml:space="preserve">Project Finance Model | 7-Year Hold | Phase 1 + Phase 2 Build</t>
  </si>
  <si>
    <t xml:space="preserve">PROJECT OVERVIEW</t>
  </si>
  <si>
    <t xml:space="preserve">Phase 1:</t>
  </si>
  <si>
    <t xml:space="preserve">$100M capex, 10 MW IT load, online Year 2</t>
  </si>
  <si>
    <t xml:space="preserve">Phase 2:</t>
  </si>
  <si>
    <t xml:space="preserve">$80M capex, 10 MW IT load, online Year 5</t>
  </si>
  <si>
    <t xml:space="preserve">Total capex:</t>
  </si>
  <si>
    <t xml:space="preserve">$180M (excl. IDC) — 65% debt / 35% equity</t>
  </si>
  <si>
    <t xml:space="preserve">Hold period:</t>
  </si>
  <si>
    <t xml:space="preserve">7 years, exit at end of Year 7 via EV/EBITDA</t>
  </si>
  <si>
    <t xml:space="preserve">Debt structure:</t>
  </si>
  <si>
    <t xml:space="preserve">Two-tranche project finance; sculpted to 1.30x target DSCR</t>
  </si>
  <si>
    <t xml:space="preserve">TAB COLOUR KEY</t>
  </si>
  <si>
    <t xml:space="preserve">Dark Blue</t>
  </si>
  <si>
    <t xml:space="preserve">Cover / Section headers</t>
  </si>
  <si>
    <t xml:space="preserve">Blue</t>
  </si>
  <si>
    <t xml:space="preserve">Assumptions / Timing</t>
  </si>
  <si>
    <t xml:space="preserve">Orange</t>
  </si>
  <si>
    <t xml:space="preserve">Construction / Opex / Capex+Depr</t>
  </si>
  <si>
    <t xml:space="preserve">Green</t>
  </si>
  <si>
    <t xml:space="preserve">Capacity / Revenue</t>
  </si>
  <si>
    <t xml:space="preserve">Red</t>
  </si>
  <si>
    <t xml:space="preserve">Tax / Debt / Checks</t>
  </si>
  <si>
    <t xml:space="preserve">Grey</t>
  </si>
  <si>
    <t xml:space="preserve">Waterfall / BS / CFS / Returns</t>
  </si>
  <si>
    <t xml:space="preserve">COLOUR CONVENTIONS</t>
  </si>
  <si>
    <t xml:space="preserve">Blue text</t>
  </si>
  <si>
    <t xml:space="preserve">Hardcoded input (Assumptions sheet only)</t>
  </si>
  <si>
    <t xml:space="preserve">Black text</t>
  </si>
  <si>
    <t xml:space="preserve">Formula</t>
  </si>
  <si>
    <t xml:space="preserve">Green text</t>
  </si>
  <si>
    <t xml:space="preserve">Cross-sheet link (rare; mostly direct formula refs)</t>
  </si>
  <si>
    <t xml:space="preserve">Yellow fill</t>
  </si>
  <si>
    <t xml:space="preserve">Input cell</t>
  </si>
  <si>
    <t xml:space="preserve">About this model</t>
  </si>
  <si>
    <t xml:space="preserve">This cloud infrastructure cost model forecasts a company's spending on compute, storage, and networking services and optimises reserved instance purchasing strategy. It projects total cloud spend by service type and region; calculates reserved instance ROI by comparing one-year, three-year, and savings plans against on-demand rates; and derives per-user and per-transaction unit economics. The model includes multi-cloud pricing comparison (AWS, Azure, GCP) with assumptions for discounting intensity and negotiation leverage, linking cloud cost to product adoption metrics so users can see the cost-per-unit scalability of the business.
The model builds cloud spend drivers from first principles: compute hour forecasts by instance type (VM family, vCPU count), storage capacity by tier (standard, performance, archive), and data transfer by region. It applies blended rates by service class and generates scenarios showing on-demand vs. reserved vs. spot pricing economics. The output includes a cost waterfall showing the impact of reserved instance purchasing, a per-unit cost trend, and a capex vs. opex trade-off analysis for on-premises alternatives.
This model is used by CFOs and cloud architects performing cost optimisation reviews, finance teams building annual cloud budgets, and startups understanding cost-of-goods-sold per customer as they scale. It surfaces cost drivers that otherwise hide in hundreds of service line items, enabling finance and engineering to collaborate on cost-conscious architecture decisions.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</si>
  <si>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</si>
  <si>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</si>
  <si>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</si>
  <si>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</si>
  <si>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</si>
  <si>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All model inputs. Column C is the named-range single-cell anchor.</t>
  </si>
  <si>
    <t xml:space="preserve">BASE YEAR</t>
  </si>
  <si>
    <t xml:space="preserve">Base Year</t>
  </si>
  <si>
    <t xml:space="preserve">calendar yr</t>
  </si>
  <si>
    <t xml:space="preserve">Year 1 = Base_Year</t>
  </si>
  <si>
    <t xml:space="preserve">CAPACITY</t>
  </si>
  <si>
    <t xml:space="preserve">Phase 1 IT Capacity</t>
  </si>
  <si>
    <t xml:space="preserve">MW</t>
  </si>
  <si>
    <t xml:space="preserve">Phase 1 facility load</t>
  </si>
  <si>
    <t xml:space="preserve">Phase 2 IT Capacity</t>
  </si>
  <si>
    <t xml:space="preserve">Phase 2 facility load</t>
  </si>
  <si>
    <t xml:space="preserve">Total Facility Capacity</t>
  </si>
  <si>
    <t xml:space="preserve">Phase 1 + Phase 2</t>
  </si>
  <si>
    <t xml:space="preserve">Phase 1 Rack Count</t>
  </si>
  <si>
    <t xml:space="preserve">racks</t>
  </si>
  <si>
    <t xml:space="preserve">Mixed density</t>
  </si>
  <si>
    <t xml:space="preserve">Phase 2 Rack Count</t>
  </si>
  <si>
    <t xml:space="preserve">Higher HD share — AI/GPU build</t>
  </si>
  <si>
    <t xml:space="preserve">kW per Rack — Low Density</t>
  </si>
  <si>
    <t xml:space="preserve">kW</t>
  </si>
  <si>
    <t xml:space="preserve">Legacy enterprise workloads</t>
  </si>
  <si>
    <t xml:space="preserve">kW per Rack — High Density</t>
  </si>
  <si>
    <t xml:space="preserve">AI/GPU workloads</t>
  </si>
  <si>
    <t xml:space="preserve">High-Density Rack Mix</t>
  </si>
  <si>
    <t xml:space="preserve">%</t>
  </si>
  <si>
    <t xml:space="preserve">Share of HD racks across both phases</t>
  </si>
  <si>
    <t xml:space="preserve">Stabilised Tenant Count</t>
  </si>
  <si>
    <t xml:space="preserve">tenants</t>
  </si>
  <si>
    <t xml:space="preserve">Wholesale + retail blended</t>
  </si>
  <si>
    <t xml:space="preserve">Anchor Tenant Revenue Share</t>
  </si>
  <si>
    <t xml:space="preserve">Hyperscale anchor tenant — concentration risk</t>
  </si>
  <si>
    <t xml:space="preserve">CONSTRUCTION COSTS</t>
  </si>
  <si>
    <t xml:space="preserve">Shell Build Cost</t>
  </si>
  <si>
    <t xml:space="preserve">$/MW</t>
  </si>
  <si>
    <t xml:space="preserve">Core &amp; shell for full 20 MW built in Y1</t>
  </si>
  <si>
    <t xml:space="preserve">MEP Fit-Out Cost</t>
  </si>
  <si>
    <t xml:space="preserve">MEP per MW (per phase)</t>
  </si>
  <si>
    <t xml:space="preserve">REVENUE ASSUMPTIONS</t>
  </si>
  <si>
    <t xml:space="preserve">Base Rent (Year 2)</t>
  </si>
  <si>
    <t xml:space="preserve">$/kW/month</t>
  </si>
  <si>
    <t xml:space="preserve">Blended wholesale + retail</t>
  </si>
  <si>
    <t xml:space="preserve">Rent Escalator</t>
  </si>
  <si>
    <t xml:space="preserve">% p.a.</t>
  </si>
  <si>
    <t xml:space="preserve">Contractual escalator</t>
  </si>
  <si>
    <t xml:space="preserve">Hours Per Year</t>
  </si>
  <si>
    <t xml:space="preserve">hrs/yr</t>
  </si>
  <si>
    <t xml:space="preserve">Named range — never hardcode</t>
  </si>
  <si>
    <t xml:space="preserve">PUE — Year 1</t>
  </si>
  <si>
    <t xml:space="preserve">ratio</t>
  </si>
  <si>
    <t xml:space="preserve">Commissioning year</t>
  </si>
  <si>
    <t xml:space="preserve">PUE — Year 2</t>
  </si>
  <si>
    <t xml:space="preserve">PUE — Year 3</t>
  </si>
  <si>
    <t xml:space="preserve">PUE — Year 4</t>
  </si>
  <si>
    <t xml:space="preserve">PUE — Year 5</t>
  </si>
  <si>
    <t xml:space="preserve">PUE — Year 6</t>
  </si>
  <si>
    <t xml:space="preserve">PUE — Year 7</t>
  </si>
  <si>
    <t xml:space="preserve">Stabilised — best-in-class trajectory</t>
  </si>
  <si>
    <t xml:space="preserve">Electricity Rate (Y2)</t>
  </si>
  <si>
    <t xml:space="preserve">$/kWh</t>
  </si>
  <si>
    <t xml:space="preserve">Year 2 base; escalated annually</t>
  </si>
  <si>
    <t xml:space="preserve">Power Rate Escalator</t>
  </si>
  <si>
    <t xml:space="preserve">Tariff escalator</t>
  </si>
  <si>
    <t xml:space="preserve">Power Admin Markup</t>
  </si>
  <si>
    <t xml:space="preserve">% over cost</t>
  </si>
  <si>
    <t xml:space="preserve">Pass-through margin</t>
  </si>
  <si>
    <t xml:space="preserve">kW Per Cross-Connect</t>
  </si>
  <si>
    <t xml:space="preserve">Cross-Connect Fee</t>
  </si>
  <si>
    <t xml:space="preserve">$/conn/month</t>
  </si>
  <si>
    <t xml:space="preserve">NRC Per kW</t>
  </si>
  <si>
    <t xml:space="preserve">$/kW</t>
  </si>
  <si>
    <t xml:space="preserve">One-time install fee</t>
  </si>
  <si>
    <t xml:space="preserve">OPEX ASSUMPTIONS</t>
  </si>
  <si>
    <t xml:space="preserve">Site Labour (NOC + engineers)</t>
  </si>
  <si>
    <t xml:space="preserve">$/MW/yr</t>
  </si>
  <si>
    <t xml:space="preserve">Maintenance Contracts (UPS/genset/chiller)</t>
  </si>
  <si>
    <t xml:space="preserve">Repairs &amp; Spares</t>
  </si>
  <si>
    <t xml:space="preserve">% of revenue</t>
  </si>
  <si>
    <t xml:space="preserve">Bandwidth / Peering</t>
  </si>
  <si>
    <t xml:space="preserve">Cybersecurity &amp; Compliance</t>
  </si>
  <si>
    <t xml:space="preserve">Insurance</t>
  </si>
  <si>
    <t xml:space="preserve">% of capex</t>
  </si>
  <si>
    <t xml:space="preserve">Property Tax</t>
  </si>
  <si>
    <t xml:space="preserve">SG&amp;A</t>
  </si>
  <si>
    <t xml:space="preserve">Opex Escalator</t>
  </si>
  <si>
    <t xml:space="preserve">Maintenance Capex</t>
  </si>
  <si>
    <t xml:space="preserve">Annual Churn</t>
  </si>
  <si>
    <t xml:space="preserve">Drag on net occupancy</t>
  </si>
  <si>
    <t xml:space="preserve">DEPRECIATION</t>
  </si>
  <si>
    <t xml:space="preserve">Shell Useful Life</t>
  </si>
  <si>
    <t xml:space="preserve">years</t>
  </si>
  <si>
    <t xml:space="preserve">MEP Useful Life</t>
  </si>
  <si>
    <t xml:space="preserve">Maint Capex Life</t>
  </si>
  <si>
    <t xml:space="preserve">WORKING CAPITAL</t>
  </si>
  <si>
    <t xml:space="preserve">DSO Days</t>
  </si>
  <si>
    <t xml:space="preserve">days</t>
  </si>
  <si>
    <t xml:space="preserve">DPO Days</t>
  </si>
  <si>
    <t xml:space="preserve">DEBT &amp; DSRA</t>
  </si>
  <si>
    <t xml:space="preserve">Gearing</t>
  </si>
  <si>
    <t xml:space="preserve">% of total cost</t>
  </si>
  <si>
    <t xml:space="preserve">Standard project finance LTC</t>
  </si>
  <si>
    <t xml:space="preserve">All-In Rate</t>
  </si>
  <si>
    <t xml:space="preserve">Target DSCR</t>
  </si>
  <si>
    <t xml:space="preserve">x</t>
  </si>
  <si>
    <t xml:space="preserve">Min DSCR</t>
  </si>
  <si>
    <t xml:space="preserve">Lender covenant floor</t>
  </si>
  <si>
    <t xml:space="preserve">DSRA Months</t>
  </si>
  <si>
    <t xml:space="preserve">months</t>
  </si>
  <si>
    <t xml:space="preserve">TAX &amp; RETURNS</t>
  </si>
  <si>
    <t xml:space="preserve">Tax Rate</t>
  </si>
  <si>
    <t xml:space="preserve">Discount Rate (WACC)</t>
  </si>
  <si>
    <t xml:space="preserve">Exit EV/EBITDA</t>
  </si>
  <si>
    <t xml:space="preserve">Conservative — DC sector median 16-22x</t>
  </si>
  <si>
    <t xml:space="preserve">Exit Cap Rate</t>
  </si>
  <si>
    <t xml:space="preserve">Secondary cross-check on EV/EBITDA</t>
  </si>
  <si>
    <t xml:space="preserve">OCCUPANCY RAMP</t>
  </si>
  <si>
    <t xml:space="preserve">Phase 1 Occ Y2</t>
  </si>
  <si>
    <t xml:space="preserve">Anchor + 1-2 colos signed at launch</t>
  </si>
  <si>
    <t xml:space="preserve">Phase 1 Occ Y3</t>
  </si>
  <si>
    <t xml:space="preserve">Phase 1 Occ Y4</t>
  </si>
  <si>
    <t xml:space="preserve">Phase 1 Occ Y5</t>
  </si>
  <si>
    <t xml:space="preserve">Phase 1 Occ Y6</t>
  </si>
  <si>
    <t xml:space="preserve">Phase 1 Occ Y7</t>
  </si>
  <si>
    <t xml:space="preserve">Stabilised</t>
  </si>
  <si>
    <t xml:space="preserve">Phase 2 Occ Y4</t>
  </si>
  <si>
    <t xml:space="preserve">Phase 2 not online</t>
  </si>
  <si>
    <t xml:space="preserve">Phase 2 Occ Y5</t>
  </si>
  <si>
    <t xml:space="preserve">Phase 2 online — anchor signed</t>
  </si>
  <si>
    <t xml:space="preserve">Phase 2 Occ Y6</t>
  </si>
  <si>
    <t xml:space="preserve">Phase 2 Occ Y7</t>
  </si>
  <si>
    <t xml:space="preserve">OPERATING RESERVE</t>
  </si>
  <si>
    <t xml:space="preserve">Operations Reserve (Y1)</t>
  </si>
  <si>
    <t xml:space="preserve">$</t>
  </si>
  <si>
    <t xml:space="preserve">Equity-funded cash buffer for ramp period</t>
  </si>
  <si>
    <t xml:space="preserve">Timing</t>
  </si>
  <si>
    <t xml:space="preserve">Period counter and operating-state flags. Drives all time logic.</t>
  </si>
  <si>
    <t xml:space="preserve">PERIOD INDEX</t>
  </si>
  <si>
    <t xml:space="preserve">Period</t>
  </si>
  <si>
    <t xml:space="preserve">Calendar Year</t>
  </si>
  <si>
    <t xml:space="preserve">OPERATING FLAGS</t>
  </si>
  <si>
    <t xml:space="preserve">Phase 1 Construction</t>
  </si>
  <si>
    <t xml:space="preserve">Phase 2 Construction (Y3-Y4)</t>
  </si>
  <si>
    <t xml:space="preserve">Any Construction</t>
  </si>
  <si>
    <t xml:space="preserve">Operations (Y2+)</t>
  </si>
  <si>
    <t xml:space="preserve">Phase 1 Online (Y2+)</t>
  </si>
  <si>
    <t xml:space="preserve">Phase 2 Online (Y5+)</t>
  </si>
  <si>
    <t xml:space="preserve">Debt Service Period (Y2+)</t>
  </si>
  <si>
    <t xml:space="preserve">Construction</t>
  </si>
  <si>
    <t xml:space="preserve">Capex draws, IDC capitalised by tranche, equity injection, DSRA seed.</t>
  </si>
  <si>
    <t xml:space="preserve">Year</t>
  </si>
  <si>
    <t xml:space="preserve">CAPEX DRAWS</t>
  </si>
  <si>
    <t xml:space="preserve">Phase 1 Draw</t>
  </si>
  <si>
    <t xml:space="preserve">Phase 2 Draw</t>
  </si>
  <si>
    <t xml:space="preserve">Total Capex Draw</t>
  </si>
  <si>
    <t xml:space="preserve">FUNDING SPLIT</t>
  </si>
  <si>
    <t xml:space="preserve">Equity Injection (capex)</t>
  </si>
  <si>
    <t xml:space="preserve">Debt Draw — Phase 1 Tranche</t>
  </si>
  <si>
    <t xml:space="preserve">Debt Draw — Phase 2 Tranche</t>
  </si>
  <si>
    <t xml:space="preserve">Total Debt Draw</t>
  </si>
  <si>
    <t xml:space="preserve">CUMULATIVE DEBT BY TRANCHE</t>
  </si>
  <si>
    <t xml:space="preserve">Cumul Debt — Phase 1</t>
  </si>
  <si>
    <t xml:space="preserve">Cumul Debt — Phase 2</t>
  </si>
  <si>
    <t xml:space="preserve">IDC (INTEREST DURING CONSTRUCTION)</t>
  </si>
  <si>
    <t xml:space="preserve">  IDC — Phase 1 (Y1)</t>
  </si>
  <si>
    <t xml:space="preserve">  IDC — Phase 2 (Y3-Y4)</t>
  </si>
  <si>
    <t xml:space="preserve">Total IDC</t>
  </si>
  <si>
    <t xml:space="preserve">Cumul IDC</t>
  </si>
  <si>
    <t xml:space="preserve">CUMULATIVE CAPEX</t>
  </si>
  <si>
    <t xml:space="preserve">Cumul Construction Capex</t>
  </si>
  <si>
    <t xml:space="preserve">Gross PP&amp;E Add (capex + IDC)</t>
  </si>
  <si>
    <t xml:space="preserve">DSRA SEED (equity-funded at close)</t>
  </si>
  <si>
    <t xml:space="preserve">DSRA Seed</t>
  </si>
  <si>
    <t xml:space="preserve">Capacity &amp; Occupancy Ramp</t>
  </si>
  <si>
    <t xml:space="preserve">Phase capacity (kW), gross/net occupancy, billed kW, rack economics, PUE schedule.</t>
  </si>
  <si>
    <t xml:space="preserve">INSTALLED CAPACITY (kW)</t>
  </si>
  <si>
    <t xml:space="preserve">Phase 1 Online (kW)</t>
  </si>
  <si>
    <t xml:space="preserve">Phase 2 Online (kW)</t>
  </si>
  <si>
    <t xml:space="preserve">Total Online (kW)</t>
  </si>
  <si>
    <t xml:space="preserve">OCCUPANCY (NET OF CHURN)</t>
  </si>
  <si>
    <t xml:space="preserve">Phase 1 Net Occupancy</t>
  </si>
  <si>
    <t xml:space="preserve">Phase 2 Net Occupancy</t>
  </si>
  <si>
    <t xml:space="preserve">  Annual Churn Rate</t>
  </si>
  <si>
    <t xml:space="preserve">BILLED CAPACITY (kW)</t>
  </si>
  <si>
    <t xml:space="preserve">Phase 1 Billed (kW)</t>
  </si>
  <si>
    <t xml:space="preserve">Phase 2 Billed (kW)</t>
  </si>
  <si>
    <t xml:space="preserve">Total Billed (kW)</t>
  </si>
  <si>
    <t xml:space="preserve">  New kW Signed</t>
  </si>
  <si>
    <t xml:space="preserve">PUE SCHEDULE</t>
  </si>
  <si>
    <t xml:space="preserve">PUE (Power Usage Effectiveness)</t>
  </si>
  <si>
    <t xml:space="preserve">RACK-LEVEL ECONOMICS (P3 depth)</t>
  </si>
  <si>
    <t xml:space="preserve">Total Racks Online</t>
  </si>
  <si>
    <t xml:space="preserve">  High-Density Racks</t>
  </si>
  <si>
    <t xml:space="preserve">  Low-Density Racks</t>
  </si>
  <si>
    <t xml:space="preserve">  Avg kW / Rack (blended)</t>
  </si>
  <si>
    <t xml:space="preserve">  Billed Racks (occupancy-weighted)</t>
  </si>
  <si>
    <t xml:space="preserve">Revenue</t>
  </si>
  <si>
    <t xml:space="preserve">Space rent, power pass-through (annual escalator), cross-connects, NRC.</t>
  </si>
  <si>
    <t xml:space="preserve">SPACE RENT</t>
  </si>
  <si>
    <t xml:space="preserve">Rent Rate ($/kW/mo)</t>
  </si>
  <si>
    <t xml:space="preserve">Space Rent Revenue</t>
  </si>
  <si>
    <t xml:space="preserve">POWER PASS-THROUGH</t>
  </si>
  <si>
    <t xml:space="preserve">Total Power kWh</t>
  </si>
  <si>
    <t xml:space="preserve">Electricity Rate ($/kWh)</t>
  </si>
  <si>
    <t xml:space="preserve">Power Cost (utility)</t>
  </si>
  <si>
    <t xml:space="preserve">Power Pass-Through Revenue</t>
  </si>
  <si>
    <t xml:space="preserve">CROSS-CONNECTS</t>
  </si>
  <si>
    <t xml:space="preserve">Cross-Connect Count</t>
  </si>
  <si>
    <t xml:space="preserve">Cross-Connect Revenue</t>
  </si>
  <si>
    <t xml:space="preserve">NRC</t>
  </si>
  <si>
    <t xml:space="preserve">Non-Recurring Charges</t>
  </si>
  <si>
    <t xml:space="preserve">TOTAL REVENUE</t>
  </si>
  <si>
    <t xml:space="preserve">Opex</t>
  </si>
  <si>
    <t xml:space="preserve">Power cost pulled from Revenue. Facility opex split into 5 sub-lines.</t>
  </si>
  <si>
    <t xml:space="preserve">POWER (COGS)</t>
  </si>
  <si>
    <t xml:space="preserve">Power Cost (COGS)</t>
  </si>
  <si>
    <t xml:space="preserve">FACILITY OPEX (split)</t>
  </si>
  <si>
    <t xml:space="preserve">  Online MW</t>
  </si>
  <si>
    <t xml:space="preserve">  Escalator Factor</t>
  </si>
  <si>
    <t xml:space="preserve">  Site Labour (NOC + engineers)</t>
  </si>
  <si>
    <t xml:space="preserve">  Maintenance Contracts (UPS/genset/chiller)</t>
  </si>
  <si>
    <t xml:space="preserve">  Repairs &amp; Spares</t>
  </si>
  <si>
    <t xml:space="preserve">  Bandwidth / Peering</t>
  </si>
  <si>
    <t xml:space="preserve">  Cybersecurity &amp; Compliance</t>
  </si>
  <si>
    <t xml:space="preserve">Total Facility Opex</t>
  </si>
  <si>
    <t xml:space="preserve">PROPERTY TAX &amp; INSURANCE</t>
  </si>
  <si>
    <t xml:space="preserve">TOTALS</t>
  </si>
  <si>
    <t xml:space="preserve">Total Opex (excl. power)</t>
  </si>
  <si>
    <t xml:space="preserve">TOTAL OPEX</t>
  </si>
  <si>
    <t xml:space="preserve">EBITDA</t>
  </si>
  <si>
    <t xml:space="preserve">EBITDA Margin</t>
  </si>
  <si>
    <t xml:space="preserve">Capex &amp; Depreciation</t>
  </si>
  <si>
    <t xml:space="preserve">Maintenance capex (capitalised to PP&amp;E). Phased shell / MEP depreciation.</t>
  </si>
  <si>
    <t xml:space="preserve">MAINTENANCE CAPEX</t>
  </si>
  <si>
    <t xml:space="preserve">Cumul Maintenance Capex</t>
  </si>
  <si>
    <t xml:space="preserve">GROSS PP&amp;E</t>
  </si>
  <si>
    <t xml:space="preserve">Gross PP&amp;E</t>
  </si>
  <si>
    <t xml:space="preserve">DEPRECIATION — SHELL</t>
  </si>
  <si>
    <t xml:space="preserve">  Shell — Phase 1 only</t>
  </si>
  <si>
    <t xml:space="preserve">  Shell — full facility</t>
  </si>
  <si>
    <t xml:space="preserve">Total Shell Depreciation</t>
  </si>
  <si>
    <t xml:space="preserve">DEPRECIATION — MEP</t>
  </si>
  <si>
    <t xml:space="preserve">  MEP — Phase 1</t>
  </si>
  <si>
    <t xml:space="preserve">  MEP — Phase 2</t>
  </si>
  <si>
    <t xml:space="preserve">Total MEP Depreciation</t>
  </si>
  <si>
    <t xml:space="preserve">DEPRECIATION — MAINTENANCE</t>
  </si>
  <si>
    <t xml:space="preserve">Maint Capex Depreciation</t>
  </si>
  <si>
    <t xml:space="preserve">TOTAL DEPRECIATION</t>
  </si>
  <si>
    <t xml:space="preserve">Cumul Depreciation</t>
  </si>
  <si>
    <t xml:space="preserve">Net PP&amp;E</t>
  </si>
  <si>
    <t xml:space="preserve">Tax</t>
  </si>
  <si>
    <t xml:space="preserve">Taxable income with NOL carry-forward. Interest wired after Debt sheet.</t>
  </si>
  <si>
    <t xml:space="preserve">TAX P&amp;L</t>
  </si>
  <si>
    <t xml:space="preserve">DEDUCTIONS</t>
  </si>
  <si>
    <t xml:space="preserve">  Depreciation</t>
  </si>
  <si>
    <t xml:space="preserve">  Interest Expense</t>
  </si>
  <si>
    <t xml:space="preserve">PRE-NOL EBT</t>
  </si>
  <si>
    <t xml:space="preserve">EBT (pre-NOL)</t>
  </si>
  <si>
    <t xml:space="preserve">NOL ROLL-FORWARD</t>
  </si>
  <si>
    <t xml:space="preserve">  NOL Opening</t>
  </si>
  <si>
    <t xml:space="preserve">  NOL Utilised</t>
  </si>
  <si>
    <t xml:space="preserve">  NOL Addition</t>
  </si>
  <si>
    <t xml:space="preserve">  NOL Closing</t>
  </si>
  <si>
    <t xml:space="preserve">TAX PAYABLE</t>
  </si>
  <si>
    <t xml:space="preserve">Taxable Income</t>
  </si>
  <si>
    <t xml:space="preserve">Tax Payable</t>
  </si>
  <si>
    <t xml:space="preserve">Cash Flow Waterfall</t>
  </si>
  <si>
    <t xml:space="preserve">CFADS → debt service → levered FCF → DSRA → distributions → equity CF.</t>
  </si>
  <si>
    <t xml:space="preserve">CFADS BUILD</t>
  </si>
  <si>
    <t xml:space="preserve">Less: Tax Payable</t>
  </si>
  <si>
    <t xml:space="preserve">Less: Maintenance Capex</t>
  </si>
  <si>
    <t xml:space="preserve">CFADS</t>
  </si>
  <si>
    <t xml:space="preserve">DEBT SERVICE</t>
  </si>
  <si>
    <t xml:space="preserve">Interest</t>
  </si>
  <si>
    <t xml:space="preserve">Principal Repayment</t>
  </si>
  <si>
    <t xml:space="preserve">Total Debt Service</t>
  </si>
  <si>
    <t xml:space="preserve">LEVERED FCF (P3 line)</t>
  </si>
  <si>
    <t xml:space="preserve">Levered FCF (CFADS − Total DS)</t>
  </si>
  <si>
    <t xml:space="preserve">DSRA &amp; DISTRIBUTIONS</t>
  </si>
  <si>
    <t xml:space="preserve">DSRA Movement</t>
  </si>
  <si>
    <t xml:space="preserve">Cash Avail for Dist.</t>
  </si>
  <si>
    <t xml:space="preserve">Distributions</t>
  </si>
  <si>
    <t xml:space="preserve">Equity Cash Flow</t>
  </si>
  <si>
    <t xml:space="preserve">Debt Schedule</t>
  </si>
  <si>
    <t xml:space="preserve">Two tranches: Phase 1 (Y2+ interest) and Phase 2 (Y3-Y4 IDC, then Y5+ interest).</t>
  </si>
  <si>
    <t xml:space="preserve">PHASE 1 TRANCHE</t>
  </si>
  <si>
    <t xml:space="preserve">  Opening Balance</t>
  </si>
  <si>
    <t xml:space="preserve">  Drawdown</t>
  </si>
  <si>
    <t xml:space="preserve">  IDC Capitalised</t>
  </si>
  <si>
    <t xml:space="preserve">  Principal Repayment</t>
  </si>
  <si>
    <t xml:space="preserve">  Closing Balance</t>
  </si>
  <si>
    <t xml:space="preserve">PHASE 2 TRANCHE</t>
  </si>
  <si>
    <t xml:space="preserve">AGGREGATE DEBT SERVICE</t>
  </si>
  <si>
    <t xml:space="preserve">Total Interest Expense</t>
  </si>
  <si>
    <t xml:space="preserve">Target Debt Service (CFADS/Target)</t>
  </si>
  <si>
    <t xml:space="preserve">Total Principal Repayment</t>
  </si>
  <si>
    <t xml:space="preserve">Total Debt Outstanding</t>
  </si>
  <si>
    <t xml:space="preserve">DSCR (Actual)</t>
  </si>
  <si>
    <t xml:space="preserve">DSRA</t>
  </si>
  <si>
    <t xml:space="preserve">DSRA Target</t>
  </si>
  <si>
    <t xml:space="preserve">DSRA Opening</t>
  </si>
  <si>
    <t xml:space="preserve">DSRA Transfer</t>
  </si>
  <si>
    <t xml:space="preserve">DSRA Closing</t>
  </si>
  <si>
    <t xml:space="preserve">Cash Flow Statement</t>
  </si>
  <si>
    <t xml:space="preserve">Indirect method. IDC is non-cash and is excluded from financing.</t>
  </si>
  <si>
    <t xml:space="preserve">OPERATING</t>
  </si>
  <si>
    <t xml:space="preserve">  Net Income</t>
  </si>
  <si>
    <t xml:space="preserve">  Add: Depreciation</t>
  </si>
  <si>
    <t xml:space="preserve">  Less: Change in AR</t>
  </si>
  <si>
    <t xml:space="preserve">  Add: Change in AP</t>
  </si>
  <si>
    <t xml:space="preserve">OPERATING CASH FLOW</t>
  </si>
  <si>
    <t xml:space="preserve">INVESTING</t>
  </si>
  <si>
    <t xml:space="preserve">  Construction Capex</t>
  </si>
  <si>
    <t xml:space="preserve">  Maintenance Capex</t>
  </si>
  <si>
    <t xml:space="preserve">INVESTING CASH FLOW</t>
  </si>
  <si>
    <t xml:space="preserve">FINANCING</t>
  </si>
  <si>
    <t xml:space="preserve">  Debt Drawdown</t>
  </si>
  <si>
    <t xml:space="preserve">  Debt Repayment</t>
  </si>
  <si>
    <t xml:space="preserve">  Equity Injection</t>
  </si>
  <si>
    <t xml:space="preserve">  Distributions Paid</t>
  </si>
  <si>
    <t xml:space="preserve">  DSRA Movement (− = deposit)</t>
  </si>
  <si>
    <t xml:space="preserve">FINANCING CASH FLOW</t>
  </si>
  <si>
    <t xml:space="preserve">NET CASH MOVEMENT</t>
  </si>
  <si>
    <t xml:space="preserve">Net Cash Flow</t>
  </si>
  <si>
    <t xml:space="preserve">Opening Cash</t>
  </si>
  <si>
    <t xml:space="preserve">CLOSING CASH</t>
  </si>
  <si>
    <t xml:space="preserve">Balance Sheet</t>
  </si>
  <si>
    <t xml:space="preserve">Balance check must equal zero in every period.</t>
  </si>
  <si>
    <t xml:space="preserve">ASSETS</t>
  </si>
  <si>
    <t xml:space="preserve">  Cash (unrestricted)</t>
  </si>
  <si>
    <t xml:space="preserve">  Accounts Receivable</t>
  </si>
  <si>
    <t xml:space="preserve">  DSRA (restricted cash)</t>
  </si>
  <si>
    <t xml:space="preserve">Total Current Assets</t>
  </si>
  <si>
    <t xml:space="preserve">NON-CURRENT ASSETS</t>
  </si>
  <si>
    <t xml:space="preserve">  Gross PP&amp;E</t>
  </si>
  <si>
    <t xml:space="preserve">  Accumulated Depreciation</t>
  </si>
  <si>
    <t xml:space="preserve">TOTAL ASSETS</t>
  </si>
  <si>
    <t xml:space="preserve">LIABILITIES</t>
  </si>
  <si>
    <t xml:space="preserve">  Accounts Payable</t>
  </si>
  <si>
    <t xml:space="preserve">  Senior Debt</t>
  </si>
  <si>
    <t xml:space="preserve">Total Liabilities</t>
  </si>
  <si>
    <t xml:space="preserve">EQUITY</t>
  </si>
  <si>
    <t xml:space="preserve">  Opening Equity</t>
  </si>
  <si>
    <t xml:space="preserve">  Distributions</t>
  </si>
  <si>
    <t xml:space="preserve">Closing Equity</t>
  </si>
  <si>
    <t xml:space="preserve">TOTAL L + E</t>
  </si>
  <si>
    <t xml:space="preserve">Balance Check (must = 0)</t>
  </si>
  <si>
    <t xml:space="preserve">Returns</t>
  </si>
  <si>
    <t xml:space="preserve">Project IRR (unlevered), Equity IRR (levered), NPV, MoM, anchor concentration.</t>
  </si>
  <si>
    <t xml:space="preserve">PROJECT CASH FLOW (UNLEVERED)</t>
  </si>
  <si>
    <t xml:space="preserve">Project Cash Flow</t>
  </si>
  <si>
    <t xml:space="preserve">EQUITY CASH FLOW (LEVERED)</t>
  </si>
  <si>
    <t xml:space="preserve">EXIT VALUATION (Y7)</t>
  </si>
  <si>
    <t xml:space="preserve">Exit Year EBITDA</t>
  </si>
  <si>
    <t xml:space="preserve">Exit EV (EV/EBITDA primary)</t>
  </si>
  <si>
    <t xml:space="preserve">Debt Outstanding at Exit</t>
  </si>
  <si>
    <t xml:space="preserve">Exit Equity Proceeds</t>
  </si>
  <si>
    <t xml:space="preserve">Exit EV — Cap Rate cross-check</t>
  </si>
  <si>
    <t xml:space="preserve">Comparator only; not used in IRR stream</t>
  </si>
  <si>
    <t xml:space="preserve">HEADLINE RETURNS</t>
  </si>
  <si>
    <t xml:space="preserve">Project IRR (unlevered)</t>
  </si>
  <si>
    <t xml:space="preserve">Equity IRR (levered)</t>
  </si>
  <si>
    <t xml:space="preserve">Project NPV @ Discount Rate</t>
  </si>
  <si>
    <t xml:space="preserve">Total Equity Invested</t>
  </si>
  <si>
    <t xml:space="preserve">Total Equity Proceeds</t>
  </si>
  <si>
    <t xml:space="preserve">Equity Multiple (MoM)</t>
  </si>
  <si>
    <t xml:space="preserve">Y7 Anchor Tenant Revenue</t>
  </si>
  <si>
    <t xml:space="preserve">Anchor = Anchor_Share of stabilised revenue (concentration risk)</t>
  </si>
  <si>
    <t xml:space="preserve">Y7 Avg Revenue per Tenant</t>
  </si>
  <si>
    <t xml:space="preserve">Total revenue / Tenant_Count</t>
  </si>
  <si>
    <t xml:space="preserve">Checks</t>
  </si>
  <si>
    <t xml:space="preserve">PASS / FAIL only.</t>
  </si>
  <si>
    <t xml:space="preserve">MODEL INTEGRITY CHECKS</t>
  </si>
  <si>
    <t xml:space="preserve">Result</t>
  </si>
  <si>
    <t xml:space="preserve">Description</t>
  </si>
  <si>
    <t xml:space="preserve">BS Balance (all years)</t>
  </si>
  <si>
    <t xml:space="preserve">Balance Sheet must balance every year (tolerance $1)</t>
  </si>
  <si>
    <t xml:space="preserve">Cash Non-Negative</t>
  </si>
  <si>
    <t xml:space="preserve">Model would default; not fundable</t>
  </si>
  <si>
    <t xml:space="preserve">DSCR Covenant (Y2-Y7)</t>
  </si>
  <si>
    <t xml:space="preserve">Lender covenant ≥ Min_DSCR across full operations period</t>
  </si>
  <si>
    <t xml:space="preserve">EBITDA Margin Y7 (45-65%)</t>
  </si>
  <si>
    <t xml:space="preserve">Stabilised Y7 EBITDA margin must sit in target band</t>
  </si>
  <si>
    <t xml:space="preserve">Equity IRR Numeric &amp; Positive</t>
  </si>
  <si>
    <t xml:space="preserve">IRR stream resolves to a positive number</t>
  </si>
  <si>
    <t xml:space="preserve">Debt Declining (Y7 ≤ Y4 peak)</t>
  </si>
  <si>
    <t xml:space="preserve">Sculpted amortisation should pay debt down post-Y4 peak</t>
  </si>
  <si>
    <t xml:space="preserve">DSRA Non-Negative</t>
  </si>
  <si>
    <t xml:space="preserve">Reserve account must stay non-negative</t>
  </si>
  <si>
    <t xml:space="preserve">Billed ≤ Online Capacity</t>
  </si>
  <si>
    <t xml:space="preserve">Billed kW cannot exceed installed capacity</t>
  </si>
  <si>
    <t xml:space="preserve">PUE &gt; 1.0</t>
  </si>
  <si>
    <t xml:space="preserve">Basic sanity on PUE assumption</t>
  </si>
  <si>
    <t xml:space="preserve">Exit Value in Y7 Equity CF</t>
  </si>
  <si>
    <t xml:space="preserve">Exit proceeds must be added to the IRR stream</t>
  </si>
  <si>
    <t xml:space="preserve">OVERALL</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</si>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</sst>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9">
    <numFmt numFmtId="164" formatCode="General"/>
    <numFmt numFmtId="165" formatCode="0"/>
    <numFmt numFmtId="166" formatCode="#,##0.00"/>
    <numFmt numFmtId="167" formatCode="#,##0"/>
    <numFmt numFmtId="168" formatCode="0.00"/>
    <numFmt numFmtId="169" formatCode="0.0%"/>
    <numFmt numFmtId="170" formatCode="#,##0;\(#,##0\)"/>
    <numFmt numFmtId="171" formatCode="#,##0.0000"/>
    <numFmt numFmtId="172" formatCode="0.00\x"/>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0"/>
      <color theme="0"/>
      <name val="Arial"/>
      <family val="0"/>
      <charset val="1"/>
    </font>
    <font>
      <sz val="11"/>
      <color theme="1"/>
      <name val="Arial"/>
      <family val="0"/>
      <charset val="1"/>
    </font>
    <font>
      <b val="true"/>
      <sz val="11"/>
      <color theme="0"/>
      <name val="Arial"/>
      <family val="0"/>
      <charset val="1"/>
    </font>
    <font>
      <b val="true"/>
      <sz val="10"/>
      <name val="Arial"/>
      <family val="0"/>
      <charset val="1"/>
    </font>
    <font>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rgb="FF000000"/>
      <name val="Arial"/>
      <family val="0"/>
      <charset val="1"/>
    </font>
    <font>
      <sz val="10"/>
      <color theme="3"/>
      <name val="Arial"/>
      <family val="0"/>
      <charset val="1"/>
    </font>
    <font>
      <i val="true"/>
      <sz val="10"/>
      <color rgb="FF808080"/>
      <name val="Arial"/>
      <family val="0"/>
      <charset val="1"/>
    </font>
    <font>
      <sz val="10"/>
      <color rgb="FF000000"/>
      <name val="Arial"/>
      <family val="0"/>
      <charset val="1"/>
    </font>
    <font>
      <b val="true"/>
      <sz val="10"/>
      <color rgb="FFFF0000"/>
      <name val="Arial"/>
      <family val="0"/>
      <charset val="1"/>
    </font>
    <font>
      <b val="true"/>
      <sz val="11"/>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D9D9D9"/>
      </patternFill>
    </fill>
    <fill>
      <patternFill patternType="solid">
        <fgColor rgb="FFD9D9D9"/>
        <bgColor rgb="FFD6E4F0"/>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4" borderId="0" xfId="0" applyFont="true" applyBorder="false" applyAlignment="true" applyProtection="false">
      <alignment horizontal="left" vertical="center"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19" fillId="5"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6" fontId="19" fillId="5" borderId="0" xfId="0" applyFont="true" applyBorder="false" applyAlignment="true" applyProtection="false">
      <alignment horizontal="right" vertical="center" textRotation="0" wrapText="false" indent="0" shrinkToFit="false"/>
      <protection locked="true" hidden="false"/>
    </xf>
    <xf numFmtId="167" fontId="19" fillId="5" borderId="0" xfId="0" applyFont="true" applyBorder="false" applyAlignment="true" applyProtection="false">
      <alignment horizontal="right" vertical="center" textRotation="0" wrapText="false" indent="0" shrinkToFit="false"/>
      <protection locked="true" hidden="false"/>
    </xf>
    <xf numFmtId="168" fontId="19" fillId="5" borderId="0" xfId="0" applyFont="true" applyBorder="false" applyAlignment="true" applyProtection="false">
      <alignment horizontal="right" vertical="center" textRotation="0" wrapText="false" indent="0" shrinkToFit="false"/>
      <protection locked="true" hidden="false"/>
    </xf>
    <xf numFmtId="169" fontId="19" fillId="5" borderId="0" xfId="0" applyFont="true" applyBorder="false" applyAlignment="true" applyProtection="false">
      <alignment horizontal="right" vertical="center" textRotation="0" wrapText="false" indent="0" shrinkToFit="false"/>
      <protection locked="true" hidden="false"/>
    </xf>
    <xf numFmtId="170" fontId="19" fillId="5" borderId="0" xfId="0" applyFont="true" applyBorder="false" applyAlignment="true" applyProtection="false">
      <alignment horizontal="right" vertical="center" textRotation="0" wrapText="false" indent="0" shrinkToFit="false"/>
      <protection locked="true" hidden="false"/>
    </xf>
    <xf numFmtId="171" fontId="19" fillId="5" borderId="0" xfId="0" applyFont="true" applyBorder="false" applyAlignment="true" applyProtection="false">
      <alignment horizontal="right" vertical="center" textRotation="0" wrapText="false" indent="0" shrinkToFit="false"/>
      <protection locked="true" hidden="false"/>
    </xf>
    <xf numFmtId="172" fontId="19" fillId="5" borderId="0" xfId="0" applyFont="true" applyBorder="false" applyAlignment="true" applyProtection="false">
      <alignment horizontal="right" vertical="center" textRotation="0" wrapText="false" indent="0" shrinkToFit="false"/>
      <protection locked="true" hidden="false"/>
    </xf>
    <xf numFmtId="167" fontId="21" fillId="0" borderId="0" xfId="0" applyFont="true" applyBorder="false" applyAlignment="true" applyProtection="false">
      <alignment horizontal="right" vertical="center" textRotation="0" wrapText="false" indent="0" shrinkToFit="false"/>
      <protection locked="true" hidden="false"/>
    </xf>
    <xf numFmtId="165" fontId="21" fillId="0" borderId="0" xfId="0" applyFont="true" applyBorder="false" applyAlignment="true" applyProtection="false">
      <alignment horizontal="right" vertical="center" textRotation="0" wrapText="false" indent="0" shrinkToFit="false"/>
      <protection locked="true" hidden="false"/>
    </xf>
    <xf numFmtId="165" fontId="21" fillId="4" borderId="0" xfId="0" applyFont="true" applyBorder="false" applyAlignment="true" applyProtection="false">
      <alignment horizontal="right" vertical="center" textRotation="0" wrapText="false" indent="0" shrinkToFit="false"/>
      <protection locked="true" hidden="false"/>
    </xf>
    <xf numFmtId="170" fontId="21"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70" fontId="11" fillId="0" borderId="1" xfId="0" applyFont="true" applyBorder="true" applyAlignment="true" applyProtection="false">
      <alignment horizontal="right" vertical="center" textRotation="0" wrapText="false" indent="0" shrinkToFit="false"/>
      <protection locked="true" hidden="false"/>
    </xf>
    <xf numFmtId="170" fontId="11" fillId="0" borderId="0" xfId="0" applyFont="true" applyBorder="false" applyAlignment="true" applyProtection="false">
      <alignment horizontal="right"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6" fontId="11" fillId="0" borderId="1" xfId="0" applyFont="true" applyBorder="true" applyAlignment="true" applyProtection="false">
      <alignment horizontal="right" vertical="center" textRotation="0" wrapText="false" indent="0" shrinkToFit="false"/>
      <protection locked="true" hidden="false"/>
    </xf>
    <xf numFmtId="169" fontId="21" fillId="0" borderId="0" xfId="0" applyFont="true" applyBorder="false" applyAlignment="true" applyProtection="false">
      <alignment horizontal="right" vertical="center" textRotation="0" wrapText="false" indent="0" shrinkToFit="false"/>
      <protection locked="true" hidden="false"/>
    </xf>
    <xf numFmtId="168" fontId="21" fillId="0" borderId="0" xfId="0" applyFont="true" applyBorder="false" applyAlignment="true" applyProtection="false">
      <alignment horizontal="right" vertical="center" textRotation="0" wrapText="false" indent="0" shrinkToFit="false"/>
      <protection locked="true" hidden="false"/>
    </xf>
    <xf numFmtId="171" fontId="21" fillId="0" borderId="0" xfId="0" applyFont="true" applyBorder="false" applyAlignment="true" applyProtection="false">
      <alignment horizontal="right" vertical="center" textRotation="0" wrapText="false" indent="0" shrinkToFit="false"/>
      <protection locked="true" hidden="false"/>
    </xf>
    <xf numFmtId="170" fontId="11" fillId="0" borderId="2" xfId="0" applyFont="true" applyBorder="true" applyAlignment="true" applyProtection="false">
      <alignment horizontal="right" vertical="center" textRotation="0" wrapText="false" indent="0" shrinkToFit="false"/>
      <protection locked="true" hidden="false"/>
    </xf>
    <xf numFmtId="172" fontId="21"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0" fontId="20" fillId="0" borderId="0" xfId="0" applyFont="true" applyBorder="false" applyAlignment="true" applyProtection="false">
      <alignment horizontal="right" vertical="center" textRotation="0" wrapText="false" indent="0" shrinkToFit="false"/>
      <protection locked="true" hidden="false"/>
    </xf>
    <xf numFmtId="169" fontId="11" fillId="0" borderId="0" xfId="0" applyFont="true" applyBorder="false" applyAlignment="true" applyProtection="false">
      <alignment horizontal="right" vertical="center" textRotation="0" wrapText="false" indent="0" shrinkToFit="false"/>
      <protection locked="true" hidden="false"/>
    </xf>
    <xf numFmtId="172" fontId="11" fillId="0" borderId="0" xfId="0" applyFont="true" applyBorder="false" applyAlignment="true" applyProtection="false">
      <alignment horizontal="right" vertical="center" textRotation="0" wrapText="false" indent="0" shrinkToFit="false"/>
      <protection locked="true" hidden="false"/>
    </xf>
    <xf numFmtId="164" fontId="11" fillId="4"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5" fillId="6" borderId="0" xfId="0" applyFont="true" applyBorder="false" applyAlignment="true" applyProtection="false">
      <alignment horizontal="left" vertical="center" textRotation="0" wrapText="false" indent="1" shrinkToFit="false"/>
      <protection locked="true" hidden="false"/>
    </xf>
    <xf numFmtId="164" fontId="26" fillId="0"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8" fillId="7"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60"/>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7" t="s">
        <v>3</v>
      </c>
      <c r="C6" s="8"/>
      <c r="D6" s="8"/>
      <c r="E6" s="6"/>
      <c r="F6" s="6"/>
      <c r="G6" s="6"/>
      <c r="H6" s="6"/>
      <c r="I6" s="6"/>
    </row>
    <row r="7" customFormat="false" ht="15" hidden="false" customHeight="false" outlineLevel="0" collapsed="false">
      <c r="A7" s="6"/>
      <c r="B7" s="9" t="s">
        <v>4</v>
      </c>
      <c r="C7" s="10" t="s">
        <v>5</v>
      </c>
      <c r="D7" s="6"/>
      <c r="E7" s="6"/>
      <c r="F7" s="6"/>
      <c r="G7" s="6"/>
      <c r="H7" s="6"/>
      <c r="I7" s="6"/>
    </row>
    <row r="8" customFormat="false" ht="15" hidden="false" customHeight="false" outlineLevel="0" collapsed="false">
      <c r="A8" s="6"/>
      <c r="B8" s="9" t="s">
        <v>6</v>
      </c>
      <c r="C8" s="10" t="s">
        <v>7</v>
      </c>
      <c r="D8" s="6"/>
      <c r="E8" s="6"/>
      <c r="F8" s="6"/>
      <c r="G8" s="6"/>
      <c r="H8" s="6"/>
      <c r="I8" s="6"/>
    </row>
    <row r="9" customFormat="false" ht="15" hidden="false" customHeight="false" outlineLevel="0" collapsed="false">
      <c r="A9" s="6"/>
      <c r="B9" s="9" t="s">
        <v>8</v>
      </c>
      <c r="C9" s="10" t="s">
        <v>9</v>
      </c>
      <c r="D9" s="6"/>
      <c r="E9" s="6"/>
      <c r="F9" s="6"/>
      <c r="G9" s="6"/>
      <c r="H9" s="6"/>
      <c r="I9" s="6"/>
    </row>
    <row r="10" customFormat="false" ht="15" hidden="false" customHeight="false" outlineLevel="0" collapsed="false">
      <c r="A10" s="6"/>
      <c r="B10" s="9" t="s">
        <v>10</v>
      </c>
      <c r="C10" s="10" t="s">
        <v>11</v>
      </c>
      <c r="D10" s="6"/>
      <c r="E10" s="6"/>
      <c r="F10" s="6"/>
      <c r="G10" s="6"/>
      <c r="H10" s="6"/>
      <c r="I10" s="6"/>
    </row>
    <row r="11" customFormat="false" ht="15" hidden="false" customHeight="false" outlineLevel="0" collapsed="false">
      <c r="A11" s="6"/>
      <c r="B11" s="9" t="s">
        <v>12</v>
      </c>
      <c r="C11" s="10" t="s">
        <v>13</v>
      </c>
      <c r="D11" s="6"/>
      <c r="E11" s="6"/>
      <c r="F11" s="6"/>
      <c r="G11" s="6"/>
      <c r="H11" s="6"/>
      <c r="I11" s="6"/>
    </row>
    <row r="12" customFormat="false" ht="15" hidden="false" customHeight="false" outlineLevel="0" collapsed="false">
      <c r="A12" s="6"/>
      <c r="B12" s="6"/>
      <c r="C12" s="6"/>
      <c r="D12" s="6"/>
      <c r="E12" s="6"/>
      <c r="F12" s="6"/>
      <c r="G12" s="6"/>
      <c r="H12" s="6"/>
      <c r="I12" s="6"/>
    </row>
    <row r="13" customFormat="false" ht="15" hidden="false" customHeight="false" outlineLevel="0" collapsed="false">
      <c r="A13" s="6"/>
      <c r="B13" s="7" t="s">
        <v>14</v>
      </c>
      <c r="C13" s="8"/>
      <c r="D13" s="8"/>
      <c r="E13" s="6"/>
      <c r="F13" s="6"/>
      <c r="G13" s="6"/>
      <c r="H13" s="6"/>
      <c r="I13" s="6"/>
    </row>
    <row r="14" customFormat="false" ht="15" hidden="false" customHeight="false" outlineLevel="0" collapsed="false">
      <c r="A14" s="6"/>
      <c r="B14" s="10" t="s">
        <v>15</v>
      </c>
      <c r="C14" s="10" t="s">
        <v>16</v>
      </c>
      <c r="D14" s="6"/>
      <c r="E14" s="6"/>
      <c r="F14" s="6"/>
      <c r="G14" s="6"/>
      <c r="H14" s="6"/>
      <c r="I14" s="6"/>
    </row>
    <row r="15" customFormat="false" ht="15" hidden="false" customHeight="false" outlineLevel="0" collapsed="false">
      <c r="A15" s="6"/>
      <c r="B15" s="10" t="s">
        <v>17</v>
      </c>
      <c r="C15" s="10" t="s">
        <v>18</v>
      </c>
      <c r="D15" s="6"/>
      <c r="E15" s="6"/>
      <c r="F15" s="6"/>
      <c r="G15" s="6"/>
      <c r="H15" s="6"/>
      <c r="I15" s="6"/>
    </row>
    <row r="16" customFormat="false" ht="15" hidden="false" customHeight="false" outlineLevel="0" collapsed="false">
      <c r="A16" s="6"/>
      <c r="B16" s="10" t="s">
        <v>19</v>
      </c>
      <c r="C16" s="10" t="s">
        <v>20</v>
      </c>
      <c r="D16" s="6"/>
      <c r="E16" s="6"/>
      <c r="F16" s="6"/>
      <c r="G16" s="6"/>
      <c r="H16" s="6"/>
      <c r="I16" s="6"/>
    </row>
    <row r="17" customFormat="false" ht="15" hidden="false" customHeight="false" outlineLevel="0" collapsed="false">
      <c r="A17" s="6"/>
      <c r="B17" s="10" t="s">
        <v>21</v>
      </c>
      <c r="C17" s="10" t="s">
        <v>22</v>
      </c>
      <c r="D17" s="6"/>
      <c r="E17" s="6"/>
      <c r="F17" s="6"/>
      <c r="G17" s="6"/>
      <c r="H17" s="6"/>
      <c r="I17" s="6"/>
    </row>
    <row r="18" customFormat="false" ht="15" hidden="false" customHeight="false" outlineLevel="0" collapsed="false">
      <c r="A18" s="6"/>
      <c r="B18" s="10" t="s">
        <v>23</v>
      </c>
      <c r="C18" s="10" t="s">
        <v>24</v>
      </c>
      <c r="D18" s="6"/>
      <c r="E18" s="6"/>
      <c r="F18" s="6"/>
      <c r="G18" s="6"/>
      <c r="H18" s="6"/>
      <c r="I18" s="6"/>
    </row>
    <row r="19" customFormat="false" ht="15" hidden="false" customHeight="false" outlineLevel="0" collapsed="false">
      <c r="A19" s="6"/>
      <c r="B19" s="10" t="s">
        <v>25</v>
      </c>
      <c r="C19" s="10" t="s">
        <v>26</v>
      </c>
      <c r="D19" s="6"/>
      <c r="E19" s="6"/>
      <c r="F19" s="6"/>
      <c r="G19" s="6"/>
      <c r="H19" s="6"/>
      <c r="I19" s="6"/>
    </row>
    <row r="20" customFormat="false" ht="15" hidden="false" customHeight="false" outlineLevel="0" collapsed="false">
      <c r="A20" s="6"/>
      <c r="B20" s="6"/>
      <c r="C20" s="6"/>
      <c r="D20" s="6"/>
      <c r="E20" s="6"/>
      <c r="F20" s="6"/>
      <c r="G20" s="6"/>
      <c r="H20" s="6"/>
      <c r="I20" s="6"/>
    </row>
    <row r="21" customFormat="false" ht="15" hidden="false" customHeight="false" outlineLevel="0" collapsed="false">
      <c r="A21" s="6"/>
      <c r="B21" s="7" t="s">
        <v>27</v>
      </c>
      <c r="C21" s="8"/>
      <c r="D21" s="8"/>
      <c r="E21" s="6"/>
      <c r="F21" s="6"/>
      <c r="G21" s="6"/>
      <c r="H21" s="6"/>
      <c r="I21" s="6"/>
    </row>
    <row r="22" customFormat="false" ht="15" hidden="false" customHeight="false" outlineLevel="0" collapsed="false">
      <c r="A22" s="6"/>
      <c r="B22" s="10" t="s">
        <v>28</v>
      </c>
      <c r="C22" s="10" t="s">
        <v>29</v>
      </c>
      <c r="D22" s="6"/>
      <c r="E22" s="6"/>
      <c r="F22" s="6"/>
      <c r="G22" s="6"/>
      <c r="H22" s="6"/>
      <c r="I22" s="6"/>
    </row>
    <row r="23" customFormat="false" ht="15" hidden="false" customHeight="false" outlineLevel="0" collapsed="false">
      <c r="A23" s="6"/>
      <c r="B23" s="10" t="s">
        <v>30</v>
      </c>
      <c r="C23" s="10" t="s">
        <v>31</v>
      </c>
      <c r="D23" s="6"/>
      <c r="E23" s="6"/>
      <c r="F23" s="6"/>
      <c r="G23" s="6"/>
      <c r="H23" s="6"/>
      <c r="I23" s="6"/>
    </row>
    <row r="24" customFormat="false" ht="15" hidden="false" customHeight="false" outlineLevel="0" collapsed="false">
      <c r="A24" s="6"/>
      <c r="B24" s="10" t="s">
        <v>32</v>
      </c>
      <c r="C24" s="10" t="s">
        <v>33</v>
      </c>
      <c r="D24" s="6"/>
      <c r="E24" s="6"/>
      <c r="F24" s="6"/>
      <c r="G24" s="6"/>
      <c r="H24" s="6"/>
      <c r="I24" s="6"/>
    </row>
    <row r="25" customFormat="false" ht="15" hidden="false" customHeight="false" outlineLevel="0" collapsed="false">
      <c r="A25" s="6"/>
      <c r="B25" s="10" t="s">
        <v>34</v>
      </c>
      <c r="C25" s="10" t="s">
        <v>35</v>
      </c>
      <c r="D25" s="6"/>
      <c r="E25" s="6"/>
      <c r="F25" s="6"/>
      <c r="G25" s="6"/>
      <c r="H25" s="6"/>
      <c r="I25" s="6"/>
    </row>
    <row r="28" customFormat="false" ht="19.5" hidden="false" customHeight="true" outlineLevel="0" collapsed="false">
      <c r="B28" s="11" t="s">
        <v>36</v>
      </c>
      <c r="C28" s="12"/>
      <c r="D28" s="12"/>
      <c r="E28" s="12"/>
      <c r="F28" s="12"/>
      <c r="G28" s="12"/>
    </row>
    <row r="29" customFormat="false" ht="220.5" hidden="false" customHeight="true" outlineLevel="0" collapsed="false">
      <c r="B29" s="13" t="s">
        <v>37</v>
      </c>
      <c r="C29" s="13"/>
      <c r="D29" s="13"/>
      <c r="E29" s="13"/>
      <c r="F29" s="13"/>
      <c r="G29" s="13"/>
    </row>
    <row r="31" customFormat="false" ht="19.5" hidden="false" customHeight="true" outlineLevel="0" collapsed="false">
      <c r="B31" s="11" t="s">
        <v>38</v>
      </c>
      <c r="C31" s="12"/>
      <c r="D31" s="12"/>
      <c r="E31" s="12"/>
      <c r="F31" s="12"/>
      <c r="G31" s="12"/>
    </row>
    <row r="32" customFormat="false" ht="57" hidden="false" customHeight="true" outlineLevel="0" collapsed="false">
      <c r="B32" s="13" t="s">
        <v>39</v>
      </c>
      <c r="C32" s="13"/>
      <c r="D32" s="13"/>
      <c r="E32" s="13"/>
      <c r="F32" s="13"/>
      <c r="G32" s="13"/>
    </row>
    <row r="33" customFormat="false" ht="15" hidden="false" customHeight="false" outlineLevel="0" collapsed="false">
      <c r="B33" s="14" t="s">
        <v>40</v>
      </c>
      <c r="C33" s="14"/>
      <c r="D33" s="14"/>
      <c r="E33" s="14"/>
      <c r="F33" s="14"/>
      <c r="G33" s="14"/>
    </row>
    <row r="34" customFormat="false" ht="15" hidden="false" customHeight="false" outlineLevel="0" collapsed="false">
      <c r="B34" s="15" t="s">
        <v>41</v>
      </c>
    </row>
  </sheetData>
  <mergeCells count="3">
    <mergeCell ref="B29:G29"/>
    <mergeCell ref="B32:G32"/>
    <mergeCell ref="B33:G33"/>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307</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308</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309</v>
      </c>
      <c r="C7" s="17"/>
      <c r="D7" s="17"/>
      <c r="E7" s="17"/>
      <c r="F7" s="17"/>
      <c r="G7" s="17"/>
      <c r="H7" s="17"/>
      <c r="I7" s="17"/>
    </row>
    <row r="8" customFormat="false" ht="15" hidden="false" customHeight="false" outlineLevel="0" collapsed="false">
      <c r="A8" s="6"/>
      <c r="B8" s="18" t="s">
        <v>270</v>
      </c>
      <c r="C8" s="31" t="n">
        <f aca="false">Opex!C27</f>
        <v>0</v>
      </c>
      <c r="D8" s="31" t="n">
        <f aca="false">Opex!D27</f>
        <v>7918781.80608</v>
      </c>
      <c r="E8" s="31" t="n">
        <f aca="false">Opex!E27</f>
        <v>8415948.29097689</v>
      </c>
      <c r="F8" s="31" t="n">
        <f aca="false">Opex!F27</f>
        <v>9414694.33488184</v>
      </c>
      <c r="G8" s="31" t="n">
        <f aca="false">Opex!G27</f>
        <v>17432088.5644928</v>
      </c>
      <c r="H8" s="31" t="n">
        <f aca="false">Opex!H27</f>
        <v>21220268.43114</v>
      </c>
      <c r="I8" s="31" t="n">
        <f aca="false">Opex!I27</f>
        <v>22753559.4885186</v>
      </c>
    </row>
    <row r="9" customFormat="false" ht="15" hidden="false" customHeight="false" outlineLevel="0" collapsed="false">
      <c r="A9" s="6"/>
      <c r="B9" s="18" t="s">
        <v>310</v>
      </c>
      <c r="C9" s="31" t="n">
        <f aca="false">Tax!C21</f>
        <v>0</v>
      </c>
      <c r="D9" s="31" t="n">
        <f aca="false">Tax!D21</f>
        <v>0</v>
      </c>
      <c r="E9" s="31" t="n">
        <f aca="false">Tax!E21</f>
        <v>0</v>
      </c>
      <c r="F9" s="31" t="n">
        <f aca="false">Tax!F21</f>
        <v>0</v>
      </c>
      <c r="G9" s="31" t="n">
        <f aca="false">Tax!G21</f>
        <v>0</v>
      </c>
      <c r="H9" s="31" t="n">
        <f aca="false">Tax!H21</f>
        <v>0</v>
      </c>
      <c r="I9" s="31" t="n">
        <f aca="false">Tax!I21</f>
        <v>0</v>
      </c>
    </row>
    <row r="10" customFormat="false" ht="15" hidden="false" customHeight="false" outlineLevel="0" collapsed="false">
      <c r="A10" s="6"/>
      <c r="B10" s="18" t="s">
        <v>311</v>
      </c>
      <c r="C10" s="31" t="n">
        <f aca="false">Capex_Depr!C8</f>
        <v>0</v>
      </c>
      <c r="D10" s="31" t="n">
        <f aca="false">Capex_Depr!D8</f>
        <v>456643.0944</v>
      </c>
      <c r="E10" s="31" t="n">
        <f aca="false">Capex_Depr!E8</f>
        <v>501232.63744128</v>
      </c>
      <c r="F10" s="31" t="n">
        <f aca="false">Capex_Depr!F8</f>
        <v>558792.478760614</v>
      </c>
      <c r="G10" s="31" t="n">
        <f aca="false">Capex_Depr!G8</f>
        <v>954737.547527561</v>
      </c>
      <c r="H10" s="31" t="n">
        <f aca="false">Capex_Depr!H8</f>
        <v>1131989.59514716</v>
      </c>
      <c r="I10" s="31" t="n">
        <f aca="false">Capex_Depr!I8</f>
        <v>1204500.42521536</v>
      </c>
    </row>
    <row r="11" customFormat="false" ht="15" hidden="false" customHeight="false" outlineLevel="0" collapsed="false">
      <c r="A11" s="6"/>
      <c r="B11" s="32" t="s">
        <v>312</v>
      </c>
      <c r="C11" s="33" t="n">
        <f aca="false">C8-C9-C10</f>
        <v>0</v>
      </c>
      <c r="D11" s="33" t="n">
        <f aca="false">D8-D9-D10</f>
        <v>7462138.71168</v>
      </c>
      <c r="E11" s="33" t="n">
        <f aca="false">E8-E9-E10</f>
        <v>7914715.65353561</v>
      </c>
      <c r="F11" s="33" t="n">
        <f aca="false">F8-F9-F10</f>
        <v>8855901.85612123</v>
      </c>
      <c r="G11" s="33" t="n">
        <f aca="false">G8-G9-G10</f>
        <v>16477351.0169652</v>
      </c>
      <c r="H11" s="33" t="n">
        <f aca="false">H8-H9-H10</f>
        <v>20088278.8359928</v>
      </c>
      <c r="I11" s="33" t="n">
        <f aca="false">I8-I9-I10</f>
        <v>21549059.0633033</v>
      </c>
    </row>
    <row r="12" customFormat="false" ht="15" hidden="false" customHeight="false" outlineLevel="0" collapsed="false">
      <c r="A12" s="6"/>
      <c r="B12" s="16" t="s">
        <v>313</v>
      </c>
      <c r="C12" s="17"/>
      <c r="D12" s="17"/>
      <c r="E12" s="17"/>
      <c r="F12" s="17"/>
      <c r="G12" s="17"/>
      <c r="H12" s="17"/>
      <c r="I12" s="17"/>
    </row>
    <row r="13" customFormat="false" ht="15" hidden="false" customHeight="false" outlineLevel="0" collapsed="false">
      <c r="A13" s="6"/>
      <c r="B13" s="18" t="s">
        <v>314</v>
      </c>
      <c r="C13" s="31" t="n">
        <f aca="false">Debt!C22</f>
        <v>0</v>
      </c>
      <c r="D13" s="31" t="n">
        <f aca="false">Debt!D22</f>
        <v>5889121.875</v>
      </c>
      <c r="E13" s="31" t="n">
        <f aca="false">Debt!E22</f>
        <v>5889121.875</v>
      </c>
      <c r="F13" s="31" t="n">
        <f aca="false">Debt!F22</f>
        <v>5876179.01419822</v>
      </c>
      <c r="G13" s="31" t="n">
        <f aca="false">Debt!G22</f>
        <v>8742992.53387754</v>
      </c>
      <c r="H13" s="31" t="n">
        <f aca="false">Debt!H22</f>
        <v>8487419.49773132</v>
      </c>
      <c r="I13" s="31" t="n">
        <f aca="false">Debt!I22</f>
        <v>8034687.82328422</v>
      </c>
    </row>
    <row r="14" customFormat="false" ht="15" hidden="false" customHeight="false" outlineLevel="0" collapsed="false">
      <c r="A14" s="6"/>
      <c r="B14" s="18" t="s">
        <v>315</v>
      </c>
      <c r="C14" s="31" t="n">
        <f aca="false">Debt!C25</f>
        <v>0</v>
      </c>
      <c r="D14" s="31" t="n">
        <f aca="false">Debt!D25</f>
        <v>0</v>
      </c>
      <c r="E14" s="31" t="n">
        <f aca="false">Debt!E25</f>
        <v>199120.935412009</v>
      </c>
      <c r="F14" s="31" t="n">
        <f aca="false">Debt!F25</f>
        <v>936053.182818109</v>
      </c>
      <c r="G14" s="31" t="n">
        <f aca="false">Debt!G25</f>
        <v>3931892.86378801</v>
      </c>
      <c r="H14" s="31" t="n">
        <f aca="false">Debt!H25</f>
        <v>6965102.68380163</v>
      </c>
      <c r="I14" s="31" t="n">
        <f aca="false">Debt!I25</f>
        <v>8541511.45617984</v>
      </c>
    </row>
    <row r="15" customFormat="false" ht="15" hidden="false" customHeight="false" outlineLevel="0" collapsed="false">
      <c r="A15" s="6"/>
      <c r="B15" s="32" t="s">
        <v>316</v>
      </c>
      <c r="C15" s="33" t="n">
        <f aca="false">C13+C14</f>
        <v>0</v>
      </c>
      <c r="D15" s="33" t="n">
        <f aca="false">D13+D14</f>
        <v>5889121.875</v>
      </c>
      <c r="E15" s="33" t="n">
        <f aca="false">E13+E14</f>
        <v>6088242.81041201</v>
      </c>
      <c r="F15" s="33" t="n">
        <f aca="false">F13+F14</f>
        <v>6812232.19701633</v>
      </c>
      <c r="G15" s="33" t="n">
        <f aca="false">G13+G14</f>
        <v>12674885.3976656</v>
      </c>
      <c r="H15" s="33" t="n">
        <f aca="false">H13+H14</f>
        <v>15452522.1815329</v>
      </c>
      <c r="I15" s="33" t="n">
        <f aca="false">I13+I14</f>
        <v>16576199.2794641</v>
      </c>
    </row>
    <row r="16" customFormat="false" ht="15" hidden="false" customHeight="false" outlineLevel="0" collapsed="false">
      <c r="A16" s="6"/>
      <c r="B16" s="16" t="s">
        <v>317</v>
      </c>
      <c r="C16" s="17"/>
      <c r="D16" s="17"/>
      <c r="E16" s="17"/>
      <c r="F16" s="17"/>
      <c r="G16" s="17"/>
      <c r="H16" s="17"/>
      <c r="I16" s="17"/>
    </row>
    <row r="17" customFormat="false" ht="15" hidden="false" customHeight="false" outlineLevel="0" collapsed="false">
      <c r="A17" s="6"/>
      <c r="B17" s="32" t="s">
        <v>318</v>
      </c>
      <c r="C17" s="34" t="n">
        <f aca="false">C11-C15</f>
        <v>0</v>
      </c>
      <c r="D17" s="34" t="n">
        <f aca="false">D11-D15</f>
        <v>1573016.83668</v>
      </c>
      <c r="E17" s="34" t="n">
        <f aca="false">E11-E15</f>
        <v>1826472.8431236</v>
      </c>
      <c r="F17" s="34" t="n">
        <f aca="false">F11-F15</f>
        <v>2043669.6591049</v>
      </c>
      <c r="G17" s="34" t="n">
        <f aca="false">G11-G15</f>
        <v>3802465.61929967</v>
      </c>
      <c r="H17" s="34" t="n">
        <f aca="false">H11-H15</f>
        <v>4635756.65445988</v>
      </c>
      <c r="I17" s="34" t="n">
        <f aca="false">I11-I15</f>
        <v>4972859.78383922</v>
      </c>
    </row>
    <row r="18" customFormat="false" ht="15" hidden="false" customHeight="false" outlineLevel="0" collapsed="false">
      <c r="A18" s="6"/>
      <c r="B18" s="16" t="s">
        <v>319</v>
      </c>
      <c r="C18" s="17"/>
      <c r="D18" s="17"/>
      <c r="E18" s="17"/>
      <c r="F18" s="17"/>
      <c r="G18" s="17"/>
      <c r="H18" s="17"/>
      <c r="I18" s="17"/>
    </row>
    <row r="19" customFormat="false" ht="15" hidden="false" customHeight="false" outlineLevel="0" collapsed="false">
      <c r="A19" s="6"/>
      <c r="B19" s="18" t="s">
        <v>320</v>
      </c>
      <c r="C19" s="31" t="n">
        <f aca="false">Debt!C32</f>
        <v>2851875</v>
      </c>
      <c r="D19" s="31" t="n">
        <f aca="false">Debt!D32</f>
        <v>92685.9375</v>
      </c>
      <c r="E19" s="31" t="n">
        <f aca="false">Debt!E32</f>
        <v>99560.4677060046</v>
      </c>
      <c r="F19" s="31" t="n">
        <f aca="false">Debt!F32</f>
        <v>361994.69330216</v>
      </c>
      <c r="G19" s="31" t="n">
        <f aca="false">Debt!G32</f>
        <v>2931326.60032461</v>
      </c>
      <c r="H19" s="31" t="n">
        <f aca="false">Debt!H32</f>
        <v>1388818.39193369</v>
      </c>
      <c r="I19" s="31" t="n">
        <f aca="false">Debt!I32</f>
        <v>561838.548965556</v>
      </c>
    </row>
    <row r="20" customFormat="false" ht="15" hidden="false" customHeight="false" outlineLevel="0" collapsed="false">
      <c r="A20" s="6"/>
      <c r="B20" s="18" t="s">
        <v>321</v>
      </c>
      <c r="C20" s="31" t="n">
        <f aca="false">C17-C19</f>
        <v>-2851875</v>
      </c>
      <c r="D20" s="31" t="n">
        <f aca="false">D17-D19</f>
        <v>1480330.89918</v>
      </c>
      <c r="E20" s="31" t="n">
        <f aca="false">E17-E19</f>
        <v>1726912.3754176</v>
      </c>
      <c r="F20" s="31" t="n">
        <f aca="false">F17-F19</f>
        <v>1681674.96580274</v>
      </c>
      <c r="G20" s="31" t="n">
        <f aca="false">G17-G19</f>
        <v>871139.018975054</v>
      </c>
      <c r="H20" s="31" t="n">
        <f aca="false">H17-H19</f>
        <v>3246938.26252619</v>
      </c>
      <c r="I20" s="31" t="n">
        <f aca="false">I17-I19</f>
        <v>4411021.23487366</v>
      </c>
    </row>
    <row r="21" customFormat="false" ht="15" hidden="false" customHeight="false" outlineLevel="0" collapsed="false">
      <c r="A21" s="6"/>
      <c r="B21" s="32" t="s">
        <v>322</v>
      </c>
      <c r="C21" s="34" t="n">
        <f aca="false">MAX(0,C20)*Timing!C13</f>
        <v>0</v>
      </c>
      <c r="D21" s="34" t="n">
        <f aca="false">MAX(0,D20)*Timing!D13</f>
        <v>1480330.89918</v>
      </c>
      <c r="E21" s="34" t="n">
        <f aca="false">MAX(0,E20)*Timing!E13</f>
        <v>1726912.3754176</v>
      </c>
      <c r="F21" s="34" t="n">
        <f aca="false">MAX(0,F20)*Timing!F13</f>
        <v>1681674.96580274</v>
      </c>
      <c r="G21" s="34" t="n">
        <f aca="false">MAX(0,G20)*Timing!G13</f>
        <v>871139.018975054</v>
      </c>
      <c r="H21" s="34" t="n">
        <f aca="false">MAX(0,H20)*Timing!H13</f>
        <v>3246938.26252619</v>
      </c>
      <c r="I21" s="34" t="n">
        <f aca="false">MAX(0,I20)*Timing!I13</f>
        <v>4411021.23487366</v>
      </c>
    </row>
    <row r="22" customFormat="false" ht="15" hidden="false" customHeight="false" outlineLevel="0" collapsed="false">
      <c r="A22" s="6"/>
      <c r="B22" s="6"/>
      <c r="C22" s="6"/>
      <c r="D22" s="6"/>
      <c r="E22" s="6"/>
      <c r="F22" s="6"/>
      <c r="G22" s="6"/>
      <c r="H22" s="6"/>
      <c r="I22" s="6"/>
    </row>
    <row r="23" customFormat="false" ht="15" hidden="false" customHeight="false" outlineLevel="0" collapsed="false">
      <c r="A23" s="6"/>
      <c r="B23" s="32" t="s">
        <v>323</v>
      </c>
      <c r="C23" s="40" t="n">
        <f aca="false">C21-Construction!C12-Construction!C28-Ops_Reserve</f>
        <v>-63601875</v>
      </c>
      <c r="D23" s="40" t="n">
        <f aca="false">D21-Construction!D12-Construction!D28</f>
        <v>1480330.89918</v>
      </c>
      <c r="E23" s="40" t="n">
        <f aca="false">E21-Construction!E12-Construction!E28</f>
        <v>-9648087.6245824</v>
      </c>
      <c r="F23" s="40" t="n">
        <f aca="false">F21-Construction!F12-Construction!F28</f>
        <v>-9693325.03419726</v>
      </c>
      <c r="G23" s="40" t="n">
        <f aca="false">G21-Construction!G12-Construction!G28</f>
        <v>871139.018975054</v>
      </c>
      <c r="H23" s="40" t="n">
        <f aca="false">H21-Construction!H12-Construction!H28</f>
        <v>3246938.26252619</v>
      </c>
      <c r="I23" s="40" t="n">
        <f aca="false">I21-Construction!I12-Construction!I28</f>
        <v>4411021.23487366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324</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325</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326</v>
      </c>
      <c r="C7" s="17"/>
      <c r="D7" s="17"/>
      <c r="E7" s="17"/>
      <c r="F7" s="17"/>
      <c r="G7" s="17"/>
      <c r="H7" s="17"/>
      <c r="I7" s="17"/>
    </row>
    <row r="8" customFormat="false" ht="15" hidden="false" customHeight="false" outlineLevel="0" collapsed="false">
      <c r="A8" s="6"/>
      <c r="B8" s="18" t="s">
        <v>327</v>
      </c>
      <c r="C8" s="31" t="n">
        <f aca="false">0</f>
        <v>0</v>
      </c>
      <c r="D8" s="31" t="n">
        <f aca="false">C13</f>
        <v>90601875</v>
      </c>
      <c r="E8" s="31" t="n">
        <f aca="false">D13</f>
        <v>90601875</v>
      </c>
      <c r="F8" s="31" t="n">
        <f aca="false">E13</f>
        <v>90402754.064588</v>
      </c>
      <c r="G8" s="31" t="n">
        <f aca="false">F13</f>
        <v>89648645.4243685</v>
      </c>
      <c r="H8" s="31" t="n">
        <f aca="false">G13</f>
        <v>87028057.9757664</v>
      </c>
      <c r="I8" s="31" t="n">
        <f aca="false">H13</f>
        <v>82385850.951384</v>
      </c>
    </row>
    <row r="9" customFormat="false" ht="15" hidden="false" customHeight="false" outlineLevel="0" collapsed="false">
      <c r="A9" s="6"/>
      <c r="B9" s="18" t="s">
        <v>328</v>
      </c>
      <c r="C9" s="31" t="n">
        <f aca="false">Construction!C13</f>
        <v>87750000</v>
      </c>
      <c r="D9" s="31" t="n">
        <f aca="false">Construction!D13</f>
        <v>0</v>
      </c>
      <c r="E9" s="31" t="n">
        <f aca="false">Construction!E13</f>
        <v>0</v>
      </c>
      <c r="F9" s="31" t="n">
        <f aca="false">Construction!F13</f>
        <v>0</v>
      </c>
      <c r="G9" s="31" t="n">
        <f aca="false">Construction!G13</f>
        <v>0</v>
      </c>
      <c r="H9" s="31" t="n">
        <f aca="false">Construction!H13</f>
        <v>0</v>
      </c>
      <c r="I9" s="31" t="n">
        <f aca="false">Construction!I13</f>
        <v>0</v>
      </c>
    </row>
    <row r="10" customFormat="false" ht="15" hidden="false" customHeight="false" outlineLevel="0" collapsed="false">
      <c r="A10" s="6"/>
      <c r="B10" s="18" t="s">
        <v>329</v>
      </c>
      <c r="C10" s="31" t="n">
        <f aca="false">Construction!C20</f>
        <v>2851875</v>
      </c>
      <c r="D10" s="31" t="n">
        <f aca="false">Construction!D20</f>
        <v>0</v>
      </c>
      <c r="E10" s="31" t="n">
        <f aca="false">Construction!E20</f>
        <v>0</v>
      </c>
      <c r="F10" s="31" t="n">
        <f aca="false">Construction!F20</f>
        <v>0</v>
      </c>
      <c r="G10" s="31" t="n">
        <f aca="false">Construction!G20</f>
        <v>0</v>
      </c>
      <c r="H10" s="31" t="n">
        <f aca="false">Construction!H20</f>
        <v>0</v>
      </c>
      <c r="I10" s="31" t="n">
        <f aca="false">Construction!I20</f>
        <v>0</v>
      </c>
    </row>
    <row r="11" customFormat="false" ht="15" hidden="false" customHeight="false" outlineLevel="0" collapsed="false">
      <c r="A11" s="6"/>
      <c r="B11" s="18" t="s">
        <v>296</v>
      </c>
      <c r="C11" s="31" t="n">
        <f aca="false">C8*All_In_Rate*Timing!C14</f>
        <v>0</v>
      </c>
      <c r="D11" s="31" t="n">
        <f aca="false">D8*All_In_Rate*Timing!D14</f>
        <v>5889121.875</v>
      </c>
      <c r="E11" s="31" t="n">
        <f aca="false">E8*All_In_Rate*Timing!E14</f>
        <v>5889121.875</v>
      </c>
      <c r="F11" s="31" t="n">
        <f aca="false">F8*All_In_Rate*Timing!F14</f>
        <v>5876179.01419822</v>
      </c>
      <c r="G11" s="31" t="n">
        <f aca="false">G8*All_In_Rate*Timing!G14</f>
        <v>5827161.95258395</v>
      </c>
      <c r="H11" s="31" t="n">
        <f aca="false">H8*All_In_Rate*Timing!H14</f>
        <v>5656823.76842481</v>
      </c>
      <c r="I11" s="31" t="n">
        <f aca="false">I8*All_In_Rate*Timing!I14</f>
        <v>5355080.31183996</v>
      </c>
    </row>
    <row r="12" customFormat="false" ht="15" hidden="false" customHeight="false" outlineLevel="0" collapsed="false">
      <c r="A12" s="6"/>
      <c r="B12" s="18" t="s">
        <v>330</v>
      </c>
      <c r="C12" s="31" t="n">
        <f aca="false">IF(C8+C15&gt;0,C25*C8/(C8+C15),0)</f>
        <v>0</v>
      </c>
      <c r="D12" s="31" t="n">
        <f aca="false">IF(D8+D15&gt;0,D25*D8/(D8+D15),0)</f>
        <v>0</v>
      </c>
      <c r="E12" s="31" t="n">
        <f aca="false">IF(E8+E15&gt;0,E25*E8/(E8+E15),0)</f>
        <v>199120.935412009</v>
      </c>
      <c r="F12" s="31" t="n">
        <f aca="false">IF(F8+F15&gt;0,F25*F8/(F8+F15),0)</f>
        <v>754108.640219486</v>
      </c>
      <c r="G12" s="31" t="n">
        <f aca="false">IF(G8+G15&gt;0,G25*G8/(G8+G15),0)</f>
        <v>2620587.44860216</v>
      </c>
      <c r="H12" s="31" t="n">
        <f aca="false">IF(H8+H15&gt;0,H25*H8/(H8+H15),0)</f>
        <v>4642207.0243824</v>
      </c>
      <c r="I12" s="31" t="n">
        <f aca="false">IF(I8+I15&gt;0,I25*I8/(I8+I15),0)</f>
        <v>5692875.79534701</v>
      </c>
    </row>
    <row r="13" customFormat="false" ht="15" hidden="false" customHeight="false" outlineLevel="0" collapsed="false">
      <c r="A13" s="6"/>
      <c r="B13" s="32" t="s">
        <v>331</v>
      </c>
      <c r="C13" s="33" t="n">
        <f aca="false">C8+C9+C10-C12</f>
        <v>90601875</v>
      </c>
      <c r="D13" s="33" t="n">
        <f aca="false">D8+D9+D10-D12</f>
        <v>90601875</v>
      </c>
      <c r="E13" s="33" t="n">
        <f aca="false">E8+E9+E10-E12</f>
        <v>90402754.064588</v>
      </c>
      <c r="F13" s="33" t="n">
        <f aca="false">F8+F9+F10-F12</f>
        <v>89648645.4243685</v>
      </c>
      <c r="G13" s="33" t="n">
        <f aca="false">G8+G9+G10-G12</f>
        <v>87028057.9757664</v>
      </c>
      <c r="H13" s="33" t="n">
        <f aca="false">H8+H9+H10-H12</f>
        <v>82385850.951384</v>
      </c>
      <c r="I13" s="33" t="n">
        <f aca="false">I8+I9+I10-I12</f>
        <v>76692975.1560369</v>
      </c>
    </row>
    <row r="14" customFormat="false" ht="15" hidden="false" customHeight="false" outlineLevel="0" collapsed="false">
      <c r="A14" s="6"/>
      <c r="B14" s="16" t="s">
        <v>332</v>
      </c>
      <c r="C14" s="17"/>
      <c r="D14" s="17"/>
      <c r="E14" s="17"/>
      <c r="F14" s="17"/>
      <c r="G14" s="17"/>
      <c r="H14" s="17"/>
      <c r="I14" s="17"/>
    </row>
    <row r="15" customFormat="false" ht="15" hidden="false" customHeight="false" outlineLevel="0" collapsed="false">
      <c r="A15" s="6"/>
      <c r="B15" s="18" t="s">
        <v>327</v>
      </c>
      <c r="C15" s="31" t="n">
        <f aca="false">0</f>
        <v>0</v>
      </c>
      <c r="D15" s="31" t="n">
        <f aca="false">C20</f>
        <v>0</v>
      </c>
      <c r="E15" s="31" t="n">
        <f aca="false">D20</f>
        <v>0</v>
      </c>
      <c r="F15" s="31" t="n">
        <f aca="false">E20</f>
        <v>21811562.5</v>
      </c>
      <c r="G15" s="31" t="n">
        <f aca="false">F20</f>
        <v>44858932.0199014</v>
      </c>
      <c r="H15" s="31" t="n">
        <f aca="false">G20</f>
        <v>43547626.6047155</v>
      </c>
      <c r="I15" s="31" t="n">
        <f aca="false">H20</f>
        <v>41224730.9452963</v>
      </c>
    </row>
    <row r="16" customFormat="false" ht="15" hidden="false" customHeight="false" outlineLevel="0" collapsed="false">
      <c r="A16" s="6"/>
      <c r="B16" s="18" t="s">
        <v>328</v>
      </c>
      <c r="C16" s="31" t="n">
        <f aca="false">Construction!C14</f>
        <v>0</v>
      </c>
      <c r="D16" s="31" t="n">
        <f aca="false">Construction!D14</f>
        <v>0</v>
      </c>
      <c r="E16" s="31" t="n">
        <f aca="false">Construction!E14</f>
        <v>21125000</v>
      </c>
      <c r="F16" s="31" t="n">
        <f aca="false">Construction!F14</f>
        <v>21125000</v>
      </c>
      <c r="G16" s="31" t="n">
        <f aca="false">Construction!G14</f>
        <v>0</v>
      </c>
      <c r="H16" s="31" t="n">
        <f aca="false">Construction!H14</f>
        <v>0</v>
      </c>
      <c r="I16" s="31" t="n">
        <f aca="false">Construction!I14</f>
        <v>0</v>
      </c>
    </row>
    <row r="17" customFormat="false" ht="15" hidden="false" customHeight="false" outlineLevel="0" collapsed="false">
      <c r="A17" s="6"/>
      <c r="B17" s="18" t="s">
        <v>329</v>
      </c>
      <c r="C17" s="31" t="n">
        <f aca="false">Construction!C21</f>
        <v>0</v>
      </c>
      <c r="D17" s="31" t="n">
        <f aca="false">Construction!D21</f>
        <v>0</v>
      </c>
      <c r="E17" s="31" t="n">
        <f aca="false">Construction!E21</f>
        <v>686562.5</v>
      </c>
      <c r="F17" s="31" t="n">
        <f aca="false">Construction!F21</f>
        <v>2104314.0625</v>
      </c>
      <c r="G17" s="31" t="n">
        <f aca="false">Construction!G21</f>
        <v>0</v>
      </c>
      <c r="H17" s="31" t="n">
        <f aca="false">Construction!H21</f>
        <v>0</v>
      </c>
      <c r="I17" s="31" t="n">
        <f aca="false">Construction!I21</f>
        <v>0</v>
      </c>
    </row>
    <row r="18" customFormat="false" ht="15" hidden="false" customHeight="false" outlineLevel="0" collapsed="false">
      <c r="A18" s="6"/>
      <c r="B18" s="18" t="s">
        <v>296</v>
      </c>
      <c r="C18" s="31" t="n">
        <f aca="false">C15*All_In_Rate*Timing!C15</f>
        <v>0</v>
      </c>
      <c r="D18" s="31" t="n">
        <f aca="false">D15*All_In_Rate*Timing!D15</f>
        <v>0</v>
      </c>
      <c r="E18" s="31" t="n">
        <f aca="false">E15*All_In_Rate*Timing!E15</f>
        <v>0</v>
      </c>
      <c r="F18" s="31" t="n">
        <f aca="false">F15*All_In_Rate*Timing!F15</f>
        <v>0</v>
      </c>
      <c r="G18" s="31" t="n">
        <f aca="false">G15*All_In_Rate*Timing!G15</f>
        <v>2915830.58129359</v>
      </c>
      <c r="H18" s="31" t="n">
        <f aca="false">H15*All_In_Rate*Timing!H15</f>
        <v>2830595.72930651</v>
      </c>
      <c r="I18" s="31" t="n">
        <f aca="false">I15*All_In_Rate*Timing!I15</f>
        <v>2679607.51144426</v>
      </c>
    </row>
    <row r="19" customFormat="false" ht="15" hidden="false" customHeight="false" outlineLevel="0" collapsed="false">
      <c r="A19" s="6"/>
      <c r="B19" s="18" t="s">
        <v>330</v>
      </c>
      <c r="C19" s="31" t="n">
        <f aca="false">IF(C8+C15&gt;0,C25*C15/(C8+C15),0)</f>
        <v>0</v>
      </c>
      <c r="D19" s="31" t="n">
        <f aca="false">IF(D8+D15&gt;0,D25*D15/(D8+D15),0)</f>
        <v>0</v>
      </c>
      <c r="E19" s="31" t="n">
        <f aca="false">IF(E8+E15&gt;0,E25*E15/(E8+E15),0)</f>
        <v>0</v>
      </c>
      <c r="F19" s="31" t="n">
        <f aca="false">IF(F8+F15&gt;0,F25*F15/(F8+F15),0)</f>
        <v>181944.542598624</v>
      </c>
      <c r="G19" s="31" t="n">
        <f aca="false">IF(G8+G15&gt;0,G25*G15/(G8+G15),0)</f>
        <v>1311305.41518586</v>
      </c>
      <c r="H19" s="31" t="n">
        <f aca="false">IF(H8+H15&gt;0,H25*H15/(H8+H15),0)</f>
        <v>2322895.65941922</v>
      </c>
      <c r="I19" s="31" t="n">
        <f aca="false">IF(I8+I15&gt;0,I25*I15/(I8+I15),0)</f>
        <v>2848635.66083283</v>
      </c>
    </row>
    <row r="20" customFormat="false" ht="15" hidden="false" customHeight="false" outlineLevel="0" collapsed="false">
      <c r="A20" s="6"/>
      <c r="B20" s="32" t="s">
        <v>331</v>
      </c>
      <c r="C20" s="33" t="n">
        <f aca="false">C15+C16+C17-C19</f>
        <v>0</v>
      </c>
      <c r="D20" s="33" t="n">
        <f aca="false">D15+D16+D17-D19</f>
        <v>0</v>
      </c>
      <c r="E20" s="33" t="n">
        <f aca="false">E15+E16+E17-E19</f>
        <v>21811562.5</v>
      </c>
      <c r="F20" s="33" t="n">
        <f aca="false">F15+F16+F17-F19</f>
        <v>44858932.0199014</v>
      </c>
      <c r="G20" s="33" t="n">
        <f aca="false">G15+G16+G17-G19</f>
        <v>43547626.6047155</v>
      </c>
      <c r="H20" s="33" t="n">
        <f aca="false">H15+H16+H17-H19</f>
        <v>41224730.9452963</v>
      </c>
      <c r="I20" s="33" t="n">
        <f aca="false">I15+I16+I17-I19</f>
        <v>38376095.2844635</v>
      </c>
    </row>
    <row r="21" customFormat="false" ht="15" hidden="false" customHeight="false" outlineLevel="0" collapsed="false">
      <c r="A21" s="6"/>
      <c r="B21" s="16" t="s">
        <v>333</v>
      </c>
      <c r="C21" s="17"/>
      <c r="D21" s="17"/>
      <c r="E21" s="17"/>
      <c r="F21" s="17"/>
      <c r="G21" s="17"/>
      <c r="H21" s="17"/>
      <c r="I21" s="17"/>
    </row>
    <row r="22" customFormat="false" ht="15" hidden="false" customHeight="false" outlineLevel="0" collapsed="false">
      <c r="A22" s="6"/>
      <c r="B22" s="32" t="s">
        <v>334</v>
      </c>
      <c r="C22" s="34" t="n">
        <f aca="false">C11+C18</f>
        <v>0</v>
      </c>
      <c r="D22" s="34" t="n">
        <f aca="false">D11+D18</f>
        <v>5889121.875</v>
      </c>
      <c r="E22" s="34" t="n">
        <f aca="false">E11+E18</f>
        <v>5889121.875</v>
      </c>
      <c r="F22" s="34" t="n">
        <f aca="false">F11+F18</f>
        <v>5876179.01419822</v>
      </c>
      <c r="G22" s="34" t="n">
        <f aca="false">G11+G18</f>
        <v>8742992.53387754</v>
      </c>
      <c r="H22" s="34" t="n">
        <f aca="false">H11+H18</f>
        <v>8487419.49773132</v>
      </c>
      <c r="I22" s="34" t="n">
        <f aca="false">I11+I18</f>
        <v>8034687.82328422</v>
      </c>
    </row>
    <row r="23" customFormat="false" ht="15" hidden="false" customHeight="false" outlineLevel="0" collapsed="false">
      <c r="A23" s="6"/>
      <c r="B23" s="18" t="s">
        <v>312</v>
      </c>
      <c r="C23" s="31" t="n">
        <f aca="false">Waterfall!C11</f>
        <v>0</v>
      </c>
      <c r="D23" s="31" t="n">
        <f aca="false">Waterfall!D11</f>
        <v>7462138.71168</v>
      </c>
      <c r="E23" s="31" t="n">
        <f aca="false">Waterfall!E11</f>
        <v>7914715.65353561</v>
      </c>
      <c r="F23" s="31" t="n">
        <f aca="false">Waterfall!F11</f>
        <v>8855901.85612123</v>
      </c>
      <c r="G23" s="31" t="n">
        <f aca="false">Waterfall!G11</f>
        <v>16477351.0169652</v>
      </c>
      <c r="H23" s="31" t="n">
        <f aca="false">Waterfall!H11</f>
        <v>20088278.8359928</v>
      </c>
      <c r="I23" s="31" t="n">
        <f aca="false">Waterfall!I11</f>
        <v>21549059.0633033</v>
      </c>
    </row>
    <row r="24" customFormat="false" ht="15" hidden="false" customHeight="false" outlineLevel="0" collapsed="false">
      <c r="A24" s="6"/>
      <c r="B24" s="18" t="s">
        <v>335</v>
      </c>
      <c r="C24" s="31" t="n">
        <f aca="false">IF(Timing!C16=1,C23/Target_DSCR,0)</f>
        <v>0</v>
      </c>
      <c r="D24" s="31" t="n">
        <f aca="false">IF(Timing!D16=1,D23/Target_DSCR,0)</f>
        <v>5740106.70129231</v>
      </c>
      <c r="E24" s="31" t="n">
        <f aca="false">IF(Timing!E16=1,E23/Target_DSCR,0)</f>
        <v>6088242.81041201</v>
      </c>
      <c r="F24" s="31" t="n">
        <f aca="false">IF(Timing!F16=1,F23/Target_DSCR,0)</f>
        <v>6812232.19701633</v>
      </c>
      <c r="G24" s="31" t="n">
        <f aca="false">IF(Timing!G16=1,G23/Target_DSCR,0)</f>
        <v>12674885.3976656</v>
      </c>
      <c r="H24" s="31" t="n">
        <f aca="false">IF(Timing!H16=1,H23/Target_DSCR,0)</f>
        <v>15452522.1815329</v>
      </c>
      <c r="I24" s="31" t="n">
        <f aca="false">IF(Timing!I16=1,I23/Target_DSCR,0)</f>
        <v>16576199.2794641</v>
      </c>
    </row>
    <row r="25" customFormat="false" ht="15" hidden="false" customHeight="false" outlineLevel="0" collapsed="false">
      <c r="A25" s="6"/>
      <c r="B25" s="18" t="s">
        <v>336</v>
      </c>
      <c r="C25" s="31" t="n">
        <f aca="false">MIN(C8+C15,MAX(0,C24-C22))</f>
        <v>0</v>
      </c>
      <c r="D25" s="31" t="n">
        <f aca="false">MIN(D8+D15,MAX(0,D24-D22))</f>
        <v>0</v>
      </c>
      <c r="E25" s="31" t="n">
        <f aca="false">MIN(E8+E15,MAX(0,E24-E22))</f>
        <v>199120.935412009</v>
      </c>
      <c r="F25" s="31" t="n">
        <f aca="false">MIN(F8+F15,MAX(0,F24-F22))</f>
        <v>936053.182818109</v>
      </c>
      <c r="G25" s="31" t="n">
        <f aca="false">MIN(G8+G15,MAX(0,G24-G22))</f>
        <v>3931892.86378801</v>
      </c>
      <c r="H25" s="31" t="n">
        <f aca="false">MIN(H8+H15,MAX(0,H24-H22))</f>
        <v>6965102.68380163</v>
      </c>
      <c r="I25" s="31" t="n">
        <f aca="false">MIN(I8+I15,MAX(0,I24-I22))</f>
        <v>8541511.45617984</v>
      </c>
    </row>
    <row r="26" customFormat="false" ht="15" hidden="false" customHeight="false" outlineLevel="0" collapsed="false">
      <c r="A26" s="6"/>
      <c r="B26" s="32" t="s">
        <v>316</v>
      </c>
      <c r="C26" s="33" t="n">
        <f aca="false">C22+C25</f>
        <v>0</v>
      </c>
      <c r="D26" s="33" t="n">
        <f aca="false">D22+D25</f>
        <v>5889121.875</v>
      </c>
      <c r="E26" s="33" t="n">
        <f aca="false">E22+E25</f>
        <v>6088242.81041201</v>
      </c>
      <c r="F26" s="33" t="n">
        <f aca="false">F22+F25</f>
        <v>6812232.19701633</v>
      </c>
      <c r="G26" s="33" t="n">
        <f aca="false">G22+G25</f>
        <v>12674885.3976656</v>
      </c>
      <c r="H26" s="33" t="n">
        <f aca="false">H22+H25</f>
        <v>15452522.1815329</v>
      </c>
      <c r="I26" s="33" t="n">
        <f aca="false">I22+I25</f>
        <v>16576199.2794641</v>
      </c>
    </row>
    <row r="27" customFormat="false" ht="15" hidden="false" customHeight="false" outlineLevel="0" collapsed="false">
      <c r="A27" s="6"/>
      <c r="B27" s="32" t="s">
        <v>337</v>
      </c>
      <c r="C27" s="34" t="n">
        <f aca="false">C13+C20</f>
        <v>90601875</v>
      </c>
      <c r="D27" s="34" t="n">
        <f aca="false">D13+D20</f>
        <v>90601875</v>
      </c>
      <c r="E27" s="34" t="n">
        <f aca="false">E13+E20</f>
        <v>112214316.564588</v>
      </c>
      <c r="F27" s="34" t="n">
        <f aca="false">F13+F20</f>
        <v>134507577.44427</v>
      </c>
      <c r="G27" s="34" t="n">
        <f aca="false">G13+G20</f>
        <v>130575684.580482</v>
      </c>
      <c r="H27" s="34" t="n">
        <f aca="false">H13+H20</f>
        <v>123610581.89668</v>
      </c>
      <c r="I27" s="34" t="n">
        <f aca="false">I13+I20</f>
        <v>115069070.4405</v>
      </c>
    </row>
    <row r="28" customFormat="false" ht="15" hidden="false" customHeight="false" outlineLevel="0" collapsed="false">
      <c r="A28" s="6"/>
      <c r="B28" s="18" t="s">
        <v>338</v>
      </c>
      <c r="C28" s="41" t="n">
        <f aca="false">IF(C26&gt;0,C23/C26,0)</f>
        <v>0</v>
      </c>
      <c r="D28" s="41" t="n">
        <f aca="false">IF(D26&gt;0,D23/D26,0)</f>
        <v>1.26710549892975</v>
      </c>
      <c r="E28" s="41" t="n">
        <f aca="false">IF(E26&gt;0,E23/E26,0)</f>
        <v>1.3</v>
      </c>
      <c r="F28" s="41" t="n">
        <f aca="false">IF(F26&gt;0,F23/F26,0)</f>
        <v>1.3</v>
      </c>
      <c r="G28" s="41" t="n">
        <f aca="false">IF(G26&gt;0,G23/G26,0)</f>
        <v>1.3</v>
      </c>
      <c r="H28" s="41" t="n">
        <f aca="false">IF(H26&gt;0,H23/H26,0)</f>
        <v>1.3</v>
      </c>
      <c r="I28" s="41" t="n">
        <f aca="false">IF(I26&gt;0,I23/I26,0)</f>
        <v>1.3</v>
      </c>
    </row>
    <row r="29" customFormat="false" ht="15" hidden="false" customHeight="false" outlineLevel="0" collapsed="false">
      <c r="A29" s="6"/>
      <c r="B29" s="16" t="s">
        <v>339</v>
      </c>
      <c r="C29" s="17"/>
      <c r="D29" s="17"/>
      <c r="E29" s="17"/>
      <c r="F29" s="17"/>
      <c r="G29" s="17"/>
      <c r="H29" s="17"/>
      <c r="I29" s="17"/>
    </row>
    <row r="30" customFormat="false" ht="15" hidden="false" customHeight="false" outlineLevel="0" collapsed="false">
      <c r="A30" s="6"/>
      <c r="B30" s="18" t="s">
        <v>340</v>
      </c>
      <c r="C30" s="31" t="n">
        <f aca="false">Con_DSRA_Seed</f>
        <v>2851875</v>
      </c>
      <c r="D30" s="31" t="n">
        <f aca="false">IF(D27&gt;0,DSRA_Months/12*D26,0)</f>
        <v>2944560.9375</v>
      </c>
      <c r="E30" s="31" t="n">
        <f aca="false">IF(E27&gt;0,DSRA_Months/12*E26,0)</f>
        <v>3044121.405206</v>
      </c>
      <c r="F30" s="31" t="n">
        <f aca="false">IF(F27&gt;0,DSRA_Months/12*F26,0)</f>
        <v>3406116.09850816</v>
      </c>
      <c r="G30" s="31" t="n">
        <f aca="false">IF(G27&gt;0,DSRA_Months/12*G26,0)</f>
        <v>6337442.69883278</v>
      </c>
      <c r="H30" s="31" t="n">
        <f aca="false">IF(H27&gt;0,DSRA_Months/12*H26,0)</f>
        <v>7726261.09076647</v>
      </c>
      <c r="I30" s="31" t="n">
        <f aca="false">IF(I27&gt;0,DSRA_Months/12*I26,0)</f>
        <v>8288099.63973203</v>
      </c>
    </row>
    <row r="31" customFormat="false" ht="15" hidden="false" customHeight="false" outlineLevel="0" collapsed="false">
      <c r="A31" s="6"/>
      <c r="B31" s="18" t="s">
        <v>341</v>
      </c>
      <c r="C31" s="31" t="n">
        <f aca="false">0</f>
        <v>0</v>
      </c>
      <c r="D31" s="31" t="n">
        <f aca="false">C33</f>
        <v>2851875</v>
      </c>
      <c r="E31" s="31" t="n">
        <f aca="false">D33</f>
        <v>2944560.9375</v>
      </c>
      <c r="F31" s="31" t="n">
        <f aca="false">E33</f>
        <v>3044121.405206</v>
      </c>
      <c r="G31" s="31" t="n">
        <f aca="false">F33</f>
        <v>3406116.09850816</v>
      </c>
      <c r="H31" s="31" t="n">
        <f aca="false">G33</f>
        <v>6337442.69883278</v>
      </c>
      <c r="I31" s="31" t="n">
        <f aca="false">H33</f>
        <v>7726261.09076647</v>
      </c>
    </row>
    <row r="32" customFormat="false" ht="15" hidden="false" customHeight="false" outlineLevel="0" collapsed="false">
      <c r="A32" s="6"/>
      <c r="B32" s="18" t="s">
        <v>342</v>
      </c>
      <c r="C32" s="31" t="n">
        <f aca="false">C30-C31</f>
        <v>2851875</v>
      </c>
      <c r="D32" s="31" t="n">
        <f aca="false">D30-D31</f>
        <v>92685.9375</v>
      </c>
      <c r="E32" s="31" t="n">
        <f aca="false">E30-E31</f>
        <v>99560.4677060046</v>
      </c>
      <c r="F32" s="31" t="n">
        <f aca="false">F30-F31</f>
        <v>361994.69330216</v>
      </c>
      <c r="G32" s="31" t="n">
        <f aca="false">G30-G31</f>
        <v>2931326.60032461</v>
      </c>
      <c r="H32" s="31" t="n">
        <f aca="false">H30-H31</f>
        <v>1388818.39193369</v>
      </c>
      <c r="I32" s="31" t="n">
        <f aca="false">I30-I31</f>
        <v>561838.548965556</v>
      </c>
    </row>
    <row r="33" customFormat="false" ht="15" hidden="false" customHeight="false" outlineLevel="0" collapsed="false">
      <c r="A33" s="6"/>
      <c r="B33" s="32" t="s">
        <v>343</v>
      </c>
      <c r="C33" s="33" t="n">
        <f aca="false">C31+C32</f>
        <v>2851875</v>
      </c>
      <c r="D33" s="33" t="n">
        <f aca="false">D31+D32</f>
        <v>2944560.9375</v>
      </c>
      <c r="E33" s="33" t="n">
        <f aca="false">E31+E32</f>
        <v>3044121.405206</v>
      </c>
      <c r="F33" s="33" t="n">
        <f aca="false">F31+F32</f>
        <v>3406116.09850816</v>
      </c>
      <c r="G33" s="33" t="n">
        <f aca="false">G31+G32</f>
        <v>6337442.69883278</v>
      </c>
      <c r="H33" s="33" t="n">
        <f aca="false">H31+H32</f>
        <v>7726261.09076647</v>
      </c>
      <c r="I33" s="33" t="n">
        <f aca="false">I31+I32</f>
        <v>8288099.63973203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344</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345</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346</v>
      </c>
      <c r="C7" s="17"/>
      <c r="D7" s="17"/>
      <c r="E7" s="17"/>
      <c r="F7" s="17"/>
      <c r="G7" s="17"/>
      <c r="H7" s="17"/>
      <c r="I7" s="17"/>
    </row>
    <row r="8" customFormat="false" ht="15" hidden="false" customHeight="false" outlineLevel="0" collapsed="false">
      <c r="A8" s="6"/>
      <c r="B8" s="18" t="s">
        <v>347</v>
      </c>
      <c r="C8" s="31" t="n">
        <f aca="false">Opex!C27-Capex_Depr!C23-Debt!C22-Tax!C21</f>
        <v>0</v>
      </c>
      <c r="D8" s="31" t="n">
        <f aca="false">Opex!D27-Capex_Depr!D23-Debt!D22-Tax!D21</f>
        <v>-4452241.4633581</v>
      </c>
      <c r="E8" s="31" t="n">
        <f aca="false">Opex!E27-Capex_Depr!E23-Debt!E22-Tax!E21</f>
        <v>-4026679.64095281</v>
      </c>
      <c r="F8" s="31" t="n">
        <f aca="false">Opex!F27-Capex_Depr!F23-Debt!F22-Tax!F21</f>
        <v>-3094818.23321189</v>
      </c>
      <c r="G8" s="31" t="n">
        <f aca="false">Opex!G27-Capex_Depr!G23-Debt!G22-Tax!G21</f>
        <v>-4497295.26816515</v>
      </c>
      <c r="H8" s="31" t="n">
        <f aca="false">Opex!H27-Capex_Depr!H23-Debt!H22-Tax!H21</f>
        <v>-615255.164678467</v>
      </c>
      <c r="I8" s="31" t="n">
        <f aca="false">Opex!I27-Capex_Depr!I23-Debt!I22-Tax!I21</f>
        <v>1198696.0778308</v>
      </c>
    </row>
    <row r="9" customFormat="false" ht="15" hidden="false" customHeight="false" outlineLevel="0" collapsed="false">
      <c r="A9" s="6"/>
      <c r="B9" s="18" t="s">
        <v>348</v>
      </c>
      <c r="C9" s="31" t="n">
        <f aca="false">Capex_Depr!C23</f>
        <v>0</v>
      </c>
      <c r="D9" s="31" t="n">
        <f aca="false">Capex_Depr!D23</f>
        <v>6481901.3944381</v>
      </c>
      <c r="E9" s="31" t="n">
        <f aca="false">Capex_Depr!E23</f>
        <v>6553506.05692971</v>
      </c>
      <c r="F9" s="31" t="n">
        <f aca="false">Capex_Depr!F23</f>
        <v>6633333.55389551</v>
      </c>
      <c r="G9" s="31" t="n">
        <f aca="false">Capex_Depr!G23</f>
        <v>13186391.2987804</v>
      </c>
      <c r="H9" s="31" t="n">
        <f aca="false">Capex_Depr!H23</f>
        <v>13348104.0980871</v>
      </c>
      <c r="I9" s="31" t="n">
        <f aca="false">Capex_Depr!I23</f>
        <v>13520175.5874036</v>
      </c>
    </row>
    <row r="10" customFormat="false" ht="15" hidden="false" customHeight="false" outlineLevel="0" collapsed="false">
      <c r="A10" s="6"/>
      <c r="B10" s="18" t="s">
        <v>349</v>
      </c>
      <c r="C10" s="31" t="n">
        <f aca="false">-(Revenue!C21*DSO_Days/365*Timing!C13)</f>
        <v>-0</v>
      </c>
      <c r="D10" s="31" t="n">
        <f aca="false">-(Revenue!D21*DSO_Days/365*Timing!D13-(Revenue!C21*DSO_Days/365*Timing!C13))</f>
        <v>-1751507.75934247</v>
      </c>
      <c r="E10" s="31" t="n">
        <f aca="false">-(Revenue!E21*DSO_Days/365*Timing!E13-(Revenue!D21*DSO_Days/365*Timing!D13))</f>
        <v>-171028.384267923</v>
      </c>
      <c r="F10" s="31" t="n">
        <f aca="false">-(Revenue!F21*DSO_Days/365*Timing!F13-(Revenue!E21*DSO_Days/365*Timing!E13))</f>
        <v>-220777.473553609</v>
      </c>
      <c r="G10" s="31" t="n">
        <f aca="false">-(Revenue!G21*DSO_Days/365*Timing!G13-(Revenue!F21*DSO_Days/365*Timing!F13))</f>
        <v>-1518693.41444857</v>
      </c>
      <c r="H10" s="31" t="n">
        <f aca="false">-(Revenue!H21*DSO_Days/365*Timing!H13-(Revenue!G21*DSO_Days/365*Timing!G13))</f>
        <v>-679870.867582026</v>
      </c>
      <c r="I10" s="31" t="n">
        <f aca="false">-(Revenue!I21*DSO_Days/365*Timing!I13-(Revenue!H21*DSO_Days/365*Timing!H13))</f>
        <v>-278123.731768425</v>
      </c>
    </row>
    <row r="11" customFormat="false" ht="15" hidden="false" customHeight="false" outlineLevel="0" collapsed="false">
      <c r="A11" s="6"/>
      <c r="B11" s="18" t="s">
        <v>350</v>
      </c>
      <c r="C11" s="31" t="n">
        <f aca="false">+((Opex!C8+Opex!C17)*DPO_Days/365*Timing!C13)</f>
        <v>0</v>
      </c>
      <c r="D11" s="31" t="n">
        <f aca="false">+((Opex!D8+Opex!D17)*DPO_Days/365*Timing!D13-((Opex!C8+Opex!C17)*DPO_Days/365*Timing!C13))</f>
        <v>1019134.48177973</v>
      </c>
      <c r="E11" s="31" t="n">
        <f aca="false">+((Opex!E8+Opex!E17)*DPO_Days/365*Timing!E13-((Opex!D8+Opex!D17)*DPO_Days/365*Timing!D13))</f>
        <v>109734.900150607</v>
      </c>
      <c r="F11" s="31" t="n">
        <f aca="false">+((Opex!F8+Opex!F17)*DPO_Days/365*Timing!F13-((Opex!E8+Opex!E17)*DPO_Days/365*Timing!E13))</f>
        <v>109300.914586537</v>
      </c>
      <c r="G11" s="31" t="n">
        <f aca="false">+((Opex!G8+Opex!G17)*DPO_Days/365*Timing!G13-((Opex!F8+Opex!F17)*DPO_Days/365*Timing!F13))</f>
        <v>886055.72190902</v>
      </c>
      <c r="H11" s="31" t="n">
        <f aca="false">+((Opex!H8+Opex!H17)*DPO_Days/365*Timing!H13-((Opex!G8+Opex!G17)*DPO_Days/365*Timing!G13))</f>
        <v>372119.025445326</v>
      </c>
      <c r="I11" s="31" t="n">
        <f aca="false">+((Opex!I8+Opex!I17)*DPO_Days/365*Timing!I13-((Opex!H8+Opex!H17)*DPO_Days/365*Timing!H13))</f>
        <v>154248.26513919</v>
      </c>
    </row>
    <row r="12" customFormat="false" ht="15" hidden="false" customHeight="false" outlineLevel="0" collapsed="false">
      <c r="A12" s="6"/>
      <c r="B12" s="32" t="s">
        <v>351</v>
      </c>
      <c r="C12" s="33" t="n">
        <f aca="false">C8+C9+C10+C11</f>
        <v>0</v>
      </c>
      <c r="D12" s="33" t="n">
        <f aca="false">D8+D9+D10+D11</f>
        <v>1297286.65351726</v>
      </c>
      <c r="E12" s="33" t="n">
        <f aca="false">E8+E9+E10+E11</f>
        <v>2465532.93185958</v>
      </c>
      <c r="F12" s="33" t="n">
        <f aca="false">F8+F9+F10+F11</f>
        <v>3427038.76171655</v>
      </c>
      <c r="G12" s="33" t="n">
        <f aca="false">G8+G9+G10+G11</f>
        <v>8056458.3380757</v>
      </c>
      <c r="H12" s="33" t="n">
        <f aca="false">H8+H9+H10+H11</f>
        <v>12425097.091272</v>
      </c>
      <c r="I12" s="33" t="n">
        <f aca="false">I8+I9+I10+I11</f>
        <v>14594996.1986052</v>
      </c>
    </row>
    <row r="13" customFormat="false" ht="15" hidden="false" customHeight="false" outlineLevel="0" collapsed="false">
      <c r="A13" s="6"/>
      <c r="B13" s="16" t="s">
        <v>352</v>
      </c>
      <c r="C13" s="17"/>
      <c r="D13" s="17"/>
      <c r="E13" s="17"/>
      <c r="F13" s="17"/>
      <c r="G13" s="17"/>
      <c r="H13" s="17"/>
      <c r="I13" s="17"/>
    </row>
    <row r="14" customFormat="false" ht="15" hidden="false" customHeight="false" outlineLevel="0" collapsed="false">
      <c r="A14" s="6"/>
      <c r="B14" s="18" t="s">
        <v>353</v>
      </c>
      <c r="C14" s="31" t="n">
        <f aca="false">-Construction!C10</f>
        <v>-135000000</v>
      </c>
      <c r="D14" s="31" t="n">
        <f aca="false">-Construction!D10</f>
        <v>-0</v>
      </c>
      <c r="E14" s="31" t="n">
        <f aca="false">-Construction!E10</f>
        <v>-32500000</v>
      </c>
      <c r="F14" s="31" t="n">
        <f aca="false">-Construction!F10</f>
        <v>-32500000</v>
      </c>
      <c r="G14" s="31" t="n">
        <f aca="false">-Construction!G10</f>
        <v>-0</v>
      </c>
      <c r="H14" s="31" t="n">
        <f aca="false">-Construction!H10</f>
        <v>-0</v>
      </c>
      <c r="I14" s="31" t="n">
        <f aca="false">-Construction!I10</f>
        <v>-0</v>
      </c>
    </row>
    <row r="15" customFormat="false" ht="15" hidden="false" customHeight="false" outlineLevel="0" collapsed="false">
      <c r="A15" s="6"/>
      <c r="B15" s="18" t="s">
        <v>354</v>
      </c>
      <c r="C15" s="31" t="n">
        <f aca="false">-Capex_Depr!C8</f>
        <v>-0</v>
      </c>
      <c r="D15" s="31" t="n">
        <f aca="false">-Capex_Depr!D8</f>
        <v>-456643.0944</v>
      </c>
      <c r="E15" s="31" t="n">
        <f aca="false">-Capex_Depr!E8</f>
        <v>-501232.63744128</v>
      </c>
      <c r="F15" s="31" t="n">
        <f aca="false">-Capex_Depr!F8</f>
        <v>-558792.478760614</v>
      </c>
      <c r="G15" s="31" t="n">
        <f aca="false">-Capex_Depr!G8</f>
        <v>-954737.547527561</v>
      </c>
      <c r="H15" s="31" t="n">
        <f aca="false">-Capex_Depr!H8</f>
        <v>-1131989.59514716</v>
      </c>
      <c r="I15" s="31" t="n">
        <f aca="false">-Capex_Depr!I8</f>
        <v>-1204500.42521536</v>
      </c>
    </row>
    <row r="16" customFormat="false" ht="15" hidden="false" customHeight="false" outlineLevel="0" collapsed="false">
      <c r="A16" s="6"/>
      <c r="B16" s="32" t="s">
        <v>355</v>
      </c>
      <c r="C16" s="33" t="n">
        <f aca="false">C14+C15</f>
        <v>-135000000</v>
      </c>
      <c r="D16" s="33" t="n">
        <f aca="false">D14+D15</f>
        <v>-456643.0944</v>
      </c>
      <c r="E16" s="33" t="n">
        <f aca="false">E14+E15</f>
        <v>-33001232.6374413</v>
      </c>
      <c r="F16" s="33" t="n">
        <f aca="false">F14+F15</f>
        <v>-33058792.4787606</v>
      </c>
      <c r="G16" s="33" t="n">
        <f aca="false">G14+G15</f>
        <v>-954737.547527561</v>
      </c>
      <c r="H16" s="33" t="n">
        <f aca="false">H14+H15</f>
        <v>-1131989.59514716</v>
      </c>
      <c r="I16" s="33" t="n">
        <f aca="false">I14+I15</f>
        <v>-1204500.42521536</v>
      </c>
    </row>
    <row r="17" customFormat="false" ht="15" hidden="false" customHeight="false" outlineLevel="0" collapsed="false">
      <c r="A17" s="6"/>
      <c r="B17" s="16" t="s">
        <v>356</v>
      </c>
      <c r="C17" s="17"/>
      <c r="D17" s="17"/>
      <c r="E17" s="17"/>
      <c r="F17" s="17"/>
      <c r="G17" s="17"/>
      <c r="H17" s="17"/>
      <c r="I17" s="17"/>
    </row>
    <row r="18" customFormat="false" ht="15" hidden="false" customHeight="false" outlineLevel="0" collapsed="false">
      <c r="A18" s="6"/>
      <c r="B18" s="18" t="s">
        <v>357</v>
      </c>
      <c r="C18" s="31" t="n">
        <f aca="false">+Construction!C15</f>
        <v>87750000</v>
      </c>
      <c r="D18" s="31" t="n">
        <f aca="false">+Construction!D15</f>
        <v>0</v>
      </c>
      <c r="E18" s="31" t="n">
        <f aca="false">+Construction!E15</f>
        <v>21125000</v>
      </c>
      <c r="F18" s="31" t="n">
        <f aca="false">+Construction!F15</f>
        <v>21125000</v>
      </c>
      <c r="G18" s="31" t="n">
        <f aca="false">+Construction!G15</f>
        <v>0</v>
      </c>
      <c r="H18" s="31" t="n">
        <f aca="false">+Construction!H15</f>
        <v>0</v>
      </c>
      <c r="I18" s="31" t="n">
        <f aca="false">+Construction!I15</f>
        <v>0</v>
      </c>
    </row>
    <row r="19" customFormat="false" ht="15" hidden="false" customHeight="false" outlineLevel="0" collapsed="false">
      <c r="A19" s="6"/>
      <c r="B19" s="18" t="s">
        <v>358</v>
      </c>
      <c r="C19" s="31" t="n">
        <f aca="false">-Debt!C25</f>
        <v>-0</v>
      </c>
      <c r="D19" s="31" t="n">
        <f aca="false">-Debt!D25</f>
        <v>-0</v>
      </c>
      <c r="E19" s="31" t="n">
        <f aca="false">-Debt!E25</f>
        <v>-199120.935412009</v>
      </c>
      <c r="F19" s="31" t="n">
        <f aca="false">-Debt!F25</f>
        <v>-936053.182818109</v>
      </c>
      <c r="G19" s="31" t="n">
        <f aca="false">-Debt!G25</f>
        <v>-3931892.86378801</v>
      </c>
      <c r="H19" s="31" t="n">
        <f aca="false">-Debt!H25</f>
        <v>-6965102.68380163</v>
      </c>
      <c r="I19" s="31" t="n">
        <f aca="false">-Debt!I25</f>
        <v>-8541511.45617984</v>
      </c>
    </row>
    <row r="20" customFormat="false" ht="15" hidden="false" customHeight="false" outlineLevel="0" collapsed="false">
      <c r="A20" s="6"/>
      <c r="B20" s="18" t="s">
        <v>359</v>
      </c>
      <c r="C20" s="31" t="n">
        <f aca="false">+Construction!C12+Construction!C28+Ops_Reserve</f>
        <v>63601875</v>
      </c>
      <c r="D20" s="31" t="n">
        <f aca="false">+Construction!D12+Construction!D28</f>
        <v>0</v>
      </c>
      <c r="E20" s="31" t="n">
        <f aca="false">+Construction!E12+Construction!E28</f>
        <v>11375000</v>
      </c>
      <c r="F20" s="31" t="n">
        <f aca="false">+Construction!F12+Construction!F28</f>
        <v>11375000</v>
      </c>
      <c r="G20" s="31" t="n">
        <f aca="false">+Construction!G12+Construction!G28</f>
        <v>0</v>
      </c>
      <c r="H20" s="31" t="n">
        <f aca="false">+Construction!H12+Construction!H28</f>
        <v>0</v>
      </c>
      <c r="I20" s="31" t="n">
        <f aca="false">+Construction!I12+Construction!I28</f>
        <v>0</v>
      </c>
    </row>
    <row r="21" customFormat="false" ht="15" hidden="false" customHeight="false" outlineLevel="0" collapsed="false">
      <c r="A21" s="6"/>
      <c r="B21" s="18" t="s">
        <v>360</v>
      </c>
      <c r="C21" s="31" t="n">
        <f aca="false">-Waterfall!C21</f>
        <v>-0</v>
      </c>
      <c r="D21" s="31" t="n">
        <f aca="false">-Waterfall!D21</f>
        <v>-1480330.89918</v>
      </c>
      <c r="E21" s="31" t="n">
        <f aca="false">-Waterfall!E21</f>
        <v>-1726912.3754176</v>
      </c>
      <c r="F21" s="31" t="n">
        <f aca="false">-Waterfall!F21</f>
        <v>-1681674.96580274</v>
      </c>
      <c r="G21" s="31" t="n">
        <f aca="false">-Waterfall!G21</f>
        <v>-871139.018975054</v>
      </c>
      <c r="H21" s="31" t="n">
        <f aca="false">-Waterfall!H21</f>
        <v>-3246938.26252619</v>
      </c>
      <c r="I21" s="31" t="n">
        <f aca="false">-Waterfall!I21</f>
        <v>-4411021.23487366</v>
      </c>
    </row>
    <row r="22" customFormat="false" ht="15" hidden="false" customHeight="false" outlineLevel="0" collapsed="false">
      <c r="A22" s="6"/>
      <c r="B22" s="18" t="s">
        <v>361</v>
      </c>
      <c r="C22" s="31" t="n">
        <f aca="false">-Debt!C32</f>
        <v>-2851875</v>
      </c>
      <c r="D22" s="31" t="n">
        <f aca="false">-Debt!D32</f>
        <v>-92685.9375</v>
      </c>
      <c r="E22" s="31" t="n">
        <f aca="false">-Debt!E32</f>
        <v>-99560.4677060046</v>
      </c>
      <c r="F22" s="31" t="n">
        <f aca="false">-Debt!F32</f>
        <v>-361994.69330216</v>
      </c>
      <c r="G22" s="31" t="n">
        <f aca="false">-Debt!G32</f>
        <v>-2931326.60032461</v>
      </c>
      <c r="H22" s="31" t="n">
        <f aca="false">-Debt!H32</f>
        <v>-1388818.39193369</v>
      </c>
      <c r="I22" s="31" t="n">
        <f aca="false">-Debt!I32</f>
        <v>-561838.548965556</v>
      </c>
    </row>
    <row r="23" customFormat="false" ht="15" hidden="false" customHeight="false" outlineLevel="0" collapsed="false">
      <c r="A23" s="6"/>
      <c r="B23" s="32" t="s">
        <v>362</v>
      </c>
      <c r="C23" s="33" t="n">
        <f aca="false">C18+C19+C20+C21+C22</f>
        <v>148500000</v>
      </c>
      <c r="D23" s="33" t="n">
        <f aca="false">D18+D19+D20+D21+D22</f>
        <v>-1573016.83668</v>
      </c>
      <c r="E23" s="33" t="n">
        <f aca="false">E18+E19+E20+E21+E22</f>
        <v>30474406.2214644</v>
      </c>
      <c r="F23" s="33" t="n">
        <f aca="false">F18+F19+F20+F21+F22</f>
        <v>29520277.158077</v>
      </c>
      <c r="G23" s="33" t="n">
        <f aca="false">G18+G19+G20+G21+G22</f>
        <v>-7734358.48308768</v>
      </c>
      <c r="H23" s="33" t="n">
        <f aca="false">H18+H19+H20+H21+H22</f>
        <v>-11600859.3382615</v>
      </c>
      <c r="I23" s="33" t="n">
        <f aca="false">I18+I19+I20+I21+I22</f>
        <v>-13514371.2400191</v>
      </c>
    </row>
    <row r="24" customFormat="false" ht="15" hidden="false" customHeight="false" outlineLevel="0" collapsed="false">
      <c r="A24" s="6"/>
      <c r="B24" s="16" t="s">
        <v>363</v>
      </c>
      <c r="C24" s="17"/>
      <c r="D24" s="17"/>
      <c r="E24" s="17"/>
      <c r="F24" s="17"/>
      <c r="G24" s="17"/>
      <c r="H24" s="17"/>
      <c r="I24" s="17"/>
    </row>
    <row r="25" customFormat="false" ht="15" hidden="false" customHeight="false" outlineLevel="0" collapsed="false">
      <c r="A25" s="6"/>
      <c r="B25" s="32" t="s">
        <v>364</v>
      </c>
      <c r="C25" s="34" t="n">
        <f aca="false">C12+C16+C23</f>
        <v>13500000</v>
      </c>
      <c r="D25" s="34" t="n">
        <f aca="false">D12+D16+D23</f>
        <v>-732373.27756274</v>
      </c>
      <c r="E25" s="34" t="n">
        <f aca="false">E12+E16+E23</f>
        <v>-61293.4841173142</v>
      </c>
      <c r="F25" s="34" t="n">
        <f aca="false">F12+F16+F23</f>
        <v>-111476.558967073</v>
      </c>
      <c r="G25" s="34" t="n">
        <f aca="false">G12+G16+G23</f>
        <v>-632637.692539545</v>
      </c>
      <c r="H25" s="34" t="n">
        <f aca="false">H12+H16+H23</f>
        <v>-307751.8421367</v>
      </c>
      <c r="I25" s="34" t="n">
        <f aca="false">I12+I16+I23</f>
        <v>-123875.466629233</v>
      </c>
    </row>
    <row r="26" customFormat="false" ht="15" hidden="false" customHeight="false" outlineLevel="0" collapsed="false">
      <c r="A26" s="6"/>
      <c r="B26" s="18" t="s">
        <v>365</v>
      </c>
      <c r="C26" s="31" t="n">
        <f aca="false">0</f>
        <v>0</v>
      </c>
      <c r="D26" s="31" t="n">
        <f aca="false">C27</f>
        <v>13500000</v>
      </c>
      <c r="E26" s="31" t="n">
        <f aca="false">D27</f>
        <v>12767626.7224373</v>
      </c>
      <c r="F26" s="31" t="n">
        <f aca="false">E27</f>
        <v>12706333.2383199</v>
      </c>
      <c r="G26" s="31" t="n">
        <f aca="false">F27</f>
        <v>12594856.6793529</v>
      </c>
      <c r="H26" s="31" t="n">
        <f aca="false">G27</f>
        <v>11962218.9868133</v>
      </c>
      <c r="I26" s="31" t="n">
        <f aca="false">H27</f>
        <v>11654467.1446766</v>
      </c>
    </row>
    <row r="27" customFormat="false" ht="15" hidden="false" customHeight="false" outlineLevel="0" collapsed="false">
      <c r="A27" s="6"/>
      <c r="B27" s="32" t="s">
        <v>366</v>
      </c>
      <c r="C27" s="40" t="n">
        <f aca="false">C26+C25</f>
        <v>13500000</v>
      </c>
      <c r="D27" s="40" t="n">
        <f aca="false">D26+D25</f>
        <v>12767626.7224373</v>
      </c>
      <c r="E27" s="40" t="n">
        <f aca="false">E26+E25</f>
        <v>12706333.2383199</v>
      </c>
      <c r="F27" s="40" t="n">
        <f aca="false">F26+F25</f>
        <v>12594856.6793529</v>
      </c>
      <c r="G27" s="40" t="n">
        <f aca="false">G26+G25</f>
        <v>11962218.9868133</v>
      </c>
      <c r="H27" s="40" t="n">
        <f aca="false">H26+H25</f>
        <v>11654467.1446766</v>
      </c>
      <c r="I27" s="40" t="n">
        <f aca="false">I26+I25</f>
        <v>11530591.6780474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367</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368</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369</v>
      </c>
      <c r="C7" s="17"/>
      <c r="D7" s="17"/>
      <c r="E7" s="17"/>
      <c r="F7" s="17"/>
      <c r="G7" s="17"/>
      <c r="H7" s="17"/>
      <c r="I7" s="17"/>
    </row>
    <row r="8" customFormat="false" ht="15" hidden="false" customHeight="false" outlineLevel="0" collapsed="false">
      <c r="A8" s="6"/>
      <c r="B8" s="18" t="s">
        <v>370</v>
      </c>
      <c r="C8" s="31" t="n">
        <f aca="false">CashFlow!C27</f>
        <v>13500000</v>
      </c>
      <c r="D8" s="31" t="n">
        <f aca="false">CashFlow!D27</f>
        <v>12767626.7224373</v>
      </c>
      <c r="E8" s="31" t="n">
        <f aca="false">CashFlow!E27</f>
        <v>12706333.2383199</v>
      </c>
      <c r="F8" s="31" t="n">
        <f aca="false">CashFlow!F27</f>
        <v>12594856.6793529</v>
      </c>
      <c r="G8" s="31" t="n">
        <f aca="false">CashFlow!G27</f>
        <v>11962218.9868133</v>
      </c>
      <c r="H8" s="31" t="n">
        <f aca="false">CashFlow!H27</f>
        <v>11654467.1446766</v>
      </c>
      <c r="I8" s="31" t="n">
        <f aca="false">CashFlow!I27</f>
        <v>11530591.6780474</v>
      </c>
    </row>
    <row r="9" customFormat="false" ht="15" hidden="false" customHeight="false" outlineLevel="0" collapsed="false">
      <c r="A9" s="6"/>
      <c r="B9" s="18" t="s">
        <v>371</v>
      </c>
      <c r="C9" s="31" t="n">
        <f aca="false">Revenue!C21*DSO_Days/365*Timing!C13</f>
        <v>0</v>
      </c>
      <c r="D9" s="31" t="n">
        <f aca="false">Revenue!D21*DSO_Days/365*Timing!D13</f>
        <v>1751507.75934247</v>
      </c>
      <c r="E9" s="31" t="n">
        <f aca="false">Revenue!E21*DSO_Days/365*Timing!E13</f>
        <v>1922536.14361039</v>
      </c>
      <c r="F9" s="31" t="n">
        <f aca="false">Revenue!F21*DSO_Days/365*Timing!F13</f>
        <v>2143313.617164</v>
      </c>
      <c r="G9" s="31" t="n">
        <f aca="false">Revenue!G21*DSO_Days/365*Timing!G13</f>
        <v>3662007.03161256</v>
      </c>
      <c r="H9" s="31" t="n">
        <f aca="false">Revenue!H21*DSO_Days/365*Timing!H13</f>
        <v>4341877.89919459</v>
      </c>
      <c r="I9" s="31" t="n">
        <f aca="false">Revenue!I21*DSO_Days/365*Timing!I13</f>
        <v>4620001.63096301</v>
      </c>
    </row>
    <row r="10" customFormat="false" ht="15" hidden="false" customHeight="false" outlineLevel="0" collapsed="false">
      <c r="A10" s="6"/>
      <c r="B10" s="18" t="s">
        <v>372</v>
      </c>
      <c r="C10" s="31" t="n">
        <f aca="false">Debt!C33</f>
        <v>2851875</v>
      </c>
      <c r="D10" s="31" t="n">
        <f aca="false">Debt!D33</f>
        <v>2944560.9375</v>
      </c>
      <c r="E10" s="31" t="n">
        <f aca="false">Debt!E33</f>
        <v>3044121.405206</v>
      </c>
      <c r="F10" s="31" t="n">
        <f aca="false">Debt!F33</f>
        <v>3406116.09850816</v>
      </c>
      <c r="G10" s="31" t="n">
        <f aca="false">Debt!G33</f>
        <v>6337442.69883278</v>
      </c>
      <c r="H10" s="31" t="n">
        <f aca="false">Debt!H33</f>
        <v>7726261.09076647</v>
      </c>
      <c r="I10" s="31" t="n">
        <f aca="false">Debt!I33</f>
        <v>8288099.63973203</v>
      </c>
    </row>
    <row r="11" customFormat="false" ht="15" hidden="false" customHeight="false" outlineLevel="0" collapsed="false">
      <c r="A11" s="6"/>
      <c r="B11" s="32" t="s">
        <v>373</v>
      </c>
      <c r="C11" s="33" t="n">
        <f aca="false">C8+C9+C10</f>
        <v>16351875</v>
      </c>
      <c r="D11" s="33" t="n">
        <f aca="false">D8+D9+D10</f>
        <v>17463695.4192797</v>
      </c>
      <c r="E11" s="33" t="n">
        <f aca="false">E8+E9+E10</f>
        <v>17672990.7871363</v>
      </c>
      <c r="F11" s="33" t="n">
        <f aca="false">F8+F9+F10</f>
        <v>18144286.395025</v>
      </c>
      <c r="G11" s="33" t="n">
        <f aca="false">G8+G9+G10</f>
        <v>21961668.7172587</v>
      </c>
      <c r="H11" s="33" t="n">
        <f aca="false">H8+H9+H10</f>
        <v>23722606.1346377</v>
      </c>
      <c r="I11" s="33" t="n">
        <f aca="false">I8+I9+I10</f>
        <v>24438692.9487424</v>
      </c>
    </row>
    <row r="12" customFormat="false" ht="15" hidden="false" customHeight="false" outlineLevel="0" collapsed="false">
      <c r="A12" s="6"/>
      <c r="B12" s="16" t="s">
        <v>374</v>
      </c>
      <c r="C12" s="17"/>
      <c r="D12" s="17"/>
      <c r="E12" s="17"/>
      <c r="F12" s="17"/>
      <c r="G12" s="17"/>
      <c r="H12" s="17"/>
      <c r="I12" s="17"/>
    </row>
    <row r="13" customFormat="false" ht="15" hidden="false" customHeight="false" outlineLevel="0" collapsed="false">
      <c r="A13" s="6"/>
      <c r="B13" s="18" t="s">
        <v>375</v>
      </c>
      <c r="C13" s="31" t="n">
        <f aca="false">Capex_Depr!C11</f>
        <v>137851875</v>
      </c>
      <c r="D13" s="31" t="n">
        <f aca="false">Capex_Depr!D11</f>
        <v>138308518.0944</v>
      </c>
      <c r="E13" s="31" t="n">
        <f aca="false">Capex_Depr!E11</f>
        <v>171996313.231841</v>
      </c>
      <c r="F13" s="31" t="n">
        <f aca="false">Capex_Depr!F11</f>
        <v>207159419.773102</v>
      </c>
      <c r="G13" s="31" t="n">
        <f aca="false">Capex_Depr!G11</f>
        <v>208114157.320629</v>
      </c>
      <c r="H13" s="31" t="n">
        <f aca="false">Capex_Depr!H11</f>
        <v>209246146.915777</v>
      </c>
      <c r="I13" s="31" t="n">
        <f aca="false">Capex_Depr!I11</f>
        <v>210450647.340992</v>
      </c>
    </row>
    <row r="14" customFormat="false" ht="15" hidden="false" customHeight="false" outlineLevel="0" collapsed="false">
      <c r="A14" s="6"/>
      <c r="B14" s="18" t="s">
        <v>376</v>
      </c>
      <c r="C14" s="31" t="n">
        <f aca="false">-Capex_Depr!C24</f>
        <v>-0</v>
      </c>
      <c r="D14" s="31" t="n">
        <f aca="false">-Capex_Depr!D24</f>
        <v>-6481901.3944381</v>
      </c>
      <c r="E14" s="31" t="n">
        <f aca="false">-Capex_Depr!E24</f>
        <v>-13035407.4513678</v>
      </c>
      <c r="F14" s="31" t="n">
        <f aca="false">-Capex_Depr!F24</f>
        <v>-19668741.0052633</v>
      </c>
      <c r="G14" s="31" t="n">
        <f aca="false">-Capex_Depr!G24</f>
        <v>-32855132.3040437</v>
      </c>
      <c r="H14" s="31" t="n">
        <f aca="false">-Capex_Depr!H24</f>
        <v>-46203236.4021308</v>
      </c>
      <c r="I14" s="31" t="n">
        <f aca="false">-Capex_Depr!I24</f>
        <v>-59723411.9895345</v>
      </c>
    </row>
    <row r="15" customFormat="false" ht="15" hidden="false" customHeight="false" outlineLevel="0" collapsed="false">
      <c r="A15" s="6"/>
      <c r="B15" s="32" t="s">
        <v>290</v>
      </c>
      <c r="C15" s="34" t="n">
        <f aca="false">C13+C14</f>
        <v>137851875</v>
      </c>
      <c r="D15" s="34" t="n">
        <f aca="false">D13+D14</f>
        <v>131826616.699962</v>
      </c>
      <c r="E15" s="34" t="n">
        <f aca="false">E13+E14</f>
        <v>158960905.780473</v>
      </c>
      <c r="F15" s="34" t="n">
        <f aca="false">F13+F14</f>
        <v>187490678.767839</v>
      </c>
      <c r="G15" s="34" t="n">
        <f aca="false">G13+G14</f>
        <v>175259025.016586</v>
      </c>
      <c r="H15" s="34" t="n">
        <f aca="false">H13+H14</f>
        <v>163042910.513646</v>
      </c>
      <c r="I15" s="34" t="n">
        <f aca="false">I13+I14</f>
        <v>150727235.351458</v>
      </c>
    </row>
    <row r="16" customFormat="false" ht="15" hidden="false" customHeight="false" outlineLevel="0" collapsed="false">
      <c r="A16" s="6"/>
      <c r="B16" s="32" t="s">
        <v>377</v>
      </c>
      <c r="C16" s="40" t="n">
        <f aca="false">C11+C15</f>
        <v>154203750</v>
      </c>
      <c r="D16" s="40" t="n">
        <f aca="false">D11+D15</f>
        <v>149290312.119242</v>
      </c>
      <c r="E16" s="40" t="n">
        <f aca="false">E11+E15</f>
        <v>176633896.56761</v>
      </c>
      <c r="F16" s="40" t="n">
        <f aca="false">F11+F15</f>
        <v>205634965.162864</v>
      </c>
      <c r="G16" s="40" t="n">
        <f aca="false">G11+G15</f>
        <v>197220693.733844</v>
      </c>
      <c r="H16" s="40" t="n">
        <f aca="false">H11+H15</f>
        <v>186765516.648283</v>
      </c>
      <c r="I16" s="40" t="n">
        <f aca="false">I11+I15</f>
        <v>175165928.3002</v>
      </c>
    </row>
    <row r="17" customFormat="false" ht="15" hidden="false" customHeight="false" outlineLevel="0" collapsed="false">
      <c r="A17" s="6"/>
      <c r="B17" s="16" t="s">
        <v>378</v>
      </c>
      <c r="C17" s="17"/>
      <c r="D17" s="17"/>
      <c r="E17" s="17"/>
      <c r="F17" s="17"/>
      <c r="G17" s="17"/>
      <c r="H17" s="17"/>
      <c r="I17" s="17"/>
    </row>
    <row r="18" customFormat="false" ht="15" hidden="false" customHeight="false" outlineLevel="0" collapsed="false">
      <c r="A18" s="6"/>
      <c r="B18" s="18" t="s">
        <v>379</v>
      </c>
      <c r="C18" s="31" t="n">
        <f aca="false">(Opex!C8+Opex!C17)*DPO_Days/365*Timing!C13</f>
        <v>0</v>
      </c>
      <c r="D18" s="31" t="n">
        <f aca="false">(Opex!D8+Opex!D17)*DPO_Days/365*Timing!D13</f>
        <v>1019134.48177973</v>
      </c>
      <c r="E18" s="31" t="n">
        <f aca="false">(Opex!E8+Opex!E17)*DPO_Days/365*Timing!E13</f>
        <v>1128869.38193033</v>
      </c>
      <c r="F18" s="31" t="n">
        <f aca="false">(Opex!F8+Opex!F17)*DPO_Days/365*Timing!F13</f>
        <v>1238170.29651687</v>
      </c>
      <c r="G18" s="31" t="n">
        <f aca="false">(Opex!G8+Opex!G17)*DPO_Days/365*Timing!G13</f>
        <v>2124226.01842589</v>
      </c>
      <c r="H18" s="31" t="n">
        <f aca="false">(Opex!H8+Opex!H17)*DPO_Days/365*Timing!H13</f>
        <v>2496345.04387122</v>
      </c>
      <c r="I18" s="31" t="n">
        <f aca="false">(Opex!I8+Opex!I17)*DPO_Days/365*Timing!I13</f>
        <v>2650593.30901041</v>
      </c>
    </row>
    <row r="19" customFormat="false" ht="15" hidden="false" customHeight="false" outlineLevel="0" collapsed="false">
      <c r="A19" s="6"/>
      <c r="B19" s="18" t="s">
        <v>380</v>
      </c>
      <c r="C19" s="31" t="n">
        <f aca="false">Debt!C27</f>
        <v>90601875</v>
      </c>
      <c r="D19" s="31" t="n">
        <f aca="false">Debt!D27</f>
        <v>90601875</v>
      </c>
      <c r="E19" s="31" t="n">
        <f aca="false">Debt!E27</f>
        <v>112214316.564588</v>
      </c>
      <c r="F19" s="31" t="n">
        <f aca="false">Debt!F27</f>
        <v>134507577.44427</v>
      </c>
      <c r="G19" s="31" t="n">
        <f aca="false">Debt!G27</f>
        <v>130575684.580482</v>
      </c>
      <c r="H19" s="31" t="n">
        <f aca="false">Debt!H27</f>
        <v>123610581.89668</v>
      </c>
      <c r="I19" s="31" t="n">
        <f aca="false">Debt!I27</f>
        <v>115069070.4405</v>
      </c>
    </row>
    <row r="20" customFormat="false" ht="15" hidden="false" customHeight="false" outlineLevel="0" collapsed="false">
      <c r="A20" s="6"/>
      <c r="B20" s="32" t="s">
        <v>381</v>
      </c>
      <c r="C20" s="33" t="n">
        <f aca="false">C18+C19</f>
        <v>90601875</v>
      </c>
      <c r="D20" s="33" t="n">
        <f aca="false">D18+D19</f>
        <v>91621009.4817797</v>
      </c>
      <c r="E20" s="33" t="n">
        <f aca="false">E18+E19</f>
        <v>113343185.946518</v>
      </c>
      <c r="F20" s="33" t="n">
        <f aca="false">F18+F19</f>
        <v>135745747.740787</v>
      </c>
      <c r="G20" s="33" t="n">
        <f aca="false">G18+G19</f>
        <v>132699910.598908</v>
      </c>
      <c r="H20" s="33" t="n">
        <f aca="false">H18+H19</f>
        <v>126106926.940551</v>
      </c>
      <c r="I20" s="33" t="n">
        <f aca="false">I18+I19</f>
        <v>117719663.749511</v>
      </c>
    </row>
    <row r="21" customFormat="false" ht="15" hidden="false" customHeight="false" outlineLevel="0" collapsed="false">
      <c r="A21" s="6"/>
      <c r="B21" s="16" t="s">
        <v>382</v>
      </c>
      <c r="C21" s="17"/>
      <c r="D21" s="17"/>
      <c r="E21" s="17"/>
      <c r="F21" s="17"/>
      <c r="G21" s="17"/>
      <c r="H21" s="17"/>
      <c r="I21" s="17"/>
    </row>
    <row r="22" customFormat="false" ht="15" hidden="false" customHeight="false" outlineLevel="0" collapsed="false">
      <c r="A22" s="6"/>
      <c r="B22" s="18" t="s">
        <v>383</v>
      </c>
      <c r="C22" s="31" t="n">
        <f aca="false">0</f>
        <v>0</v>
      </c>
      <c r="D22" s="31" t="n">
        <f aca="false">C26</f>
        <v>63601875</v>
      </c>
      <c r="E22" s="31" t="n">
        <f aca="false">D26</f>
        <v>57669302.6374619</v>
      </c>
      <c r="F22" s="31" t="n">
        <f aca="false">E26</f>
        <v>63290710.6210915</v>
      </c>
      <c r="G22" s="31" t="n">
        <f aca="false">F26</f>
        <v>69889217.4220769</v>
      </c>
      <c r="H22" s="31" t="n">
        <f aca="false">G26</f>
        <v>64520783.1349366</v>
      </c>
      <c r="I22" s="31" t="n">
        <f aca="false">H26</f>
        <v>60658589.707732</v>
      </c>
    </row>
    <row r="23" customFormat="false" ht="15" hidden="false" customHeight="false" outlineLevel="0" collapsed="false">
      <c r="A23" s="6"/>
      <c r="B23" s="18" t="s">
        <v>359</v>
      </c>
      <c r="C23" s="31" t="n">
        <f aca="false">Construction!C12+Construction!C28+Ops_Reserve</f>
        <v>63601875</v>
      </c>
      <c r="D23" s="31" t="n">
        <f aca="false">Construction!D12+Construction!D28</f>
        <v>0</v>
      </c>
      <c r="E23" s="31" t="n">
        <f aca="false">Construction!E12+Construction!E28</f>
        <v>11375000</v>
      </c>
      <c r="F23" s="31" t="n">
        <f aca="false">Construction!F12+Construction!F28</f>
        <v>11375000</v>
      </c>
      <c r="G23" s="31" t="n">
        <f aca="false">Construction!G12+Construction!G28</f>
        <v>0</v>
      </c>
      <c r="H23" s="31" t="n">
        <f aca="false">Construction!H12+Construction!H28</f>
        <v>0</v>
      </c>
      <c r="I23" s="31" t="n">
        <f aca="false">Construction!I12+Construction!I28</f>
        <v>0</v>
      </c>
    </row>
    <row r="24" customFormat="false" ht="15" hidden="false" customHeight="false" outlineLevel="0" collapsed="false">
      <c r="A24" s="6"/>
      <c r="B24" s="18" t="s">
        <v>347</v>
      </c>
      <c r="C24" s="31" t="n">
        <f aca="false">Opex!C27-Capex_Depr!C23-Debt!C22-Tax!C21</f>
        <v>0</v>
      </c>
      <c r="D24" s="31" t="n">
        <f aca="false">Opex!D27-Capex_Depr!D23-Debt!D22-Tax!D21</f>
        <v>-4452241.4633581</v>
      </c>
      <c r="E24" s="31" t="n">
        <f aca="false">Opex!E27-Capex_Depr!E23-Debt!E22-Tax!E21</f>
        <v>-4026679.64095281</v>
      </c>
      <c r="F24" s="31" t="n">
        <f aca="false">Opex!F27-Capex_Depr!F23-Debt!F22-Tax!F21</f>
        <v>-3094818.23321189</v>
      </c>
      <c r="G24" s="31" t="n">
        <f aca="false">Opex!G27-Capex_Depr!G23-Debt!G22-Tax!G21</f>
        <v>-4497295.26816515</v>
      </c>
      <c r="H24" s="31" t="n">
        <f aca="false">Opex!H27-Capex_Depr!H23-Debt!H22-Tax!H21</f>
        <v>-615255.164678467</v>
      </c>
      <c r="I24" s="31" t="n">
        <f aca="false">Opex!I27-Capex_Depr!I23-Debt!I22-Tax!I21</f>
        <v>1198696.0778308</v>
      </c>
    </row>
    <row r="25" customFormat="false" ht="15" hidden="false" customHeight="false" outlineLevel="0" collapsed="false">
      <c r="A25" s="6"/>
      <c r="B25" s="18" t="s">
        <v>384</v>
      </c>
      <c r="C25" s="31" t="n">
        <f aca="false">-Waterfall!C21</f>
        <v>-0</v>
      </c>
      <c r="D25" s="31" t="n">
        <f aca="false">-Waterfall!D21</f>
        <v>-1480330.89918</v>
      </c>
      <c r="E25" s="31" t="n">
        <f aca="false">-Waterfall!E21</f>
        <v>-1726912.3754176</v>
      </c>
      <c r="F25" s="31" t="n">
        <f aca="false">-Waterfall!F21</f>
        <v>-1681674.96580274</v>
      </c>
      <c r="G25" s="31" t="n">
        <f aca="false">-Waterfall!G21</f>
        <v>-871139.018975054</v>
      </c>
      <c r="H25" s="31" t="n">
        <f aca="false">-Waterfall!H21</f>
        <v>-3246938.26252619</v>
      </c>
      <c r="I25" s="31" t="n">
        <f aca="false">-Waterfall!I21</f>
        <v>-4411021.23487366</v>
      </c>
    </row>
    <row r="26" customFormat="false" ht="15" hidden="false" customHeight="false" outlineLevel="0" collapsed="false">
      <c r="A26" s="6"/>
      <c r="B26" s="32" t="s">
        <v>385</v>
      </c>
      <c r="C26" s="33" t="n">
        <f aca="false">C22+C23+C24+C25</f>
        <v>63601875</v>
      </c>
      <c r="D26" s="33" t="n">
        <f aca="false">D22+D23+D24+D25</f>
        <v>57669302.6374619</v>
      </c>
      <c r="E26" s="33" t="n">
        <f aca="false">E22+E23+E24+E25</f>
        <v>63290710.6210915</v>
      </c>
      <c r="F26" s="33" t="n">
        <f aca="false">F22+F23+F24+F25</f>
        <v>69889217.4220769</v>
      </c>
      <c r="G26" s="33" t="n">
        <f aca="false">G22+G23+G24+G25</f>
        <v>64520783.1349366</v>
      </c>
      <c r="H26" s="33" t="n">
        <f aca="false">H22+H23+H24+H25</f>
        <v>60658589.707732</v>
      </c>
      <c r="I26" s="33" t="n">
        <f aca="false">I22+I23+I24+I25</f>
        <v>57446264.5506891</v>
      </c>
    </row>
    <row r="27" customFormat="false" ht="15" hidden="false" customHeight="false" outlineLevel="0" collapsed="false">
      <c r="A27" s="6"/>
      <c r="B27" s="32" t="s">
        <v>386</v>
      </c>
      <c r="C27" s="40" t="n">
        <f aca="false">C20+C26</f>
        <v>154203750</v>
      </c>
      <c r="D27" s="40" t="n">
        <f aca="false">D20+D26</f>
        <v>149290312.119242</v>
      </c>
      <c r="E27" s="40" t="n">
        <f aca="false">E20+E26</f>
        <v>176633896.56761</v>
      </c>
      <c r="F27" s="40" t="n">
        <f aca="false">F20+F26</f>
        <v>205634965.162864</v>
      </c>
      <c r="G27" s="40" t="n">
        <f aca="false">G20+G26</f>
        <v>197220693.733844</v>
      </c>
      <c r="H27" s="40" t="n">
        <f aca="false">H20+H26</f>
        <v>186765516.648283</v>
      </c>
      <c r="I27" s="40" t="n">
        <f aca="false">I20+I26</f>
        <v>175165928.3002</v>
      </c>
    </row>
    <row r="28" customFormat="false" ht="15" hidden="false" customHeight="false" outlineLevel="0" collapsed="false">
      <c r="A28" s="6"/>
      <c r="B28" s="6"/>
      <c r="C28" s="6"/>
      <c r="D28" s="6"/>
      <c r="E28" s="6"/>
      <c r="F28" s="6"/>
      <c r="G28" s="6"/>
      <c r="H28" s="6"/>
      <c r="I28" s="6"/>
    </row>
    <row r="29" customFormat="false" ht="15" hidden="false" customHeight="false" outlineLevel="0" collapsed="false">
      <c r="A29" s="6"/>
      <c r="B29" s="18" t="s">
        <v>387</v>
      </c>
      <c r="C29" s="42" t="n">
        <f aca="false">C16-C27</f>
        <v>0</v>
      </c>
      <c r="D29" s="42" t="n">
        <f aca="false">D16-D27</f>
        <v>0</v>
      </c>
      <c r="E29" s="42" t="n">
        <f aca="false">E16-E27</f>
        <v>0</v>
      </c>
      <c r="F29" s="42" t="n">
        <f aca="false">F16-F27</f>
        <v>0</v>
      </c>
      <c r="G29" s="42" t="n">
        <f aca="false">G16-G27</f>
        <v>0</v>
      </c>
      <c r="H29" s="42" t="n">
        <f aca="false">H16-H27</f>
        <v>0</v>
      </c>
      <c r="I29" s="42" t="n">
        <f aca="false">I16-I27</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388</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389</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390</v>
      </c>
      <c r="C7" s="17"/>
      <c r="D7" s="17"/>
      <c r="E7" s="17"/>
      <c r="F7" s="17"/>
      <c r="G7" s="17"/>
      <c r="H7" s="17"/>
      <c r="I7" s="17"/>
    </row>
    <row r="8" customFormat="false" ht="15" hidden="false" customHeight="false" outlineLevel="0" collapsed="false">
      <c r="A8" s="6"/>
      <c r="B8" s="32" t="s">
        <v>391</v>
      </c>
      <c r="C8" s="34" t="n">
        <f aca="false">-Construction!C10+Waterfall!C11</f>
        <v>-135000000</v>
      </c>
      <c r="D8" s="34" t="n">
        <f aca="false">-Construction!D10+Waterfall!D11</f>
        <v>7462138.71168</v>
      </c>
      <c r="E8" s="34" t="n">
        <f aca="false">-Construction!E10+Waterfall!E11</f>
        <v>-24585284.3464644</v>
      </c>
      <c r="F8" s="34" t="n">
        <f aca="false">-Construction!F10+Waterfall!F11</f>
        <v>-23644098.1438788</v>
      </c>
      <c r="G8" s="34" t="n">
        <f aca="false">-Construction!G10+Waterfall!G11</f>
        <v>16477351.0169652</v>
      </c>
      <c r="H8" s="34" t="n">
        <f aca="false">-Construction!H10+Waterfall!H11</f>
        <v>20088278.8359928</v>
      </c>
      <c r="I8" s="34" t="n">
        <f aca="false">-Construction!I10+Waterfall!I11+$C$14</f>
        <v>362852451.391083</v>
      </c>
    </row>
    <row r="9" customFormat="false" ht="15" hidden="false" customHeight="false" outlineLevel="0" collapsed="false">
      <c r="A9" s="6"/>
      <c r="B9" s="16" t="s">
        <v>392</v>
      </c>
      <c r="C9" s="17"/>
      <c r="D9" s="17"/>
      <c r="E9" s="17"/>
      <c r="F9" s="17"/>
      <c r="G9" s="17"/>
      <c r="H9" s="17"/>
      <c r="I9" s="17"/>
    </row>
    <row r="10" customFormat="false" ht="15" hidden="false" customHeight="false" outlineLevel="0" collapsed="false">
      <c r="A10" s="6"/>
      <c r="B10" s="32" t="s">
        <v>323</v>
      </c>
      <c r="C10" s="34" t="n">
        <f aca="false">Waterfall!C23</f>
        <v>-63601875</v>
      </c>
      <c r="D10" s="34" t="n">
        <f aca="false">Waterfall!D23</f>
        <v>1480330.89918</v>
      </c>
      <c r="E10" s="34" t="n">
        <f aca="false">Waterfall!E23</f>
        <v>-9648087.6245824</v>
      </c>
      <c r="F10" s="34" t="n">
        <f aca="false">Waterfall!F23</f>
        <v>-9693325.03419726</v>
      </c>
      <c r="G10" s="34" t="n">
        <f aca="false">Waterfall!G23</f>
        <v>871139.018975054</v>
      </c>
      <c r="H10" s="34" t="n">
        <f aca="false">Waterfall!H23</f>
        <v>3246938.26252619</v>
      </c>
      <c r="I10" s="34" t="n">
        <f aca="false">Waterfall!I23+$C$16</f>
        <v>230645343.122153</v>
      </c>
    </row>
    <row r="11" customFormat="false" ht="15" hidden="false" customHeight="false" outlineLevel="0" collapsed="false">
      <c r="A11" s="6"/>
      <c r="B11" s="6"/>
      <c r="C11" s="6"/>
      <c r="D11" s="6"/>
      <c r="E11" s="6"/>
      <c r="F11" s="6"/>
      <c r="G11" s="6"/>
      <c r="H11" s="6"/>
      <c r="I11" s="6"/>
    </row>
    <row r="12" customFormat="false" ht="15" hidden="false" customHeight="false" outlineLevel="0" collapsed="false">
      <c r="A12" s="6"/>
      <c r="B12" s="16" t="s">
        <v>393</v>
      </c>
      <c r="C12" s="17"/>
      <c r="D12" s="17"/>
      <c r="E12" s="17"/>
      <c r="F12" s="17"/>
      <c r="G12" s="17"/>
      <c r="H12" s="17"/>
      <c r="I12" s="17"/>
    </row>
    <row r="13" customFormat="false" ht="15" hidden="false" customHeight="false" outlineLevel="0" collapsed="false">
      <c r="A13" s="6"/>
      <c r="B13" s="10" t="s">
        <v>394</v>
      </c>
      <c r="C13" s="31" t="n">
        <f aca="false">Opex!I27</f>
        <v>22753559.4885186</v>
      </c>
      <c r="D13" s="6"/>
      <c r="E13" s="6"/>
      <c r="F13" s="6"/>
      <c r="G13" s="6"/>
      <c r="H13" s="6"/>
      <c r="I13" s="6"/>
    </row>
    <row r="14" customFormat="false" ht="15" hidden="false" customHeight="false" outlineLevel="0" collapsed="false">
      <c r="A14" s="6"/>
      <c r="B14" s="9" t="s">
        <v>395</v>
      </c>
      <c r="C14" s="34" t="n">
        <f aca="false">C13*Exit_Mult</f>
        <v>341303392.32778</v>
      </c>
      <c r="D14" s="6"/>
      <c r="E14" s="6"/>
      <c r="F14" s="6"/>
      <c r="G14" s="6"/>
      <c r="H14" s="6"/>
      <c r="I14" s="6"/>
    </row>
    <row r="15" customFormat="false" ht="15" hidden="false" customHeight="false" outlineLevel="0" collapsed="false">
      <c r="A15" s="6"/>
      <c r="B15" s="10" t="s">
        <v>396</v>
      </c>
      <c r="C15" s="31" t="n">
        <f aca="false">Debt!I27</f>
        <v>115069070.4405</v>
      </c>
      <c r="D15" s="6"/>
      <c r="E15" s="6"/>
      <c r="F15" s="6"/>
      <c r="G15" s="6"/>
      <c r="H15" s="6"/>
      <c r="I15" s="6"/>
    </row>
    <row r="16" customFormat="false" ht="15" hidden="false" customHeight="false" outlineLevel="0" collapsed="false">
      <c r="A16" s="6"/>
      <c r="B16" s="9" t="s">
        <v>397</v>
      </c>
      <c r="C16" s="34" t="n">
        <f aca="false">MAX(0,C14-C15)</f>
        <v>226234321.887279</v>
      </c>
      <c r="D16" s="6"/>
      <c r="E16" s="6"/>
      <c r="F16" s="6"/>
      <c r="G16" s="6"/>
      <c r="H16" s="6"/>
      <c r="I16" s="6"/>
    </row>
    <row r="17" customFormat="false" ht="15" hidden="false" customHeight="false" outlineLevel="0" collapsed="false">
      <c r="A17" s="6"/>
      <c r="B17" s="6"/>
      <c r="C17" s="6"/>
      <c r="D17" s="6"/>
      <c r="E17" s="6"/>
      <c r="F17" s="6"/>
      <c r="G17" s="6"/>
      <c r="H17" s="6"/>
      <c r="I17" s="6"/>
    </row>
    <row r="18" customFormat="false" ht="15" hidden="false" customHeight="false" outlineLevel="0" collapsed="false">
      <c r="A18" s="6"/>
      <c r="B18" s="43" t="s">
        <v>398</v>
      </c>
      <c r="C18" s="44" t="n">
        <f aca="false">Opex!I27/Exit_Cap_Rate</f>
        <v>413701081.60943</v>
      </c>
      <c r="D18" s="6"/>
      <c r="E18" s="43" t="s">
        <v>399</v>
      </c>
      <c r="F18" s="6"/>
      <c r="G18" s="6"/>
      <c r="H18" s="6"/>
      <c r="I18" s="6"/>
    </row>
    <row r="19" customFormat="false" ht="15" hidden="false" customHeight="false" outlineLevel="0" collapsed="false">
      <c r="A19" s="6"/>
      <c r="B19" s="6"/>
      <c r="C19" s="6"/>
      <c r="D19" s="6"/>
      <c r="E19" s="6"/>
      <c r="F19" s="6"/>
      <c r="G19" s="6"/>
      <c r="H19" s="6"/>
      <c r="I19" s="6"/>
    </row>
    <row r="20" customFormat="false" ht="15" hidden="false" customHeight="false" outlineLevel="0" collapsed="false">
      <c r="A20" s="6"/>
      <c r="B20" s="16" t="s">
        <v>400</v>
      </c>
      <c r="C20" s="17"/>
      <c r="D20" s="17"/>
      <c r="E20" s="17"/>
      <c r="F20" s="17"/>
      <c r="G20" s="17"/>
      <c r="H20" s="17"/>
      <c r="I20" s="17"/>
    </row>
    <row r="21" customFormat="false" ht="15" hidden="false" customHeight="false" outlineLevel="0" collapsed="false">
      <c r="A21" s="6"/>
      <c r="B21" s="9" t="s">
        <v>401</v>
      </c>
      <c r="C21" s="45" t="n">
        <f aca="false">IRR(C8:I8)</f>
        <v>0.167375787609858</v>
      </c>
      <c r="D21" s="6"/>
      <c r="E21" s="6"/>
      <c r="F21" s="6"/>
      <c r="G21" s="6"/>
      <c r="H21" s="6"/>
      <c r="I21" s="6"/>
    </row>
    <row r="22" customFormat="false" ht="15" hidden="false" customHeight="false" outlineLevel="0" collapsed="false">
      <c r="A22" s="6"/>
      <c r="B22" s="9" t="s">
        <v>402</v>
      </c>
      <c r="C22" s="45" t="n">
        <f aca="false">IRR(C10:I10)</f>
        <v>0.212053088723967</v>
      </c>
      <c r="D22" s="6"/>
      <c r="E22" s="6"/>
      <c r="F22" s="6"/>
      <c r="G22" s="6"/>
      <c r="H22" s="6"/>
      <c r="I22" s="6"/>
    </row>
    <row r="23" customFormat="false" ht="15" hidden="false" customHeight="false" outlineLevel="0" collapsed="false">
      <c r="A23" s="6"/>
      <c r="B23" s="9" t="s">
        <v>403</v>
      </c>
      <c r="C23" s="34" t="n">
        <f aca="false">NPV(Discount_Rate,C8:I8)</f>
        <v>73861908.6393608</v>
      </c>
      <c r="D23" s="6"/>
      <c r="E23" s="6"/>
      <c r="F23" s="6"/>
      <c r="G23" s="6"/>
      <c r="H23" s="6"/>
      <c r="I23" s="6"/>
    </row>
    <row r="24" customFormat="false" ht="15" hidden="false" customHeight="false" outlineLevel="0" collapsed="false">
      <c r="A24" s="6"/>
      <c r="B24" s="6"/>
      <c r="C24" s="6"/>
      <c r="D24" s="6"/>
      <c r="E24" s="6"/>
      <c r="F24" s="6"/>
      <c r="G24" s="6"/>
      <c r="H24" s="6"/>
      <c r="I24" s="6"/>
    </row>
    <row r="25" customFormat="false" ht="15" hidden="false" customHeight="false" outlineLevel="0" collapsed="false">
      <c r="A25" s="6"/>
      <c r="B25" s="10" t="s">
        <v>404</v>
      </c>
      <c r="C25" s="31" t="n">
        <f aca="false">-SUMIF(C10:I10,"&lt;0")</f>
        <v>82943287.6587797</v>
      </c>
      <c r="D25" s="6"/>
      <c r="E25" s="6"/>
      <c r="F25" s="6"/>
      <c r="G25" s="6"/>
      <c r="H25" s="6"/>
      <c r="I25" s="6"/>
    </row>
    <row r="26" customFormat="false" ht="15" hidden="false" customHeight="false" outlineLevel="0" collapsed="false">
      <c r="A26" s="6"/>
      <c r="B26" s="10" t="s">
        <v>405</v>
      </c>
      <c r="C26" s="31" t="n">
        <f aca="false">SUMIF(C10:I10,"&gt;0")</f>
        <v>236243751.302834</v>
      </c>
      <c r="D26" s="6"/>
      <c r="E26" s="6"/>
      <c r="F26" s="6"/>
      <c r="G26" s="6"/>
      <c r="H26" s="6"/>
      <c r="I26" s="6"/>
    </row>
    <row r="27" customFormat="false" ht="15" hidden="false" customHeight="false" outlineLevel="0" collapsed="false">
      <c r="A27" s="6"/>
      <c r="B27" s="9" t="s">
        <v>406</v>
      </c>
      <c r="C27" s="46" t="n">
        <f aca="false">IF(C25&gt;0,C26/C25,0)</f>
        <v>2.84825641677862</v>
      </c>
      <c r="D27" s="6"/>
      <c r="E27" s="6"/>
      <c r="F27" s="6"/>
      <c r="G27" s="6"/>
      <c r="H27" s="6"/>
      <c r="I27" s="6"/>
    </row>
    <row r="28" customFormat="false" ht="15" hidden="false" customHeight="false" outlineLevel="0" collapsed="false">
      <c r="A28" s="6"/>
      <c r="B28" s="6"/>
      <c r="C28" s="6"/>
      <c r="D28" s="6"/>
      <c r="E28" s="6"/>
      <c r="F28" s="6"/>
      <c r="G28" s="6"/>
      <c r="H28" s="6"/>
      <c r="I28" s="6"/>
    </row>
    <row r="29" customFormat="false" ht="15" hidden="false" customHeight="false" outlineLevel="0" collapsed="false">
      <c r="A29" s="6"/>
      <c r="B29" s="10" t="s">
        <v>407</v>
      </c>
      <c r="C29" s="31" t="n">
        <f aca="false">Revenue!I21*Anchor_Share</f>
        <v>16863005.953015</v>
      </c>
      <c r="D29" s="6"/>
      <c r="E29" s="43" t="s">
        <v>408</v>
      </c>
      <c r="F29" s="6"/>
      <c r="G29" s="6"/>
      <c r="H29" s="6"/>
      <c r="I29" s="6"/>
    </row>
    <row r="30" customFormat="false" ht="15" hidden="false" customHeight="false" outlineLevel="0" collapsed="false">
      <c r="A30" s="6"/>
      <c r="B30" s="10" t="s">
        <v>409</v>
      </c>
      <c r="C30" s="31" t="n">
        <f aca="false">Revenue!I21/Tenant_Count</f>
        <v>2190000.77311883</v>
      </c>
      <c r="D30" s="6"/>
      <c r="E30" s="43" t="s">
        <v>410</v>
      </c>
      <c r="F30" s="6"/>
      <c r="G30" s="6"/>
      <c r="H30" s="6"/>
      <c r="I30"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3" min="3" style="0" width="22"/>
    <col collapsed="false" customWidth="true" hidden="false" outlineLevel="0" max="4" min="4" style="0" width="60"/>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411</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412</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6" t="s">
        <v>413</v>
      </c>
      <c r="C6" s="47" t="s">
        <v>414</v>
      </c>
      <c r="D6" s="47" t="s">
        <v>415</v>
      </c>
      <c r="E6" s="6"/>
      <c r="F6" s="6"/>
      <c r="G6" s="6"/>
      <c r="H6" s="6"/>
      <c r="I6" s="6"/>
    </row>
    <row r="7" customFormat="false" ht="15" hidden="false" customHeight="false" outlineLevel="0" collapsed="false">
      <c r="A7" s="6"/>
      <c r="B7" s="18" t="s">
        <v>416</v>
      </c>
      <c r="C7" s="48" t="str">
        <f aca="false">IF(SUMPRODUCT((ABS(BalanceSheet!C29:I29)&gt;1)*1)=0,"PASS","FAIL")</f>
        <v>PASS</v>
      </c>
      <c r="D7" s="20" t="s">
        <v>417</v>
      </c>
      <c r="E7" s="6"/>
      <c r="F7" s="6"/>
      <c r="G7" s="6"/>
      <c r="H7" s="6"/>
      <c r="I7" s="6"/>
    </row>
    <row r="8" customFormat="false" ht="15" hidden="false" customHeight="false" outlineLevel="0" collapsed="false">
      <c r="A8" s="6"/>
      <c r="B8" s="18" t="s">
        <v>418</v>
      </c>
      <c r="C8" s="48" t="str">
        <f aca="false">IF(MIN(CashFlow!C27:I27)&gt;=0,"PASS","FAIL")</f>
        <v>PASS</v>
      </c>
      <c r="D8" s="20" t="s">
        <v>419</v>
      </c>
      <c r="E8" s="6"/>
      <c r="F8" s="6"/>
      <c r="G8" s="6"/>
      <c r="H8" s="6"/>
      <c r="I8" s="6"/>
    </row>
    <row r="9" customFormat="false" ht="15" hidden="false" customHeight="false" outlineLevel="0" collapsed="false">
      <c r="A9" s="6"/>
      <c r="B9" s="18" t="s">
        <v>420</v>
      </c>
      <c r="C9" s="48" t="str">
        <f aca="false">IF(MIN(Debt!D28:I28)&gt;=Min_DSCR,"PASS","FAIL")</f>
        <v>PASS</v>
      </c>
      <c r="D9" s="20" t="s">
        <v>421</v>
      </c>
      <c r="E9" s="6"/>
      <c r="F9" s="6"/>
      <c r="G9" s="6"/>
      <c r="H9" s="6"/>
      <c r="I9" s="6"/>
    </row>
    <row r="10" customFormat="false" ht="15" hidden="false" customHeight="false" outlineLevel="0" collapsed="false">
      <c r="A10" s="6"/>
      <c r="B10" s="18" t="s">
        <v>422</v>
      </c>
      <c r="C10" s="48" t="str">
        <f aca="false">IF(AND(Opex!I28&gt;=0.45,Opex!I28&lt;=0.65),"PASS","FAIL")</f>
        <v>PASS</v>
      </c>
      <c r="D10" s="20" t="s">
        <v>423</v>
      </c>
      <c r="E10" s="6"/>
      <c r="F10" s="6"/>
      <c r="G10" s="6"/>
      <c r="H10" s="6"/>
      <c r="I10" s="6"/>
    </row>
    <row r="11" customFormat="false" ht="15" hidden="false" customHeight="false" outlineLevel="0" collapsed="false">
      <c r="A11" s="6"/>
      <c r="B11" s="18" t="s">
        <v>424</v>
      </c>
      <c r="C11" s="48" t="str">
        <f aca="false">IF(AND(ISNUMBER(Returns!C22),Returns!C22&gt;0),"PASS","FAIL")</f>
        <v>PASS</v>
      </c>
      <c r="D11" s="20" t="s">
        <v>425</v>
      </c>
      <c r="E11" s="6"/>
      <c r="F11" s="6"/>
      <c r="G11" s="6"/>
      <c r="H11" s="6"/>
      <c r="I11" s="6"/>
    </row>
    <row r="12" customFormat="false" ht="15" hidden="false" customHeight="false" outlineLevel="0" collapsed="false">
      <c r="A12" s="6"/>
      <c r="B12" s="18" t="s">
        <v>426</v>
      </c>
      <c r="C12" s="48" t="str">
        <f aca="false">IF(Debt!I27&lt;=Debt!F27,"PASS","FAIL")</f>
        <v>PASS</v>
      </c>
      <c r="D12" s="20" t="s">
        <v>427</v>
      </c>
      <c r="E12" s="6"/>
      <c r="F12" s="6"/>
      <c r="G12" s="6"/>
      <c r="H12" s="6"/>
      <c r="I12" s="6"/>
    </row>
    <row r="13" customFormat="false" ht="15" hidden="false" customHeight="false" outlineLevel="0" collapsed="false">
      <c r="A13" s="6"/>
      <c r="B13" s="18" t="s">
        <v>428</v>
      </c>
      <c r="C13" s="48" t="str">
        <f aca="false">IF(MIN(Debt!C33:I33)&gt;=0,"PASS","FAIL")</f>
        <v>PASS</v>
      </c>
      <c r="D13" s="20" t="s">
        <v>429</v>
      </c>
      <c r="E13" s="6"/>
      <c r="F13" s="6"/>
      <c r="G13" s="6"/>
      <c r="H13" s="6"/>
      <c r="I13" s="6"/>
    </row>
    <row r="14" customFormat="false" ht="15" hidden="false" customHeight="false" outlineLevel="0" collapsed="false">
      <c r="A14" s="6"/>
      <c r="B14" s="18" t="s">
        <v>430</v>
      </c>
      <c r="C14" s="48" t="str">
        <f aca="false">IF(SUMPRODUCT((CapacityRamp!C18:I18-CapacityRamp!C10:I10&gt;0.001)*1)=0,"PASS","FAIL")</f>
        <v>PASS</v>
      </c>
      <c r="D14" s="20" t="s">
        <v>431</v>
      </c>
      <c r="E14" s="6"/>
      <c r="F14" s="6"/>
      <c r="G14" s="6"/>
      <c r="H14" s="6"/>
      <c r="I14" s="6"/>
    </row>
    <row r="15" customFormat="false" ht="15" hidden="false" customHeight="false" outlineLevel="0" collapsed="false">
      <c r="A15" s="6"/>
      <c r="B15" s="18" t="s">
        <v>432</v>
      </c>
      <c r="C15" s="48" t="str">
        <f aca="false">IF(MIN(CapacityRamp!C21:I21)&gt;1,"PASS","FAIL")</f>
        <v>PASS</v>
      </c>
      <c r="D15" s="20" t="s">
        <v>433</v>
      </c>
      <c r="E15" s="6"/>
      <c r="F15" s="6"/>
      <c r="G15" s="6"/>
      <c r="H15" s="6"/>
      <c r="I15" s="6"/>
    </row>
    <row r="16" customFormat="false" ht="15" hidden="false" customHeight="false" outlineLevel="0" collapsed="false">
      <c r="A16" s="6"/>
      <c r="B16" s="18" t="s">
        <v>434</v>
      </c>
      <c r="C16" s="48" t="str">
        <f aca="false">IF(Returns!I10&gt;Waterfall!I23,"PASS","FAIL")</f>
        <v>PASS</v>
      </c>
      <c r="D16" s="20" t="s">
        <v>435</v>
      </c>
      <c r="E16" s="6"/>
      <c r="F16" s="6"/>
      <c r="G16" s="6"/>
      <c r="H16" s="6"/>
      <c r="I16" s="6"/>
    </row>
    <row r="17" customFormat="false" ht="15" hidden="false" customHeight="false" outlineLevel="0" collapsed="false">
      <c r="A17" s="6"/>
      <c r="B17" s="6"/>
      <c r="C17" s="6"/>
      <c r="D17" s="6"/>
      <c r="E17" s="6"/>
      <c r="F17" s="6"/>
      <c r="G17" s="6"/>
      <c r="H17" s="6"/>
      <c r="I17" s="6"/>
    </row>
    <row r="18" customFormat="false" ht="15" hidden="false" customHeight="false" outlineLevel="0" collapsed="false">
      <c r="A18" s="6"/>
      <c r="B18" s="9" t="s">
        <v>436</v>
      </c>
      <c r="C18" s="49" t="str">
        <f aca="false">IF(COUNTIF(C7:C16,"FAIL")=0,"ALL PASS","FAIL: "&amp;COUNTIF(C7:C16,"FAIL")&amp;" checks failed")</f>
        <v>ALL PASS</v>
      </c>
      <c r="D18" s="6"/>
      <c r="E18" s="6"/>
      <c r="F18" s="6"/>
      <c r="G18" s="6"/>
      <c r="H18" s="6"/>
      <c r="I18"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0" t="s">
        <v>437</v>
      </c>
    </row>
    <row r="3" customFormat="false" ht="3.75" hidden="false" customHeight="true" outlineLevel="0" collapsed="false">
      <c r="B3" s="51"/>
    </row>
    <row r="5" customFormat="false" ht="19.5" hidden="false" customHeight="true" outlineLevel="0" collapsed="false">
      <c r="B5" s="52" t="s">
        <v>438</v>
      </c>
    </row>
    <row r="6" customFormat="false" ht="48" hidden="false" customHeight="true" outlineLevel="0" collapsed="false">
      <c r="B6" s="53" t="s">
        <v>439</v>
      </c>
    </row>
    <row r="8" customFormat="false" ht="19.5" hidden="false" customHeight="true" outlineLevel="0" collapsed="false">
      <c r="B8" s="52" t="s">
        <v>440</v>
      </c>
    </row>
    <row r="9" customFormat="false" ht="61.5" hidden="false" customHeight="true" outlineLevel="0" collapsed="false">
      <c r="B9" s="53" t="s">
        <v>441</v>
      </c>
    </row>
    <row r="11" customFormat="false" ht="19.5" hidden="false" customHeight="true" outlineLevel="0" collapsed="false">
      <c r="B11" s="52" t="s">
        <v>442</v>
      </c>
    </row>
    <row r="12" customFormat="false" ht="75.75" hidden="false" customHeight="true" outlineLevel="0" collapsed="false">
      <c r="B12" s="53" t="s">
        <v>443</v>
      </c>
    </row>
    <row r="14" customFormat="false" ht="19.5" hidden="false" customHeight="true" outlineLevel="0" collapsed="false">
      <c r="B14" s="52" t="s">
        <v>444</v>
      </c>
    </row>
    <row r="15" customFormat="false" ht="61.5" hidden="false" customHeight="true" outlineLevel="0" collapsed="false">
      <c r="B15" s="53" t="s">
        <v>445</v>
      </c>
    </row>
    <row r="17" customFormat="false" ht="19.5" hidden="false" customHeight="true" outlineLevel="0" collapsed="false">
      <c r="B17" s="52" t="s">
        <v>446</v>
      </c>
    </row>
    <row r="18" customFormat="false" ht="33.75" hidden="false" customHeight="true" outlineLevel="0" collapsed="false">
      <c r="B18" s="53" t="s">
        <v>447</v>
      </c>
    </row>
    <row r="20" customFormat="false" ht="19.5" hidden="false" customHeight="true" outlineLevel="0" collapsed="false">
      <c r="B20" s="52" t="s">
        <v>448</v>
      </c>
    </row>
    <row r="21" customFormat="false" ht="33.75" hidden="false" customHeight="true" outlineLevel="0" collapsed="false">
      <c r="B21" s="53" t="s">
        <v>449</v>
      </c>
    </row>
    <row r="23" customFormat="false" ht="21.75" hidden="false" customHeight="true" outlineLevel="0" collapsed="false">
      <c r="B23" s="54" t="s">
        <v>450</v>
      </c>
    </row>
    <row r="25" customFormat="false" ht="18" hidden="false" customHeight="true" outlineLevel="0" collapsed="false">
      <c r="B25" s="55" t="s">
        <v>451</v>
      </c>
    </row>
    <row r="26" customFormat="false" ht="201.75" hidden="false" customHeight="true" outlineLevel="0" collapsed="false">
      <c r="B26" s="56" t="s">
        <v>452</v>
      </c>
    </row>
    <row r="28" customFormat="false" ht="18" hidden="false" customHeight="true" outlineLevel="0" collapsed="false">
      <c r="B28" s="57" t="s">
        <v>453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8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3" min="3" style="0" width="16"/>
    <col collapsed="false" customWidth="true" hidden="false" outlineLevel="0" max="4" min="4" style="0" width="18"/>
    <col collapsed="false" customWidth="true" hidden="false" outlineLevel="0" max="5" min="5" style="0" width="50"/>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42</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43</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6" t="s">
        <v>44</v>
      </c>
      <c r="C6" s="17"/>
      <c r="D6" s="17"/>
      <c r="E6" s="17"/>
      <c r="F6" s="6"/>
      <c r="G6" s="6"/>
      <c r="H6" s="6"/>
      <c r="I6" s="6"/>
    </row>
    <row r="7" customFormat="false" ht="15" hidden="false" customHeight="false" outlineLevel="0" collapsed="false">
      <c r="A7" s="6"/>
      <c r="B7" s="18" t="s">
        <v>45</v>
      </c>
      <c r="C7" s="19" t="n">
        <v>2025</v>
      </c>
      <c r="D7" s="18" t="s">
        <v>46</v>
      </c>
      <c r="E7" s="20" t="s">
        <v>47</v>
      </c>
      <c r="F7" s="6"/>
      <c r="G7" s="6"/>
      <c r="H7" s="6"/>
      <c r="I7" s="6"/>
    </row>
    <row r="8" customFormat="false" ht="15" hidden="false" customHeight="false" outlineLevel="0" collapsed="false">
      <c r="A8" s="6"/>
      <c r="B8" s="6"/>
      <c r="C8" s="6"/>
      <c r="D8" s="6"/>
      <c r="E8" s="6"/>
      <c r="F8" s="6"/>
      <c r="G8" s="6"/>
      <c r="H8" s="6"/>
      <c r="I8" s="6"/>
    </row>
    <row r="9" customFormat="false" ht="15" hidden="false" customHeight="false" outlineLevel="0" collapsed="false">
      <c r="A9" s="6"/>
      <c r="B9" s="16" t="s">
        <v>48</v>
      </c>
      <c r="C9" s="17"/>
      <c r="D9" s="17"/>
      <c r="E9" s="17"/>
      <c r="F9" s="6"/>
      <c r="G9" s="6"/>
      <c r="H9" s="6"/>
      <c r="I9" s="6"/>
    </row>
    <row r="10" customFormat="false" ht="15" hidden="false" customHeight="false" outlineLevel="0" collapsed="false">
      <c r="A10" s="6"/>
      <c r="B10" s="18" t="s">
        <v>49</v>
      </c>
      <c r="C10" s="21" t="n">
        <v>10</v>
      </c>
      <c r="D10" s="18" t="s">
        <v>50</v>
      </c>
      <c r="E10" s="20" t="s">
        <v>51</v>
      </c>
      <c r="F10" s="6"/>
      <c r="G10" s="6"/>
      <c r="H10" s="6"/>
      <c r="I10" s="6"/>
    </row>
    <row r="11" customFormat="false" ht="15" hidden="false" customHeight="false" outlineLevel="0" collapsed="false">
      <c r="A11" s="6"/>
      <c r="B11" s="18" t="s">
        <v>52</v>
      </c>
      <c r="C11" s="21" t="n">
        <v>10</v>
      </c>
      <c r="D11" s="18" t="s">
        <v>50</v>
      </c>
      <c r="E11" s="20" t="s">
        <v>53</v>
      </c>
      <c r="F11" s="6"/>
      <c r="G11" s="6"/>
      <c r="H11" s="6"/>
      <c r="I11" s="6"/>
    </row>
    <row r="12" customFormat="false" ht="15" hidden="false" customHeight="false" outlineLevel="0" collapsed="false">
      <c r="A12" s="6"/>
      <c r="B12" s="18" t="s">
        <v>54</v>
      </c>
      <c r="C12" s="21" t="n">
        <v>20</v>
      </c>
      <c r="D12" s="18" t="s">
        <v>50</v>
      </c>
      <c r="E12" s="20" t="s">
        <v>55</v>
      </c>
      <c r="F12" s="6"/>
      <c r="G12" s="6"/>
      <c r="H12" s="6"/>
      <c r="I12" s="6"/>
    </row>
    <row r="13" customFormat="false" ht="15" hidden="false" customHeight="false" outlineLevel="0" collapsed="false">
      <c r="A13" s="6"/>
      <c r="B13" s="18" t="s">
        <v>56</v>
      </c>
      <c r="C13" s="22" t="n">
        <v>850</v>
      </c>
      <c r="D13" s="18" t="s">
        <v>57</v>
      </c>
      <c r="E13" s="20" t="s">
        <v>58</v>
      </c>
      <c r="F13" s="6"/>
      <c r="G13" s="6"/>
      <c r="H13" s="6"/>
      <c r="I13" s="6"/>
    </row>
    <row r="14" customFormat="false" ht="15" hidden="false" customHeight="false" outlineLevel="0" collapsed="false">
      <c r="A14" s="6"/>
      <c r="B14" s="18" t="s">
        <v>59</v>
      </c>
      <c r="C14" s="22" t="n">
        <v>700</v>
      </c>
      <c r="D14" s="18" t="s">
        <v>57</v>
      </c>
      <c r="E14" s="20" t="s">
        <v>60</v>
      </c>
      <c r="F14" s="6"/>
      <c r="G14" s="6"/>
      <c r="H14" s="6"/>
      <c r="I14" s="6"/>
    </row>
    <row r="15" customFormat="false" ht="15" hidden="false" customHeight="false" outlineLevel="0" collapsed="false">
      <c r="A15" s="6"/>
      <c r="B15" s="18" t="s">
        <v>61</v>
      </c>
      <c r="C15" s="23" t="n">
        <v>6</v>
      </c>
      <c r="D15" s="18" t="s">
        <v>62</v>
      </c>
      <c r="E15" s="20" t="s">
        <v>63</v>
      </c>
      <c r="F15" s="6"/>
      <c r="G15" s="6"/>
      <c r="H15" s="6"/>
      <c r="I15" s="6"/>
    </row>
    <row r="16" customFormat="false" ht="15" hidden="false" customHeight="false" outlineLevel="0" collapsed="false">
      <c r="A16" s="6"/>
      <c r="B16" s="18" t="s">
        <v>64</v>
      </c>
      <c r="C16" s="23" t="n">
        <v>15</v>
      </c>
      <c r="D16" s="18" t="s">
        <v>62</v>
      </c>
      <c r="E16" s="20" t="s">
        <v>65</v>
      </c>
      <c r="F16" s="6"/>
      <c r="G16" s="6"/>
      <c r="H16" s="6"/>
      <c r="I16" s="6"/>
    </row>
    <row r="17" customFormat="false" ht="15" hidden="false" customHeight="false" outlineLevel="0" collapsed="false">
      <c r="A17" s="6"/>
      <c r="B17" s="18" t="s">
        <v>66</v>
      </c>
      <c r="C17" s="24" t="n">
        <v>0.45</v>
      </c>
      <c r="D17" s="18" t="s">
        <v>67</v>
      </c>
      <c r="E17" s="20" t="s">
        <v>68</v>
      </c>
      <c r="F17" s="6"/>
      <c r="G17" s="6"/>
      <c r="H17" s="6"/>
      <c r="I17" s="6"/>
    </row>
    <row r="18" customFormat="false" ht="15" hidden="false" customHeight="false" outlineLevel="0" collapsed="false">
      <c r="A18" s="6"/>
      <c r="B18" s="18" t="s">
        <v>69</v>
      </c>
      <c r="C18" s="22" t="n">
        <v>22</v>
      </c>
      <c r="D18" s="18" t="s">
        <v>70</v>
      </c>
      <c r="E18" s="20" t="s">
        <v>71</v>
      </c>
      <c r="F18" s="6"/>
      <c r="G18" s="6"/>
      <c r="H18" s="6"/>
      <c r="I18" s="6"/>
    </row>
    <row r="19" customFormat="false" ht="15" hidden="false" customHeight="false" outlineLevel="0" collapsed="false">
      <c r="A19" s="6"/>
      <c r="B19" s="18" t="s">
        <v>72</v>
      </c>
      <c r="C19" s="24" t="n">
        <v>0.35</v>
      </c>
      <c r="D19" s="18" t="s">
        <v>67</v>
      </c>
      <c r="E19" s="20" t="s">
        <v>73</v>
      </c>
      <c r="F19" s="6"/>
      <c r="G19" s="6"/>
      <c r="H19" s="6"/>
      <c r="I19" s="6"/>
    </row>
    <row r="20" customFormat="false" ht="15" hidden="false" customHeight="false" outlineLevel="0" collapsed="false">
      <c r="A20" s="6"/>
      <c r="B20" s="16" t="s">
        <v>74</v>
      </c>
      <c r="C20" s="17"/>
      <c r="D20" s="17"/>
      <c r="E20" s="17"/>
      <c r="F20" s="6"/>
      <c r="G20" s="6"/>
      <c r="H20" s="6"/>
      <c r="I20" s="6"/>
    </row>
    <row r="21" customFormat="false" ht="15" hidden="false" customHeight="false" outlineLevel="0" collapsed="false">
      <c r="A21" s="6"/>
      <c r="B21" s="18" t="s">
        <v>75</v>
      </c>
      <c r="C21" s="25" t="n">
        <v>3500000</v>
      </c>
      <c r="D21" s="18" t="s">
        <v>76</v>
      </c>
      <c r="E21" s="20" t="s">
        <v>77</v>
      </c>
      <c r="F21" s="6"/>
      <c r="G21" s="6"/>
      <c r="H21" s="6"/>
      <c r="I21" s="6"/>
    </row>
    <row r="22" customFormat="false" ht="15" hidden="false" customHeight="false" outlineLevel="0" collapsed="false">
      <c r="A22" s="6"/>
      <c r="B22" s="18" t="s">
        <v>78</v>
      </c>
      <c r="C22" s="25" t="n">
        <v>6500000</v>
      </c>
      <c r="D22" s="18" t="s">
        <v>76</v>
      </c>
      <c r="E22" s="20" t="s">
        <v>79</v>
      </c>
      <c r="F22" s="6"/>
      <c r="G22" s="6"/>
      <c r="H22" s="6"/>
      <c r="I22" s="6"/>
    </row>
    <row r="23" customFormat="false" ht="15" hidden="false" customHeight="false" outlineLevel="0" collapsed="false">
      <c r="A23" s="6"/>
      <c r="B23" s="16" t="s">
        <v>80</v>
      </c>
      <c r="C23" s="17"/>
      <c r="D23" s="17"/>
      <c r="E23" s="17"/>
      <c r="F23" s="6"/>
      <c r="G23" s="6"/>
      <c r="H23" s="6"/>
      <c r="I23" s="6"/>
    </row>
    <row r="24" customFormat="false" ht="15" hidden="false" customHeight="false" outlineLevel="0" collapsed="false">
      <c r="A24" s="6"/>
      <c r="B24" s="18" t="s">
        <v>81</v>
      </c>
      <c r="C24" s="21" t="n">
        <v>115</v>
      </c>
      <c r="D24" s="18" t="s">
        <v>82</v>
      </c>
      <c r="E24" s="20" t="s">
        <v>83</v>
      </c>
      <c r="F24" s="6"/>
      <c r="G24" s="6"/>
      <c r="H24" s="6"/>
      <c r="I24" s="6"/>
    </row>
    <row r="25" customFormat="false" ht="15" hidden="false" customHeight="false" outlineLevel="0" collapsed="false">
      <c r="A25" s="6"/>
      <c r="B25" s="18" t="s">
        <v>84</v>
      </c>
      <c r="C25" s="24" t="n">
        <v>0.025</v>
      </c>
      <c r="D25" s="18" t="s">
        <v>85</v>
      </c>
      <c r="E25" s="20" t="s">
        <v>86</v>
      </c>
      <c r="F25" s="6"/>
      <c r="G25" s="6"/>
      <c r="H25" s="6"/>
      <c r="I25" s="6"/>
    </row>
    <row r="26" customFormat="false" ht="15" hidden="false" customHeight="false" outlineLevel="0" collapsed="false">
      <c r="A26" s="6"/>
      <c r="B26" s="18" t="s">
        <v>87</v>
      </c>
      <c r="C26" s="21" t="n">
        <v>8760</v>
      </c>
      <c r="D26" s="18" t="s">
        <v>88</v>
      </c>
      <c r="E26" s="20" t="s">
        <v>89</v>
      </c>
      <c r="F26" s="6"/>
      <c r="G26" s="6"/>
      <c r="H26" s="6"/>
      <c r="I26" s="6"/>
    </row>
    <row r="27" customFormat="false" ht="15" hidden="false" customHeight="false" outlineLevel="0" collapsed="false">
      <c r="A27" s="6"/>
      <c r="B27" s="18" t="s">
        <v>90</v>
      </c>
      <c r="C27" s="23" t="n">
        <v>1.4</v>
      </c>
      <c r="D27" s="18" t="s">
        <v>91</v>
      </c>
      <c r="E27" s="20" t="s">
        <v>92</v>
      </c>
      <c r="F27" s="6"/>
      <c r="G27" s="6"/>
      <c r="H27" s="6"/>
      <c r="I27" s="6"/>
    </row>
    <row r="28" customFormat="false" ht="15" hidden="false" customHeight="false" outlineLevel="0" collapsed="false">
      <c r="A28" s="6"/>
      <c r="B28" s="18" t="s">
        <v>93</v>
      </c>
      <c r="C28" s="23" t="n">
        <v>1.37</v>
      </c>
      <c r="D28" s="18" t="s">
        <v>91</v>
      </c>
      <c r="E28" s="6"/>
      <c r="F28" s="6"/>
      <c r="G28" s="6"/>
      <c r="H28" s="6"/>
      <c r="I28" s="6"/>
    </row>
    <row r="29" customFormat="false" ht="15" hidden="false" customHeight="false" outlineLevel="0" collapsed="false">
      <c r="A29" s="6"/>
      <c r="B29" s="18" t="s">
        <v>94</v>
      </c>
      <c r="C29" s="23" t="n">
        <v>1.34</v>
      </c>
      <c r="D29" s="18" t="s">
        <v>91</v>
      </c>
      <c r="E29" s="6"/>
      <c r="F29" s="6"/>
      <c r="G29" s="6"/>
      <c r="H29" s="6"/>
      <c r="I29" s="6"/>
    </row>
    <row r="30" customFormat="false" ht="15" hidden="false" customHeight="false" outlineLevel="0" collapsed="false">
      <c r="A30" s="6"/>
      <c r="B30" s="18" t="s">
        <v>95</v>
      </c>
      <c r="C30" s="23" t="n">
        <v>1.31</v>
      </c>
      <c r="D30" s="18" t="s">
        <v>91</v>
      </c>
      <c r="E30" s="6"/>
      <c r="F30" s="6"/>
      <c r="G30" s="6"/>
      <c r="H30" s="6"/>
      <c r="I30" s="6"/>
    </row>
    <row r="31" customFormat="false" ht="15" hidden="false" customHeight="false" outlineLevel="0" collapsed="false">
      <c r="A31" s="6"/>
      <c r="B31" s="18" t="s">
        <v>96</v>
      </c>
      <c r="C31" s="23" t="n">
        <v>1.29</v>
      </c>
      <c r="D31" s="18" t="s">
        <v>91</v>
      </c>
      <c r="E31" s="6"/>
      <c r="F31" s="6"/>
      <c r="G31" s="6"/>
      <c r="H31" s="6"/>
      <c r="I31" s="6"/>
    </row>
    <row r="32" customFormat="false" ht="15" hidden="false" customHeight="false" outlineLevel="0" collapsed="false">
      <c r="A32" s="6"/>
      <c r="B32" s="18" t="s">
        <v>97</v>
      </c>
      <c r="C32" s="23" t="n">
        <v>1.28</v>
      </c>
      <c r="D32" s="18" t="s">
        <v>91</v>
      </c>
      <c r="E32" s="6"/>
      <c r="F32" s="6"/>
      <c r="G32" s="6"/>
      <c r="H32" s="6"/>
      <c r="I32" s="6"/>
    </row>
    <row r="33" customFormat="false" ht="15" hidden="false" customHeight="false" outlineLevel="0" collapsed="false">
      <c r="A33" s="6"/>
      <c r="B33" s="18" t="s">
        <v>98</v>
      </c>
      <c r="C33" s="23" t="n">
        <v>1.27</v>
      </c>
      <c r="D33" s="18" t="s">
        <v>91</v>
      </c>
      <c r="E33" s="20" t="s">
        <v>99</v>
      </c>
      <c r="F33" s="6"/>
      <c r="G33" s="6"/>
      <c r="H33" s="6"/>
      <c r="I33" s="6"/>
    </row>
    <row r="34" customFormat="false" ht="15" hidden="false" customHeight="false" outlineLevel="0" collapsed="false">
      <c r="A34" s="6"/>
      <c r="B34" s="18" t="s">
        <v>100</v>
      </c>
      <c r="C34" s="26" t="n">
        <v>0.085</v>
      </c>
      <c r="D34" s="18" t="s">
        <v>101</v>
      </c>
      <c r="E34" s="20" t="s">
        <v>102</v>
      </c>
      <c r="F34" s="6"/>
      <c r="G34" s="6"/>
      <c r="H34" s="6"/>
      <c r="I34" s="6"/>
    </row>
    <row r="35" customFormat="false" ht="15" hidden="false" customHeight="false" outlineLevel="0" collapsed="false">
      <c r="A35" s="6"/>
      <c r="B35" s="18" t="s">
        <v>103</v>
      </c>
      <c r="C35" s="24" t="n">
        <v>0.03</v>
      </c>
      <c r="D35" s="18" t="s">
        <v>85</v>
      </c>
      <c r="E35" s="20" t="s">
        <v>104</v>
      </c>
      <c r="F35" s="6"/>
      <c r="G35" s="6"/>
      <c r="H35" s="6"/>
      <c r="I35" s="6"/>
    </row>
    <row r="36" customFormat="false" ht="15" hidden="false" customHeight="false" outlineLevel="0" collapsed="false">
      <c r="A36" s="6"/>
      <c r="B36" s="18" t="s">
        <v>105</v>
      </c>
      <c r="C36" s="24" t="n">
        <v>0.04</v>
      </c>
      <c r="D36" s="18" t="s">
        <v>106</v>
      </c>
      <c r="E36" s="20" t="s">
        <v>107</v>
      </c>
      <c r="F36" s="6"/>
      <c r="G36" s="6"/>
      <c r="H36" s="6"/>
      <c r="I36" s="6"/>
    </row>
    <row r="37" customFormat="false" ht="15" hidden="false" customHeight="false" outlineLevel="0" collapsed="false">
      <c r="A37" s="6"/>
      <c r="B37" s="18" t="s">
        <v>108</v>
      </c>
      <c r="C37" s="21" t="n">
        <v>200</v>
      </c>
      <c r="D37" s="18" t="s">
        <v>62</v>
      </c>
      <c r="E37" s="6"/>
      <c r="F37" s="6"/>
      <c r="G37" s="6"/>
      <c r="H37" s="6"/>
      <c r="I37" s="6"/>
    </row>
    <row r="38" customFormat="false" ht="15" hidden="false" customHeight="false" outlineLevel="0" collapsed="false">
      <c r="A38" s="6"/>
      <c r="B38" s="18" t="s">
        <v>109</v>
      </c>
      <c r="C38" s="21" t="n">
        <v>350</v>
      </c>
      <c r="D38" s="18" t="s">
        <v>110</v>
      </c>
      <c r="E38" s="6"/>
      <c r="F38" s="6"/>
      <c r="G38" s="6"/>
      <c r="H38" s="6"/>
      <c r="I38" s="6"/>
    </row>
    <row r="39" customFormat="false" ht="15" hidden="false" customHeight="false" outlineLevel="0" collapsed="false">
      <c r="A39" s="6"/>
      <c r="B39" s="18" t="s">
        <v>111</v>
      </c>
      <c r="C39" s="21" t="n">
        <v>75</v>
      </c>
      <c r="D39" s="18" t="s">
        <v>112</v>
      </c>
      <c r="E39" s="20" t="s">
        <v>113</v>
      </c>
      <c r="F39" s="6"/>
      <c r="G39" s="6"/>
      <c r="H39" s="6"/>
      <c r="I39" s="6"/>
    </row>
    <row r="40" customFormat="false" ht="15" hidden="false" customHeight="false" outlineLevel="0" collapsed="false">
      <c r="A40" s="6"/>
      <c r="B40" s="16" t="s">
        <v>114</v>
      </c>
      <c r="C40" s="17"/>
      <c r="D40" s="17"/>
      <c r="E40" s="17"/>
      <c r="F40" s="6"/>
      <c r="G40" s="6"/>
      <c r="H40" s="6"/>
      <c r="I40" s="6"/>
    </row>
    <row r="41" customFormat="false" ht="15" hidden="false" customHeight="false" outlineLevel="0" collapsed="false">
      <c r="A41" s="6"/>
      <c r="B41" s="18" t="s">
        <v>115</v>
      </c>
      <c r="C41" s="25" t="n">
        <v>35000</v>
      </c>
      <c r="D41" s="18" t="s">
        <v>116</v>
      </c>
      <c r="E41" s="6"/>
      <c r="F41" s="6"/>
      <c r="G41" s="6"/>
      <c r="H41" s="6"/>
      <c r="I41" s="6"/>
    </row>
    <row r="42" customFormat="false" ht="15" hidden="false" customHeight="false" outlineLevel="0" collapsed="false">
      <c r="A42" s="6"/>
      <c r="B42" s="18" t="s">
        <v>117</v>
      </c>
      <c r="C42" s="25" t="n">
        <v>25000</v>
      </c>
      <c r="D42" s="18" t="s">
        <v>116</v>
      </c>
      <c r="E42" s="6"/>
      <c r="F42" s="6"/>
      <c r="G42" s="6"/>
      <c r="H42" s="6"/>
      <c r="I42" s="6"/>
    </row>
    <row r="43" customFormat="false" ht="15" hidden="false" customHeight="false" outlineLevel="0" collapsed="false">
      <c r="A43" s="6"/>
      <c r="B43" s="18" t="s">
        <v>118</v>
      </c>
      <c r="C43" s="24" t="n">
        <v>0.005</v>
      </c>
      <c r="D43" s="18" t="s">
        <v>119</v>
      </c>
      <c r="E43" s="6"/>
      <c r="F43" s="6"/>
      <c r="G43" s="6"/>
      <c r="H43" s="6"/>
      <c r="I43" s="6"/>
    </row>
    <row r="44" customFormat="false" ht="15" hidden="false" customHeight="false" outlineLevel="0" collapsed="false">
      <c r="A44" s="6"/>
      <c r="B44" s="18" t="s">
        <v>120</v>
      </c>
      <c r="C44" s="25" t="n">
        <v>12000</v>
      </c>
      <c r="D44" s="18" t="s">
        <v>116</v>
      </c>
      <c r="E44" s="6"/>
      <c r="F44" s="6"/>
      <c r="G44" s="6"/>
      <c r="H44" s="6"/>
      <c r="I44" s="6"/>
    </row>
    <row r="45" customFormat="false" ht="15" hidden="false" customHeight="false" outlineLevel="0" collapsed="false">
      <c r="A45" s="6"/>
      <c r="B45" s="18" t="s">
        <v>121</v>
      </c>
      <c r="C45" s="25" t="n">
        <v>9000</v>
      </c>
      <c r="D45" s="18" t="s">
        <v>116</v>
      </c>
      <c r="E45" s="6"/>
      <c r="F45" s="6"/>
      <c r="G45" s="6"/>
      <c r="H45" s="6"/>
      <c r="I45" s="6"/>
    </row>
    <row r="46" customFormat="false" ht="15" hidden="false" customHeight="false" outlineLevel="0" collapsed="false">
      <c r="A46" s="6"/>
      <c r="B46" s="18" t="s">
        <v>122</v>
      </c>
      <c r="C46" s="24" t="n">
        <v>0.004</v>
      </c>
      <c r="D46" s="18" t="s">
        <v>123</v>
      </c>
      <c r="E46" s="6"/>
      <c r="F46" s="6"/>
      <c r="G46" s="6"/>
      <c r="H46" s="6"/>
      <c r="I46" s="6"/>
    </row>
    <row r="47" customFormat="false" ht="15" hidden="false" customHeight="false" outlineLevel="0" collapsed="false">
      <c r="A47" s="6"/>
      <c r="B47" s="18" t="s">
        <v>124</v>
      </c>
      <c r="C47" s="24" t="n">
        <v>0.006</v>
      </c>
      <c r="D47" s="18" t="s">
        <v>123</v>
      </c>
      <c r="E47" s="6"/>
      <c r="F47" s="6"/>
      <c r="G47" s="6"/>
      <c r="H47" s="6"/>
      <c r="I47" s="6"/>
    </row>
    <row r="48" customFormat="false" ht="15" hidden="false" customHeight="false" outlineLevel="0" collapsed="false">
      <c r="A48" s="6"/>
      <c r="B48" s="18" t="s">
        <v>125</v>
      </c>
      <c r="C48" s="24" t="n">
        <v>0.04</v>
      </c>
      <c r="D48" s="18" t="s">
        <v>119</v>
      </c>
      <c r="E48" s="6"/>
      <c r="F48" s="6"/>
      <c r="G48" s="6"/>
      <c r="H48" s="6"/>
      <c r="I48" s="6"/>
    </row>
    <row r="49" customFormat="false" ht="15" hidden="false" customHeight="false" outlineLevel="0" collapsed="false">
      <c r="A49" s="6"/>
      <c r="B49" s="18" t="s">
        <v>126</v>
      </c>
      <c r="C49" s="24" t="n">
        <v>0.025</v>
      </c>
      <c r="D49" s="18" t="s">
        <v>85</v>
      </c>
      <c r="E49" s="6"/>
      <c r="F49" s="6"/>
      <c r="G49" s="6"/>
      <c r="H49" s="6"/>
      <c r="I49" s="6"/>
    </row>
    <row r="50" customFormat="false" ht="15" hidden="false" customHeight="false" outlineLevel="0" collapsed="false">
      <c r="A50" s="6"/>
      <c r="B50" s="18" t="s">
        <v>127</v>
      </c>
      <c r="C50" s="24" t="n">
        <v>0.025</v>
      </c>
      <c r="D50" s="18" t="s">
        <v>119</v>
      </c>
      <c r="E50" s="6"/>
      <c r="F50" s="6"/>
      <c r="G50" s="6"/>
      <c r="H50" s="6"/>
      <c r="I50" s="6"/>
    </row>
    <row r="51" customFormat="false" ht="15" hidden="false" customHeight="false" outlineLevel="0" collapsed="false">
      <c r="A51" s="6"/>
      <c r="B51" s="18" t="s">
        <v>128</v>
      </c>
      <c r="C51" s="24" t="n">
        <v>0.03</v>
      </c>
      <c r="D51" s="18" t="s">
        <v>85</v>
      </c>
      <c r="E51" s="20" t="s">
        <v>129</v>
      </c>
      <c r="F51" s="6"/>
      <c r="G51" s="6"/>
      <c r="H51" s="6"/>
      <c r="I51" s="6"/>
    </row>
    <row r="52" customFormat="false" ht="15" hidden="false" customHeight="false" outlineLevel="0" collapsed="false">
      <c r="A52" s="6"/>
      <c r="B52" s="16" t="s">
        <v>130</v>
      </c>
      <c r="C52" s="17"/>
      <c r="D52" s="17"/>
      <c r="E52" s="17"/>
      <c r="F52" s="6"/>
      <c r="G52" s="6"/>
      <c r="H52" s="6"/>
      <c r="I52" s="6"/>
    </row>
    <row r="53" customFormat="false" ht="15" hidden="false" customHeight="false" outlineLevel="0" collapsed="false">
      <c r="A53" s="6"/>
      <c r="B53" s="18" t="s">
        <v>131</v>
      </c>
      <c r="C53" s="21" t="n">
        <v>35</v>
      </c>
      <c r="D53" s="18" t="s">
        <v>132</v>
      </c>
      <c r="E53" s="6"/>
      <c r="F53" s="6"/>
      <c r="G53" s="6"/>
      <c r="H53" s="6"/>
      <c r="I53" s="6"/>
    </row>
    <row r="54" customFormat="false" ht="15" hidden="false" customHeight="false" outlineLevel="0" collapsed="false">
      <c r="A54" s="6"/>
      <c r="B54" s="18" t="s">
        <v>133</v>
      </c>
      <c r="C54" s="21" t="n">
        <v>12</v>
      </c>
      <c r="D54" s="18" t="s">
        <v>132</v>
      </c>
      <c r="E54" s="6"/>
      <c r="F54" s="6"/>
      <c r="G54" s="6"/>
      <c r="H54" s="6"/>
      <c r="I54" s="6"/>
    </row>
    <row r="55" customFormat="false" ht="15" hidden="false" customHeight="false" outlineLevel="0" collapsed="false">
      <c r="A55" s="6"/>
      <c r="B55" s="18" t="s">
        <v>134</v>
      </c>
      <c r="C55" s="21" t="n">
        <v>7</v>
      </c>
      <c r="D55" s="18" t="s">
        <v>132</v>
      </c>
      <c r="E55" s="6"/>
      <c r="F55" s="6"/>
      <c r="G55" s="6"/>
      <c r="H55" s="6"/>
      <c r="I55" s="6"/>
    </row>
    <row r="56" customFormat="false" ht="15" hidden="false" customHeight="false" outlineLevel="0" collapsed="false">
      <c r="A56" s="6"/>
      <c r="B56" s="16" t="s">
        <v>135</v>
      </c>
      <c r="C56" s="17"/>
      <c r="D56" s="17"/>
      <c r="E56" s="17"/>
      <c r="F56" s="6"/>
      <c r="G56" s="6"/>
      <c r="H56" s="6"/>
      <c r="I56" s="6"/>
    </row>
    <row r="57" customFormat="false" ht="15" hidden="false" customHeight="false" outlineLevel="0" collapsed="false">
      <c r="A57" s="6"/>
      <c r="B57" s="18" t="s">
        <v>136</v>
      </c>
      <c r="C57" s="21" t="n">
        <v>35</v>
      </c>
      <c r="D57" s="18" t="s">
        <v>137</v>
      </c>
      <c r="E57" s="6"/>
      <c r="F57" s="6"/>
      <c r="G57" s="6"/>
      <c r="H57" s="6"/>
      <c r="I57" s="6"/>
    </row>
    <row r="58" customFormat="false" ht="15" hidden="false" customHeight="false" outlineLevel="0" collapsed="false">
      <c r="A58" s="6"/>
      <c r="B58" s="18" t="s">
        <v>138</v>
      </c>
      <c r="C58" s="21" t="n">
        <v>45</v>
      </c>
      <c r="D58" s="18" t="s">
        <v>137</v>
      </c>
      <c r="E58" s="6"/>
      <c r="F58" s="6"/>
      <c r="G58" s="6"/>
      <c r="H58" s="6"/>
      <c r="I58" s="6"/>
    </row>
    <row r="59" customFormat="false" ht="15" hidden="false" customHeight="false" outlineLevel="0" collapsed="false">
      <c r="A59" s="6"/>
      <c r="B59" s="16" t="s">
        <v>139</v>
      </c>
      <c r="C59" s="17"/>
      <c r="D59" s="17"/>
      <c r="E59" s="17"/>
      <c r="F59" s="6"/>
      <c r="G59" s="6"/>
      <c r="H59" s="6"/>
      <c r="I59" s="6"/>
    </row>
    <row r="60" customFormat="false" ht="15" hidden="false" customHeight="false" outlineLevel="0" collapsed="false">
      <c r="A60" s="6"/>
      <c r="B60" s="18" t="s">
        <v>140</v>
      </c>
      <c r="C60" s="24" t="n">
        <v>0.65</v>
      </c>
      <c r="D60" s="18" t="s">
        <v>141</v>
      </c>
      <c r="E60" s="20" t="s">
        <v>142</v>
      </c>
      <c r="F60" s="6"/>
      <c r="G60" s="6"/>
      <c r="H60" s="6"/>
      <c r="I60" s="6"/>
    </row>
    <row r="61" customFormat="false" ht="15" hidden="false" customHeight="false" outlineLevel="0" collapsed="false">
      <c r="A61" s="6"/>
      <c r="B61" s="18" t="s">
        <v>143</v>
      </c>
      <c r="C61" s="24" t="n">
        <v>0.065</v>
      </c>
      <c r="D61" s="18" t="s">
        <v>85</v>
      </c>
      <c r="E61" s="6"/>
      <c r="F61" s="6"/>
      <c r="G61" s="6"/>
      <c r="H61" s="6"/>
      <c r="I61" s="6"/>
    </row>
    <row r="62" customFormat="false" ht="15" hidden="false" customHeight="false" outlineLevel="0" collapsed="false">
      <c r="A62" s="6"/>
      <c r="B62" s="18" t="s">
        <v>144</v>
      </c>
      <c r="C62" s="27" t="n">
        <v>1.3</v>
      </c>
      <c r="D62" s="18" t="s">
        <v>145</v>
      </c>
      <c r="E62" s="6"/>
      <c r="F62" s="6"/>
      <c r="G62" s="6"/>
      <c r="H62" s="6"/>
      <c r="I62" s="6"/>
    </row>
    <row r="63" customFormat="false" ht="15" hidden="false" customHeight="false" outlineLevel="0" collapsed="false">
      <c r="A63" s="6"/>
      <c r="B63" s="18" t="s">
        <v>146</v>
      </c>
      <c r="C63" s="27" t="n">
        <v>1.2</v>
      </c>
      <c r="D63" s="18" t="s">
        <v>145</v>
      </c>
      <c r="E63" s="20" t="s">
        <v>147</v>
      </c>
      <c r="F63" s="6"/>
      <c r="G63" s="6"/>
      <c r="H63" s="6"/>
      <c r="I63" s="6"/>
    </row>
    <row r="64" customFormat="false" ht="15" hidden="false" customHeight="false" outlineLevel="0" collapsed="false">
      <c r="A64" s="6"/>
      <c r="B64" s="18" t="s">
        <v>148</v>
      </c>
      <c r="C64" s="21" t="n">
        <v>6</v>
      </c>
      <c r="D64" s="18" t="s">
        <v>149</v>
      </c>
      <c r="E64" s="6"/>
      <c r="F64" s="6"/>
      <c r="G64" s="6"/>
      <c r="H64" s="6"/>
      <c r="I64" s="6"/>
    </row>
    <row r="65" customFormat="false" ht="15" hidden="false" customHeight="false" outlineLevel="0" collapsed="false">
      <c r="A65" s="6"/>
      <c r="B65" s="16" t="s">
        <v>150</v>
      </c>
      <c r="C65" s="17"/>
      <c r="D65" s="17"/>
      <c r="E65" s="17"/>
      <c r="F65" s="6"/>
      <c r="G65" s="6"/>
      <c r="H65" s="6"/>
      <c r="I65" s="6"/>
    </row>
    <row r="66" customFormat="false" ht="15" hidden="false" customHeight="false" outlineLevel="0" collapsed="false">
      <c r="A66" s="6"/>
      <c r="B66" s="18" t="s">
        <v>151</v>
      </c>
      <c r="C66" s="24" t="n">
        <v>0.25</v>
      </c>
      <c r="D66" s="18" t="s">
        <v>67</v>
      </c>
      <c r="E66" s="6"/>
      <c r="F66" s="6"/>
      <c r="G66" s="6"/>
      <c r="H66" s="6"/>
      <c r="I66" s="6"/>
    </row>
    <row r="67" customFormat="false" ht="15" hidden="false" customHeight="false" outlineLevel="0" collapsed="false">
      <c r="A67" s="6"/>
      <c r="B67" s="18" t="s">
        <v>152</v>
      </c>
      <c r="C67" s="24" t="n">
        <v>0.085</v>
      </c>
      <c r="D67" s="18" t="s">
        <v>67</v>
      </c>
      <c r="E67" s="6"/>
      <c r="F67" s="6"/>
      <c r="G67" s="6"/>
      <c r="H67" s="6"/>
      <c r="I67" s="6"/>
    </row>
    <row r="68" customFormat="false" ht="15" hidden="false" customHeight="false" outlineLevel="0" collapsed="false">
      <c r="A68" s="6"/>
      <c r="B68" s="18" t="s">
        <v>153</v>
      </c>
      <c r="C68" s="27" t="n">
        <v>15</v>
      </c>
      <c r="D68" s="18" t="s">
        <v>145</v>
      </c>
      <c r="E68" s="20" t="s">
        <v>154</v>
      </c>
      <c r="F68" s="6"/>
      <c r="G68" s="6"/>
      <c r="H68" s="6"/>
      <c r="I68" s="6"/>
    </row>
    <row r="69" customFormat="false" ht="15" hidden="false" customHeight="false" outlineLevel="0" collapsed="false">
      <c r="A69" s="6"/>
      <c r="B69" s="18" t="s">
        <v>155</v>
      </c>
      <c r="C69" s="24" t="n">
        <v>0.055</v>
      </c>
      <c r="D69" s="18" t="s">
        <v>67</v>
      </c>
      <c r="E69" s="20" t="s">
        <v>156</v>
      </c>
      <c r="F69" s="6"/>
      <c r="G69" s="6"/>
      <c r="H69" s="6"/>
      <c r="I69" s="6"/>
    </row>
    <row r="70" customFormat="false" ht="15" hidden="false" customHeight="false" outlineLevel="0" collapsed="false">
      <c r="A70" s="6"/>
      <c r="B70" s="16" t="s">
        <v>157</v>
      </c>
      <c r="C70" s="17"/>
      <c r="D70" s="17"/>
      <c r="E70" s="17"/>
      <c r="F70" s="6"/>
      <c r="G70" s="6"/>
      <c r="H70" s="6"/>
      <c r="I70" s="6"/>
    </row>
    <row r="71" customFormat="false" ht="15" hidden="false" customHeight="false" outlineLevel="0" collapsed="false">
      <c r="A71" s="6"/>
      <c r="B71" s="18" t="s">
        <v>158</v>
      </c>
      <c r="C71" s="24" t="n">
        <v>0.72</v>
      </c>
      <c r="D71" s="18" t="s">
        <v>67</v>
      </c>
      <c r="E71" s="20" t="s">
        <v>159</v>
      </c>
      <c r="F71" s="6"/>
      <c r="G71" s="6"/>
      <c r="H71" s="6"/>
      <c r="I71" s="6"/>
    </row>
    <row r="72" customFormat="false" ht="15" hidden="false" customHeight="false" outlineLevel="0" collapsed="false">
      <c r="A72" s="6"/>
      <c r="B72" s="18" t="s">
        <v>160</v>
      </c>
      <c r="C72" s="24" t="n">
        <v>0.82</v>
      </c>
      <c r="D72" s="18" t="s">
        <v>67</v>
      </c>
      <c r="E72" s="6"/>
      <c r="F72" s="6"/>
      <c r="G72" s="6"/>
      <c r="H72" s="6"/>
      <c r="I72" s="6"/>
    </row>
    <row r="73" customFormat="false" ht="15" hidden="false" customHeight="false" outlineLevel="0" collapsed="false">
      <c r="A73" s="6"/>
      <c r="B73" s="18" t="s">
        <v>161</v>
      </c>
      <c r="C73" s="24" t="n">
        <v>0.9</v>
      </c>
      <c r="D73" s="18" t="s">
        <v>67</v>
      </c>
      <c r="E73" s="6"/>
      <c r="F73" s="6"/>
      <c r="G73" s="6"/>
      <c r="H73" s="6"/>
      <c r="I73" s="6"/>
    </row>
    <row r="74" customFormat="false" ht="15" hidden="false" customHeight="false" outlineLevel="0" collapsed="false">
      <c r="A74" s="6"/>
      <c r="B74" s="18" t="s">
        <v>162</v>
      </c>
      <c r="C74" s="24" t="n">
        <v>0.93</v>
      </c>
      <c r="D74" s="18" t="s">
        <v>67</v>
      </c>
      <c r="E74" s="6"/>
      <c r="F74" s="6"/>
      <c r="G74" s="6"/>
      <c r="H74" s="6"/>
      <c r="I74" s="6"/>
    </row>
    <row r="75" customFormat="false" ht="15" hidden="false" customHeight="false" outlineLevel="0" collapsed="false">
      <c r="A75" s="6"/>
      <c r="B75" s="18" t="s">
        <v>163</v>
      </c>
      <c r="C75" s="24" t="n">
        <v>0.94</v>
      </c>
      <c r="D75" s="18" t="s">
        <v>67</v>
      </c>
      <c r="E75" s="6"/>
      <c r="F75" s="6"/>
      <c r="G75" s="6"/>
      <c r="H75" s="6"/>
      <c r="I75" s="6"/>
    </row>
    <row r="76" customFormat="false" ht="15" hidden="false" customHeight="false" outlineLevel="0" collapsed="false">
      <c r="A76" s="6"/>
      <c r="B76" s="18" t="s">
        <v>164</v>
      </c>
      <c r="C76" s="24" t="n">
        <v>0.94</v>
      </c>
      <c r="D76" s="18" t="s">
        <v>67</v>
      </c>
      <c r="E76" s="20" t="s">
        <v>165</v>
      </c>
      <c r="F76" s="6"/>
      <c r="G76" s="6"/>
      <c r="H76" s="6"/>
      <c r="I76" s="6"/>
    </row>
    <row r="77" customFormat="false" ht="15" hidden="false" customHeight="false" outlineLevel="0" collapsed="false">
      <c r="A77" s="6"/>
      <c r="B77" s="18" t="s">
        <v>166</v>
      </c>
      <c r="C77" s="24" t="n">
        <v>0</v>
      </c>
      <c r="D77" s="18" t="s">
        <v>67</v>
      </c>
      <c r="E77" s="20" t="s">
        <v>167</v>
      </c>
      <c r="F77" s="6"/>
      <c r="G77" s="6"/>
      <c r="H77" s="6"/>
      <c r="I77" s="6"/>
    </row>
    <row r="78" customFormat="false" ht="15" hidden="false" customHeight="false" outlineLevel="0" collapsed="false">
      <c r="A78" s="6"/>
      <c r="B78" s="18" t="s">
        <v>168</v>
      </c>
      <c r="C78" s="24" t="n">
        <v>0.55</v>
      </c>
      <c r="D78" s="18" t="s">
        <v>67</v>
      </c>
      <c r="E78" s="20" t="s">
        <v>169</v>
      </c>
      <c r="F78" s="6"/>
      <c r="G78" s="6"/>
      <c r="H78" s="6"/>
      <c r="I78" s="6"/>
    </row>
    <row r="79" customFormat="false" ht="15" hidden="false" customHeight="false" outlineLevel="0" collapsed="false">
      <c r="A79" s="6"/>
      <c r="B79" s="18" t="s">
        <v>170</v>
      </c>
      <c r="C79" s="24" t="n">
        <v>0.8</v>
      </c>
      <c r="D79" s="18" t="s">
        <v>67</v>
      </c>
      <c r="E79" s="6"/>
      <c r="F79" s="6"/>
      <c r="G79" s="6"/>
      <c r="H79" s="6"/>
      <c r="I79" s="6"/>
    </row>
    <row r="80" customFormat="false" ht="15" hidden="false" customHeight="false" outlineLevel="0" collapsed="false">
      <c r="A80" s="6"/>
      <c r="B80" s="18" t="s">
        <v>171</v>
      </c>
      <c r="C80" s="24" t="n">
        <v>0.88</v>
      </c>
      <c r="D80" s="18" t="s">
        <v>67</v>
      </c>
      <c r="E80" s="20" t="s">
        <v>165</v>
      </c>
      <c r="F80" s="6"/>
      <c r="G80" s="6"/>
      <c r="H80" s="6"/>
      <c r="I80" s="6"/>
    </row>
    <row r="81" customFormat="false" ht="15" hidden="false" customHeight="false" outlineLevel="0" collapsed="false">
      <c r="A81" s="6"/>
      <c r="B81" s="16" t="s">
        <v>172</v>
      </c>
      <c r="C81" s="17"/>
      <c r="D81" s="17"/>
      <c r="E81" s="17"/>
      <c r="F81" s="6"/>
      <c r="G81" s="6"/>
      <c r="H81" s="6"/>
      <c r="I81" s="6"/>
    </row>
    <row r="82" customFormat="false" ht="15" hidden="false" customHeight="false" outlineLevel="0" collapsed="false">
      <c r="A82" s="6"/>
      <c r="B82" s="18" t="s">
        <v>173</v>
      </c>
      <c r="C82" s="25" t="n">
        <v>13500000</v>
      </c>
      <c r="D82" s="18" t="s">
        <v>174</v>
      </c>
      <c r="E82" s="20" t="s">
        <v>175</v>
      </c>
      <c r="F82" s="6"/>
      <c r="G82" s="6"/>
      <c r="H82" s="6"/>
      <c r="I82"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176</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177</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6" t="s">
        <v>178</v>
      </c>
      <c r="C6" s="17"/>
      <c r="D6" s="17"/>
      <c r="E6" s="17"/>
      <c r="F6" s="17"/>
      <c r="G6" s="17"/>
      <c r="H6" s="17"/>
      <c r="I6" s="17"/>
    </row>
    <row r="7" customFormat="false" ht="15" hidden="false" customHeight="false" outlineLevel="0" collapsed="false">
      <c r="A7" s="6"/>
      <c r="B7" s="18" t="s">
        <v>179</v>
      </c>
      <c r="C7" s="28" t="n">
        <f aca="false">1</f>
        <v>1</v>
      </c>
      <c r="D7" s="28" t="n">
        <f aca="false">C7+1</f>
        <v>2</v>
      </c>
      <c r="E7" s="28" t="n">
        <f aca="false">D7+1</f>
        <v>3</v>
      </c>
      <c r="F7" s="28" t="n">
        <f aca="false">E7+1</f>
        <v>4</v>
      </c>
      <c r="G7" s="28" t="n">
        <f aca="false">F7+1</f>
        <v>5</v>
      </c>
      <c r="H7" s="28" t="n">
        <f aca="false">G7+1</f>
        <v>6</v>
      </c>
      <c r="I7" s="28" t="n">
        <f aca="false">H7+1</f>
        <v>7</v>
      </c>
    </row>
    <row r="8" customFormat="false" ht="15" hidden="false" customHeight="false" outlineLevel="0" collapsed="false">
      <c r="A8" s="6"/>
      <c r="B8" s="18" t="s">
        <v>180</v>
      </c>
      <c r="C8" s="29" t="n">
        <f aca="false">Base_Year+0</f>
        <v>2025</v>
      </c>
      <c r="D8" s="29" t="n">
        <f aca="false">Base_Year+1</f>
        <v>2026</v>
      </c>
      <c r="E8" s="29" t="n">
        <f aca="false">Base_Year+2</f>
        <v>2027</v>
      </c>
      <c r="F8" s="29" t="n">
        <f aca="false">Base_Year+3</f>
        <v>2028</v>
      </c>
      <c r="G8" s="29" t="n">
        <f aca="false">Base_Year+4</f>
        <v>2029</v>
      </c>
      <c r="H8" s="29" t="n">
        <f aca="false">Base_Year+5</f>
        <v>2030</v>
      </c>
      <c r="I8" s="29" t="n">
        <f aca="false">Base_Year+6</f>
        <v>2031</v>
      </c>
    </row>
    <row r="9" customFormat="false" ht="15" hidden="false" customHeight="false" outlineLevel="0" collapsed="false">
      <c r="A9" s="6"/>
      <c r="B9" s="16" t="s">
        <v>181</v>
      </c>
      <c r="C9" s="17"/>
      <c r="D9" s="17"/>
      <c r="E9" s="17"/>
      <c r="F9" s="17"/>
      <c r="G9" s="17"/>
      <c r="H9" s="17"/>
      <c r="I9" s="17"/>
    </row>
    <row r="10" customFormat="false" ht="15" hidden="false" customHeight="false" outlineLevel="0" collapsed="false">
      <c r="A10" s="6"/>
      <c r="B10" s="18" t="s">
        <v>182</v>
      </c>
      <c r="C10" s="28" t="n">
        <f aca="false">IF(C7&lt;=1,1,0)</f>
        <v>1</v>
      </c>
      <c r="D10" s="28" t="n">
        <f aca="false">IF(D7&lt;=1,1,0)</f>
        <v>0</v>
      </c>
      <c r="E10" s="28" t="n">
        <f aca="false">IF(E7&lt;=1,1,0)</f>
        <v>0</v>
      </c>
      <c r="F10" s="28" t="n">
        <f aca="false">IF(F7&lt;=1,1,0)</f>
        <v>0</v>
      </c>
      <c r="G10" s="28" t="n">
        <f aca="false">IF(G7&lt;=1,1,0)</f>
        <v>0</v>
      </c>
      <c r="H10" s="28" t="n">
        <f aca="false">IF(H7&lt;=1,1,0)</f>
        <v>0</v>
      </c>
      <c r="I10" s="28" t="n">
        <f aca="false">IF(I7&lt;=1,1,0)</f>
        <v>0</v>
      </c>
    </row>
    <row r="11" customFormat="false" ht="15" hidden="false" customHeight="false" outlineLevel="0" collapsed="false">
      <c r="A11" s="6"/>
      <c r="B11" s="18" t="s">
        <v>183</v>
      </c>
      <c r="C11" s="28" t="n">
        <f aca="false">IF(AND(C7&gt;=3,C7&lt;=4),1,0)</f>
        <v>0</v>
      </c>
      <c r="D11" s="28" t="n">
        <f aca="false">IF(AND(D7&gt;=3,D7&lt;=4),1,0)</f>
        <v>0</v>
      </c>
      <c r="E11" s="28" t="n">
        <f aca="false">IF(AND(E7&gt;=3,E7&lt;=4),1,0)</f>
        <v>1</v>
      </c>
      <c r="F11" s="28" t="n">
        <f aca="false">IF(AND(F7&gt;=3,F7&lt;=4),1,0)</f>
        <v>1</v>
      </c>
      <c r="G11" s="28" t="n">
        <f aca="false">IF(AND(G7&gt;=3,G7&lt;=4),1,0)</f>
        <v>0</v>
      </c>
      <c r="H11" s="28" t="n">
        <f aca="false">IF(AND(H7&gt;=3,H7&lt;=4),1,0)</f>
        <v>0</v>
      </c>
      <c r="I11" s="28" t="n">
        <f aca="false">IF(AND(I7&gt;=3,I7&lt;=4),1,0)</f>
        <v>0</v>
      </c>
    </row>
    <row r="12" customFormat="false" ht="15" hidden="false" customHeight="false" outlineLevel="0" collapsed="false">
      <c r="A12" s="6"/>
      <c r="B12" s="18" t="s">
        <v>184</v>
      </c>
      <c r="C12" s="28" t="n">
        <f aca="false">IF(C10+C11&gt;0,1,0)</f>
        <v>1</v>
      </c>
      <c r="D12" s="28" t="n">
        <f aca="false">IF(D10+D11&gt;0,1,0)</f>
        <v>0</v>
      </c>
      <c r="E12" s="28" t="n">
        <f aca="false">IF(E10+E11&gt;0,1,0)</f>
        <v>1</v>
      </c>
      <c r="F12" s="28" t="n">
        <f aca="false">IF(F10+F11&gt;0,1,0)</f>
        <v>1</v>
      </c>
      <c r="G12" s="28" t="n">
        <f aca="false">IF(G10+G11&gt;0,1,0)</f>
        <v>0</v>
      </c>
      <c r="H12" s="28" t="n">
        <f aca="false">IF(H10+H11&gt;0,1,0)</f>
        <v>0</v>
      </c>
      <c r="I12" s="28" t="n">
        <f aca="false">IF(I10+I11&gt;0,1,0)</f>
        <v>0</v>
      </c>
    </row>
    <row r="13" customFormat="false" ht="15" hidden="false" customHeight="false" outlineLevel="0" collapsed="false">
      <c r="A13" s="6"/>
      <c r="B13" s="18" t="s">
        <v>185</v>
      </c>
      <c r="C13" s="28" t="n">
        <f aca="false">IF(C7&gt;=2,1,0)</f>
        <v>0</v>
      </c>
      <c r="D13" s="28" t="n">
        <f aca="false">IF(D7&gt;=2,1,0)</f>
        <v>1</v>
      </c>
      <c r="E13" s="28" t="n">
        <f aca="false">IF(E7&gt;=2,1,0)</f>
        <v>1</v>
      </c>
      <c r="F13" s="28" t="n">
        <f aca="false">IF(F7&gt;=2,1,0)</f>
        <v>1</v>
      </c>
      <c r="G13" s="28" t="n">
        <f aca="false">IF(G7&gt;=2,1,0)</f>
        <v>1</v>
      </c>
      <c r="H13" s="28" t="n">
        <f aca="false">IF(H7&gt;=2,1,0)</f>
        <v>1</v>
      </c>
      <c r="I13" s="28" t="n">
        <f aca="false">IF(I7&gt;=2,1,0)</f>
        <v>1</v>
      </c>
    </row>
    <row r="14" customFormat="false" ht="15" hidden="false" customHeight="false" outlineLevel="0" collapsed="false">
      <c r="A14" s="6"/>
      <c r="B14" s="18" t="s">
        <v>186</v>
      </c>
      <c r="C14" s="28" t="n">
        <f aca="false">IF(C7&gt;=2,1,0)</f>
        <v>0</v>
      </c>
      <c r="D14" s="28" t="n">
        <f aca="false">IF(D7&gt;=2,1,0)</f>
        <v>1</v>
      </c>
      <c r="E14" s="28" t="n">
        <f aca="false">IF(E7&gt;=2,1,0)</f>
        <v>1</v>
      </c>
      <c r="F14" s="28" t="n">
        <f aca="false">IF(F7&gt;=2,1,0)</f>
        <v>1</v>
      </c>
      <c r="G14" s="28" t="n">
        <f aca="false">IF(G7&gt;=2,1,0)</f>
        <v>1</v>
      </c>
      <c r="H14" s="28" t="n">
        <f aca="false">IF(H7&gt;=2,1,0)</f>
        <v>1</v>
      </c>
      <c r="I14" s="28" t="n">
        <f aca="false">IF(I7&gt;=2,1,0)</f>
        <v>1</v>
      </c>
    </row>
    <row r="15" customFormat="false" ht="15" hidden="false" customHeight="false" outlineLevel="0" collapsed="false">
      <c r="A15" s="6"/>
      <c r="B15" s="18" t="s">
        <v>187</v>
      </c>
      <c r="C15" s="28" t="n">
        <f aca="false">IF(C7&gt;=5,1,0)</f>
        <v>0</v>
      </c>
      <c r="D15" s="28" t="n">
        <f aca="false">IF(D7&gt;=5,1,0)</f>
        <v>0</v>
      </c>
      <c r="E15" s="28" t="n">
        <f aca="false">IF(E7&gt;=5,1,0)</f>
        <v>0</v>
      </c>
      <c r="F15" s="28" t="n">
        <f aca="false">IF(F7&gt;=5,1,0)</f>
        <v>0</v>
      </c>
      <c r="G15" s="28" t="n">
        <f aca="false">IF(G7&gt;=5,1,0)</f>
        <v>1</v>
      </c>
      <c r="H15" s="28" t="n">
        <f aca="false">IF(H7&gt;=5,1,0)</f>
        <v>1</v>
      </c>
      <c r="I15" s="28" t="n">
        <f aca="false">IF(I7&gt;=5,1,0)</f>
        <v>1</v>
      </c>
    </row>
    <row r="16" customFormat="false" ht="15" hidden="false" customHeight="false" outlineLevel="0" collapsed="false">
      <c r="A16" s="6"/>
      <c r="B16" s="18" t="s">
        <v>188</v>
      </c>
      <c r="C16" s="28" t="n">
        <f aca="false">IF(C7&gt;=2,1,0)</f>
        <v>0</v>
      </c>
      <c r="D16" s="28" t="n">
        <f aca="false">IF(D7&gt;=2,1,0)</f>
        <v>1</v>
      </c>
      <c r="E16" s="28" t="n">
        <f aca="false">IF(E7&gt;=2,1,0)</f>
        <v>1</v>
      </c>
      <c r="F16" s="28" t="n">
        <f aca="false">IF(F7&gt;=2,1,0)</f>
        <v>1</v>
      </c>
      <c r="G16" s="28" t="n">
        <f aca="false">IF(G7&gt;=2,1,0)</f>
        <v>1</v>
      </c>
      <c r="H16" s="28" t="n">
        <f aca="false">IF(H7&gt;=2,1,0)</f>
        <v>1</v>
      </c>
      <c r="I16" s="28" t="n">
        <f aca="false">IF(I7&gt;=2,1,0)</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189</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190</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192</v>
      </c>
      <c r="C7" s="17"/>
      <c r="D7" s="17"/>
      <c r="E7" s="17"/>
      <c r="F7" s="17"/>
      <c r="G7" s="17"/>
      <c r="H7" s="17"/>
      <c r="I7" s="17"/>
    </row>
    <row r="8" customFormat="false" ht="15" hidden="false" customHeight="false" outlineLevel="0" collapsed="false">
      <c r="A8" s="6"/>
      <c r="B8" s="18" t="s">
        <v>193</v>
      </c>
      <c r="C8" s="31" t="n">
        <f aca="false">(Shell_Cost_MW*Total_MW+MEP_Cost_MW*Phase1_MW)*Timing!C10</f>
        <v>135000000</v>
      </c>
      <c r="D8" s="31" t="n">
        <f aca="false">(Shell_Cost_MW*Total_MW+MEP_Cost_MW*Phase1_MW)*Timing!D10</f>
        <v>0</v>
      </c>
      <c r="E8" s="31" t="n">
        <f aca="false">(Shell_Cost_MW*Total_MW+MEP_Cost_MW*Phase1_MW)*Timing!E10</f>
        <v>0</v>
      </c>
      <c r="F8" s="31" t="n">
        <f aca="false">(Shell_Cost_MW*Total_MW+MEP_Cost_MW*Phase1_MW)*Timing!F10</f>
        <v>0</v>
      </c>
      <c r="G8" s="31" t="n">
        <f aca="false">(Shell_Cost_MW*Total_MW+MEP_Cost_MW*Phase1_MW)*Timing!G10</f>
        <v>0</v>
      </c>
      <c r="H8" s="31" t="n">
        <f aca="false">(Shell_Cost_MW*Total_MW+MEP_Cost_MW*Phase1_MW)*Timing!H10</f>
        <v>0</v>
      </c>
      <c r="I8" s="31" t="n">
        <f aca="false">(Shell_Cost_MW*Total_MW+MEP_Cost_MW*Phase1_MW)*Timing!I10</f>
        <v>0</v>
      </c>
    </row>
    <row r="9" customFormat="false" ht="15" hidden="false" customHeight="false" outlineLevel="0" collapsed="false">
      <c r="A9" s="6"/>
      <c r="B9" s="18" t="s">
        <v>194</v>
      </c>
      <c r="C9" s="31" t="n">
        <f aca="false">(MEP_Cost_MW*Phase2_MW/2)*Timing!C11</f>
        <v>0</v>
      </c>
      <c r="D9" s="31" t="n">
        <f aca="false">(MEP_Cost_MW*Phase2_MW/2)*Timing!D11</f>
        <v>0</v>
      </c>
      <c r="E9" s="31" t="n">
        <f aca="false">(MEP_Cost_MW*Phase2_MW/2)*Timing!E11</f>
        <v>32500000</v>
      </c>
      <c r="F9" s="31" t="n">
        <f aca="false">(MEP_Cost_MW*Phase2_MW/2)*Timing!F11</f>
        <v>32500000</v>
      </c>
      <c r="G9" s="31" t="n">
        <f aca="false">(MEP_Cost_MW*Phase2_MW/2)*Timing!G11</f>
        <v>0</v>
      </c>
      <c r="H9" s="31" t="n">
        <f aca="false">(MEP_Cost_MW*Phase2_MW/2)*Timing!H11</f>
        <v>0</v>
      </c>
      <c r="I9" s="31" t="n">
        <f aca="false">(MEP_Cost_MW*Phase2_MW/2)*Timing!I11</f>
        <v>0</v>
      </c>
    </row>
    <row r="10" customFormat="false" ht="15" hidden="false" customHeight="false" outlineLevel="0" collapsed="false">
      <c r="A10" s="6"/>
      <c r="B10" s="32" t="s">
        <v>195</v>
      </c>
      <c r="C10" s="33" t="n">
        <f aca="false">C8+C9</f>
        <v>135000000</v>
      </c>
      <c r="D10" s="33" t="n">
        <f aca="false">D8+D9</f>
        <v>0</v>
      </c>
      <c r="E10" s="33" t="n">
        <f aca="false">E8+E9</f>
        <v>32500000</v>
      </c>
      <c r="F10" s="33" t="n">
        <f aca="false">F8+F9</f>
        <v>32500000</v>
      </c>
      <c r="G10" s="33" t="n">
        <f aca="false">G8+G9</f>
        <v>0</v>
      </c>
      <c r="H10" s="33" t="n">
        <f aca="false">H8+H9</f>
        <v>0</v>
      </c>
      <c r="I10" s="33" t="n">
        <f aca="false">I8+I9</f>
        <v>0</v>
      </c>
    </row>
    <row r="11" customFormat="false" ht="15" hidden="false" customHeight="false" outlineLevel="0" collapsed="false">
      <c r="A11" s="6"/>
      <c r="B11" s="16" t="s">
        <v>196</v>
      </c>
      <c r="C11" s="17"/>
      <c r="D11" s="17"/>
      <c r="E11" s="17"/>
      <c r="F11" s="17"/>
      <c r="G11" s="17"/>
      <c r="H11" s="17"/>
      <c r="I11" s="17"/>
    </row>
    <row r="12" customFormat="false" ht="15" hidden="false" customHeight="false" outlineLevel="0" collapsed="false">
      <c r="A12" s="6"/>
      <c r="B12" s="18" t="s">
        <v>197</v>
      </c>
      <c r="C12" s="31" t="n">
        <f aca="false">C10*(1-Gearing)</f>
        <v>47250000</v>
      </c>
      <c r="D12" s="31" t="n">
        <f aca="false">D10*(1-Gearing)</f>
        <v>0</v>
      </c>
      <c r="E12" s="31" t="n">
        <f aca="false">E10*(1-Gearing)</f>
        <v>11375000</v>
      </c>
      <c r="F12" s="31" t="n">
        <f aca="false">F10*(1-Gearing)</f>
        <v>11375000</v>
      </c>
      <c r="G12" s="31" t="n">
        <f aca="false">G10*(1-Gearing)</f>
        <v>0</v>
      </c>
      <c r="H12" s="31" t="n">
        <f aca="false">H10*(1-Gearing)</f>
        <v>0</v>
      </c>
      <c r="I12" s="31" t="n">
        <f aca="false">I10*(1-Gearing)</f>
        <v>0</v>
      </c>
    </row>
    <row r="13" customFormat="false" ht="15" hidden="false" customHeight="false" outlineLevel="0" collapsed="false">
      <c r="A13" s="6"/>
      <c r="B13" s="18" t="s">
        <v>198</v>
      </c>
      <c r="C13" s="31" t="n">
        <f aca="false">C8*Gearing</f>
        <v>87750000</v>
      </c>
      <c r="D13" s="31" t="n">
        <f aca="false">D8*Gearing</f>
        <v>0</v>
      </c>
      <c r="E13" s="31" t="n">
        <f aca="false">E8*Gearing</f>
        <v>0</v>
      </c>
      <c r="F13" s="31" t="n">
        <f aca="false">F8*Gearing</f>
        <v>0</v>
      </c>
      <c r="G13" s="31" t="n">
        <f aca="false">G8*Gearing</f>
        <v>0</v>
      </c>
      <c r="H13" s="31" t="n">
        <f aca="false">H8*Gearing</f>
        <v>0</v>
      </c>
      <c r="I13" s="31" t="n">
        <f aca="false">I8*Gearing</f>
        <v>0</v>
      </c>
    </row>
    <row r="14" customFormat="false" ht="15" hidden="false" customHeight="false" outlineLevel="0" collapsed="false">
      <c r="A14" s="6"/>
      <c r="B14" s="18" t="s">
        <v>199</v>
      </c>
      <c r="C14" s="31" t="n">
        <f aca="false">C9*Gearing</f>
        <v>0</v>
      </c>
      <c r="D14" s="31" t="n">
        <f aca="false">D9*Gearing</f>
        <v>0</v>
      </c>
      <c r="E14" s="31" t="n">
        <f aca="false">E9*Gearing</f>
        <v>21125000</v>
      </c>
      <c r="F14" s="31" t="n">
        <f aca="false">F9*Gearing</f>
        <v>21125000</v>
      </c>
      <c r="G14" s="31" t="n">
        <f aca="false">G9*Gearing</f>
        <v>0</v>
      </c>
      <c r="H14" s="31" t="n">
        <f aca="false">H9*Gearing</f>
        <v>0</v>
      </c>
      <c r="I14" s="31" t="n">
        <f aca="false">I9*Gearing</f>
        <v>0</v>
      </c>
    </row>
    <row r="15" customFormat="false" ht="15" hidden="false" customHeight="false" outlineLevel="0" collapsed="false">
      <c r="A15" s="6"/>
      <c r="B15" s="32" t="s">
        <v>200</v>
      </c>
      <c r="C15" s="33" t="n">
        <f aca="false">C13+C14</f>
        <v>87750000</v>
      </c>
      <c r="D15" s="33" t="n">
        <f aca="false">D13+D14</f>
        <v>0</v>
      </c>
      <c r="E15" s="33" t="n">
        <f aca="false">E13+E14</f>
        <v>21125000</v>
      </c>
      <c r="F15" s="33" t="n">
        <f aca="false">F13+F14</f>
        <v>21125000</v>
      </c>
      <c r="G15" s="33" t="n">
        <f aca="false">G13+G14</f>
        <v>0</v>
      </c>
      <c r="H15" s="33" t="n">
        <f aca="false">H13+H14</f>
        <v>0</v>
      </c>
      <c r="I15" s="33" t="n">
        <f aca="false">I13+I14</f>
        <v>0</v>
      </c>
    </row>
    <row r="16" customFormat="false" ht="15" hidden="false" customHeight="false" outlineLevel="0" collapsed="false">
      <c r="A16" s="6"/>
      <c r="B16" s="16" t="s">
        <v>201</v>
      </c>
      <c r="C16" s="17"/>
      <c r="D16" s="17"/>
      <c r="E16" s="17"/>
      <c r="F16" s="17"/>
      <c r="G16" s="17"/>
      <c r="H16" s="17"/>
      <c r="I16" s="17"/>
    </row>
    <row r="17" customFormat="false" ht="15" hidden="false" customHeight="false" outlineLevel="0" collapsed="false">
      <c r="A17" s="6"/>
      <c r="B17" s="18" t="s">
        <v>202</v>
      </c>
      <c r="C17" s="31" t="n">
        <f aca="false">C13</f>
        <v>87750000</v>
      </c>
      <c r="D17" s="31" t="n">
        <f aca="false">C17+D13</f>
        <v>87750000</v>
      </c>
      <c r="E17" s="31" t="n">
        <f aca="false">D17+E13</f>
        <v>87750000</v>
      </c>
      <c r="F17" s="31" t="n">
        <f aca="false">E17+F13</f>
        <v>87750000</v>
      </c>
      <c r="G17" s="31" t="n">
        <f aca="false">F17+G13</f>
        <v>87750000</v>
      </c>
      <c r="H17" s="31" t="n">
        <f aca="false">G17+H13</f>
        <v>87750000</v>
      </c>
      <c r="I17" s="31" t="n">
        <f aca="false">H17+I13</f>
        <v>87750000</v>
      </c>
    </row>
    <row r="18" customFormat="false" ht="15" hidden="false" customHeight="false" outlineLevel="0" collapsed="false">
      <c r="A18" s="6"/>
      <c r="B18" s="18" t="s">
        <v>203</v>
      </c>
      <c r="C18" s="31" t="n">
        <f aca="false">C14</f>
        <v>0</v>
      </c>
      <c r="D18" s="31" t="n">
        <f aca="false">C18+D14</f>
        <v>0</v>
      </c>
      <c r="E18" s="31" t="n">
        <f aca="false">D18+E14</f>
        <v>21125000</v>
      </c>
      <c r="F18" s="31" t="n">
        <f aca="false">E18+F14</f>
        <v>42250000</v>
      </c>
      <c r="G18" s="31" t="n">
        <f aca="false">F18+G14</f>
        <v>42250000</v>
      </c>
      <c r="H18" s="31" t="n">
        <f aca="false">G18+H14</f>
        <v>42250000</v>
      </c>
      <c r="I18" s="31" t="n">
        <f aca="false">H18+I14</f>
        <v>42250000</v>
      </c>
    </row>
    <row r="19" customFormat="false" ht="15" hidden="false" customHeight="false" outlineLevel="0" collapsed="false">
      <c r="A19" s="6"/>
      <c r="B19" s="16" t="s">
        <v>204</v>
      </c>
      <c r="C19" s="17"/>
      <c r="D19" s="17"/>
      <c r="E19" s="17"/>
      <c r="F19" s="17"/>
      <c r="G19" s="17"/>
      <c r="H19" s="17"/>
      <c r="I19" s="17"/>
    </row>
    <row r="20" customFormat="false" ht="15" hidden="false" customHeight="false" outlineLevel="0" collapsed="false">
      <c r="A20" s="6"/>
      <c r="B20" s="18" t="s">
        <v>205</v>
      </c>
      <c r="C20" s="31" t="n">
        <f aca="false">(C13/2)*All_In_Rate*Timing!C10</f>
        <v>2851875</v>
      </c>
      <c r="D20" s="31" t="n">
        <f aca="false">0</f>
        <v>0</v>
      </c>
      <c r="E20" s="31" t="n">
        <f aca="false">0</f>
        <v>0</v>
      </c>
      <c r="F20" s="31" t="n">
        <f aca="false">0</f>
        <v>0</v>
      </c>
      <c r="G20" s="31" t="n">
        <f aca="false">0</f>
        <v>0</v>
      </c>
      <c r="H20" s="31" t="n">
        <f aca="false">0</f>
        <v>0</v>
      </c>
      <c r="I20" s="31" t="n">
        <f aca="false">0</f>
        <v>0</v>
      </c>
    </row>
    <row r="21" customFormat="false" ht="15" hidden="false" customHeight="false" outlineLevel="0" collapsed="false">
      <c r="A21" s="6"/>
      <c r="B21" s="18" t="s">
        <v>206</v>
      </c>
      <c r="C21" s="31" t="n">
        <f aca="false">0</f>
        <v>0</v>
      </c>
      <c r="D21" s="31" t="n">
        <f aca="false">0</f>
        <v>0</v>
      </c>
      <c r="E21" s="31" t="n">
        <f aca="false">(E14/2)*All_In_Rate*Timing!E11</f>
        <v>686562.5</v>
      </c>
      <c r="F21" s="31" t="n">
        <f aca="false">(E18+E21+F14/2)*All_In_Rate*Timing!F11</f>
        <v>2104314.0625</v>
      </c>
      <c r="G21" s="31" t="n">
        <f aca="false">0</f>
        <v>0</v>
      </c>
      <c r="H21" s="31" t="n">
        <f aca="false">0</f>
        <v>0</v>
      </c>
      <c r="I21" s="31" t="n">
        <f aca="false">0</f>
        <v>0</v>
      </c>
    </row>
    <row r="22" customFormat="false" ht="15" hidden="false" customHeight="false" outlineLevel="0" collapsed="false">
      <c r="A22" s="6"/>
      <c r="B22" s="32" t="s">
        <v>207</v>
      </c>
      <c r="C22" s="33" t="n">
        <f aca="false">C20+C21</f>
        <v>2851875</v>
      </c>
      <c r="D22" s="33" t="n">
        <f aca="false">D20+D21</f>
        <v>0</v>
      </c>
      <c r="E22" s="33" t="n">
        <f aca="false">E20+E21</f>
        <v>686562.5</v>
      </c>
      <c r="F22" s="33" t="n">
        <f aca="false">F20+F21</f>
        <v>2104314.0625</v>
      </c>
      <c r="G22" s="33" t="n">
        <f aca="false">G20+G21</f>
        <v>0</v>
      </c>
      <c r="H22" s="33" t="n">
        <f aca="false">H20+H21</f>
        <v>0</v>
      </c>
      <c r="I22" s="33" t="n">
        <f aca="false">I20+I21</f>
        <v>0</v>
      </c>
    </row>
    <row r="23" customFormat="false" ht="15" hidden="false" customHeight="false" outlineLevel="0" collapsed="false">
      <c r="A23" s="6"/>
      <c r="B23" s="18" t="s">
        <v>208</v>
      </c>
      <c r="C23" s="31" t="n">
        <f aca="false">C22</f>
        <v>2851875</v>
      </c>
      <c r="D23" s="31" t="n">
        <f aca="false">C23+D22</f>
        <v>2851875</v>
      </c>
      <c r="E23" s="31" t="n">
        <f aca="false">D23+E22</f>
        <v>3538437.5</v>
      </c>
      <c r="F23" s="31" t="n">
        <f aca="false">E23+F22</f>
        <v>5642751.5625</v>
      </c>
      <c r="G23" s="31" t="n">
        <f aca="false">F23+G22</f>
        <v>5642751.5625</v>
      </c>
      <c r="H23" s="31" t="n">
        <f aca="false">G23+H22</f>
        <v>5642751.5625</v>
      </c>
      <c r="I23" s="31" t="n">
        <f aca="false">H23+I22</f>
        <v>5642751.5625</v>
      </c>
    </row>
    <row r="24" customFormat="false" ht="15" hidden="false" customHeight="false" outlineLevel="0" collapsed="false">
      <c r="A24" s="6"/>
      <c r="B24" s="16" t="s">
        <v>209</v>
      </c>
      <c r="C24" s="17"/>
      <c r="D24" s="17"/>
      <c r="E24" s="17"/>
      <c r="F24" s="17"/>
      <c r="G24" s="17"/>
      <c r="H24" s="17"/>
      <c r="I24" s="17"/>
    </row>
    <row r="25" customFormat="false" ht="15" hidden="false" customHeight="false" outlineLevel="0" collapsed="false">
      <c r="A25" s="6"/>
      <c r="B25" s="18" t="s">
        <v>210</v>
      </c>
      <c r="C25" s="31" t="n">
        <f aca="false">C10</f>
        <v>135000000</v>
      </c>
      <c r="D25" s="31" t="n">
        <f aca="false">C25+D10</f>
        <v>135000000</v>
      </c>
      <c r="E25" s="31" t="n">
        <f aca="false">D25+E10</f>
        <v>167500000</v>
      </c>
      <c r="F25" s="31" t="n">
        <f aca="false">E25+F10</f>
        <v>200000000</v>
      </c>
      <c r="G25" s="31" t="n">
        <f aca="false">F25+G10</f>
        <v>200000000</v>
      </c>
      <c r="H25" s="31" t="n">
        <f aca="false">G25+H10</f>
        <v>200000000</v>
      </c>
      <c r="I25" s="31" t="n">
        <f aca="false">H25+I10</f>
        <v>200000000</v>
      </c>
    </row>
    <row r="26" customFormat="false" ht="15" hidden="false" customHeight="false" outlineLevel="0" collapsed="false">
      <c r="A26" s="6"/>
      <c r="B26" s="32" t="s">
        <v>211</v>
      </c>
      <c r="C26" s="34" t="n">
        <f aca="false">C25+C23</f>
        <v>137851875</v>
      </c>
      <c r="D26" s="34" t="n">
        <f aca="false">D25+D23</f>
        <v>137851875</v>
      </c>
      <c r="E26" s="34" t="n">
        <f aca="false">E25+E23</f>
        <v>171038437.5</v>
      </c>
      <c r="F26" s="34" t="n">
        <f aca="false">F25+F23</f>
        <v>205642751.5625</v>
      </c>
      <c r="G26" s="34" t="n">
        <f aca="false">G25+G23</f>
        <v>205642751.5625</v>
      </c>
      <c r="H26" s="34" t="n">
        <f aca="false">H25+H23</f>
        <v>205642751.5625</v>
      </c>
      <c r="I26" s="34" t="n">
        <f aca="false">I25+I23</f>
        <v>205642751.5625</v>
      </c>
    </row>
    <row r="27" customFormat="false" ht="15" hidden="false" customHeight="false" outlineLevel="0" collapsed="false">
      <c r="A27" s="6"/>
      <c r="B27" s="16" t="s">
        <v>212</v>
      </c>
      <c r="C27" s="17"/>
      <c r="D27" s="17"/>
      <c r="E27" s="17"/>
      <c r="F27" s="17"/>
      <c r="G27" s="17"/>
      <c r="H27" s="17"/>
      <c r="I27" s="17"/>
    </row>
    <row r="28" customFormat="false" ht="15" hidden="false" customHeight="false" outlineLevel="0" collapsed="false">
      <c r="A28" s="6"/>
      <c r="B28" s="18" t="s">
        <v>213</v>
      </c>
      <c r="C28" s="31" t="n">
        <f aca="false">DSRA_Months/12*All_In_Rate*(Shell_Cost_MW*Total_MW+MEP_Cost_MW*Phase1_MW)*Gearing</f>
        <v>2851875</v>
      </c>
      <c r="D28" s="31" t="n">
        <f aca="false">0</f>
        <v>0</v>
      </c>
      <c r="E28" s="31" t="n">
        <f aca="false">0</f>
        <v>0</v>
      </c>
      <c r="F28" s="31" t="n">
        <f aca="false">0</f>
        <v>0</v>
      </c>
      <c r="G28" s="31" t="n">
        <f aca="false">0</f>
        <v>0</v>
      </c>
      <c r="H28" s="31" t="n">
        <f aca="false">0</f>
        <v>0</v>
      </c>
      <c r="I28" s="31" t="n">
        <f aca="false">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214</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215</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216</v>
      </c>
      <c r="C7" s="17"/>
      <c r="D7" s="17"/>
      <c r="E7" s="17"/>
      <c r="F7" s="17"/>
      <c r="G7" s="17"/>
      <c r="H7" s="17"/>
      <c r="I7" s="17"/>
    </row>
    <row r="8" customFormat="false" ht="15" hidden="false" customHeight="false" outlineLevel="0" collapsed="false">
      <c r="A8" s="6"/>
      <c r="B8" s="18" t="s">
        <v>217</v>
      </c>
      <c r="C8" s="35" t="n">
        <f aca="false">Phase1_MW*1000*Timing!C14</f>
        <v>0</v>
      </c>
      <c r="D8" s="35" t="n">
        <f aca="false">Phase1_MW*1000*Timing!D14</f>
        <v>10000</v>
      </c>
      <c r="E8" s="35" t="n">
        <f aca="false">Phase1_MW*1000*Timing!E14</f>
        <v>10000</v>
      </c>
      <c r="F8" s="35" t="n">
        <f aca="false">Phase1_MW*1000*Timing!F14</f>
        <v>10000</v>
      </c>
      <c r="G8" s="35" t="n">
        <f aca="false">Phase1_MW*1000*Timing!G14</f>
        <v>10000</v>
      </c>
      <c r="H8" s="35" t="n">
        <f aca="false">Phase1_MW*1000*Timing!H14</f>
        <v>10000</v>
      </c>
      <c r="I8" s="35" t="n">
        <f aca="false">Phase1_MW*1000*Timing!I14</f>
        <v>10000</v>
      </c>
    </row>
    <row r="9" customFormat="false" ht="15" hidden="false" customHeight="false" outlineLevel="0" collapsed="false">
      <c r="A9" s="6"/>
      <c r="B9" s="18" t="s">
        <v>218</v>
      </c>
      <c r="C9" s="35" t="n">
        <f aca="false">Phase2_MW*1000*Timing!C15</f>
        <v>0</v>
      </c>
      <c r="D9" s="35" t="n">
        <f aca="false">Phase2_MW*1000*Timing!D15</f>
        <v>0</v>
      </c>
      <c r="E9" s="35" t="n">
        <f aca="false">Phase2_MW*1000*Timing!E15</f>
        <v>0</v>
      </c>
      <c r="F9" s="35" t="n">
        <f aca="false">Phase2_MW*1000*Timing!F15</f>
        <v>0</v>
      </c>
      <c r="G9" s="35" t="n">
        <f aca="false">Phase2_MW*1000*Timing!G15</f>
        <v>10000</v>
      </c>
      <c r="H9" s="35" t="n">
        <f aca="false">Phase2_MW*1000*Timing!H15</f>
        <v>10000</v>
      </c>
      <c r="I9" s="35" t="n">
        <f aca="false">Phase2_MW*1000*Timing!I15</f>
        <v>10000</v>
      </c>
    </row>
    <row r="10" customFormat="false" ht="15" hidden="false" customHeight="false" outlineLevel="0" collapsed="false">
      <c r="A10" s="6"/>
      <c r="B10" s="32" t="s">
        <v>219</v>
      </c>
      <c r="C10" s="36" t="n">
        <f aca="false">C8+C9</f>
        <v>0</v>
      </c>
      <c r="D10" s="36" t="n">
        <f aca="false">D8+D9</f>
        <v>10000</v>
      </c>
      <c r="E10" s="36" t="n">
        <f aca="false">E8+E9</f>
        <v>10000</v>
      </c>
      <c r="F10" s="36" t="n">
        <f aca="false">F8+F9</f>
        <v>10000</v>
      </c>
      <c r="G10" s="36" t="n">
        <f aca="false">G8+G9</f>
        <v>20000</v>
      </c>
      <c r="H10" s="36" t="n">
        <f aca="false">H8+H9</f>
        <v>20000</v>
      </c>
      <c r="I10" s="36" t="n">
        <f aca="false">I8+I9</f>
        <v>20000</v>
      </c>
    </row>
    <row r="11" customFormat="false" ht="15" hidden="false" customHeight="false" outlineLevel="0" collapsed="false">
      <c r="A11" s="6"/>
      <c r="B11" s="16" t="s">
        <v>220</v>
      </c>
      <c r="C11" s="17"/>
      <c r="D11" s="17"/>
      <c r="E11" s="17"/>
      <c r="F11" s="17"/>
      <c r="G11" s="17"/>
      <c r="H11" s="17"/>
      <c r="I11" s="17"/>
    </row>
    <row r="12" customFormat="false" ht="15" hidden="false" customHeight="false" outlineLevel="0" collapsed="false">
      <c r="A12" s="6"/>
      <c r="B12" s="18" t="s">
        <v>221</v>
      </c>
      <c r="C12" s="37" t="n">
        <f aca="false">0</f>
        <v>0</v>
      </c>
      <c r="D12" s="37" t="n">
        <f aca="false">P1_Occ_Y2</f>
        <v>0.72</v>
      </c>
      <c r="E12" s="37" t="n">
        <f aca="false">MAX(0,P1_Occ_Y3-Churn_Pct*P1_Occ_Y2)</f>
        <v>0.7984</v>
      </c>
      <c r="F12" s="37" t="n">
        <f aca="false">MAX(0,P1_Occ_Y4-Churn_Pct*P1_Occ_Y3)</f>
        <v>0.8754</v>
      </c>
      <c r="G12" s="37" t="n">
        <f aca="false">MAX(0,P1_Occ_Y5-Churn_Pct*P1_Occ_Y4)</f>
        <v>0.903</v>
      </c>
      <c r="H12" s="37" t="n">
        <f aca="false">MAX(0,P1_Occ_Y6-Churn_Pct*P1_Occ_Y5)</f>
        <v>0.9121</v>
      </c>
      <c r="I12" s="37" t="n">
        <f aca="false">MAX(0,P1_Occ_Y7-Churn_Pct*P1_Occ_Y6)</f>
        <v>0.9118</v>
      </c>
    </row>
    <row r="13" customFormat="false" ht="15" hidden="false" customHeight="false" outlineLevel="0" collapsed="false">
      <c r="A13" s="6"/>
      <c r="B13" s="18" t="s">
        <v>222</v>
      </c>
      <c r="C13" s="37" t="n">
        <f aca="false">0</f>
        <v>0</v>
      </c>
      <c r="D13" s="37" t="n">
        <f aca="false">0</f>
        <v>0</v>
      </c>
      <c r="E13" s="37" t="n">
        <f aca="false">0</f>
        <v>0</v>
      </c>
      <c r="F13" s="37" t="n">
        <f aca="false">P2_Occ_Y4</f>
        <v>0</v>
      </c>
      <c r="G13" s="37" t="n">
        <f aca="false">MAX(0,P2_Occ_Y5-Churn_Pct*P2_Occ_Y4)</f>
        <v>0.55</v>
      </c>
      <c r="H13" s="37" t="n">
        <f aca="false">MAX(0,P2_Occ_Y6-Churn_Pct*P2_Occ_Y5)</f>
        <v>0.7835</v>
      </c>
      <c r="I13" s="37" t="n">
        <f aca="false">MAX(0,P2_Occ_Y7-Churn_Pct*P2_Occ_Y6)</f>
        <v>0.856</v>
      </c>
    </row>
    <row r="14" customFormat="false" ht="15" hidden="false" customHeight="false" outlineLevel="0" collapsed="false">
      <c r="A14" s="6"/>
      <c r="B14" s="18" t="s">
        <v>223</v>
      </c>
      <c r="C14" s="37" t="n">
        <f aca="false">Churn_Pct*Timing!C13</f>
        <v>0</v>
      </c>
      <c r="D14" s="37" t="n">
        <f aca="false">Churn_Pct*Timing!D13</f>
        <v>0.03</v>
      </c>
      <c r="E14" s="37" t="n">
        <f aca="false">Churn_Pct*Timing!E13</f>
        <v>0.03</v>
      </c>
      <c r="F14" s="37" t="n">
        <f aca="false">Churn_Pct*Timing!F13</f>
        <v>0.03</v>
      </c>
      <c r="G14" s="37" t="n">
        <f aca="false">Churn_Pct*Timing!G13</f>
        <v>0.03</v>
      </c>
      <c r="H14" s="37" t="n">
        <f aca="false">Churn_Pct*Timing!H13</f>
        <v>0.03</v>
      </c>
      <c r="I14" s="37" t="n">
        <f aca="false">Churn_Pct*Timing!I13</f>
        <v>0.03</v>
      </c>
    </row>
    <row r="15" customFormat="false" ht="15" hidden="false" customHeight="false" outlineLevel="0" collapsed="false">
      <c r="A15" s="6"/>
      <c r="B15" s="16" t="s">
        <v>224</v>
      </c>
      <c r="C15" s="17"/>
      <c r="D15" s="17"/>
      <c r="E15" s="17"/>
      <c r="F15" s="17"/>
      <c r="G15" s="17"/>
      <c r="H15" s="17"/>
      <c r="I15" s="17"/>
    </row>
    <row r="16" customFormat="false" ht="15" hidden="false" customHeight="false" outlineLevel="0" collapsed="false">
      <c r="A16" s="6"/>
      <c r="B16" s="18" t="s">
        <v>225</v>
      </c>
      <c r="C16" s="35" t="n">
        <f aca="false">C8*C12</f>
        <v>0</v>
      </c>
      <c r="D16" s="35" t="n">
        <f aca="false">D8*D12</f>
        <v>7200</v>
      </c>
      <c r="E16" s="35" t="n">
        <f aca="false">E8*E12</f>
        <v>7984</v>
      </c>
      <c r="F16" s="35" t="n">
        <f aca="false">F8*F12</f>
        <v>8754</v>
      </c>
      <c r="G16" s="35" t="n">
        <f aca="false">G8*G12</f>
        <v>9030</v>
      </c>
      <c r="H16" s="35" t="n">
        <f aca="false">H8*H12</f>
        <v>9121</v>
      </c>
      <c r="I16" s="35" t="n">
        <f aca="false">I8*I12</f>
        <v>9118</v>
      </c>
    </row>
    <row r="17" customFormat="false" ht="15" hidden="false" customHeight="false" outlineLevel="0" collapsed="false">
      <c r="A17" s="6"/>
      <c r="B17" s="18" t="s">
        <v>226</v>
      </c>
      <c r="C17" s="35" t="n">
        <f aca="false">C9*C13</f>
        <v>0</v>
      </c>
      <c r="D17" s="35" t="n">
        <f aca="false">D9*D13</f>
        <v>0</v>
      </c>
      <c r="E17" s="35" t="n">
        <f aca="false">E9*E13</f>
        <v>0</v>
      </c>
      <c r="F17" s="35" t="n">
        <f aca="false">F9*F13</f>
        <v>0</v>
      </c>
      <c r="G17" s="35" t="n">
        <f aca="false">G9*G13</f>
        <v>5500</v>
      </c>
      <c r="H17" s="35" t="n">
        <f aca="false">H9*H13</f>
        <v>7835</v>
      </c>
      <c r="I17" s="35" t="n">
        <f aca="false">I9*I13</f>
        <v>8560</v>
      </c>
    </row>
    <row r="18" customFormat="false" ht="15" hidden="false" customHeight="false" outlineLevel="0" collapsed="false">
      <c r="A18" s="6"/>
      <c r="B18" s="32" t="s">
        <v>227</v>
      </c>
      <c r="C18" s="36" t="n">
        <f aca="false">C16+C17</f>
        <v>0</v>
      </c>
      <c r="D18" s="36" t="n">
        <f aca="false">D16+D17</f>
        <v>7200</v>
      </c>
      <c r="E18" s="36" t="n">
        <f aca="false">E16+E17</f>
        <v>7984</v>
      </c>
      <c r="F18" s="36" t="n">
        <f aca="false">F16+F17</f>
        <v>8754</v>
      </c>
      <c r="G18" s="36" t="n">
        <f aca="false">G16+G17</f>
        <v>14530</v>
      </c>
      <c r="H18" s="36" t="n">
        <f aca="false">H16+H17</f>
        <v>16956</v>
      </c>
      <c r="I18" s="36" t="n">
        <f aca="false">I16+I17</f>
        <v>17678</v>
      </c>
    </row>
    <row r="19" customFormat="false" ht="15" hidden="false" customHeight="false" outlineLevel="0" collapsed="false">
      <c r="A19" s="6"/>
      <c r="B19" s="18" t="s">
        <v>228</v>
      </c>
      <c r="C19" s="35" t="n">
        <f aca="false">0</f>
        <v>0</v>
      </c>
      <c r="D19" s="35" t="n">
        <f aca="false">MAX(0,D18-C18)</f>
        <v>7200</v>
      </c>
      <c r="E19" s="35" t="n">
        <f aca="false">MAX(0,E18-D18)</f>
        <v>784</v>
      </c>
      <c r="F19" s="35" t="n">
        <f aca="false">MAX(0,F18-E18)</f>
        <v>770</v>
      </c>
      <c r="G19" s="35" t="n">
        <f aca="false">MAX(0,G18-F18)</f>
        <v>5776</v>
      </c>
      <c r="H19" s="35" t="n">
        <f aca="false">MAX(0,H18-G18)</f>
        <v>2426</v>
      </c>
      <c r="I19" s="35" t="n">
        <f aca="false">MAX(0,I18-H18)</f>
        <v>722</v>
      </c>
    </row>
    <row r="20" customFormat="false" ht="15" hidden="false" customHeight="false" outlineLevel="0" collapsed="false">
      <c r="A20" s="6"/>
      <c r="B20" s="16" t="s">
        <v>229</v>
      </c>
      <c r="C20" s="17"/>
      <c r="D20" s="17"/>
      <c r="E20" s="17"/>
      <c r="F20" s="17"/>
      <c r="G20" s="17"/>
      <c r="H20" s="17"/>
      <c r="I20" s="17"/>
    </row>
    <row r="21" customFormat="false" ht="15" hidden="false" customHeight="false" outlineLevel="0" collapsed="false">
      <c r="A21" s="6"/>
      <c r="B21" s="18" t="s">
        <v>230</v>
      </c>
      <c r="C21" s="38" t="n">
        <f aca="false">PUE_Y1</f>
        <v>1.4</v>
      </c>
      <c r="D21" s="38" t="n">
        <f aca="false">PUE_Y2</f>
        <v>1.37</v>
      </c>
      <c r="E21" s="38" t="n">
        <f aca="false">PUE_Y3</f>
        <v>1.34</v>
      </c>
      <c r="F21" s="38" t="n">
        <f aca="false">PUE_Y4</f>
        <v>1.31</v>
      </c>
      <c r="G21" s="38" t="n">
        <f aca="false">PUE_Y5</f>
        <v>1.29</v>
      </c>
      <c r="H21" s="38" t="n">
        <f aca="false">PUE_Y6</f>
        <v>1.28</v>
      </c>
      <c r="I21" s="38" t="n">
        <f aca="false">PUE_Y7</f>
        <v>1.27</v>
      </c>
    </row>
    <row r="22" customFormat="false" ht="15" hidden="false" customHeight="false" outlineLevel="0" collapsed="false">
      <c r="A22" s="6"/>
      <c r="B22" s="16" t="s">
        <v>231</v>
      </c>
      <c r="C22" s="17"/>
      <c r="D22" s="17"/>
      <c r="E22" s="17"/>
      <c r="F22" s="17"/>
      <c r="G22" s="17"/>
      <c r="H22" s="17"/>
      <c r="I22" s="17"/>
    </row>
    <row r="23" customFormat="false" ht="15" hidden="false" customHeight="false" outlineLevel="0" collapsed="false">
      <c r="A23" s="6"/>
      <c r="B23" s="18" t="s">
        <v>232</v>
      </c>
      <c r="C23" s="28" t="n">
        <f aca="false">Rack_Count_P1*Timing!C14+Rack_Count_P2*Timing!C15</f>
        <v>0</v>
      </c>
      <c r="D23" s="28" t="n">
        <f aca="false">Rack_Count_P1*Timing!D14+Rack_Count_P2*Timing!D15</f>
        <v>850</v>
      </c>
      <c r="E23" s="28" t="n">
        <f aca="false">Rack_Count_P1*Timing!E14+Rack_Count_P2*Timing!E15</f>
        <v>850</v>
      </c>
      <c r="F23" s="28" t="n">
        <f aca="false">Rack_Count_P1*Timing!F14+Rack_Count_P2*Timing!F15</f>
        <v>850</v>
      </c>
      <c r="G23" s="28" t="n">
        <f aca="false">Rack_Count_P1*Timing!G14+Rack_Count_P2*Timing!G15</f>
        <v>1550</v>
      </c>
      <c r="H23" s="28" t="n">
        <f aca="false">Rack_Count_P1*Timing!H14+Rack_Count_P2*Timing!H15</f>
        <v>1550</v>
      </c>
      <c r="I23" s="28" t="n">
        <f aca="false">Rack_Count_P1*Timing!I14+Rack_Count_P2*Timing!I15</f>
        <v>1550</v>
      </c>
    </row>
    <row r="24" customFormat="false" ht="15" hidden="false" customHeight="false" outlineLevel="0" collapsed="false">
      <c r="A24" s="6"/>
      <c r="B24" s="18" t="s">
        <v>233</v>
      </c>
      <c r="C24" s="28" t="n">
        <f aca="false">C23*HD_Mix</f>
        <v>0</v>
      </c>
      <c r="D24" s="28" t="n">
        <f aca="false">D23*HD_Mix</f>
        <v>382.5</v>
      </c>
      <c r="E24" s="28" t="n">
        <f aca="false">E23*HD_Mix</f>
        <v>382.5</v>
      </c>
      <c r="F24" s="28" t="n">
        <f aca="false">F23*HD_Mix</f>
        <v>382.5</v>
      </c>
      <c r="G24" s="28" t="n">
        <f aca="false">G23*HD_Mix</f>
        <v>697.5</v>
      </c>
      <c r="H24" s="28" t="n">
        <f aca="false">H23*HD_Mix</f>
        <v>697.5</v>
      </c>
      <c r="I24" s="28" t="n">
        <f aca="false">I23*HD_Mix</f>
        <v>697.5</v>
      </c>
    </row>
    <row r="25" customFormat="false" ht="15" hidden="false" customHeight="false" outlineLevel="0" collapsed="false">
      <c r="A25" s="6"/>
      <c r="B25" s="18" t="s">
        <v>234</v>
      </c>
      <c r="C25" s="28" t="n">
        <f aca="false">C23*(1-HD_Mix)</f>
        <v>0</v>
      </c>
      <c r="D25" s="28" t="n">
        <f aca="false">D23*(1-HD_Mix)</f>
        <v>467.5</v>
      </c>
      <c r="E25" s="28" t="n">
        <f aca="false">E23*(1-HD_Mix)</f>
        <v>467.5</v>
      </c>
      <c r="F25" s="28" t="n">
        <f aca="false">F23*(1-HD_Mix)</f>
        <v>467.5</v>
      </c>
      <c r="G25" s="28" t="n">
        <f aca="false">G23*(1-HD_Mix)</f>
        <v>852.5</v>
      </c>
      <c r="H25" s="28" t="n">
        <f aca="false">H23*(1-HD_Mix)</f>
        <v>852.5</v>
      </c>
      <c r="I25" s="28" t="n">
        <f aca="false">I23*(1-HD_Mix)</f>
        <v>852.5</v>
      </c>
    </row>
    <row r="26" customFormat="false" ht="15" hidden="false" customHeight="false" outlineLevel="0" collapsed="false">
      <c r="A26" s="6"/>
      <c r="B26" s="18" t="s">
        <v>235</v>
      </c>
      <c r="C26" s="38" t="n">
        <f aca="false">kW_Per_Rack_HD*HD_Mix+kW_Per_Rack_LD*(1-HD_Mix)</f>
        <v>10.05</v>
      </c>
      <c r="D26" s="38" t="n">
        <f aca="false">kW_Per_Rack_HD*HD_Mix+kW_Per_Rack_LD*(1-HD_Mix)</f>
        <v>10.05</v>
      </c>
      <c r="E26" s="38" t="n">
        <f aca="false">kW_Per_Rack_HD*HD_Mix+kW_Per_Rack_LD*(1-HD_Mix)</f>
        <v>10.05</v>
      </c>
      <c r="F26" s="38" t="n">
        <f aca="false">kW_Per_Rack_HD*HD_Mix+kW_Per_Rack_LD*(1-HD_Mix)</f>
        <v>10.05</v>
      </c>
      <c r="G26" s="38" t="n">
        <f aca="false">kW_Per_Rack_HD*HD_Mix+kW_Per_Rack_LD*(1-HD_Mix)</f>
        <v>10.05</v>
      </c>
      <c r="H26" s="38" t="n">
        <f aca="false">kW_Per_Rack_HD*HD_Mix+kW_Per_Rack_LD*(1-HD_Mix)</f>
        <v>10.05</v>
      </c>
      <c r="I26" s="38" t="n">
        <f aca="false">kW_Per_Rack_HD*HD_Mix+kW_Per_Rack_LD*(1-HD_Mix)</f>
        <v>10.05</v>
      </c>
    </row>
    <row r="27" customFormat="false" ht="15" hidden="false" customHeight="false" outlineLevel="0" collapsed="false">
      <c r="A27" s="6"/>
      <c r="B27" s="18" t="s">
        <v>236</v>
      </c>
      <c r="C27" s="28" t="n">
        <f aca="false">IF(C10&gt;0,C23*(C18/C10),0)</f>
        <v>0</v>
      </c>
      <c r="D27" s="28" t="n">
        <f aca="false">IF(D10&gt;0,D23*(D18/D10),0)</f>
        <v>612</v>
      </c>
      <c r="E27" s="28" t="n">
        <f aca="false">IF(E10&gt;0,E23*(E18/E10),0)</f>
        <v>678.64</v>
      </c>
      <c r="F27" s="28" t="n">
        <f aca="false">IF(F10&gt;0,F23*(F18/F10),0)</f>
        <v>744.09</v>
      </c>
      <c r="G27" s="28" t="n">
        <f aca="false">IF(G10&gt;0,G23*(G18/G10),0)</f>
        <v>1126.075</v>
      </c>
      <c r="H27" s="28" t="n">
        <f aca="false">IF(H10&gt;0,H23*(H18/H10),0)</f>
        <v>1314.09</v>
      </c>
      <c r="I27" s="28" t="n">
        <f aca="false">IF(I10&gt;0,I23*(I18/I10),0)</f>
        <v>1370.045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237</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238</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239</v>
      </c>
      <c r="C7" s="17"/>
      <c r="D7" s="17"/>
      <c r="E7" s="17"/>
      <c r="F7" s="17"/>
      <c r="G7" s="17"/>
      <c r="H7" s="17"/>
      <c r="I7" s="17"/>
    </row>
    <row r="8" customFormat="false" ht="15" hidden="false" customHeight="false" outlineLevel="0" collapsed="false">
      <c r="A8" s="6"/>
      <c r="B8" s="18" t="s">
        <v>240</v>
      </c>
      <c r="C8" s="35" t="n">
        <f aca="false">Rent_Per_kW</f>
        <v>115</v>
      </c>
      <c r="D8" s="35" t="n">
        <f aca="false">Rent_Per_kW</f>
        <v>115</v>
      </c>
      <c r="E8" s="35" t="n">
        <f aca="false">D8*(1+Rent_Escalator)</f>
        <v>117.875</v>
      </c>
      <c r="F8" s="35" t="n">
        <f aca="false">E8*(1+Rent_Escalator)</f>
        <v>120.821875</v>
      </c>
      <c r="G8" s="35" t="n">
        <f aca="false">F8*(1+Rent_Escalator)</f>
        <v>123.842421875</v>
      </c>
      <c r="H8" s="35" t="n">
        <f aca="false">G8*(1+Rent_Escalator)</f>
        <v>126.938482421875</v>
      </c>
      <c r="I8" s="35" t="n">
        <f aca="false">H8*(1+Rent_Escalator)</f>
        <v>130.111944482422</v>
      </c>
    </row>
    <row r="9" customFormat="false" ht="15" hidden="false" customHeight="false" outlineLevel="0" collapsed="false">
      <c r="A9" s="6"/>
      <c r="B9" s="32" t="s">
        <v>241</v>
      </c>
      <c r="C9" s="34" t="n">
        <f aca="false">0</f>
        <v>0</v>
      </c>
      <c r="D9" s="34" t="n">
        <f aca="false">CapacityRamp!D18*D8*12</f>
        <v>9936000</v>
      </c>
      <c r="E9" s="34" t="n">
        <f aca="false">CapacityRamp!E18*E8*12</f>
        <v>11293368</v>
      </c>
      <c r="F9" s="34" t="n">
        <f aca="false">CapacityRamp!F18*F8*12</f>
        <v>12692096.325</v>
      </c>
      <c r="G9" s="34" t="n">
        <f aca="false">CapacityRamp!G18*G8*12</f>
        <v>21593164.678125</v>
      </c>
      <c r="H9" s="34" t="n">
        <f aca="false">CapacityRamp!H18*H8*12</f>
        <v>25828426.8953437</v>
      </c>
      <c r="I9" s="34" t="n">
        <f aca="false">CapacityRamp!I18*I8*12</f>
        <v>27601427.454723</v>
      </c>
    </row>
    <row r="10" customFormat="false" ht="15" hidden="false" customHeight="false" outlineLevel="0" collapsed="false">
      <c r="A10" s="6"/>
      <c r="B10" s="16" t="s">
        <v>242</v>
      </c>
      <c r="C10" s="17"/>
      <c r="D10" s="17"/>
      <c r="E10" s="17"/>
      <c r="F10" s="17"/>
      <c r="G10" s="17"/>
      <c r="H10" s="17"/>
      <c r="I10" s="17"/>
    </row>
    <row r="11" customFormat="false" ht="15" hidden="false" customHeight="false" outlineLevel="0" collapsed="false">
      <c r="A11" s="6"/>
      <c r="B11" s="18" t="s">
        <v>243</v>
      </c>
      <c r="C11" s="35" t="n">
        <f aca="false">0</f>
        <v>0</v>
      </c>
      <c r="D11" s="35" t="n">
        <f aca="false">CapacityRamp!D18*Hours_Per_Year*CapacityRamp!D21</f>
        <v>86408640</v>
      </c>
      <c r="E11" s="35" t="n">
        <f aca="false">CapacityRamp!E18*Hours_Per_Year*CapacityRamp!E21</f>
        <v>93719385.6</v>
      </c>
      <c r="F11" s="35" t="n">
        <f aca="false">CapacityRamp!F18*Hours_Per_Year*CapacityRamp!F21</f>
        <v>100457402.4</v>
      </c>
      <c r="G11" s="35" t="n">
        <f aca="false">CapacityRamp!G18*Hours_Per_Year*CapacityRamp!G21</f>
        <v>164194812</v>
      </c>
      <c r="H11" s="35" t="n">
        <f aca="false">CapacityRamp!H18*Hours_Per_Year*CapacityRamp!H21</f>
        <v>190124236.8</v>
      </c>
      <c r="I11" s="35" t="n">
        <f aca="false">CapacityRamp!I18*Hours_Per_Year*CapacityRamp!I21</f>
        <v>196671285.6</v>
      </c>
    </row>
    <row r="12" customFormat="false" ht="15" hidden="false" customHeight="false" outlineLevel="0" collapsed="false">
      <c r="A12" s="6"/>
      <c r="B12" s="18" t="s">
        <v>244</v>
      </c>
      <c r="C12" s="39" t="n">
        <f aca="false">Elec_Rate</f>
        <v>0.085</v>
      </c>
      <c r="D12" s="39" t="n">
        <f aca="false">Elec_Rate</f>
        <v>0.085</v>
      </c>
      <c r="E12" s="39" t="n">
        <f aca="false">D12*(1+Elec_Escalator)</f>
        <v>0.08755</v>
      </c>
      <c r="F12" s="39" t="n">
        <f aca="false">E12*(1+Elec_Escalator)</f>
        <v>0.0901765</v>
      </c>
      <c r="G12" s="39" t="n">
        <f aca="false">F12*(1+Elec_Escalator)</f>
        <v>0.092881795</v>
      </c>
      <c r="H12" s="39" t="n">
        <f aca="false">G12*(1+Elec_Escalator)</f>
        <v>0.09566824885</v>
      </c>
      <c r="I12" s="39" t="n">
        <f aca="false">H12*(1+Elec_Escalator)</f>
        <v>0.0985382963155</v>
      </c>
    </row>
    <row r="13" customFormat="false" ht="15" hidden="false" customHeight="false" outlineLevel="0" collapsed="false">
      <c r="A13" s="6"/>
      <c r="B13" s="18" t="s">
        <v>245</v>
      </c>
      <c r="C13" s="31" t="n">
        <f aca="false">C11*C12</f>
        <v>0</v>
      </c>
      <c r="D13" s="31" t="n">
        <f aca="false">D11*D12</f>
        <v>7344734.4</v>
      </c>
      <c r="E13" s="31" t="n">
        <f aca="false">E11*E12</f>
        <v>8205132.20928</v>
      </c>
      <c r="F13" s="31" t="n">
        <f aca="false">F11*F12</f>
        <v>9058896.9475236</v>
      </c>
      <c r="G13" s="31" t="n">
        <f aca="false">G11*G12</f>
        <v>15250708.8682475</v>
      </c>
      <c r="H13" s="31" t="n">
        <f aca="false">H11*H12</f>
        <v>18188852.7985987</v>
      </c>
      <c r="I13" s="31" t="n">
        <f aca="false">I11*I12</f>
        <v>19379653.4172031</v>
      </c>
    </row>
    <row r="14" customFormat="false" ht="15" hidden="false" customHeight="false" outlineLevel="0" collapsed="false">
      <c r="A14" s="6"/>
      <c r="B14" s="32" t="s">
        <v>246</v>
      </c>
      <c r="C14" s="34" t="n">
        <f aca="false">C13*(1+Power_Markup_Pct)</f>
        <v>0</v>
      </c>
      <c r="D14" s="34" t="n">
        <f aca="false">D13*(1+Power_Markup_Pct)</f>
        <v>7638523.776</v>
      </c>
      <c r="E14" s="34" t="n">
        <f aca="false">E13*(1+Power_Markup_Pct)</f>
        <v>8533337.4976512</v>
      </c>
      <c r="F14" s="34" t="n">
        <f aca="false">F13*(1+Power_Markup_Pct)</f>
        <v>9421252.82542455</v>
      </c>
      <c r="G14" s="34" t="n">
        <f aca="false">G13*(1+Power_Markup_Pct)</f>
        <v>15860737.2229774</v>
      </c>
      <c r="H14" s="34" t="n">
        <f aca="false">H13*(1+Power_Markup_Pct)</f>
        <v>18916406.9105427</v>
      </c>
      <c r="I14" s="34" t="n">
        <f aca="false">I13*(1+Power_Markup_Pct)</f>
        <v>20154839.5538913</v>
      </c>
    </row>
    <row r="15" customFormat="false" ht="15" hidden="false" customHeight="false" outlineLevel="0" collapsed="false">
      <c r="A15" s="6"/>
      <c r="B15" s="16" t="s">
        <v>247</v>
      </c>
      <c r="C15" s="17"/>
      <c r="D15" s="17"/>
      <c r="E15" s="17"/>
      <c r="F15" s="17"/>
      <c r="G15" s="17"/>
      <c r="H15" s="17"/>
      <c r="I15" s="17"/>
    </row>
    <row r="16" customFormat="false" ht="15" hidden="false" customHeight="false" outlineLevel="0" collapsed="false">
      <c r="A16" s="6"/>
      <c r="B16" s="18" t="s">
        <v>248</v>
      </c>
      <c r="C16" s="28" t="n">
        <f aca="false">0</f>
        <v>0</v>
      </c>
      <c r="D16" s="28" t="n">
        <f aca="false">INT(CapacityRamp!D18/kW_Per_XConn)</f>
        <v>36</v>
      </c>
      <c r="E16" s="28" t="n">
        <f aca="false">INT(CapacityRamp!E18/kW_Per_XConn)</f>
        <v>39</v>
      </c>
      <c r="F16" s="28" t="n">
        <f aca="false">INT(CapacityRamp!F18/kW_Per_XConn)</f>
        <v>43</v>
      </c>
      <c r="G16" s="28" t="n">
        <f aca="false">INT(CapacityRamp!G18/kW_Per_XConn)</f>
        <v>72</v>
      </c>
      <c r="H16" s="28" t="n">
        <f aca="false">INT(CapacityRamp!H18/kW_Per_XConn)</f>
        <v>84</v>
      </c>
      <c r="I16" s="28" t="n">
        <f aca="false">INT(CapacityRamp!I18/kW_Per_XConn)</f>
        <v>88</v>
      </c>
    </row>
    <row r="17" customFormat="false" ht="15" hidden="false" customHeight="false" outlineLevel="0" collapsed="false">
      <c r="A17" s="6"/>
      <c r="B17" s="18" t="s">
        <v>249</v>
      </c>
      <c r="C17" s="31" t="n">
        <f aca="false">C16*XConn_Fee*12</f>
        <v>0</v>
      </c>
      <c r="D17" s="31" t="n">
        <f aca="false">D16*XConn_Fee*12</f>
        <v>151200</v>
      </c>
      <c r="E17" s="31" t="n">
        <f aca="false">E16*XConn_Fee*12</f>
        <v>163800</v>
      </c>
      <c r="F17" s="31" t="n">
        <f aca="false">F16*XConn_Fee*12</f>
        <v>180600</v>
      </c>
      <c r="G17" s="31" t="n">
        <f aca="false">G16*XConn_Fee*12</f>
        <v>302400</v>
      </c>
      <c r="H17" s="31" t="n">
        <f aca="false">H16*XConn_Fee*12</f>
        <v>352800</v>
      </c>
      <c r="I17" s="31" t="n">
        <f aca="false">I16*XConn_Fee*12</f>
        <v>369600</v>
      </c>
    </row>
    <row r="18" customFormat="false" ht="15" hidden="false" customHeight="false" outlineLevel="0" collapsed="false">
      <c r="A18" s="6"/>
      <c r="B18" s="16" t="s">
        <v>250</v>
      </c>
      <c r="C18" s="17"/>
      <c r="D18" s="17"/>
      <c r="E18" s="17"/>
      <c r="F18" s="17"/>
      <c r="G18" s="17"/>
      <c r="H18" s="17"/>
      <c r="I18" s="17"/>
    </row>
    <row r="19" customFormat="false" ht="15" hidden="false" customHeight="false" outlineLevel="0" collapsed="false">
      <c r="A19" s="6"/>
      <c r="B19" s="18" t="s">
        <v>251</v>
      </c>
      <c r="C19" s="31" t="n">
        <f aca="false">0</f>
        <v>0</v>
      </c>
      <c r="D19" s="31" t="n">
        <f aca="false">CapacityRamp!D19*NRC_Per_kW</f>
        <v>540000</v>
      </c>
      <c r="E19" s="31" t="n">
        <f aca="false">CapacityRamp!E19*NRC_Per_kW</f>
        <v>58800</v>
      </c>
      <c r="F19" s="31" t="n">
        <f aca="false">CapacityRamp!F19*NRC_Per_kW</f>
        <v>57750</v>
      </c>
      <c r="G19" s="31" t="n">
        <f aca="false">CapacityRamp!G19*NRC_Per_kW</f>
        <v>433200</v>
      </c>
      <c r="H19" s="31" t="n">
        <f aca="false">CapacityRamp!H19*NRC_Per_kW</f>
        <v>181950</v>
      </c>
      <c r="I19" s="31" t="n">
        <f aca="false">CapacityRamp!I19*NRC_Per_kW</f>
        <v>54150</v>
      </c>
    </row>
    <row r="20" customFormat="false" ht="15" hidden="false" customHeight="false" outlineLevel="0" collapsed="false">
      <c r="A20" s="6"/>
      <c r="B20" s="16" t="s">
        <v>252</v>
      </c>
      <c r="C20" s="17"/>
      <c r="D20" s="17"/>
      <c r="E20" s="17"/>
      <c r="F20" s="17"/>
      <c r="G20" s="17"/>
      <c r="H20" s="17"/>
      <c r="I20" s="17"/>
    </row>
    <row r="21" customFormat="false" ht="15" hidden="false" customHeight="false" outlineLevel="0" collapsed="false">
      <c r="A21" s="6"/>
      <c r="B21" s="32" t="s">
        <v>252</v>
      </c>
      <c r="C21" s="40" t="n">
        <f aca="false">C9+C14+C17+C19</f>
        <v>0</v>
      </c>
      <c r="D21" s="40" t="n">
        <f aca="false">D9+D14+D17+D19</f>
        <v>18265723.776</v>
      </c>
      <c r="E21" s="40" t="n">
        <f aca="false">E9+E14+E17+E19</f>
        <v>20049305.4976512</v>
      </c>
      <c r="F21" s="40" t="n">
        <f aca="false">F9+F14+F17+F19</f>
        <v>22351699.1504245</v>
      </c>
      <c r="G21" s="40" t="n">
        <f aca="false">G9+G14+G17+G19</f>
        <v>38189501.9011024</v>
      </c>
      <c r="H21" s="40" t="n">
        <f aca="false">H9+H14+H17+H19</f>
        <v>45279583.8058864</v>
      </c>
      <c r="I21" s="40" t="n">
        <f aca="false">I9+I14+I17+I19</f>
        <v>48180017.0086143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253</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254</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255</v>
      </c>
      <c r="C7" s="17"/>
      <c r="D7" s="17"/>
      <c r="E7" s="17"/>
      <c r="F7" s="17"/>
      <c r="G7" s="17"/>
      <c r="H7" s="17"/>
      <c r="I7" s="17"/>
    </row>
    <row r="8" customFormat="false" ht="15" hidden="false" customHeight="false" outlineLevel="0" collapsed="false">
      <c r="A8" s="6"/>
      <c r="B8" s="18" t="s">
        <v>256</v>
      </c>
      <c r="C8" s="31" t="n">
        <f aca="false">Revenue!C13</f>
        <v>0</v>
      </c>
      <c r="D8" s="31" t="n">
        <f aca="false">Revenue!D13</f>
        <v>7344734.4</v>
      </c>
      <c r="E8" s="31" t="n">
        <f aca="false">Revenue!E13</f>
        <v>8205132.20928</v>
      </c>
      <c r="F8" s="31" t="n">
        <f aca="false">Revenue!F13</f>
        <v>9058896.9475236</v>
      </c>
      <c r="G8" s="31" t="n">
        <f aca="false">Revenue!G13</f>
        <v>15250708.8682475</v>
      </c>
      <c r="H8" s="31" t="n">
        <f aca="false">Revenue!H13</f>
        <v>18188852.7985987</v>
      </c>
      <c r="I8" s="31" t="n">
        <f aca="false">Revenue!I13</f>
        <v>19379653.4172031</v>
      </c>
    </row>
    <row r="9" customFormat="false" ht="15" hidden="false" customHeight="false" outlineLevel="0" collapsed="false">
      <c r="A9" s="6"/>
      <c r="B9" s="16" t="s">
        <v>257</v>
      </c>
      <c r="C9" s="17"/>
      <c r="D9" s="17"/>
      <c r="E9" s="17"/>
      <c r="F9" s="17"/>
      <c r="G9" s="17"/>
      <c r="H9" s="17"/>
      <c r="I9" s="17"/>
    </row>
    <row r="10" customFormat="false" ht="15" hidden="false" customHeight="false" outlineLevel="0" collapsed="false">
      <c r="A10" s="6"/>
      <c r="B10" s="18" t="s">
        <v>258</v>
      </c>
      <c r="C10" s="35" t="n">
        <f aca="false">Timing!C14*Phase1_MW+Timing!C15*Phase2_MW</f>
        <v>0</v>
      </c>
      <c r="D10" s="35" t="n">
        <f aca="false">Timing!D14*Phase1_MW+Timing!D15*Phase2_MW</f>
        <v>10</v>
      </c>
      <c r="E10" s="35" t="n">
        <f aca="false">Timing!E14*Phase1_MW+Timing!E15*Phase2_MW</f>
        <v>10</v>
      </c>
      <c r="F10" s="35" t="n">
        <f aca="false">Timing!F14*Phase1_MW+Timing!F15*Phase2_MW</f>
        <v>10</v>
      </c>
      <c r="G10" s="35" t="n">
        <f aca="false">Timing!G14*Phase1_MW+Timing!G15*Phase2_MW</f>
        <v>20</v>
      </c>
      <c r="H10" s="35" t="n">
        <f aca="false">Timing!H14*Phase1_MW+Timing!H15*Phase2_MW</f>
        <v>20</v>
      </c>
      <c r="I10" s="35" t="n">
        <f aca="false">Timing!I14*Phase1_MW+Timing!I15*Phase2_MW</f>
        <v>20</v>
      </c>
    </row>
    <row r="11" customFormat="false" ht="15" hidden="false" customHeight="false" outlineLevel="0" collapsed="false">
      <c r="A11" s="6"/>
      <c r="B11" s="18" t="s">
        <v>259</v>
      </c>
      <c r="C11" s="38" t="n">
        <f aca="false">(1+Opex_Escalator)^(Timing!C7-1)*Timing!C13</f>
        <v>0</v>
      </c>
      <c r="D11" s="38" t="n">
        <f aca="false">(1+Opex_Escalator)^(Timing!D7-1)*Timing!D13</f>
        <v>1.025</v>
      </c>
      <c r="E11" s="38" t="n">
        <f aca="false">(1+Opex_Escalator)^(Timing!E7-1)*Timing!E13</f>
        <v>1.050625</v>
      </c>
      <c r="F11" s="38" t="n">
        <f aca="false">(1+Opex_Escalator)^(Timing!F7-1)*Timing!F13</f>
        <v>1.076890625</v>
      </c>
      <c r="G11" s="38" t="n">
        <f aca="false">(1+Opex_Escalator)^(Timing!G7-1)*Timing!G13</f>
        <v>1.103812890625</v>
      </c>
      <c r="H11" s="38" t="n">
        <f aca="false">(1+Opex_Escalator)^(Timing!H7-1)*Timing!H13</f>
        <v>1.13140821289062</v>
      </c>
      <c r="I11" s="38" t="n">
        <f aca="false">(1+Opex_Escalator)^(Timing!I7-1)*Timing!I13</f>
        <v>1.15969341821289</v>
      </c>
    </row>
    <row r="12" customFormat="false" ht="15" hidden="false" customHeight="false" outlineLevel="0" collapsed="false">
      <c r="A12" s="6"/>
      <c r="B12" s="18" t="s">
        <v>260</v>
      </c>
      <c r="C12" s="31" t="n">
        <f aca="false">C10*Opex_SiteLabour_MW*C11</f>
        <v>0</v>
      </c>
      <c r="D12" s="31" t="n">
        <f aca="false">D10*Opex_SiteLabour_MW*D11</f>
        <v>358750</v>
      </c>
      <c r="E12" s="31" t="n">
        <f aca="false">E10*Opex_SiteLabour_MW*E11</f>
        <v>367718.75</v>
      </c>
      <c r="F12" s="31" t="n">
        <f aca="false">F10*Opex_SiteLabour_MW*F11</f>
        <v>376911.71875</v>
      </c>
      <c r="G12" s="31" t="n">
        <f aca="false">G10*Opex_SiteLabour_MW*G11</f>
        <v>772669.0234375</v>
      </c>
      <c r="H12" s="31" t="n">
        <f aca="false">H10*Opex_SiteLabour_MW*H11</f>
        <v>791985.749023437</v>
      </c>
      <c r="I12" s="31" t="n">
        <f aca="false">I10*Opex_SiteLabour_MW*I11</f>
        <v>811785.392749023</v>
      </c>
    </row>
    <row r="13" customFormat="false" ht="15" hidden="false" customHeight="false" outlineLevel="0" collapsed="false">
      <c r="A13" s="6"/>
      <c r="B13" s="18" t="s">
        <v>261</v>
      </c>
      <c r="C13" s="31" t="n">
        <f aca="false">C10*Opex_Maint_MW*C11</f>
        <v>0</v>
      </c>
      <c r="D13" s="31" t="n">
        <f aca="false">D10*Opex_Maint_MW*D11</f>
        <v>256250</v>
      </c>
      <c r="E13" s="31" t="n">
        <f aca="false">E10*Opex_Maint_MW*E11</f>
        <v>262656.25</v>
      </c>
      <c r="F13" s="31" t="n">
        <f aca="false">F10*Opex_Maint_MW*F11</f>
        <v>269222.65625</v>
      </c>
      <c r="G13" s="31" t="n">
        <f aca="false">G10*Opex_Maint_MW*G11</f>
        <v>551906.4453125</v>
      </c>
      <c r="H13" s="31" t="n">
        <f aca="false">H10*Opex_Maint_MW*H11</f>
        <v>565704.106445312</v>
      </c>
      <c r="I13" s="31" t="n">
        <f aca="false">I10*Opex_Maint_MW*I11</f>
        <v>579846.709106445</v>
      </c>
    </row>
    <row r="14" customFormat="false" ht="15" hidden="false" customHeight="false" outlineLevel="0" collapsed="false">
      <c r="A14" s="6"/>
      <c r="B14" s="18" t="s">
        <v>262</v>
      </c>
      <c r="C14" s="31" t="n">
        <f aca="false">Revenue!C21*Opex_Repairs_Pct</f>
        <v>0</v>
      </c>
      <c r="D14" s="31" t="n">
        <f aca="false">Revenue!D21*Opex_Repairs_Pct</f>
        <v>91328.61888</v>
      </c>
      <c r="E14" s="31" t="n">
        <f aca="false">Revenue!E21*Opex_Repairs_Pct</f>
        <v>100246.527488256</v>
      </c>
      <c r="F14" s="31" t="n">
        <f aca="false">Revenue!F21*Opex_Repairs_Pct</f>
        <v>111758.495752123</v>
      </c>
      <c r="G14" s="31" t="n">
        <f aca="false">Revenue!G21*Opex_Repairs_Pct</f>
        <v>190947.509505512</v>
      </c>
      <c r="H14" s="31" t="n">
        <f aca="false">Revenue!H21*Opex_Repairs_Pct</f>
        <v>226397.919029432</v>
      </c>
      <c r="I14" s="31" t="n">
        <f aca="false">Revenue!I21*Opex_Repairs_Pct</f>
        <v>240900.085043071</v>
      </c>
    </row>
    <row r="15" customFormat="false" ht="15" hidden="false" customHeight="false" outlineLevel="0" collapsed="false">
      <c r="A15" s="6"/>
      <c r="B15" s="18" t="s">
        <v>263</v>
      </c>
      <c r="C15" s="31" t="n">
        <f aca="false">C10*Opex_Bandwidth_MW*C11</f>
        <v>0</v>
      </c>
      <c r="D15" s="31" t="n">
        <f aca="false">D10*Opex_Bandwidth_MW*D11</f>
        <v>123000</v>
      </c>
      <c r="E15" s="31" t="n">
        <f aca="false">E10*Opex_Bandwidth_MW*E11</f>
        <v>126075</v>
      </c>
      <c r="F15" s="31" t="n">
        <f aca="false">F10*Opex_Bandwidth_MW*F11</f>
        <v>129226.875</v>
      </c>
      <c r="G15" s="31" t="n">
        <f aca="false">G10*Opex_Bandwidth_MW*G11</f>
        <v>264915.09375</v>
      </c>
      <c r="H15" s="31" t="n">
        <f aca="false">H10*Opex_Bandwidth_MW*H11</f>
        <v>271537.97109375</v>
      </c>
      <c r="I15" s="31" t="n">
        <f aca="false">I10*Opex_Bandwidth_MW*I11</f>
        <v>278326.420371094</v>
      </c>
    </row>
    <row r="16" customFormat="false" ht="15" hidden="false" customHeight="false" outlineLevel="0" collapsed="false">
      <c r="A16" s="6"/>
      <c r="B16" s="18" t="s">
        <v>264</v>
      </c>
      <c r="C16" s="31" t="n">
        <f aca="false">C10*Opex_Cyber_MW*C11</f>
        <v>0</v>
      </c>
      <c r="D16" s="31" t="n">
        <f aca="false">D10*Opex_Cyber_MW*D11</f>
        <v>92250</v>
      </c>
      <c r="E16" s="31" t="n">
        <f aca="false">E10*Opex_Cyber_MW*E11</f>
        <v>94556.25</v>
      </c>
      <c r="F16" s="31" t="n">
        <f aca="false">F10*Opex_Cyber_MW*F11</f>
        <v>96920.15625</v>
      </c>
      <c r="G16" s="31" t="n">
        <f aca="false">G10*Opex_Cyber_MW*G11</f>
        <v>198686.3203125</v>
      </c>
      <c r="H16" s="31" t="n">
        <f aca="false">H10*Opex_Cyber_MW*H11</f>
        <v>203653.478320312</v>
      </c>
      <c r="I16" s="31" t="n">
        <f aca="false">I10*Opex_Cyber_MW*I11</f>
        <v>208744.81527832</v>
      </c>
    </row>
    <row r="17" customFormat="false" ht="15" hidden="false" customHeight="false" outlineLevel="0" collapsed="false">
      <c r="A17" s="6"/>
      <c r="B17" s="32" t="s">
        <v>265</v>
      </c>
      <c r="C17" s="33" t="n">
        <f aca="false">C12+C13+C14+C15+C16</f>
        <v>0</v>
      </c>
      <c r="D17" s="33" t="n">
        <f aca="false">D12+D13+D14+D15+D16</f>
        <v>921578.61888</v>
      </c>
      <c r="E17" s="33" t="n">
        <f aca="false">E12+E13+E14+E15+E16</f>
        <v>951252.777488256</v>
      </c>
      <c r="F17" s="33" t="n">
        <f aca="false">F12+F13+F14+F15+F16</f>
        <v>984039.902002123</v>
      </c>
      <c r="G17" s="33" t="n">
        <f aca="false">G12+G13+G14+G15+G16</f>
        <v>1979124.39231801</v>
      </c>
      <c r="H17" s="33" t="n">
        <f aca="false">H12+H13+H14+H15+H16</f>
        <v>2059279.22391224</v>
      </c>
      <c r="I17" s="33" t="n">
        <f aca="false">I12+I13+I14+I15+I16</f>
        <v>2119603.42254795</v>
      </c>
    </row>
    <row r="18" customFormat="false" ht="15" hidden="false" customHeight="false" outlineLevel="0" collapsed="false">
      <c r="A18" s="6"/>
      <c r="B18" s="16" t="s">
        <v>266</v>
      </c>
      <c r="C18" s="17"/>
      <c r="D18" s="17"/>
      <c r="E18" s="17"/>
      <c r="F18" s="17"/>
      <c r="G18" s="17"/>
      <c r="H18" s="17"/>
      <c r="I18" s="17"/>
    </row>
    <row r="19" customFormat="false" ht="15" hidden="false" customHeight="false" outlineLevel="0" collapsed="false">
      <c r="A19" s="6"/>
      <c r="B19" s="18" t="s">
        <v>122</v>
      </c>
      <c r="C19" s="31" t="n">
        <f aca="false">Construction!C25*Insurance_Pct*Timing!C13</f>
        <v>0</v>
      </c>
      <c r="D19" s="31" t="n">
        <f aca="false">Construction!D25*Insurance_Pct*Timing!D13</f>
        <v>540000</v>
      </c>
      <c r="E19" s="31" t="n">
        <f aca="false">Construction!E25*Insurance_Pct*Timing!E13</f>
        <v>670000</v>
      </c>
      <c r="F19" s="31" t="n">
        <f aca="false">Construction!F25*Insurance_Pct*Timing!F13</f>
        <v>800000</v>
      </c>
      <c r="G19" s="31" t="n">
        <f aca="false">Construction!G25*Insurance_Pct*Timing!G13</f>
        <v>800000</v>
      </c>
      <c r="H19" s="31" t="n">
        <f aca="false">Construction!H25*Insurance_Pct*Timing!H13</f>
        <v>800000</v>
      </c>
      <c r="I19" s="31" t="n">
        <f aca="false">Construction!I25*Insurance_Pct*Timing!I13</f>
        <v>800000</v>
      </c>
    </row>
    <row r="20" customFormat="false" ht="15" hidden="false" customHeight="false" outlineLevel="0" collapsed="false">
      <c r="A20" s="6"/>
      <c r="B20" s="18" t="s">
        <v>124</v>
      </c>
      <c r="C20" s="31" t="n">
        <f aca="false">Construction!C25*PropTax_Pct*Timing!C13</f>
        <v>0</v>
      </c>
      <c r="D20" s="31" t="n">
        <f aca="false">Construction!D25*PropTax_Pct*Timing!D13</f>
        <v>810000</v>
      </c>
      <c r="E20" s="31" t="n">
        <f aca="false">Construction!E25*PropTax_Pct*Timing!E13</f>
        <v>1005000</v>
      </c>
      <c r="F20" s="31" t="n">
        <f aca="false">Construction!F25*PropTax_Pct*Timing!F13</f>
        <v>1200000</v>
      </c>
      <c r="G20" s="31" t="n">
        <f aca="false">Construction!G25*PropTax_Pct*Timing!G13</f>
        <v>1200000</v>
      </c>
      <c r="H20" s="31" t="n">
        <f aca="false">Construction!H25*PropTax_Pct*Timing!H13</f>
        <v>1200000</v>
      </c>
      <c r="I20" s="31" t="n">
        <f aca="false">Construction!I25*PropTax_Pct*Timing!I13</f>
        <v>1200000</v>
      </c>
    </row>
    <row r="21" customFormat="false" ht="15" hidden="false" customHeight="false" outlineLevel="0" collapsed="false">
      <c r="A21" s="6"/>
      <c r="B21" s="16" t="s">
        <v>125</v>
      </c>
      <c r="C21" s="17"/>
      <c r="D21" s="17"/>
      <c r="E21" s="17"/>
      <c r="F21" s="17"/>
      <c r="G21" s="17"/>
      <c r="H21" s="17"/>
      <c r="I21" s="17"/>
    </row>
    <row r="22" customFormat="false" ht="15" hidden="false" customHeight="false" outlineLevel="0" collapsed="false">
      <c r="A22" s="6"/>
      <c r="B22" s="18" t="s">
        <v>125</v>
      </c>
      <c r="C22" s="31" t="n">
        <f aca="false">Revenue!C21*SGA_Pct</f>
        <v>0</v>
      </c>
      <c r="D22" s="31" t="n">
        <f aca="false">Revenue!D21*SGA_Pct</f>
        <v>730628.95104</v>
      </c>
      <c r="E22" s="31" t="n">
        <f aca="false">Revenue!E21*SGA_Pct</f>
        <v>801972.219906048</v>
      </c>
      <c r="F22" s="31" t="n">
        <f aca="false">Revenue!F21*SGA_Pct</f>
        <v>894067.966016982</v>
      </c>
      <c r="G22" s="31" t="n">
        <f aca="false">Revenue!G21*SGA_Pct</f>
        <v>1527580.0760441</v>
      </c>
      <c r="H22" s="31" t="n">
        <f aca="false">Revenue!H21*SGA_Pct</f>
        <v>1811183.35223546</v>
      </c>
      <c r="I22" s="31" t="n">
        <f aca="false">Revenue!I21*SGA_Pct</f>
        <v>1927200.68034457</v>
      </c>
    </row>
    <row r="23" customFormat="false" ht="15" hidden="false" customHeight="false" outlineLevel="0" collapsed="false">
      <c r="A23" s="6"/>
      <c r="B23" s="16" t="s">
        <v>267</v>
      </c>
      <c r="C23" s="17"/>
      <c r="D23" s="17"/>
      <c r="E23" s="17"/>
      <c r="F23" s="17"/>
      <c r="G23" s="17"/>
      <c r="H23" s="17"/>
      <c r="I23" s="17"/>
    </row>
    <row r="24" customFormat="false" ht="15" hidden="false" customHeight="false" outlineLevel="0" collapsed="false">
      <c r="A24" s="6"/>
      <c r="B24" s="32" t="s">
        <v>268</v>
      </c>
      <c r="C24" s="33" t="n">
        <f aca="false">C17+C19+C20+C22</f>
        <v>0</v>
      </c>
      <c r="D24" s="33" t="n">
        <f aca="false">D17+D19+D20+D22</f>
        <v>3002207.56992</v>
      </c>
      <c r="E24" s="33" t="n">
        <f aca="false">E17+E19+E20+E22</f>
        <v>3428224.9973943</v>
      </c>
      <c r="F24" s="33" t="n">
        <f aca="false">F17+F19+F20+F22</f>
        <v>3878107.8680191</v>
      </c>
      <c r="G24" s="33" t="n">
        <f aca="false">G17+G19+G20+G22</f>
        <v>5506704.46836211</v>
      </c>
      <c r="H24" s="33" t="n">
        <f aca="false">H17+H19+H20+H22</f>
        <v>5870462.5761477</v>
      </c>
      <c r="I24" s="33" t="n">
        <f aca="false">I17+I19+I20+I22</f>
        <v>6046804.10289253</v>
      </c>
    </row>
    <row r="25" customFormat="false" ht="15" hidden="false" customHeight="false" outlineLevel="0" collapsed="false">
      <c r="A25" s="6"/>
      <c r="B25" s="32" t="s">
        <v>269</v>
      </c>
      <c r="C25" s="40" t="n">
        <f aca="false">C8+C24</f>
        <v>0</v>
      </c>
      <c r="D25" s="40" t="n">
        <f aca="false">D8+D24</f>
        <v>10346941.96992</v>
      </c>
      <c r="E25" s="40" t="n">
        <f aca="false">E8+E24</f>
        <v>11633357.2066743</v>
      </c>
      <c r="F25" s="40" t="n">
        <f aca="false">F8+F24</f>
        <v>12937004.8155427</v>
      </c>
      <c r="G25" s="40" t="n">
        <f aca="false">G8+G24</f>
        <v>20757413.3366097</v>
      </c>
      <c r="H25" s="40" t="n">
        <f aca="false">H8+H24</f>
        <v>24059315.3747464</v>
      </c>
      <c r="I25" s="40" t="n">
        <f aca="false">I8+I24</f>
        <v>25426457.5200957</v>
      </c>
    </row>
    <row r="26" customFormat="false" ht="15" hidden="false" customHeight="false" outlineLevel="0" collapsed="false">
      <c r="A26" s="6"/>
      <c r="B26" s="16" t="s">
        <v>270</v>
      </c>
      <c r="C26" s="17"/>
      <c r="D26" s="17"/>
      <c r="E26" s="17"/>
      <c r="F26" s="17"/>
      <c r="G26" s="17"/>
      <c r="H26" s="17"/>
      <c r="I26" s="17"/>
    </row>
    <row r="27" customFormat="false" ht="15" hidden="false" customHeight="false" outlineLevel="0" collapsed="false">
      <c r="A27" s="6"/>
      <c r="B27" s="32" t="s">
        <v>270</v>
      </c>
      <c r="C27" s="34" t="n">
        <f aca="false">Revenue!C21-C25</f>
        <v>0</v>
      </c>
      <c r="D27" s="34" t="n">
        <f aca="false">Revenue!D21-D25</f>
        <v>7918781.80608</v>
      </c>
      <c r="E27" s="34" t="n">
        <f aca="false">Revenue!E21-E25</f>
        <v>8415948.29097689</v>
      </c>
      <c r="F27" s="34" t="n">
        <f aca="false">Revenue!F21-F25</f>
        <v>9414694.33488184</v>
      </c>
      <c r="G27" s="34" t="n">
        <f aca="false">Revenue!G21-G25</f>
        <v>17432088.5644928</v>
      </c>
      <c r="H27" s="34" t="n">
        <f aca="false">Revenue!H21-H25</f>
        <v>21220268.43114</v>
      </c>
      <c r="I27" s="34" t="n">
        <f aca="false">Revenue!I21-I25</f>
        <v>22753559.4885186</v>
      </c>
    </row>
    <row r="28" customFormat="false" ht="15" hidden="false" customHeight="false" outlineLevel="0" collapsed="false">
      <c r="A28" s="6"/>
      <c r="B28" s="18" t="s">
        <v>271</v>
      </c>
      <c r="C28" s="37" t="n">
        <f aca="false">IF(Revenue!C21&gt;0,C27/Revenue!C21,0)</f>
        <v>0</v>
      </c>
      <c r="D28" s="37" t="n">
        <f aca="false">IF(Revenue!D21&gt;0,D27/Revenue!D21,0)</f>
        <v>0.433532331003756</v>
      </c>
      <c r="E28" s="37" t="n">
        <f aca="false">IF(Revenue!E21&gt;0,E27/Revenue!E21,0)</f>
        <v>0.419762584392902</v>
      </c>
      <c r="F28" s="37" t="n">
        <f aca="false">IF(Revenue!F21&gt;0,F27/Revenue!F21,0)</f>
        <v>0.421207098016216</v>
      </c>
      <c r="G28" s="37" t="n">
        <f aca="false">IF(Revenue!G21&gt;0,G27/Revenue!G21,0)</f>
        <v>0.456462841794477</v>
      </c>
      <c r="H28" s="37" t="n">
        <f aca="false">IF(Revenue!H21&gt;0,H27/Revenue!H21,0)</f>
        <v>0.468649811847019</v>
      </c>
      <c r="I28" s="37" t="n">
        <f aca="false">IF(Revenue!I21&gt;0,I27/Revenue!I21,0)</f>
        <v>0.47226134196778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272</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273</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274</v>
      </c>
      <c r="C7" s="17"/>
      <c r="D7" s="17"/>
      <c r="E7" s="17"/>
      <c r="F7" s="17"/>
      <c r="G7" s="17"/>
      <c r="H7" s="17"/>
      <c r="I7" s="17"/>
    </row>
    <row r="8" customFormat="false" ht="15" hidden="false" customHeight="false" outlineLevel="0" collapsed="false">
      <c r="A8" s="6"/>
      <c r="B8" s="18" t="s">
        <v>127</v>
      </c>
      <c r="C8" s="31" t="n">
        <f aca="false">Revenue!C21*Maint_Capex_Pct*Timing!C13</f>
        <v>0</v>
      </c>
      <c r="D8" s="31" t="n">
        <f aca="false">Revenue!D21*Maint_Capex_Pct*Timing!D13</f>
        <v>456643.0944</v>
      </c>
      <c r="E8" s="31" t="n">
        <f aca="false">Revenue!E21*Maint_Capex_Pct*Timing!E13</f>
        <v>501232.63744128</v>
      </c>
      <c r="F8" s="31" t="n">
        <f aca="false">Revenue!F21*Maint_Capex_Pct*Timing!F13</f>
        <v>558792.478760614</v>
      </c>
      <c r="G8" s="31" t="n">
        <f aca="false">Revenue!G21*Maint_Capex_Pct*Timing!G13</f>
        <v>954737.547527561</v>
      </c>
      <c r="H8" s="31" t="n">
        <f aca="false">Revenue!H21*Maint_Capex_Pct*Timing!H13</f>
        <v>1131989.59514716</v>
      </c>
      <c r="I8" s="31" t="n">
        <f aca="false">Revenue!I21*Maint_Capex_Pct*Timing!I13</f>
        <v>1204500.42521536</v>
      </c>
    </row>
    <row r="9" customFormat="false" ht="15" hidden="false" customHeight="false" outlineLevel="0" collapsed="false">
      <c r="A9" s="6"/>
      <c r="B9" s="18" t="s">
        <v>275</v>
      </c>
      <c r="C9" s="31" t="n">
        <f aca="false">C8</f>
        <v>0</v>
      </c>
      <c r="D9" s="31" t="n">
        <f aca="false">C9+D8</f>
        <v>456643.0944</v>
      </c>
      <c r="E9" s="31" t="n">
        <f aca="false">D9+E8</f>
        <v>957875.73184128</v>
      </c>
      <c r="F9" s="31" t="n">
        <f aca="false">E9+F8</f>
        <v>1516668.21060189</v>
      </c>
      <c r="G9" s="31" t="n">
        <f aca="false">F9+G8</f>
        <v>2471405.75812945</v>
      </c>
      <c r="H9" s="31" t="n">
        <f aca="false">G9+H8</f>
        <v>3603395.35327662</v>
      </c>
      <c r="I9" s="31" t="n">
        <f aca="false">H9+I8</f>
        <v>4807895.77849197</v>
      </c>
    </row>
    <row r="10" customFormat="false" ht="15" hidden="false" customHeight="false" outlineLevel="0" collapsed="false">
      <c r="A10" s="6"/>
      <c r="B10" s="16" t="s">
        <v>276</v>
      </c>
      <c r="C10" s="17"/>
      <c r="D10" s="17"/>
      <c r="E10" s="17"/>
      <c r="F10" s="17"/>
      <c r="G10" s="17"/>
      <c r="H10" s="17"/>
      <c r="I10" s="17"/>
    </row>
    <row r="11" customFormat="false" ht="15" hidden="false" customHeight="false" outlineLevel="0" collapsed="false">
      <c r="A11" s="6"/>
      <c r="B11" s="32" t="s">
        <v>277</v>
      </c>
      <c r="C11" s="34" t="n">
        <f aca="false">Construction!C25+Construction!C23+C9</f>
        <v>137851875</v>
      </c>
      <c r="D11" s="34" t="n">
        <f aca="false">Construction!D25+Construction!D23+D9</f>
        <v>138308518.0944</v>
      </c>
      <c r="E11" s="34" t="n">
        <f aca="false">Construction!E25+Construction!E23+E9</f>
        <v>171996313.231841</v>
      </c>
      <c r="F11" s="34" t="n">
        <f aca="false">Construction!F25+Construction!F23+F9</f>
        <v>207159419.773102</v>
      </c>
      <c r="G11" s="34" t="n">
        <f aca="false">Construction!G25+Construction!G23+G9</f>
        <v>208114157.320629</v>
      </c>
      <c r="H11" s="34" t="n">
        <f aca="false">Construction!H25+Construction!H23+H9</f>
        <v>209246146.915777</v>
      </c>
      <c r="I11" s="34" t="n">
        <f aca="false">Construction!I25+Construction!I23+I9</f>
        <v>210450647.340992</v>
      </c>
    </row>
    <row r="12" customFormat="false" ht="15" hidden="false" customHeight="false" outlineLevel="0" collapsed="false">
      <c r="A12" s="6"/>
      <c r="B12" s="16" t="s">
        <v>278</v>
      </c>
      <c r="C12" s="17"/>
      <c r="D12" s="17"/>
      <c r="E12" s="17"/>
      <c r="F12" s="17"/>
      <c r="G12" s="17"/>
      <c r="H12" s="17"/>
      <c r="I12" s="17"/>
    </row>
    <row r="13" customFormat="false" ht="15" hidden="false" customHeight="false" outlineLevel="0" collapsed="false">
      <c r="A13" s="6"/>
      <c r="B13" s="18" t="s">
        <v>279</v>
      </c>
      <c r="C13" s="31" t="n">
        <f aca="false">(Shell_Cost_MW*Phase1_MW)/Shell_Life*Timing!C14*(1-Timing!C15)</f>
        <v>0</v>
      </c>
      <c r="D13" s="31" t="n">
        <f aca="false">(Shell_Cost_MW*Phase1_MW)/Shell_Life*Timing!D14*(1-Timing!D15)</f>
        <v>1000000</v>
      </c>
      <c r="E13" s="31" t="n">
        <f aca="false">(Shell_Cost_MW*Phase1_MW)/Shell_Life*Timing!E14*(1-Timing!E15)</f>
        <v>1000000</v>
      </c>
      <c r="F13" s="31" t="n">
        <f aca="false">(Shell_Cost_MW*Phase1_MW)/Shell_Life*Timing!F14*(1-Timing!F15)</f>
        <v>1000000</v>
      </c>
      <c r="G13" s="31" t="n">
        <f aca="false">(Shell_Cost_MW*Phase1_MW)/Shell_Life*Timing!G14*(1-Timing!G15)</f>
        <v>0</v>
      </c>
      <c r="H13" s="31" t="n">
        <f aca="false">(Shell_Cost_MW*Phase1_MW)/Shell_Life*Timing!H14*(1-Timing!H15)</f>
        <v>0</v>
      </c>
      <c r="I13" s="31" t="n">
        <f aca="false">(Shell_Cost_MW*Phase1_MW)/Shell_Life*Timing!I14*(1-Timing!I15)</f>
        <v>0</v>
      </c>
    </row>
    <row r="14" customFormat="false" ht="15" hidden="false" customHeight="false" outlineLevel="0" collapsed="false">
      <c r="A14" s="6"/>
      <c r="B14" s="18" t="s">
        <v>280</v>
      </c>
      <c r="C14" s="31" t="n">
        <f aca="false">(Shell_Cost_MW*Total_MW)/Shell_Life*Timing!C15</f>
        <v>0</v>
      </c>
      <c r="D14" s="31" t="n">
        <f aca="false">(Shell_Cost_MW*Total_MW)/Shell_Life*Timing!D15</f>
        <v>0</v>
      </c>
      <c r="E14" s="31" t="n">
        <f aca="false">(Shell_Cost_MW*Total_MW)/Shell_Life*Timing!E15</f>
        <v>0</v>
      </c>
      <c r="F14" s="31" t="n">
        <f aca="false">(Shell_Cost_MW*Total_MW)/Shell_Life*Timing!F15</f>
        <v>0</v>
      </c>
      <c r="G14" s="31" t="n">
        <f aca="false">(Shell_Cost_MW*Total_MW)/Shell_Life*Timing!G15</f>
        <v>2000000</v>
      </c>
      <c r="H14" s="31" t="n">
        <f aca="false">(Shell_Cost_MW*Total_MW)/Shell_Life*Timing!H15</f>
        <v>2000000</v>
      </c>
      <c r="I14" s="31" t="n">
        <f aca="false">(Shell_Cost_MW*Total_MW)/Shell_Life*Timing!I15</f>
        <v>2000000</v>
      </c>
    </row>
    <row r="15" customFormat="false" ht="15" hidden="false" customHeight="false" outlineLevel="0" collapsed="false">
      <c r="A15" s="6"/>
      <c r="B15" s="32" t="s">
        <v>281</v>
      </c>
      <c r="C15" s="33" t="n">
        <f aca="false">C13+C14</f>
        <v>0</v>
      </c>
      <c r="D15" s="33" t="n">
        <f aca="false">D13+D14</f>
        <v>1000000</v>
      </c>
      <c r="E15" s="33" t="n">
        <f aca="false">E13+E14</f>
        <v>1000000</v>
      </c>
      <c r="F15" s="33" t="n">
        <f aca="false">F13+F14</f>
        <v>1000000</v>
      </c>
      <c r="G15" s="33" t="n">
        <f aca="false">G13+G14</f>
        <v>2000000</v>
      </c>
      <c r="H15" s="33" t="n">
        <f aca="false">H13+H14</f>
        <v>2000000</v>
      </c>
      <c r="I15" s="33" t="n">
        <f aca="false">I13+I14</f>
        <v>2000000</v>
      </c>
    </row>
    <row r="16" customFormat="false" ht="15" hidden="false" customHeight="false" outlineLevel="0" collapsed="false">
      <c r="A16" s="6"/>
      <c r="B16" s="16" t="s">
        <v>282</v>
      </c>
      <c r="C16" s="17"/>
      <c r="D16" s="17"/>
      <c r="E16" s="17"/>
      <c r="F16" s="17"/>
      <c r="G16" s="17"/>
      <c r="H16" s="17"/>
      <c r="I16" s="17"/>
    </row>
    <row r="17" customFormat="false" ht="15" hidden="false" customHeight="false" outlineLevel="0" collapsed="false">
      <c r="A17" s="6"/>
      <c r="B17" s="18" t="s">
        <v>283</v>
      </c>
      <c r="C17" s="31" t="n">
        <f aca="false">(MEP_Cost_MW*Phase1_MW)/MEP_Life*Timing!C14</f>
        <v>0</v>
      </c>
      <c r="D17" s="31" t="n">
        <f aca="false">(MEP_Cost_MW*Phase1_MW)/MEP_Life*Timing!D14</f>
        <v>5416666.66666667</v>
      </c>
      <c r="E17" s="31" t="n">
        <f aca="false">(MEP_Cost_MW*Phase1_MW)/MEP_Life*Timing!E14</f>
        <v>5416666.66666667</v>
      </c>
      <c r="F17" s="31" t="n">
        <f aca="false">(MEP_Cost_MW*Phase1_MW)/MEP_Life*Timing!F14</f>
        <v>5416666.66666667</v>
      </c>
      <c r="G17" s="31" t="n">
        <f aca="false">(MEP_Cost_MW*Phase1_MW)/MEP_Life*Timing!G14</f>
        <v>5416666.66666667</v>
      </c>
      <c r="H17" s="31" t="n">
        <f aca="false">(MEP_Cost_MW*Phase1_MW)/MEP_Life*Timing!H14</f>
        <v>5416666.66666667</v>
      </c>
      <c r="I17" s="31" t="n">
        <f aca="false">(MEP_Cost_MW*Phase1_MW)/MEP_Life*Timing!I14</f>
        <v>5416666.66666667</v>
      </c>
    </row>
    <row r="18" customFormat="false" ht="15" hidden="false" customHeight="false" outlineLevel="0" collapsed="false">
      <c r="A18" s="6"/>
      <c r="B18" s="18" t="s">
        <v>284</v>
      </c>
      <c r="C18" s="31" t="n">
        <f aca="false">(MEP_Cost_MW*Phase2_MW)/MEP_Life*Timing!C15</f>
        <v>0</v>
      </c>
      <c r="D18" s="31" t="n">
        <f aca="false">(MEP_Cost_MW*Phase2_MW)/MEP_Life*Timing!D15</f>
        <v>0</v>
      </c>
      <c r="E18" s="31" t="n">
        <f aca="false">(MEP_Cost_MW*Phase2_MW)/MEP_Life*Timing!E15</f>
        <v>0</v>
      </c>
      <c r="F18" s="31" t="n">
        <f aca="false">(MEP_Cost_MW*Phase2_MW)/MEP_Life*Timing!F15</f>
        <v>0</v>
      </c>
      <c r="G18" s="31" t="n">
        <f aca="false">(MEP_Cost_MW*Phase2_MW)/MEP_Life*Timing!G15</f>
        <v>5416666.66666667</v>
      </c>
      <c r="H18" s="31" t="n">
        <f aca="false">(MEP_Cost_MW*Phase2_MW)/MEP_Life*Timing!H15</f>
        <v>5416666.66666667</v>
      </c>
      <c r="I18" s="31" t="n">
        <f aca="false">(MEP_Cost_MW*Phase2_MW)/MEP_Life*Timing!I15</f>
        <v>5416666.66666667</v>
      </c>
    </row>
    <row r="19" customFormat="false" ht="15" hidden="false" customHeight="false" outlineLevel="0" collapsed="false">
      <c r="A19" s="6"/>
      <c r="B19" s="32" t="s">
        <v>285</v>
      </c>
      <c r="C19" s="33" t="n">
        <f aca="false">C17+C18</f>
        <v>0</v>
      </c>
      <c r="D19" s="33" t="n">
        <f aca="false">D17+D18</f>
        <v>5416666.66666667</v>
      </c>
      <c r="E19" s="33" t="n">
        <f aca="false">E17+E18</f>
        <v>5416666.66666667</v>
      </c>
      <c r="F19" s="33" t="n">
        <f aca="false">F17+F18</f>
        <v>5416666.66666667</v>
      </c>
      <c r="G19" s="33" t="n">
        <f aca="false">G17+G18</f>
        <v>10833333.3333333</v>
      </c>
      <c r="H19" s="33" t="n">
        <f aca="false">H17+H18</f>
        <v>10833333.3333333</v>
      </c>
      <c r="I19" s="33" t="n">
        <f aca="false">I17+I18</f>
        <v>10833333.3333333</v>
      </c>
    </row>
    <row r="20" customFormat="false" ht="15" hidden="false" customHeight="false" outlineLevel="0" collapsed="false">
      <c r="A20" s="6"/>
      <c r="B20" s="16" t="s">
        <v>286</v>
      </c>
      <c r="C20" s="17"/>
      <c r="D20" s="17"/>
      <c r="E20" s="17"/>
      <c r="F20" s="17"/>
      <c r="G20" s="17"/>
      <c r="H20" s="17"/>
      <c r="I20" s="17"/>
    </row>
    <row r="21" customFormat="false" ht="15" hidden="false" customHeight="false" outlineLevel="0" collapsed="false">
      <c r="A21" s="6"/>
      <c r="B21" s="18" t="s">
        <v>287</v>
      </c>
      <c r="C21" s="31" t="n">
        <f aca="false">C9/Maint_Life*Timing!C13</f>
        <v>0</v>
      </c>
      <c r="D21" s="31" t="n">
        <f aca="false">D9/Maint_Life*Timing!D13</f>
        <v>65234.7277714286</v>
      </c>
      <c r="E21" s="31" t="n">
        <f aca="false">E9/Maint_Life*Timing!E13</f>
        <v>136839.39026304</v>
      </c>
      <c r="F21" s="31" t="n">
        <f aca="false">F9/Maint_Life*Timing!F13</f>
        <v>216666.887228842</v>
      </c>
      <c r="G21" s="31" t="n">
        <f aca="false">G9/Maint_Life*Timing!G13</f>
        <v>353057.965447065</v>
      </c>
      <c r="H21" s="31" t="n">
        <f aca="false">H9/Maint_Life*Timing!H13</f>
        <v>514770.764753802</v>
      </c>
      <c r="I21" s="31" t="n">
        <f aca="false">I9/Maint_Life*Timing!I13</f>
        <v>686842.254070282</v>
      </c>
    </row>
    <row r="22" customFormat="false" ht="15" hidden="false" customHeight="false" outlineLevel="0" collapsed="false">
      <c r="A22" s="6"/>
      <c r="B22" s="16" t="s">
        <v>267</v>
      </c>
      <c r="C22" s="17"/>
      <c r="D22" s="17"/>
      <c r="E22" s="17"/>
      <c r="F22" s="17"/>
      <c r="G22" s="17"/>
      <c r="H22" s="17"/>
      <c r="I22" s="17"/>
    </row>
    <row r="23" customFormat="false" ht="15" hidden="false" customHeight="false" outlineLevel="0" collapsed="false">
      <c r="A23" s="6"/>
      <c r="B23" s="32" t="s">
        <v>288</v>
      </c>
      <c r="C23" s="40" t="n">
        <f aca="false">C15+C19+C21</f>
        <v>0</v>
      </c>
      <c r="D23" s="40" t="n">
        <f aca="false">D15+D19+D21</f>
        <v>6481901.3944381</v>
      </c>
      <c r="E23" s="40" t="n">
        <f aca="false">E15+E19+E21</f>
        <v>6553506.05692971</v>
      </c>
      <c r="F23" s="40" t="n">
        <f aca="false">F15+F19+F21</f>
        <v>6633333.55389551</v>
      </c>
      <c r="G23" s="40" t="n">
        <f aca="false">G15+G19+G21</f>
        <v>13186391.2987804</v>
      </c>
      <c r="H23" s="40" t="n">
        <f aca="false">H15+H19+H21</f>
        <v>13348104.0980871</v>
      </c>
      <c r="I23" s="40" t="n">
        <f aca="false">I15+I19+I21</f>
        <v>13520175.5874036</v>
      </c>
    </row>
    <row r="24" customFormat="false" ht="15" hidden="false" customHeight="false" outlineLevel="0" collapsed="false">
      <c r="A24" s="6"/>
      <c r="B24" s="18" t="s">
        <v>289</v>
      </c>
      <c r="C24" s="31" t="n">
        <f aca="false">C23</f>
        <v>0</v>
      </c>
      <c r="D24" s="31" t="n">
        <f aca="false">MIN(D11,C24+D23)</f>
        <v>6481901.3944381</v>
      </c>
      <c r="E24" s="31" t="n">
        <f aca="false">MIN(E11,D24+E23)</f>
        <v>13035407.4513678</v>
      </c>
      <c r="F24" s="31" t="n">
        <f aca="false">MIN(F11,E24+F23)</f>
        <v>19668741.0052633</v>
      </c>
      <c r="G24" s="31" t="n">
        <f aca="false">MIN(G11,F24+G23)</f>
        <v>32855132.3040437</v>
      </c>
      <c r="H24" s="31" t="n">
        <f aca="false">MIN(H11,G24+H23)</f>
        <v>46203236.4021308</v>
      </c>
      <c r="I24" s="31" t="n">
        <f aca="false">MIN(I11,H24+I23)</f>
        <v>59723411.9895345</v>
      </c>
    </row>
    <row r="25" customFormat="false" ht="15" hidden="false" customHeight="false" outlineLevel="0" collapsed="false">
      <c r="A25" s="6"/>
      <c r="B25" s="6"/>
      <c r="C25" s="6"/>
      <c r="D25" s="6"/>
      <c r="E25" s="6"/>
      <c r="F25" s="6"/>
      <c r="G25" s="6"/>
      <c r="H25" s="6"/>
      <c r="I25" s="6"/>
    </row>
    <row r="26" customFormat="false" ht="15" hidden="false" customHeight="false" outlineLevel="0" collapsed="false">
      <c r="A26" s="6"/>
      <c r="B26" s="32" t="s">
        <v>290</v>
      </c>
      <c r="C26" s="34" t="n">
        <f aca="false">C11-C24</f>
        <v>137851875</v>
      </c>
      <c r="D26" s="34" t="n">
        <f aca="false">D11-D24</f>
        <v>131826616.699962</v>
      </c>
      <c r="E26" s="34" t="n">
        <f aca="false">E11-E24</f>
        <v>158960905.780473</v>
      </c>
      <c r="F26" s="34" t="n">
        <f aca="false">F11-F24</f>
        <v>187490678.767839</v>
      </c>
      <c r="G26" s="34" t="n">
        <f aca="false">G11-G24</f>
        <v>175259025.016586</v>
      </c>
      <c r="H26" s="34" t="n">
        <f aca="false">H11-H24</f>
        <v>163042910.513646</v>
      </c>
      <c r="I26" s="34" t="n">
        <f aca="false">I11-I24</f>
        <v>150727235.351458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10" min="3" style="0" width="14"/>
    <col collapsed="false" customWidth="true" hidden="false" outlineLevel="0" max="11" min="11" style="0" width="35"/>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291</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292</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18" t="s">
        <v>191</v>
      </c>
      <c r="C6" s="30" t="n">
        <f aca="false">Timing!C8</f>
        <v>2025</v>
      </c>
      <c r="D6" s="30" t="n">
        <f aca="false">Timing!D8</f>
        <v>2026</v>
      </c>
      <c r="E6" s="30" t="n">
        <f aca="false">Timing!E8</f>
        <v>2027</v>
      </c>
      <c r="F6" s="30" t="n">
        <f aca="false">Timing!F8</f>
        <v>2028</v>
      </c>
      <c r="G6" s="30" t="n">
        <f aca="false">Timing!G8</f>
        <v>2029</v>
      </c>
      <c r="H6" s="30" t="n">
        <f aca="false">Timing!H8</f>
        <v>2030</v>
      </c>
      <c r="I6" s="30" t="n">
        <f aca="false">Timing!I8</f>
        <v>2031</v>
      </c>
    </row>
    <row r="7" customFormat="false" ht="15" hidden="false" customHeight="false" outlineLevel="0" collapsed="false">
      <c r="A7" s="6"/>
      <c r="B7" s="16" t="s">
        <v>293</v>
      </c>
      <c r="C7" s="17"/>
      <c r="D7" s="17"/>
      <c r="E7" s="17"/>
      <c r="F7" s="17"/>
      <c r="G7" s="17"/>
      <c r="H7" s="17"/>
      <c r="I7" s="17"/>
    </row>
    <row r="8" customFormat="false" ht="15" hidden="false" customHeight="false" outlineLevel="0" collapsed="false">
      <c r="A8" s="6"/>
      <c r="B8" s="18" t="s">
        <v>270</v>
      </c>
      <c r="C8" s="31" t="n">
        <f aca="false">Opex!C27</f>
        <v>0</v>
      </c>
      <c r="D8" s="31" t="n">
        <f aca="false">Opex!D27</f>
        <v>7918781.80608</v>
      </c>
      <c r="E8" s="31" t="n">
        <f aca="false">Opex!E27</f>
        <v>8415948.29097689</v>
      </c>
      <c r="F8" s="31" t="n">
        <f aca="false">Opex!F27</f>
        <v>9414694.33488184</v>
      </c>
      <c r="G8" s="31" t="n">
        <f aca="false">Opex!G27</f>
        <v>17432088.5644928</v>
      </c>
      <c r="H8" s="31" t="n">
        <f aca="false">Opex!H27</f>
        <v>21220268.43114</v>
      </c>
      <c r="I8" s="31" t="n">
        <f aca="false">Opex!I27</f>
        <v>22753559.4885186</v>
      </c>
    </row>
    <row r="9" customFormat="false" ht="15" hidden="false" customHeight="false" outlineLevel="0" collapsed="false">
      <c r="A9" s="6"/>
      <c r="B9" s="16" t="s">
        <v>294</v>
      </c>
      <c r="C9" s="17"/>
      <c r="D9" s="17"/>
      <c r="E9" s="17"/>
      <c r="F9" s="17"/>
      <c r="G9" s="17"/>
      <c r="H9" s="17"/>
      <c r="I9" s="17"/>
    </row>
    <row r="10" customFormat="false" ht="15" hidden="false" customHeight="false" outlineLevel="0" collapsed="false">
      <c r="A10" s="6"/>
      <c r="B10" s="18" t="s">
        <v>295</v>
      </c>
      <c r="C10" s="31" t="n">
        <f aca="false">Capex_Depr!C23</f>
        <v>0</v>
      </c>
      <c r="D10" s="31" t="n">
        <f aca="false">Capex_Depr!D23</f>
        <v>6481901.3944381</v>
      </c>
      <c r="E10" s="31" t="n">
        <f aca="false">Capex_Depr!E23</f>
        <v>6553506.05692971</v>
      </c>
      <c r="F10" s="31" t="n">
        <f aca="false">Capex_Depr!F23</f>
        <v>6633333.55389551</v>
      </c>
      <c r="G10" s="31" t="n">
        <f aca="false">Capex_Depr!G23</f>
        <v>13186391.2987804</v>
      </c>
      <c r="H10" s="31" t="n">
        <f aca="false">Capex_Depr!H23</f>
        <v>13348104.0980871</v>
      </c>
      <c r="I10" s="31" t="n">
        <f aca="false">Capex_Depr!I23</f>
        <v>13520175.5874036</v>
      </c>
    </row>
    <row r="11" customFormat="false" ht="15" hidden="false" customHeight="false" outlineLevel="0" collapsed="false">
      <c r="A11" s="6"/>
      <c r="B11" s="18" t="s">
        <v>296</v>
      </c>
      <c r="C11" s="31" t="n">
        <f aca="false">Debt!C22</f>
        <v>0</v>
      </c>
      <c r="D11" s="31" t="n">
        <f aca="false">Debt!D22</f>
        <v>5889121.875</v>
      </c>
      <c r="E11" s="31" t="n">
        <f aca="false">Debt!E22</f>
        <v>5889121.875</v>
      </c>
      <c r="F11" s="31" t="n">
        <f aca="false">Debt!F22</f>
        <v>5876179.01419822</v>
      </c>
      <c r="G11" s="31" t="n">
        <f aca="false">Debt!G22</f>
        <v>8742992.53387754</v>
      </c>
      <c r="H11" s="31" t="n">
        <f aca="false">Debt!H22</f>
        <v>8487419.49773132</v>
      </c>
      <c r="I11" s="31" t="n">
        <f aca="false">Debt!I22</f>
        <v>8034687.82328422</v>
      </c>
    </row>
    <row r="12" customFormat="false" ht="15" hidden="false" customHeight="false" outlineLevel="0" collapsed="false">
      <c r="A12" s="6"/>
      <c r="B12" s="16" t="s">
        <v>297</v>
      </c>
      <c r="C12" s="17"/>
      <c r="D12" s="17"/>
      <c r="E12" s="17"/>
      <c r="F12" s="17"/>
      <c r="G12" s="17"/>
      <c r="H12" s="17"/>
      <c r="I12" s="17"/>
    </row>
    <row r="13" customFormat="false" ht="15" hidden="false" customHeight="false" outlineLevel="0" collapsed="false">
      <c r="A13" s="6"/>
      <c r="B13" s="32" t="s">
        <v>298</v>
      </c>
      <c r="C13" s="33" t="n">
        <f aca="false">C8-C10-C11</f>
        <v>0</v>
      </c>
      <c r="D13" s="33" t="n">
        <f aca="false">D8-D10-D11</f>
        <v>-4452241.4633581</v>
      </c>
      <c r="E13" s="33" t="n">
        <f aca="false">E8-E10-E11</f>
        <v>-4026679.64095281</v>
      </c>
      <c r="F13" s="33" t="n">
        <f aca="false">F8-F10-F11</f>
        <v>-3094818.23321189</v>
      </c>
      <c r="G13" s="33" t="n">
        <f aca="false">G8-G10-G11</f>
        <v>-4497295.26816515</v>
      </c>
      <c r="H13" s="33" t="n">
        <f aca="false">H8-H10-H11</f>
        <v>-615255.164678467</v>
      </c>
      <c r="I13" s="33" t="n">
        <f aca="false">I8-I10-I11</f>
        <v>1198696.0778308</v>
      </c>
    </row>
    <row r="14" customFormat="false" ht="15" hidden="false" customHeight="false" outlineLevel="0" collapsed="false">
      <c r="A14" s="6"/>
      <c r="B14" s="16" t="s">
        <v>299</v>
      </c>
      <c r="C14" s="17"/>
      <c r="D14" s="17"/>
      <c r="E14" s="17"/>
      <c r="F14" s="17"/>
      <c r="G14" s="17"/>
      <c r="H14" s="17"/>
      <c r="I14" s="17"/>
    </row>
    <row r="15" customFormat="false" ht="15" hidden="false" customHeight="false" outlineLevel="0" collapsed="false">
      <c r="A15" s="6"/>
      <c r="B15" s="18" t="s">
        <v>300</v>
      </c>
      <c r="C15" s="31" t="n">
        <f aca="false">0</f>
        <v>0</v>
      </c>
      <c r="D15" s="31" t="n">
        <f aca="false">C18</f>
        <v>0</v>
      </c>
      <c r="E15" s="31" t="n">
        <f aca="false">D18</f>
        <v>4452241.4633581</v>
      </c>
      <c r="F15" s="31" t="n">
        <f aca="false">E18</f>
        <v>8478921.10431091</v>
      </c>
      <c r="G15" s="31" t="n">
        <f aca="false">F18</f>
        <v>11573739.3375228</v>
      </c>
      <c r="H15" s="31" t="n">
        <f aca="false">G18</f>
        <v>16071034.6056879</v>
      </c>
      <c r="I15" s="31" t="n">
        <f aca="false">H18</f>
        <v>16686289.7703664</v>
      </c>
    </row>
    <row r="16" customFormat="false" ht="15" hidden="false" customHeight="false" outlineLevel="0" collapsed="false">
      <c r="A16" s="6"/>
      <c r="B16" s="18" t="s">
        <v>301</v>
      </c>
      <c r="C16" s="31" t="n">
        <f aca="false">MIN(C15,MAX(0,C13))</f>
        <v>0</v>
      </c>
      <c r="D16" s="31" t="n">
        <f aca="false">MIN(D15,MAX(0,D13))</f>
        <v>0</v>
      </c>
      <c r="E16" s="31" t="n">
        <f aca="false">MIN(E15,MAX(0,E13))</f>
        <v>0</v>
      </c>
      <c r="F16" s="31" t="n">
        <f aca="false">MIN(F15,MAX(0,F13))</f>
        <v>0</v>
      </c>
      <c r="G16" s="31" t="n">
        <f aca="false">MIN(G15,MAX(0,G13))</f>
        <v>0</v>
      </c>
      <c r="H16" s="31" t="n">
        <f aca="false">MIN(H15,MAX(0,H13))</f>
        <v>0</v>
      </c>
      <c r="I16" s="31" t="n">
        <f aca="false">MIN(I15,MAX(0,I13))</f>
        <v>1198696.0778308</v>
      </c>
    </row>
    <row r="17" customFormat="false" ht="15" hidden="false" customHeight="false" outlineLevel="0" collapsed="false">
      <c r="A17" s="6"/>
      <c r="B17" s="18" t="s">
        <v>302</v>
      </c>
      <c r="C17" s="31" t="n">
        <f aca="false">MAX(0,-C13)</f>
        <v>-0</v>
      </c>
      <c r="D17" s="31" t="n">
        <f aca="false">MAX(0,-D13)</f>
        <v>4452241.4633581</v>
      </c>
      <c r="E17" s="31" t="n">
        <f aca="false">MAX(0,-E13)</f>
        <v>4026679.64095281</v>
      </c>
      <c r="F17" s="31" t="n">
        <f aca="false">MAX(0,-F13)</f>
        <v>3094818.23321189</v>
      </c>
      <c r="G17" s="31" t="n">
        <f aca="false">MAX(0,-G13)</f>
        <v>4497295.26816515</v>
      </c>
      <c r="H17" s="31" t="n">
        <f aca="false">MAX(0,-H13)</f>
        <v>615255.164678467</v>
      </c>
      <c r="I17" s="31" t="n">
        <f aca="false">MAX(0,-I13)</f>
        <v>0</v>
      </c>
    </row>
    <row r="18" customFormat="false" ht="15" hidden="false" customHeight="false" outlineLevel="0" collapsed="false">
      <c r="A18" s="6"/>
      <c r="B18" s="18" t="s">
        <v>303</v>
      </c>
      <c r="C18" s="31" t="n">
        <f aca="false">C15+C17-C16</f>
        <v>0</v>
      </c>
      <c r="D18" s="31" t="n">
        <f aca="false">D15+D17-D16</f>
        <v>4452241.4633581</v>
      </c>
      <c r="E18" s="31" t="n">
        <f aca="false">E15+E17-E16</f>
        <v>8478921.10431091</v>
      </c>
      <c r="F18" s="31" t="n">
        <f aca="false">F15+F17-F16</f>
        <v>11573739.3375228</v>
      </c>
      <c r="G18" s="31" t="n">
        <f aca="false">G15+G17-G16</f>
        <v>16071034.6056879</v>
      </c>
      <c r="H18" s="31" t="n">
        <f aca="false">H15+H17-H16</f>
        <v>16686289.7703664</v>
      </c>
      <c r="I18" s="31" t="n">
        <f aca="false">I15+I17-I16</f>
        <v>15487593.6925356</v>
      </c>
    </row>
    <row r="19" customFormat="false" ht="15" hidden="false" customHeight="false" outlineLevel="0" collapsed="false">
      <c r="A19" s="6"/>
      <c r="B19" s="16" t="s">
        <v>304</v>
      </c>
      <c r="C19" s="17"/>
      <c r="D19" s="17"/>
      <c r="E19" s="17"/>
      <c r="F19" s="17"/>
      <c r="G19" s="17"/>
      <c r="H19" s="17"/>
      <c r="I19" s="17"/>
    </row>
    <row r="20" customFormat="false" ht="15" hidden="false" customHeight="false" outlineLevel="0" collapsed="false">
      <c r="A20" s="6"/>
      <c r="B20" s="18" t="s">
        <v>305</v>
      </c>
      <c r="C20" s="31" t="n">
        <f aca="false">MAX(0,C13-C16)</f>
        <v>0</v>
      </c>
      <c r="D20" s="31" t="n">
        <f aca="false">MAX(0,D13-D16)</f>
        <v>0</v>
      </c>
      <c r="E20" s="31" t="n">
        <f aca="false">MAX(0,E13-E16)</f>
        <v>0</v>
      </c>
      <c r="F20" s="31" t="n">
        <f aca="false">MAX(0,F13-F16)</f>
        <v>0</v>
      </c>
      <c r="G20" s="31" t="n">
        <f aca="false">MAX(0,G13-G16)</f>
        <v>0</v>
      </c>
      <c r="H20" s="31" t="n">
        <f aca="false">MAX(0,H13-H16)</f>
        <v>0</v>
      </c>
      <c r="I20" s="31" t="n">
        <f aca="false">MAX(0,I13-I16)</f>
        <v>0</v>
      </c>
    </row>
    <row r="21" customFormat="false" ht="15" hidden="false" customHeight="false" outlineLevel="0" collapsed="false">
      <c r="A21" s="6"/>
      <c r="B21" s="32" t="s">
        <v>306</v>
      </c>
      <c r="C21" s="34" t="n">
        <f aca="false">C20*Tax_Rate</f>
        <v>0</v>
      </c>
      <c r="D21" s="34" t="n">
        <f aca="false">D20*Tax_Rate</f>
        <v>0</v>
      </c>
      <c r="E21" s="34" t="n">
        <f aca="false">E20*Tax_Rate</f>
        <v>0</v>
      </c>
      <c r="F21" s="34" t="n">
        <f aca="false">F20*Tax_Rate</f>
        <v>0</v>
      </c>
      <c r="G21" s="34" t="n">
        <f aca="false">G20*Tax_Rate</f>
        <v>0</v>
      </c>
      <c r="H21" s="34" t="n">
        <f aca="false">H20*Tax_Rate</f>
        <v>0</v>
      </c>
      <c r="I21" s="34" t="n">
        <f aca="false">I20*Tax_Rate</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2026-05-15T18:52:53Z</dcterms:created>
  <dc:creator>openpyxl</dc:creator>
  <dc:description/>
  <dc:language>en-GB</dc:language>
  <cp:lastModifiedBy/>
  <dcterms:modified xsi:type="dcterms:W3CDTF">2026-05-15T18:52:53Z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