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6.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600" firstSheet="0" activeTab="0"/>
  </bookViews>
  <sheets>
    <sheet name="Cover" sheetId="1" state="visible" r:id="rId3"/>
    <sheet name="Assumptions" sheetId="2" state="visible" r:id="rId4"/>
    <sheet name="Sources_Uses" sheetId="3" state="visible" r:id="rId5"/>
    <sheet name="Operating_Model" sheetId="4" state="visible" r:id="rId6"/>
    <sheet name="Debt_Schedule" sheetId="5" state="visible" r:id="rId7"/>
    <sheet name="Cash_Flow" sheetId="6" state="visible" r:id="rId8"/>
    <sheet name="Returns" sheetId="7" state="visible" r:id="rId9"/>
    <sheet name="Checks" sheetId="8" state="visible" r:id="rId10"/>
    <sheet name="Disclaimer" sheetId="9" state="visible" r:id="rId11"/>
  </sheets>
  <definedNames>
    <definedName function="false" hidden="false" name="Capex_Pct" vbProcedure="false">Assumptions!$C$82</definedName>
    <definedName function="false" hidden="false" name="Cash_To_BS" vbProcedure="false">Assumptions!$C$13</definedName>
    <definedName function="false" hidden="false" name="CF_CFI" vbProcedure="false">Cash_Flow!$C$15:$G$15</definedName>
    <definedName function="false" hidden="false" name="CF_CFO" vbProcedure="false">Cash_Flow!$C$11:$G$11</definedName>
    <definedName function="false" hidden="false" name="CF_Closing_Cash" vbProcedure="false">Cash_Flow!$C$27:$G$27</definedName>
    <definedName function="false" hidden="false" name="COGS_Y1" vbProcedure="false">Assumptions!$C$59</definedName>
    <definedName function="false" hidden="false" name="COGS_Y2" vbProcedure="false">Assumptions!$C$60</definedName>
    <definedName function="false" hidden="false" name="COGS_Y3" vbProcedure="false">Assumptions!$C$61</definedName>
    <definedName function="false" hidden="false" name="COGS_Y4" vbProcedure="false">Assumptions!$C$62</definedName>
    <definedName function="false" hidden="false" name="COGS_Y5" vbProcedure="false">Assumptions!$C$63</definedName>
    <definedName function="false" hidden="false" name="CoInvest_Carry" vbProcedure="false">Assumptions!$C$29</definedName>
    <definedName function="false" hidden="false" name="CoInvest_Fee" vbProcedure="false">Assumptions!$C$28</definedName>
    <definedName function="false" hidden="false" name="DA_Pct" vbProcedure="false">Assumptions!$C$78</definedName>
    <definedName function="false" hidden="false" name="Debt_Issuance_Cost" vbProcedure="false">Assumptions!$C$12</definedName>
    <definedName function="false" hidden="false" name="DIO" vbProcedure="false">Assumptions!$C$84</definedName>
    <definedName function="false" hidden="false" name="DPO" vbProcedure="false">Assumptions!$C$85</definedName>
    <definedName function="false" hidden="false" name="DSO" vbProcedure="false">Assumptions!$C$83</definedName>
    <definedName function="false" hidden="false" name="DS_Net_Debt" vbProcedure="false">Debt_Schedule!$C$26:$G$26</definedName>
    <definedName function="false" hidden="false" name="DS_SR_Amort" vbProcedure="false">Debt_Schedule!$C$9:$G$9</definedName>
    <definedName function="false" hidden="false" name="DS_SR_Closing" vbProcedure="false">Debt_Schedule!$C$12:$G$12</definedName>
    <definedName function="false" hidden="false" name="DS_SR_Maturity" vbProcedure="false">Debt_Schedule!$C$11:$G$11</definedName>
    <definedName function="false" hidden="false" name="DS_SR_Prepay" vbProcedure="false">Debt_Schedule!$C$10:$G$10</definedName>
    <definedName function="false" hidden="false" name="DS_SUB_Maturity" vbProcedure="false">Debt_Schedule!$C$19:$G$19</definedName>
    <definedName function="false" hidden="false" name="DS_SUB_PIK" vbProcedure="false">Debt_Schedule!$C$18:$G$18</definedName>
    <definedName function="false" hidden="false" name="DS_Total_Interest" vbProcedure="false">Debt_Schedule!$C$24:$G$24</definedName>
    <definedName function="false" hidden="false" name="Entry_EBITDA" vbProcedure="false">Assumptions!$C$9</definedName>
    <definedName function="false" hidden="false" name="Entry_Multiple" vbProcedure="false">Assumptions!$C$10</definedName>
    <definedName function="false" hidden="false" name="Exit_Multiple" vbProcedure="false">Assumptions!$C$89</definedName>
    <definedName function="false" hidden="false" name="Exit_Year" vbProcedure="false">Assumptions!$C$88</definedName>
    <definedName function="false" hidden="false" name="OM_COGS" vbProcedure="false">Operating_Model!$C$17:$G$17</definedName>
    <definedName function="false" hidden="false" name="OM_DA" vbProcedure="false">Operating_Model!$C$31:$G$31</definedName>
    <definedName function="false" hidden="false" name="OM_EBITDA" vbProcedure="false">Operating_Model!$C$27:$G$27</definedName>
    <definedName function="false" hidden="false" name="OM_Net_Income" vbProcedure="false">Operating_Model!$C$36:$G$36</definedName>
    <definedName function="false" hidden="false" name="OM_NWC_Change" vbProcedure="false">Operating_Model!$C$43:$G$43</definedName>
    <definedName function="false" hidden="false" name="OM_Revenue" vbProcedure="false">Operating_Model!$C$10:$G$10</definedName>
    <definedName function="false" hidden="false" name="Opex_Inflation" vbProcedure="false">Assumptions!$C$69</definedName>
    <definedName function="false" hidden="false" name="Opex_Other" vbProcedure="false">Assumptions!$C$68</definedName>
    <definedName function="false" hidden="false" name="Opex_RD_Pct" vbProcedure="false">Assumptions!$C$67</definedName>
    <definedName function="false" hidden="false" name="Opex_Sal_Pct" vbProcedure="false">Assumptions!$C$65</definedName>
    <definedName function="false" hidden="false" name="Opex_SGA_Pct" vbProcedure="false">Assumptions!$C$66</definedName>
    <definedName function="false" hidden="false" name="OpEx_Y1" vbProcedure="false">Assumptions!$C$71</definedName>
    <definedName function="false" hidden="false" name="OpEx_Y2" vbProcedure="false">Assumptions!$C$72</definedName>
    <definedName function="false" hidden="false" name="OpEx_Y3" vbProcedure="false">Assumptions!$C$73</definedName>
    <definedName function="false" hidden="false" name="OpEx_Y4" vbProcedure="false">Assumptions!$C$74</definedName>
    <definedName function="false" hidden="false" name="OpEx_Y5" vbProcedure="false">Assumptions!$C$75</definedName>
    <definedName function="false" hidden="false" name="PIK_Rate" vbProcedure="false">Assumptions!$C$23</definedName>
    <definedName function="false" hidden="false" name="Preferred_Return" vbProcedure="false">Assumptions!$C$30</definedName>
    <definedName function="false" hidden="false" name="RT_CI_Entry_Eq" vbProcedure="false">Returns!$C$26:$G$26</definedName>
    <definedName function="false" hidden="false" name="RT_CI_Gross_MOIC" vbProcedure="false">Returns!$C$34:$G$34</definedName>
    <definedName function="false" hidden="false" name="RT_CI_Gross_Proc" vbProcedure="false">Returns!$C$27:$G$27</definedName>
    <definedName function="false" hidden="false" name="RT_CI_Net_MOIC" vbProcedure="false">Returns!$C$35:$G$35</definedName>
    <definedName function="false" hidden="false" name="RT_Gross_IRR" vbProcedure="false">Returns!$C$40</definedName>
    <definedName function="false" hidden="false" name="RT_Net_IRR" vbProcedure="false">Returns!$C$41</definedName>
    <definedName function="false" hidden="false" name="RT_Sponsor_IRR" vbProcedure="false">Returns!$C$23</definedName>
    <definedName function="false" hidden="false" name="Scenario_Idx" vbProcedure="false">Assumptions!$C$6</definedName>
    <definedName function="false" hidden="false" name="Seg_A_G1" vbProcedure="false">Assumptions!$C$34</definedName>
    <definedName function="false" hidden="false" name="Seg_A_G2" vbProcedure="false">Assumptions!$C$35</definedName>
    <definedName function="false" hidden="false" name="Seg_A_G3" vbProcedure="false">Assumptions!$C$36</definedName>
    <definedName function="false" hidden="false" name="Seg_A_G4" vbProcedure="false">Assumptions!$C$37</definedName>
    <definedName function="false" hidden="false" name="Seg_A_G5" vbProcedure="false">Assumptions!$C$38</definedName>
    <definedName function="false" hidden="false" name="Seg_A_GM" vbProcedure="false">Assumptions!$C$55</definedName>
    <definedName function="false" hidden="false" name="Seg_A_Size" vbProcedure="false">Assumptions!$C$33</definedName>
    <definedName function="false" hidden="false" name="Seg_B_G1" vbProcedure="false">Assumptions!$C$41</definedName>
    <definedName function="false" hidden="false" name="Seg_B_G2" vbProcedure="false">Assumptions!$C$42</definedName>
    <definedName function="false" hidden="false" name="Seg_B_G3" vbProcedure="false">Assumptions!$C$43</definedName>
    <definedName function="false" hidden="false" name="Seg_B_G4" vbProcedure="false">Assumptions!$C$44</definedName>
    <definedName function="false" hidden="false" name="Seg_B_G5" vbProcedure="false">Assumptions!$C$45</definedName>
    <definedName function="false" hidden="false" name="Seg_B_GM" vbProcedure="false">Assumptions!$C$56</definedName>
    <definedName function="false" hidden="false" name="Seg_B_Size" vbProcedure="false">Assumptions!$C$40</definedName>
    <definedName function="false" hidden="false" name="Seg_C_G1" vbProcedure="false">Assumptions!$C$48</definedName>
    <definedName function="false" hidden="false" name="Seg_C_G2" vbProcedure="false">Assumptions!$C$49</definedName>
    <definedName function="false" hidden="false" name="Seg_C_G3" vbProcedure="false">Assumptions!$C$50</definedName>
    <definedName function="false" hidden="false" name="Seg_C_G4" vbProcedure="false">Assumptions!$C$51</definedName>
    <definedName function="false" hidden="false" name="Seg_C_G5" vbProcedure="false">Assumptions!$C$52</definedName>
    <definedName function="false" hidden="false" name="Seg_C_GM" vbProcedure="false">Assumptions!$C$57</definedName>
    <definedName function="false" hidden="false" name="Seg_C_Size" vbProcedure="false">Assumptions!$C$47</definedName>
    <definedName function="false" hidden="false" name="Senior_Amort" vbProcedure="false">Assumptions!$C$20</definedName>
    <definedName function="false" hidden="false" name="Senior_Leverage" vbProcedure="false">Assumptions!$C$16</definedName>
    <definedName function="false" hidden="false" name="Senior_Rate" vbProcedure="false">Assumptions!$C$18</definedName>
    <definedName function="false" hidden="false" name="Senior_Tenor" vbProcedure="false">Assumptions!$C$21</definedName>
    <definedName function="false" hidden="false" name="Sponsor_Share" vbProcedure="false">Assumptions!$C$27</definedName>
    <definedName function="false" hidden="false" name="Sub_Leverage" vbProcedure="false">Assumptions!$C$17</definedName>
    <definedName function="false" hidden="false" name="Sub_Rate" vbProcedure="false">Assumptions!$C$19</definedName>
    <definedName function="false" hidden="false" name="Sub_Tenor" vbProcedure="false">Assumptions!$C$22</definedName>
    <definedName function="false" hidden="false" name="SU_Check" vbProcedure="false">Sources_Uses!$C$23</definedName>
    <definedName function="false" hidden="false" name="SU_CoInvest_Eq" vbProcedure="false">Sources_Uses!$C$12</definedName>
    <definedName function="false" hidden="false" name="SU_Senior_Debt" vbProcedure="false">Sources_Uses!$C$7</definedName>
    <definedName function="false" hidden="false" name="SU_Sponsor_Eq" vbProcedure="false">Sources_Uses!$C$11</definedName>
    <definedName function="false" hidden="false" name="SU_Sub_Debt" vbProcedure="false">Sources_Uses!$C$8</definedName>
    <definedName function="false" hidden="false" name="Sweep_Pct" vbProcedure="false">Assumptions!$C$24</definedName>
    <definedName function="false" hidden="false" name="Target_IRR" vbProcedure="false">Assumptions!$C$92</definedName>
    <definedName function="false" hidden="false" name="Target_MOIC" vbProcedure="false">Assumptions!$C$93</definedName>
    <definedName function="false" hidden="false" name="Tax_Rate" vbProcedure="false">Assumptions!$C$79</definedName>
    <definedName function="false" hidden="false" name="Transaction_Fees" vbProcedure="false">Assumptions!$C$11</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<sst xmlns="http://schemas.openxmlformats.org/spreadsheetml/2006/main" count="367" uniqueCount="335">
  <si>
    <t xml:space="preserve">Co-Investment Vehicle Model</t>
  </si>
  <si>
    <t xml:space="preserve">FINAMODEL.com</t>
  </si>
  <si>
    <t xml:space="preserve">Leveraged buyout co-invest</t>
  </si>
  <si>
    <t xml:space="preserve">Sheet</t>
  </si>
  <si>
    <t xml:space="preserve">Description</t>
  </si>
  <si>
    <t xml:space="preserve">Tab Colour</t>
  </si>
  <si>
    <t xml:space="preserve">Cover</t>
  </si>
  <si>
    <t xml:space="preserve">Title and navigation</t>
  </si>
  <si>
    <t xml:space="preserve">Dark Blue</t>
  </si>
  <si>
    <t xml:space="preserve">Assumptions</t>
  </si>
  <si>
    <t xml:space="preserve">Deal, operating, debt, exit inputs</t>
  </si>
  <si>
    <t xml:space="preserve">Light Blue</t>
  </si>
  <si>
    <t xml:space="preserve">Sources_Uses</t>
  </si>
  <si>
    <t xml:space="preserve">Transaction sources and uses</t>
  </si>
  <si>
    <t xml:space="preserve">Orange</t>
  </si>
  <si>
    <t xml:space="preserve">Operating_Model</t>
  </si>
  <si>
    <t xml:space="preserve">Revenue segments, COGS, opex, net income</t>
  </si>
  <si>
    <t xml:space="preserve">Green</t>
  </si>
  <si>
    <t xml:space="preserve">Debt_Schedule</t>
  </si>
  <si>
    <t xml:space="preserve">Senior, sub, sweep, covenants</t>
  </si>
  <si>
    <t xml:space="preserve">Red</t>
  </si>
  <si>
    <t xml:space="preserve">Cash_Flow</t>
  </si>
  <si>
    <t xml:space="preserve">Indirect CFS: CFO, CFI, CFF</t>
  </si>
  <si>
    <t xml:space="preserve">Grey</t>
  </si>
  <si>
    <t xml:space="preserve">Returns</t>
  </si>
  <si>
    <t xml:space="preserve">Sponsor vs co-invest MOIC, IRR, sensitivity</t>
  </si>
  <si>
    <t xml:space="preserve">Checks</t>
  </si>
  <si>
    <t xml:space="preserve">Validation and sanity checks</t>
  </si>
  <si>
    <t xml:space="preserve">About this model</t>
  </si>
  <si>
    <t xml:space="preserve">This co-investment model evaluates the return potential for a limited partner investing alongside a private equity or venture capital sponsor in a specific portfolio company. It models the target company's revenue, EBITDA, and free cash flow across a 5-year hold period; finances it with senior debt, subordinated debt (if any), and equity; and calculates the net proceeds and net IRR to co-investors after transaction fees, carry, and hurdle returns. The model separates sponsor returns from co-investor returns, showing how preferred returns and carry split between the two groups.
The model includes an LBO sources-and-uses statement showing how the deal is structured (equity percentage, debt-to-EBITDA leverage); a three-statement operating model for the target with revenue growth, margin expansion, and working capital assumptions; a debt schedule with mandatory and optional amortisation; and a waterfall distributing exit proceeds according to the subscription agreement terms (preferred return, catch-up, pro-rata residual). A returns sheet calculates gross and net IRR, MOIC, and cash-on-cash returns, along with sensitivity tables on entry multiple, exit multiple, and margin expansion.
This model serves co-investors evaluating sponsor integrity and deal economics before commitment; advisors building fairness opinions on transfer prices; and sponsors modelling LP returns to support fundraising. It is essential for secondary market investors and LPs assessing whether a co-investment opportunity offers superior risk-adjusted returns compared to a blind pool fund commitment.</t>
  </si>
  <si>
    <t xml:space="preserve">About Finamodel</t>
  </si>
  <si>
    <t xml:space="preserve">A free, open library of institutional-quality financial models covering every industry — banking, real estate, energy, SaaS, biotech, infrastructure, and dozens more. Every cell is editable, every formula is transparent, and every template is built to be forked, adapted, and rebuilt for your own use case. MIT-licensed — use them commercially, share them, modify them, no attribution required.</t>
  </si>
  <si>
    <t xml:space="preserve">Thanks for downloading my templates! Feel free to check out other free templates on my site.</t>
  </si>
  <si>
    <t xml:space="preserve">— Alex Tapio, Founder of Finamodel.com</t>
  </si>
  <si>
    <t xml:space="preserve">Model parameters -- scenario-driven inputs in cols F/G/H</t>
  </si>
  <si>
    <t xml:space="preserve">Parameter</t>
  </si>
  <si>
    <t xml:space="preserve">Live</t>
  </si>
  <si>
    <t xml:space="preserve">Unit</t>
  </si>
  <si>
    <t xml:space="preserve">Notes</t>
  </si>
  <si>
    <t xml:space="preserve">Base</t>
  </si>
  <si>
    <t xml:space="preserve">Upside</t>
  </si>
  <si>
    <t xml:space="preserve">Downside</t>
  </si>
  <si>
    <t xml:space="preserve">Scenario (1=Base 2=Up 3=Down)</t>
  </si>
  <si>
    <t xml:space="preserve">idx</t>
  </si>
  <si>
    <t xml:space="preserve">Drives revenue growth, exit multiple, sweep, margin overrides</t>
  </si>
  <si>
    <t xml:space="preserve">Deal Structure</t>
  </si>
  <si>
    <t xml:space="preserve">Entry EBITDA</t>
  </si>
  <si>
    <t xml:space="preserve">$M</t>
  </si>
  <si>
    <t xml:space="preserve">LTM EBITDA at close</t>
  </si>
  <si>
    <t xml:space="preserve">Entry Multiple</t>
  </si>
  <si>
    <t xml:space="preserve">x</t>
  </si>
  <si>
    <t xml:space="preserve">EV / EBITDA</t>
  </si>
  <si>
    <t xml:space="preserve">Transaction Fees</t>
  </si>
  <si>
    <t xml:space="preserve">% of EV</t>
  </si>
  <si>
    <t xml:space="preserve">Debt Issuance Cost</t>
  </si>
  <si>
    <t xml:space="preserve">% of total debt</t>
  </si>
  <si>
    <t xml:space="preserve">Cash to BS</t>
  </si>
  <si>
    <t xml:space="preserve">Minimum operating cash</t>
  </si>
  <si>
    <t xml:space="preserve">Debt Sizing</t>
  </si>
  <si>
    <t xml:space="preserve">Senior Leverage</t>
  </si>
  <si>
    <t xml:space="preserve">Senior Debt / EBITDA</t>
  </si>
  <si>
    <t xml:space="preserve">Sub Leverage</t>
  </si>
  <si>
    <t xml:space="preserve">Sub Debt / EBITDA</t>
  </si>
  <si>
    <t xml:space="preserve">Senior Interest</t>
  </si>
  <si>
    <t xml:space="preserve">All-in rate</t>
  </si>
  <si>
    <t xml:space="preserve">Sub Cash Interest</t>
  </si>
  <si>
    <t xml:space="preserve">Cash pay coupon</t>
  </si>
  <si>
    <t xml:space="preserve">Senior Amort</t>
  </si>
  <si>
    <t xml:space="preserve">Annual % of original</t>
  </si>
  <si>
    <t xml:space="preserve">Senior Tenor</t>
  </si>
  <si>
    <t xml:space="preserve">yrs</t>
  </si>
  <si>
    <t xml:space="preserve">Maturity</t>
  </si>
  <si>
    <t xml:space="preserve">Sub Tenor</t>
  </si>
  <si>
    <t xml:space="preserve">Bullet maturity</t>
  </si>
  <si>
    <t xml:space="preserve">PIK Rate</t>
  </si>
  <si>
    <t xml:space="preserve">Accrues on sub balance</t>
  </si>
  <si>
    <t xml:space="preserve">Sweep Pct</t>
  </si>
  <si>
    <t xml:space="preserve">% prior excess cash to senior amort</t>
  </si>
  <si>
    <t xml:space="preserve">Equity &amp; Co-Invest Terms</t>
  </si>
  <si>
    <t xml:space="preserve">Sponsor Share</t>
  </si>
  <si>
    <t xml:space="preserve">Of total equity</t>
  </si>
  <si>
    <t xml:space="preserve">Co-Invest Ann Fee</t>
  </si>
  <si>
    <t xml:space="preserve">Annual monitoring</t>
  </si>
  <si>
    <t xml:space="preserve">Co-Invest Carry</t>
  </si>
  <si>
    <t xml:space="preserve">On profits above hurdle</t>
  </si>
  <si>
    <t xml:space="preserve">Preferred Return</t>
  </si>
  <si>
    <t xml:space="preserve">Compound annual hurdle</t>
  </si>
  <si>
    <t xml:space="preserve">Revenue Segments (Y0 size $M, Y1-Y5 growth)</t>
  </si>
  <si>
    <t xml:space="preserve">  Seg A: Core Product (Y0)</t>
  </si>
  <si>
    <t xml:space="preserve">units x ASP</t>
  </si>
  <si>
    <t xml:space="preserve">    Seg A Growth Y1</t>
  </si>
  <si>
    <t xml:space="preserve">    Seg A Growth Y2</t>
  </si>
  <si>
    <t xml:space="preserve">    Seg A Growth Y3</t>
  </si>
  <si>
    <t xml:space="preserve">    Seg A Growth Y4</t>
  </si>
  <si>
    <t xml:space="preserve">    Seg A Growth Y5</t>
  </si>
  <si>
    <t xml:space="preserve">  Seg B: Services (Y0)</t>
  </si>
  <si>
    <t xml:space="preserve">customers x ARPU</t>
  </si>
  <si>
    <t xml:space="preserve">    Seg B Growth Y1</t>
  </si>
  <si>
    <t xml:space="preserve">    Seg B Growth Y2</t>
  </si>
  <si>
    <t xml:space="preserve">    Seg B Growth Y3</t>
  </si>
  <si>
    <t xml:space="preserve">    Seg B Growth Y4</t>
  </si>
  <si>
    <t xml:space="preserve">    Seg B Growth Y5</t>
  </si>
  <si>
    <t xml:space="preserve">  Seg C: Subscription (Y0)</t>
  </si>
  <si>
    <t xml:space="preserve">    Seg C Growth Y1</t>
  </si>
  <si>
    <t xml:space="preserve">    Seg C Growth Y2</t>
  </si>
  <si>
    <t xml:space="preserve">    Seg C Growth Y3</t>
  </si>
  <si>
    <t xml:space="preserve">    Seg C Growth Y4</t>
  </si>
  <si>
    <t xml:space="preserve">    Seg C Growth Y5</t>
  </si>
  <si>
    <t xml:space="preserve">Cost Structure</t>
  </si>
  <si>
    <t xml:space="preserve">  Seg A Gross Margin</t>
  </si>
  <si>
    <t xml:space="preserve">Gross margin</t>
  </si>
  <si>
    <t xml:space="preserve">  Seg B Gross Margin</t>
  </si>
  <si>
    <t xml:space="preserve">  Seg C Gross Margin</t>
  </si>
  <si>
    <t xml:space="preserve">  COGS Pct Y1</t>
  </si>
  <si>
    <t xml:space="preserve">  COGS Pct Y2</t>
  </si>
  <si>
    <t xml:space="preserve">  COGS Pct Y3</t>
  </si>
  <si>
    <t xml:space="preserve">  COGS Pct Y4</t>
  </si>
  <si>
    <t xml:space="preserve">  COGS Pct Y5</t>
  </si>
  <si>
    <t xml:space="preserve">  Salaries % Revenue</t>
  </si>
  <si>
    <t xml:space="preserve">S&amp;B base</t>
  </si>
  <si>
    <t xml:space="preserve">  SGA % Revenue</t>
  </si>
  <si>
    <t xml:space="preserve">Selling, G&amp;A</t>
  </si>
  <si>
    <t xml:space="preserve">  R&amp;D % Revenue</t>
  </si>
  <si>
    <t xml:space="preserve">Research</t>
  </si>
  <si>
    <t xml:space="preserve">  Other Opex (Y0)</t>
  </si>
  <si>
    <t xml:space="preserve">Flat, escalated by CPI</t>
  </si>
  <si>
    <t xml:space="preserve">  Opex Inflation</t>
  </si>
  <si>
    <t xml:space="preserve">Annual CPI escalator</t>
  </si>
  <si>
    <t xml:space="preserve">  OpEx Pct Y1</t>
  </si>
  <si>
    <t xml:space="preserve">  OpEx Pct Y2</t>
  </si>
  <si>
    <t xml:space="preserve">  OpEx Pct Y3</t>
  </si>
  <si>
    <t xml:space="preserve">  OpEx Pct Y4</t>
  </si>
  <si>
    <t xml:space="preserve">  OpEx Pct Y5</t>
  </si>
  <si>
    <t xml:space="preserve">D&amp;A and Tax</t>
  </si>
  <si>
    <t xml:space="preserve">D&amp;A % Revenue</t>
  </si>
  <si>
    <t xml:space="preserve">Depreciation &amp; amort</t>
  </si>
  <si>
    <t xml:space="preserve">Tax Rate</t>
  </si>
  <si>
    <t xml:space="preserve">Corporate tax</t>
  </si>
  <si>
    <t xml:space="preserve">Capital &amp; Working Capital</t>
  </si>
  <si>
    <t xml:space="preserve">Capex % Revenue</t>
  </si>
  <si>
    <t xml:space="preserve">Maintenance + growth</t>
  </si>
  <si>
    <t xml:space="preserve">DSO (days)</t>
  </si>
  <si>
    <t xml:space="preserve">d</t>
  </si>
  <si>
    <t xml:space="preserve">Days sales outstanding</t>
  </si>
  <si>
    <t xml:space="preserve">DIO (days)</t>
  </si>
  <si>
    <t xml:space="preserve">Days inventory outstanding</t>
  </si>
  <si>
    <t xml:space="preserve">DPO (days)</t>
  </si>
  <si>
    <t xml:space="preserve">Days payable outstanding</t>
  </si>
  <si>
    <t xml:space="preserve">Exit Assumptions</t>
  </si>
  <si>
    <t xml:space="preserve">Exit Year</t>
  </si>
  <si>
    <t xml:space="preserve">yr</t>
  </si>
  <si>
    <t xml:space="preserve">Hold period</t>
  </si>
  <si>
    <t xml:space="preserve">Exit Multiple</t>
  </si>
  <si>
    <t xml:space="preserve">EV / EBITDA at exit</t>
  </si>
  <si>
    <t xml:space="preserve">Benchmarks</t>
  </si>
  <si>
    <t xml:space="preserve">Target IRR</t>
  </si>
  <si>
    <t xml:space="preserve">Co-investor hurdle</t>
  </si>
  <si>
    <t xml:space="preserve">Target MOIC</t>
  </si>
  <si>
    <t xml:space="preserve">Co-investor target</t>
  </si>
  <si>
    <t xml:space="preserve">Sources &amp; Uses</t>
  </si>
  <si>
    <t xml:space="preserve">Transaction structure</t>
  </si>
  <si>
    <t xml:space="preserve">Amount ($M)</t>
  </si>
  <si>
    <t xml:space="preserve">% of Total</t>
  </si>
  <si>
    <t xml:space="preserve">SOURCES</t>
  </si>
  <si>
    <t xml:space="preserve">Senior Debt</t>
  </si>
  <si>
    <t xml:space="preserve">Subordinated Debt</t>
  </si>
  <si>
    <t xml:space="preserve">Total Debt</t>
  </si>
  <si>
    <t xml:space="preserve">Sponsor Equity</t>
  </si>
  <si>
    <t xml:space="preserve">Co-Invest Equity</t>
  </si>
  <si>
    <t xml:space="preserve">Total Equity</t>
  </si>
  <si>
    <t xml:space="preserve">TOTAL SOURCES</t>
  </si>
  <si>
    <t xml:space="preserve">USES</t>
  </si>
  <si>
    <t xml:space="preserve">Enterprise Value</t>
  </si>
  <si>
    <t xml:space="preserve">Debt Issuance Costs</t>
  </si>
  <si>
    <t xml:space="preserve">Cash to Balance Sheet</t>
  </si>
  <si>
    <t xml:space="preserve">TOTAL USES</t>
  </si>
  <si>
    <t xml:space="preserve">Check (S - U)</t>
  </si>
  <si>
    <t xml:space="preserve">Operating Model</t>
  </si>
  <si>
    <t xml:space="preserve">P&amp;L projection -- 3 segments, 4 opex lines, NWC build</t>
  </si>
  <si>
    <t xml:space="preserve">Year</t>
  </si>
  <si>
    <t xml:space="preserve">Revenue</t>
  </si>
  <si>
    <t xml:space="preserve">  Seg A: Core Product</t>
  </si>
  <si>
    <t xml:space="preserve">  Seg B: Services</t>
  </si>
  <si>
    <t xml:space="preserve">  Seg C: Subscription</t>
  </si>
  <si>
    <t xml:space="preserve">Total Revenue</t>
  </si>
  <si>
    <t xml:space="preserve">  Revenue Growth</t>
  </si>
  <si>
    <t xml:space="preserve">Cost of Goods Sold</t>
  </si>
  <si>
    <t xml:space="preserve">  Seg A COGS</t>
  </si>
  <si>
    <t xml:space="preserve">  Seg B COGS</t>
  </si>
  <si>
    <t xml:space="preserve">  Seg C COGS</t>
  </si>
  <si>
    <t xml:space="preserve">Total COGS</t>
  </si>
  <si>
    <t xml:space="preserve">Gross Profit</t>
  </si>
  <si>
    <t xml:space="preserve">  Gross Margin</t>
  </si>
  <si>
    <t xml:space="preserve">Operating Expenses</t>
  </si>
  <si>
    <t xml:space="preserve">  Salaries &amp; Benefits</t>
  </si>
  <si>
    <t xml:space="preserve">  SGA</t>
  </si>
  <si>
    <t xml:space="preserve">  R&amp;D</t>
  </si>
  <si>
    <t xml:space="preserve">  Other Opex (inflation)</t>
  </si>
  <si>
    <t xml:space="preserve">Total OpEx</t>
  </si>
  <si>
    <t xml:space="preserve">EBITDA</t>
  </si>
  <si>
    <t xml:space="preserve">  EBITDA Margin</t>
  </si>
  <si>
    <t xml:space="preserve">Below EBITDA</t>
  </si>
  <si>
    <t xml:space="preserve">  Depreciation &amp; Amort</t>
  </si>
  <si>
    <t xml:space="preserve">EBIT</t>
  </si>
  <si>
    <t xml:space="preserve">  Interest Expense</t>
  </si>
  <si>
    <t xml:space="preserve">  EBT</t>
  </si>
  <si>
    <t xml:space="preserve">  Tax</t>
  </si>
  <si>
    <t xml:space="preserve">NET INCOME</t>
  </si>
  <si>
    <t xml:space="preserve">Working Capital (DSO/DIO/DPO)</t>
  </si>
  <si>
    <t xml:space="preserve">  Accounts Receivable</t>
  </si>
  <si>
    <t xml:space="preserve">  Inventory</t>
  </si>
  <si>
    <t xml:space="preserve">  Accounts Payable</t>
  </si>
  <si>
    <t xml:space="preserve">Net Working Capital</t>
  </si>
  <si>
    <t xml:space="preserve">  Change in NWC</t>
  </si>
  <si>
    <t xml:space="preserve">Debt Schedule</t>
  </si>
  <si>
    <t xml:space="preserve">Senior, sub, cash sweep, covenants</t>
  </si>
  <si>
    <t xml:space="preserve">  Opening Balance</t>
  </si>
  <si>
    <t xml:space="preserve">  Drawdown</t>
  </si>
  <si>
    <t xml:space="preserve">  Mandatory Amort</t>
  </si>
  <si>
    <t xml:space="preserve">  Optional Prepay (Sweep)</t>
  </si>
  <si>
    <t xml:space="preserve">  Maturity Repayment</t>
  </si>
  <si>
    <t xml:space="preserve">Closing Balance</t>
  </si>
  <si>
    <t xml:space="preserve">  PIK Accrual</t>
  </si>
  <si>
    <t xml:space="preserve">  Cash Interest</t>
  </si>
  <si>
    <t xml:space="preserve">Summary</t>
  </si>
  <si>
    <t xml:space="preserve">Total Interest</t>
  </si>
  <si>
    <t xml:space="preserve">  Net Debt</t>
  </si>
  <si>
    <t xml:space="preserve">Covenant Compliance</t>
  </si>
  <si>
    <t xml:space="preserve">  Net Leverage</t>
  </si>
  <si>
    <t xml:space="preserve">  Interest Coverage</t>
  </si>
  <si>
    <t xml:space="preserve">  Leverage Check</t>
  </si>
  <si>
    <t xml:space="preserve">  Coverage Check</t>
  </si>
  <si>
    <t xml:space="preserve">Excess Cash (Sweep Base)</t>
  </si>
  <si>
    <t xml:space="preserve">  Pre-sweep Free Cash</t>
  </si>
  <si>
    <t xml:space="preserve">Cash Flow Statement</t>
  </si>
  <si>
    <t xml:space="preserve">Indirect method</t>
  </si>
  <si>
    <t xml:space="preserve">Cash from Operations</t>
  </si>
  <si>
    <t xml:space="preserve">  Net Income</t>
  </si>
  <si>
    <t xml:space="preserve">  D&amp;A</t>
  </si>
  <si>
    <t xml:space="preserve">  PIK (non-cash)</t>
  </si>
  <si>
    <t xml:space="preserve">  WC Change (uses)</t>
  </si>
  <si>
    <t xml:space="preserve">CASH FROM OPERATIONS</t>
  </si>
  <si>
    <t xml:space="preserve">Cash from Investing</t>
  </si>
  <si>
    <t xml:space="preserve">  Capital Expenditure</t>
  </si>
  <si>
    <t xml:space="preserve">CASH FROM INVESTING</t>
  </si>
  <si>
    <t xml:space="preserve">Cash from Financing</t>
  </si>
  <si>
    <t xml:space="preserve">  Senior Amortisation</t>
  </si>
  <si>
    <t xml:space="preserve">  Senior Optional Prepay</t>
  </si>
  <si>
    <t xml:space="preserve">  Senior Maturity</t>
  </si>
  <si>
    <t xml:space="preserve">  Sub Maturity</t>
  </si>
  <si>
    <t xml:space="preserve">CASH FROM FINANCING</t>
  </si>
  <si>
    <t xml:space="preserve">Cash Balance</t>
  </si>
  <si>
    <t xml:space="preserve">  Net Cash Flow</t>
  </si>
  <si>
    <t xml:space="preserve">  Opening Cash</t>
  </si>
  <si>
    <t xml:space="preserve">Closing Cash</t>
  </si>
  <si>
    <t xml:space="preserve">  CFS Check</t>
  </si>
  <si>
    <t xml:space="preserve">Returns Analysis</t>
  </si>
  <si>
    <t xml:space="preserve">Sponsor vs co-invest; IRR streams in C(Y0)..H(Y5)</t>
  </si>
  <si>
    <t xml:space="preserve">Exit Valuation</t>
  </si>
  <si>
    <t xml:space="preserve">  Exit EBITDA</t>
  </si>
  <si>
    <t xml:space="preserve">  Exit Enterprise Value</t>
  </si>
  <si>
    <t xml:space="preserve">  Net Debt at Exit</t>
  </si>
  <si>
    <t xml:space="preserve">Exit Equity Value</t>
  </si>
  <si>
    <t xml:space="preserve">Equity Allocation</t>
  </si>
  <si>
    <t xml:space="preserve">  Sponsor Proceeds</t>
  </si>
  <si>
    <t xml:space="preserve">  Co-Invest Gross Proceeds</t>
  </si>
  <si>
    <t xml:space="preserve">Total Proceeds</t>
  </si>
  <si>
    <t xml:space="preserve">Sponsor Returns</t>
  </si>
  <si>
    <t xml:space="preserve">  Entry Equity</t>
  </si>
  <si>
    <t xml:space="preserve">  Exit Proceeds</t>
  </si>
  <si>
    <t xml:space="preserve">  Sponsor MOIC</t>
  </si>
  <si>
    <t xml:space="preserve">  Sponsor Cash Flow</t>
  </si>
  <si>
    <t xml:space="preserve">  Sponsor IRR</t>
  </si>
  <si>
    <t xml:space="preserve">Co-Investor Returns</t>
  </si>
  <si>
    <t xml:space="preserve">  Gross Proceeds</t>
  </si>
  <si>
    <t xml:space="preserve">  Cumul Monitoring Fees</t>
  </si>
  <si>
    <t xml:space="preserve">  Carry Base</t>
  </si>
  <si>
    <t xml:space="preserve">  Carry Amount</t>
  </si>
  <si>
    <t xml:space="preserve">Net Proceeds</t>
  </si>
  <si>
    <t xml:space="preserve">Co-Invest Multiples</t>
  </si>
  <si>
    <t xml:space="preserve">  Gross MOIC</t>
  </si>
  <si>
    <t xml:space="preserve">  Net MOIC</t>
  </si>
  <si>
    <t xml:space="preserve">Co-Invest IRR Streams (Y0 in C, Y5 in H)</t>
  </si>
  <si>
    <t xml:space="preserve">  Gross CF</t>
  </si>
  <si>
    <t xml:space="preserve">  Net CF</t>
  </si>
  <si>
    <t xml:space="preserve">  Gross IRR</t>
  </si>
  <si>
    <t xml:space="preserve">  Net IRR</t>
  </si>
  <si>
    <t xml:space="preserve">vs Targets</t>
  </si>
  <si>
    <t xml:space="preserve">  Net IRR - Target IRR</t>
  </si>
  <si>
    <t xml:space="preserve">  Net MOIC - Target MOIC</t>
  </si>
  <si>
    <t xml:space="preserve">Sensitivity: Co-Invest Net IRR</t>
  </si>
  <si>
    <t xml:space="preserve">Exit Mult \ EBITDA scale</t>
  </si>
  <si>
    <t xml:space="preserve">Sensitivity: Co-Invest Net MOIC</t>
  </si>
  <si>
    <t xml:space="preserve">Model Checks</t>
  </si>
  <si>
    <t xml:space="preserve">Validation</t>
  </si>
  <si>
    <t xml:space="preserve">Check</t>
  </si>
  <si>
    <t xml:space="preserve">Result</t>
  </si>
  <si>
    <t xml:space="preserve">Details</t>
  </si>
  <si>
    <t xml:space="preserve">Sources = Uses</t>
  </si>
  <si>
    <t xml:space="preserve">Total Sources - Total Uses = 0</t>
  </si>
  <si>
    <t xml:space="preserve">Cash Non-Negative</t>
  </si>
  <si>
    <t xml:space="preserve">Closing cash &gt;= 0 all periods</t>
  </si>
  <si>
    <t xml:space="preserve">Debt Declines</t>
  </si>
  <si>
    <t xml:space="preserve">Senior closing Y5 &lt; opening Y1</t>
  </si>
  <si>
    <t xml:space="preserve">Leverage Covenant</t>
  </si>
  <si>
    <t xml:space="preserve">Net Leverage &lt;= 6.0x all periods</t>
  </si>
  <si>
    <t xml:space="preserve">Coverage Covenant</t>
  </si>
  <si>
    <t xml:space="preserve">Interest Coverage &gt;= 2.0x all periods</t>
  </si>
  <si>
    <t xml:space="preserve">EBITDA Margin</t>
  </si>
  <si>
    <t xml:space="preserve">EBITDA margin 10-50% all periods</t>
  </si>
  <si>
    <t xml:space="preserve">CFS Reconciliation</t>
  </si>
  <si>
    <t xml:space="preserve">Opening + Net CF = Closing all periods</t>
  </si>
  <si>
    <t xml:space="preserve">MOIC Cross-Check</t>
  </si>
  <si>
    <t xml:space="preserve">Gross MOIC = Gross Proceeds / Entry Eq at exit</t>
  </si>
  <si>
    <t xml:space="preserve">Co-Invest IRR &gt; 0</t>
  </si>
  <si>
    <t xml:space="preserve">Positive net IRR</t>
  </si>
  <si>
    <t xml:space="preserve">Tax on EBT</t>
  </si>
  <si>
    <t xml:space="preserve">Tax = max(EBT,0) * Tax_Rate</t>
  </si>
  <si>
    <t xml:space="preserve">Disclaimer, Copyright &amp; License</t>
  </si>
  <si>
    <t xml:space="preserve">Disclaimer</t>
  </si>
  <si>
    <t xml:space="preserve">This financial model ("the Model") is provided by Finamodel for illustrative and educational purposes only. It is a template — not a finished analysis, valuation, recommendation, or solicitation to buy, sell, or hold any security, asset, or financial instrument.</t>
  </si>
  <si>
    <t xml:space="preserve">No investment advice</t>
  </si>
  <si>
    <t xml:space="preserve">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</si>
  <si>
    <t xml:space="preserve">No warranty</t>
  </si>
  <si>
    <t xml:space="preserve">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</si>
  <si>
    <t xml:space="preserve">Limitation of liability</t>
  </si>
  <si>
    <t xml:space="preserve">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</si>
  <si>
    <t xml:space="preserve">Forward-looking statements</t>
  </si>
  <si>
    <t xml:space="preserve">Any projections, forecasts, or scenarios are hypothetical, based on assumptions that may not materialize, and do not represent guaranteed outcomes.</t>
  </si>
  <si>
    <t xml:space="preserve">Third-party data</t>
  </si>
  <si>
    <t xml:space="preserve">Where the Model references market data, comparables, or macro indicators, such data is sourced from third parties believed to be reliable but is not independently verified.</t>
  </si>
  <si>
    <t xml:space="preserve">Copyright © 2026 Finamodel. All rights reserved.</t>
  </si>
  <si>
    <t xml:space="preserve">License — MIT</t>
  </si>
  <si>
    <t xml:space="preserve">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</si>
  <si>
    <t xml:space="preserve">Finamodel — github.com/alextapio/finamodel</t>
  </si>
</sst>
</file>

<file path=xl/styles.xml><?xml version="1.0" encoding="utf-8"?>
<styleSheet xmlns="http://schemas.openxmlformats.org/spreadsheetml/2006/main">
  <numFmts count="6">
    <numFmt numFmtId="164" formatCode="General"/>
    <numFmt numFmtId="165" formatCode="0"/>
    <numFmt numFmtId="166" formatCode="#,##0.0"/>
    <numFmt numFmtId="167" formatCode="0.00\x"/>
    <numFmt numFmtId="168" formatCode="0.00%"/>
    <numFmt numFmtId="169" formatCode="0%"/>
  </numFmts>
  <fonts count="27">
    <font>
      <sz val="11"/>
      <name val="Arial"/>
      <family val="0"/>
      <charset val="1"/>
    </font>
    <font>
      <sz val="10"/>
      <name val="Arial"/>
      <family val="0"/>
    </font>
    <font>
      <sz val="10"/>
      <name val="Arial"/>
      <family val="0"/>
    </font>
    <font>
      <sz val="10"/>
      <name val="Arial"/>
      <family val="0"/>
    </font>
    <font>
      <sz val="11"/>
      <color theme="0"/>
      <name val="Calibri"/>
      <family val="0"/>
      <charset val="1"/>
    </font>
    <font>
      <sz val="11"/>
      <color theme="0"/>
      <name val="Arial"/>
      <family val="0"/>
      <charset val="1"/>
    </font>
    <font>
      <b val="true"/>
      <sz val="18"/>
      <color theme="0"/>
      <name val="Arial"/>
      <family val="0"/>
      <charset val="1"/>
    </font>
    <font>
      <b val="true"/>
      <u val="single"/>
      <sz val="11"/>
      <color theme="0"/>
      <name val="Arial"/>
      <family val="0"/>
      <charset val="1"/>
    </font>
    <font>
      <i val="true"/>
      <sz val="11"/>
      <color theme="0"/>
      <name val="Arial"/>
      <family val="0"/>
      <charset val="1"/>
    </font>
    <font>
      <sz val="11"/>
      <color theme="1"/>
      <name val="Arial"/>
      <family val="0"/>
      <charset val="1"/>
    </font>
    <font>
      <b val="true"/>
      <sz val="11"/>
      <color theme="0"/>
      <name val="Arial"/>
      <family val="0"/>
      <charset val="1"/>
    </font>
    <font>
      <i val="true"/>
      <sz val="11"/>
      <color rgb="FF808080"/>
      <name val="Arial"/>
      <family val="0"/>
      <charset val="1"/>
    </font>
    <font>
      <b val="true"/>
      <sz val="11"/>
      <color rgb="FF1F4E79"/>
      <name val="Arial"/>
      <family val="0"/>
      <charset val="1"/>
    </font>
    <font>
      <sz val="11"/>
      <color theme="1"/>
      <name val="Calibri"/>
      <family val="2"/>
      <charset val="1"/>
    </font>
    <font>
      <sz val="11"/>
      <color rgb="FF262626"/>
      <name val="Arial"/>
      <family val="0"/>
      <charset val="1"/>
    </font>
    <font>
      <i val="true"/>
      <sz val="11"/>
      <color rgb="FF595959"/>
      <name val="Arial"/>
      <family val="0"/>
      <charset val="1"/>
    </font>
    <font>
      <b val="true"/>
      <i val="true"/>
      <sz val="11"/>
      <color rgb="FF1F4E79"/>
      <name val="Arial"/>
      <family val="0"/>
      <charset val="1"/>
    </font>
    <font>
      <b val="true"/>
      <sz val="11"/>
      <name val="Arial"/>
      <family val="0"/>
      <charset val="1"/>
    </font>
    <font>
      <sz val="11"/>
      <color theme="3"/>
      <name val="Arial"/>
      <family val="0"/>
      <charset val="1"/>
    </font>
    <font>
      <b val="true"/>
      <sz val="11"/>
      <color rgb="FF000000"/>
      <name val="Arial"/>
      <family val="0"/>
      <charset val="1"/>
    </font>
    <font>
      <b val="true"/>
      <sz val="11"/>
      <color rgb="FF006100"/>
      <name val="Arial"/>
      <family val="0"/>
      <charset val="1"/>
    </font>
    <font>
      <b val="true"/>
      <sz val="18"/>
      <color rgb="FF1F4E79"/>
      <name val="Arial"/>
      <family val="0"/>
      <charset val="1"/>
    </font>
    <font>
      <b val="true"/>
      <sz val="11"/>
      <color rgb="FFFFFFFF"/>
      <name val="Arial"/>
      <family val="0"/>
      <charset val="1"/>
    </font>
    <font>
      <sz val="10"/>
      <color rgb="FF262626"/>
      <name val="Arial"/>
      <family val="0"/>
      <charset val="1"/>
    </font>
    <font>
      <b val="true"/>
      <sz val="10"/>
      <color rgb="FF1F4E79"/>
      <name val="Arial"/>
      <family val="0"/>
      <charset val="1"/>
    </font>
    <font>
      <sz val="9"/>
      <color rgb="FF404040"/>
      <name val="Arial"/>
      <family val="0"/>
      <charset val="1"/>
    </font>
    <font>
      <i val="true"/>
      <sz val="10"/>
      <color rgb="FF808080"/>
      <name val="Arial"/>
      <family val="0"/>
      <charset val="1"/>
    </font>
  </fonts>
  <fills count="7">
    <fill>
      <patternFill patternType="none"/>
    </fill>
    <fill>
      <patternFill patternType="gray125"/>
    </fill>
    <fill>
      <patternFill patternType="solid">
        <fgColor theme="3"/>
        <bgColor rgb="FF1F4E79"/>
      </patternFill>
    </fill>
    <fill>
      <patternFill patternType="solid">
        <fgColor rgb="FFD6E4F0"/>
        <bgColor rgb="FFE8F0FE"/>
      </patternFill>
    </fill>
    <fill>
      <patternFill patternType="solid">
        <fgColor rgb="FFE8F0FE"/>
        <bgColor rgb="FFF2F2F2"/>
      </patternFill>
    </fill>
    <fill>
      <patternFill patternType="solid">
        <fgColor rgb="FFF2F2F2"/>
        <bgColor rgb="FFE8F0FE"/>
      </patternFill>
    </fill>
    <fill>
      <patternFill patternType="solid">
        <fgColor rgb="FF1F4E79"/>
        <bgColor rgb="FF1F497D"/>
      </patternFill>
    </fill>
  </fills>
  <borders count="4">
    <border diagonalUp="false" diagonalDown="false">
      <left/>
      <right/>
      <top/>
      <bottom/>
      <diagonal/>
    </border>
    <border diagonalUp="false" diagonalDown="false">
      <left/>
      <right/>
      <top style="thin"/>
      <bottom/>
      <diagonal/>
    </border>
    <border diagonalUp="false" diagonalDown="false">
      <left/>
      <right/>
      <top style="double"/>
      <bottom/>
      <diagonal/>
    </border>
    <border diagonalUp="false" diagonalDown="false">
      <left/>
      <right/>
      <top/>
      <bottom style="thin">
        <color rgb="FF1F4E79"/>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false" applyProtection="false">
      <alignment horizontal="general" vertical="bottom" textRotation="0" wrapText="false" indent="0" shrinkToFit="false"/>
      <protection locked="true" hidden="false"/>
    </xf>
    <xf numFmtId="164" fontId="7" fillId="2" borderId="0" xfId="0" applyFont="true" applyBorder="false" applyAlignment="true" applyProtection="false">
      <alignment horizontal="left" vertical="center"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2" borderId="0" xfId="0" applyFont="true" applyBorder="false" applyAlignment="true" applyProtection="false">
      <alignment horizontal="lef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12" fillId="3" borderId="0" xfId="0" applyFont="true" applyBorder="false" applyAlignment="true" applyProtection="false">
      <alignment horizontal="left" vertical="center" textRotation="0" wrapText="false" indent="0" shrinkToFit="false"/>
      <protection locked="true" hidden="false"/>
    </xf>
    <xf numFmtId="164" fontId="13" fillId="3"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true" applyAlignment="true" applyProtection="false">
      <alignment horizontal="left" vertical="top" textRotation="0" wrapText="true" indent="0" shrinkToFit="false"/>
      <protection locked="true" hidden="false"/>
    </xf>
    <xf numFmtId="164" fontId="15" fillId="0" borderId="0" xfId="0" applyFont="true" applyBorder="true" applyAlignment="true" applyProtection="false">
      <alignment horizontal="left" vertical="center" textRotation="0" wrapText="false" indent="0" shrinkToFit="false"/>
      <protection locked="true" hidden="false"/>
    </xf>
    <xf numFmtId="164" fontId="16" fillId="0" borderId="0" xfId="0" applyFont="true" applyBorder="false" applyAlignment="true" applyProtection="false">
      <alignment horizontal="left" vertical="center" textRotation="0" wrapText="false" indent="0" shrinkToFit="false"/>
      <protection locked="true" hidden="false"/>
    </xf>
    <xf numFmtId="164" fontId="10" fillId="2" borderId="0" xfId="0" applyFont="true" applyBorder="false" applyAlignment="true" applyProtection="false">
      <alignment horizontal="right" vertical="bottom"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5" fontId="18" fillId="4" borderId="0" xfId="0" applyFont="true" applyBorder="false" applyAlignment="true" applyProtection="false">
      <alignment horizontal="right" vertical="bottom" textRotation="0" wrapText="false" indent="0" shrinkToFit="false"/>
      <protection locked="true" hidden="false"/>
    </xf>
    <xf numFmtId="164" fontId="19" fillId="5" borderId="0" xfId="0" applyFont="true" applyBorder="false" applyAlignment="false" applyProtection="false">
      <alignment horizontal="general" vertical="bottom" textRotation="0" wrapText="false" indent="0" shrinkToFit="false"/>
      <protection locked="true" hidden="false"/>
    </xf>
    <xf numFmtId="164" fontId="9" fillId="5"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6" fontId="18" fillId="4" borderId="0" xfId="0" applyFont="true" applyBorder="false" applyAlignment="true" applyProtection="false">
      <alignment horizontal="right" vertical="bottom" textRotation="0" wrapText="false" indent="0" shrinkToFit="false"/>
      <protection locked="true" hidden="false"/>
    </xf>
    <xf numFmtId="164" fontId="11" fillId="0" borderId="0" xfId="0" applyFont="true" applyBorder="false" applyAlignment="true" applyProtection="false">
      <alignment horizontal="left" vertical="bottom" textRotation="0" wrapText="false" indent="0" shrinkToFit="false"/>
      <protection locked="true" hidden="false"/>
    </xf>
    <xf numFmtId="167" fontId="18" fillId="4" borderId="0" xfId="0" applyFont="true" applyBorder="false" applyAlignment="true" applyProtection="false">
      <alignment horizontal="right" vertical="bottom" textRotation="0" wrapText="false" indent="0" shrinkToFit="false"/>
      <protection locked="true" hidden="false"/>
    </xf>
    <xf numFmtId="168" fontId="18" fillId="4" borderId="0" xfId="0" applyFont="true" applyBorder="false" applyAlignment="true" applyProtection="false">
      <alignment horizontal="right" vertical="bottom" textRotation="0" wrapText="false" indent="0" shrinkToFit="false"/>
      <protection locked="true" hidden="false"/>
    </xf>
    <xf numFmtId="168" fontId="17" fillId="4" borderId="0" xfId="0" applyFont="true" applyBorder="false" applyAlignment="true" applyProtection="false">
      <alignment horizontal="right" vertical="bottom" textRotation="0" wrapText="false" indent="0" shrinkToFit="false"/>
      <protection locked="true" hidden="false"/>
    </xf>
    <xf numFmtId="167" fontId="17" fillId="4" borderId="0" xfId="0" applyFont="true" applyBorder="false" applyAlignment="true" applyProtection="false">
      <alignment horizontal="right" vertical="bottom" textRotation="0" wrapText="false" indent="0" shrinkToFit="false"/>
      <protection locked="true" hidden="false"/>
    </xf>
    <xf numFmtId="164" fontId="19" fillId="5" borderId="0" xfId="0" applyFont="true" applyBorder="false" applyAlignment="true" applyProtection="false">
      <alignment horizontal="left" vertical="bottom" textRotation="0" wrapText="false" indent="0" shrinkToFit="false"/>
      <protection locked="true" hidden="false"/>
    </xf>
    <xf numFmtId="164" fontId="19" fillId="5" borderId="0" xfId="0" applyFont="true" applyBorder="false" applyAlignment="true" applyProtection="false">
      <alignment horizontal="right" vertical="bottom" textRotation="0" wrapText="false" indent="0" shrinkToFit="false"/>
      <protection locked="true" hidden="false"/>
    </xf>
    <xf numFmtId="164" fontId="10" fillId="2" borderId="0" xfId="0" applyFont="true" applyBorder="false" applyAlignment="false" applyProtection="false">
      <alignment horizontal="general" vertical="bottom" textRotation="0" wrapText="false" indent="0" shrinkToFit="false"/>
      <protection locked="true" hidden="false"/>
    </xf>
    <xf numFmtId="164" fontId="9" fillId="2"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left" vertical="bottom" textRotation="0" wrapText="false" indent="1" shrinkToFit="false"/>
      <protection locked="true" hidden="false"/>
    </xf>
    <xf numFmtId="166" fontId="9" fillId="0" borderId="0" xfId="0" applyFont="true" applyBorder="false" applyAlignment="true" applyProtection="false">
      <alignment horizontal="right" vertical="bottom" textRotation="0" wrapText="false" indent="0" shrinkToFit="false"/>
      <protection locked="true" hidden="false"/>
    </xf>
    <xf numFmtId="168" fontId="0" fillId="0" borderId="0" xfId="0" applyFont="true" applyBorder="false" applyAlignment="true" applyProtection="false">
      <alignment horizontal="right" vertical="bottom" textRotation="0" wrapText="false" indent="0" shrinkToFit="false"/>
      <protection locked="true" hidden="false"/>
    </xf>
    <xf numFmtId="164" fontId="17" fillId="0" borderId="0" xfId="0" applyFont="true" applyBorder="false" applyAlignment="true" applyProtection="false">
      <alignment horizontal="left" vertical="bottom" textRotation="0" wrapText="false" indent="1" shrinkToFit="false"/>
      <protection locked="true" hidden="false"/>
    </xf>
    <xf numFmtId="166" fontId="17" fillId="0" borderId="1" xfId="0" applyFont="true" applyBorder="true" applyAlignment="true" applyProtection="false">
      <alignment horizontal="right" vertical="bottom" textRotation="0" wrapText="false" indent="0" shrinkToFit="false"/>
      <protection locked="true" hidden="false"/>
    </xf>
    <xf numFmtId="168" fontId="17" fillId="0" borderId="0" xfId="0" applyFont="true" applyBorder="false" applyAlignment="true" applyProtection="false">
      <alignment horizontal="right" vertical="bottom" textRotation="0" wrapText="false" indent="0" shrinkToFit="false"/>
      <protection locked="true" hidden="false"/>
    </xf>
    <xf numFmtId="166" fontId="17" fillId="0" borderId="2" xfId="0" applyFont="true" applyBorder="true" applyAlignment="true" applyProtection="false">
      <alignment horizontal="right" vertical="bottom" textRotation="0" wrapText="false" indent="0" shrinkToFit="false"/>
      <protection locked="true" hidden="false"/>
    </xf>
    <xf numFmtId="168" fontId="9" fillId="0" borderId="0" xfId="0" applyFont="true" applyBorder="false" applyAlignment="true" applyProtection="false">
      <alignment horizontal="right" vertical="bottom" textRotation="0" wrapText="false" indent="0" shrinkToFit="false"/>
      <protection locked="true" hidden="false"/>
    </xf>
    <xf numFmtId="166" fontId="17" fillId="0" borderId="0" xfId="0" applyFont="true" applyBorder="false" applyAlignment="true" applyProtection="false">
      <alignment horizontal="right" vertical="bottom" textRotation="0" wrapText="false" indent="0" shrinkToFit="false"/>
      <protection locked="true" hidden="false"/>
    </xf>
    <xf numFmtId="165" fontId="19" fillId="5"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1" shrinkToFit="false"/>
      <protection locked="true" hidden="false"/>
    </xf>
    <xf numFmtId="166" fontId="0" fillId="0" borderId="0" xfId="0" applyFont="true" applyBorder="false" applyAlignment="true" applyProtection="false">
      <alignment horizontal="right" vertical="bottom" textRotation="0" wrapText="false" indent="0" shrinkToFit="false"/>
      <protection locked="true" hidden="false"/>
    </xf>
    <xf numFmtId="164" fontId="17" fillId="0" borderId="1" xfId="0" applyFont="true" applyBorder="true" applyAlignment="true" applyProtection="false">
      <alignment horizontal="left" vertical="bottom" textRotation="0" wrapText="false" indent="0" shrinkToFit="false"/>
      <protection locked="true" hidden="false"/>
    </xf>
    <xf numFmtId="164" fontId="11" fillId="0" borderId="0" xfId="0" applyFont="true" applyBorder="false" applyAlignment="true" applyProtection="false">
      <alignment horizontal="left" vertical="bottom" textRotation="0" wrapText="false" indent="1" shrinkToFit="false"/>
      <protection locked="true" hidden="false"/>
    </xf>
    <xf numFmtId="168" fontId="11" fillId="0" borderId="0" xfId="0" applyFont="true" applyBorder="false" applyAlignment="true" applyProtection="false">
      <alignment horizontal="right" vertical="bottom" textRotation="0" wrapText="false" indent="0" shrinkToFit="false"/>
      <protection locked="true" hidden="false"/>
    </xf>
    <xf numFmtId="164" fontId="17" fillId="0" borderId="2" xfId="0" applyFont="true" applyBorder="true" applyAlignment="true" applyProtection="false">
      <alignment horizontal="left" vertical="bottom" textRotation="0" wrapText="false" indent="0" shrinkToFit="false"/>
      <protection locked="true" hidden="false"/>
    </xf>
    <xf numFmtId="164" fontId="17" fillId="0" borderId="0" xfId="0" applyFont="true" applyBorder="false" applyAlignment="true" applyProtection="false">
      <alignment horizontal="left" vertical="bottom" textRotation="0" wrapText="false" indent="0" shrinkToFit="false"/>
      <protection locked="true" hidden="false"/>
    </xf>
    <xf numFmtId="167" fontId="0" fillId="0" borderId="0" xfId="0" applyFont="true" applyBorder="false" applyAlignment="true" applyProtection="false">
      <alignment horizontal="right" vertical="bottom" textRotation="0" wrapText="false" indent="0" shrinkToFit="false"/>
      <protection locked="true" hidden="false"/>
    </xf>
    <xf numFmtId="164" fontId="20" fillId="0" borderId="0" xfId="0" applyFont="true" applyBorder="false" applyAlignment="true" applyProtection="false">
      <alignment horizontal="left" vertical="bottom" textRotation="0" wrapText="false" indent="1"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6" fontId="11" fillId="0" borderId="0" xfId="0" applyFont="true" applyBorder="false" applyAlignment="true" applyProtection="false">
      <alignment horizontal="right" vertical="bottom" textRotation="0" wrapText="false" indent="0" shrinkToFit="false"/>
      <protection locked="true" hidden="false"/>
    </xf>
    <xf numFmtId="167" fontId="9" fillId="0" borderId="0" xfId="0" applyFont="true" applyBorder="false" applyAlignment="true" applyProtection="false">
      <alignment horizontal="right" vertical="bottom" textRotation="0" wrapText="false" indent="0" shrinkToFit="false"/>
      <protection locked="true" hidden="false"/>
    </xf>
    <xf numFmtId="169" fontId="19" fillId="5" borderId="0" xfId="0" applyFont="true" applyBorder="false" applyAlignment="true" applyProtection="false">
      <alignment horizontal="center" vertical="bottom" textRotation="0" wrapText="false" indent="0" shrinkToFit="false"/>
      <protection locked="true" hidden="false"/>
    </xf>
    <xf numFmtId="167" fontId="17" fillId="0" borderId="0" xfId="0" applyFont="true" applyBorder="false" applyAlignment="true" applyProtection="false">
      <alignment horizontal="center" vertical="bottom" textRotation="0" wrapText="false" indent="0" shrinkToFit="false"/>
      <protection locked="true" hidden="false"/>
    </xf>
    <xf numFmtId="168" fontId="0" fillId="0" borderId="0" xfId="0" applyFont="true" applyBorder="false" applyAlignment="true" applyProtection="false">
      <alignment horizontal="center" vertical="bottom" textRotation="0" wrapText="false" indent="0" shrinkToFit="false"/>
      <protection locked="true" hidden="false"/>
    </xf>
    <xf numFmtId="167" fontId="0" fillId="0" borderId="0" xfId="0" applyFont="true" applyBorder="false" applyAlignment="true" applyProtection="false">
      <alignment horizontal="center" vertical="bottom" textRotation="0" wrapText="false" indent="0" shrinkToFit="false"/>
      <protection locked="true" hidden="false"/>
    </xf>
    <xf numFmtId="164" fontId="17" fillId="0" borderId="0" xfId="0" applyFont="true" applyBorder="false" applyAlignment="true" applyProtection="false">
      <alignment horizontal="center" vertical="bottom" textRotation="0" wrapText="false" indent="0" shrinkToFit="false"/>
      <protection locked="true" hidden="false"/>
    </xf>
    <xf numFmtId="164" fontId="21" fillId="0" borderId="0" xfId="0" applyFont="true" applyBorder="false" applyAlignment="true" applyProtection="false">
      <alignment horizontal="left" vertical="center" textRotation="0" wrapText="false" indent="0" shrinkToFit="false"/>
      <protection locked="true" hidden="false"/>
    </xf>
    <xf numFmtId="164" fontId="13" fillId="0" borderId="3" xfId="0" applyFont="true" applyBorder="true" applyAlignment="false" applyProtection="false">
      <alignment horizontal="general" vertical="bottom" textRotation="0" wrapText="false" indent="0" shrinkToFit="false"/>
      <protection locked="true" hidden="false"/>
    </xf>
    <xf numFmtId="164" fontId="22" fillId="6" borderId="0" xfId="0" applyFont="true" applyBorder="false" applyAlignment="true" applyProtection="false">
      <alignment horizontal="left" vertical="center" textRotation="0" wrapText="false" indent="1" shrinkToFit="false"/>
      <protection locked="true" hidden="false"/>
    </xf>
    <xf numFmtId="164" fontId="23" fillId="0" borderId="0" xfId="0" applyFont="true" applyBorder="false" applyAlignment="true" applyProtection="false">
      <alignment horizontal="left" vertical="top" textRotation="0" wrapText="true" indent="1" shrinkToFit="false"/>
      <protection locked="true" hidden="false"/>
    </xf>
    <xf numFmtId="164" fontId="24" fillId="0" borderId="0" xfId="0" applyFont="true" applyBorder="false" applyAlignment="true" applyProtection="false">
      <alignment horizontal="left" vertical="center" textRotation="0" wrapText="false" indent="1" shrinkToFit="false"/>
      <protection locked="true" hidden="false"/>
    </xf>
    <xf numFmtId="164" fontId="12" fillId="0" borderId="0" xfId="0" applyFont="true" applyBorder="false" applyAlignment="true" applyProtection="false">
      <alignment horizontal="left" vertical="center" textRotation="0" wrapText="false" indent="1" shrinkToFit="false"/>
      <protection locked="true" hidden="false"/>
    </xf>
    <xf numFmtId="164" fontId="25" fillId="5" borderId="0" xfId="0" applyFont="true" applyBorder="false" applyAlignment="true" applyProtection="false">
      <alignment horizontal="left" vertical="top" textRotation="0" wrapText="true" indent="1" shrinkToFit="false"/>
      <protection locked="true" hidden="false"/>
    </xf>
    <xf numFmtId="164" fontId="26" fillId="0" borderId="0" xfId="0" applyFont="true" applyBorder="false" applyAlignment="true" applyProtection="false">
      <alignment horizontal="left" vertical="center" textRotation="0" wrapText="false" indent="1"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6100"/>
      <rgbColor rgb="FF000080"/>
      <rgbColor rgb="FF808000"/>
      <rgbColor rgb="FF800080"/>
      <rgbColor rgb="FF008080"/>
      <rgbColor rgb="FFC0C0C0"/>
      <rgbColor rgb="FF808080"/>
      <rgbColor rgb="FF5B9BD5"/>
      <rgbColor rgb="FF993366"/>
      <rgbColor rgb="FFF2F2F2"/>
      <rgbColor rgb="FFE8F0FE"/>
      <rgbColor rgb="FF660066"/>
      <rgbColor rgb="FFFF8080"/>
      <rgbColor rgb="FF0066CC"/>
      <rgbColor rgb="FFD6E4F0"/>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ED7D31"/>
      <rgbColor rgb="FF595959"/>
      <rgbColor rgb="FFA5A5A5"/>
      <rgbColor rgb="FF1F4E79"/>
      <rgbColor rgb="FF70AD47"/>
      <rgbColor rgb="FF003300"/>
      <rgbColor rgb="FF404040"/>
      <rgbColor rgb="FF993300"/>
      <rgbColor rgb="FF993366"/>
      <rgbColor rgb="FF1F497D"/>
      <rgbColor rgb="FF26262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finamodel.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AD23"/>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4"/>
    <col collapsed="false" customWidth="true" hidden="false" outlineLevel="0" max="3" min="3" style="0" width="42"/>
    <col collapsed="false" customWidth="true" hidden="false" outlineLevel="0" max="4" min="4" style="0" width="16"/>
  </cols>
  <sheetData>
    <row r="1" customFormat="false" ht="15" hidden="false" customHeight="false" outlineLevel="0" collapsed="false">
      <c r="A1" s="1"/>
      <c r="B1" s="2"/>
      <c r="C1" s="2"/>
      <c r="D1" s="2"/>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3" t="s">
        <v>0</v>
      </c>
      <c r="C2" s="2"/>
      <c r="D2" s="4" t="s">
        <v>1</v>
      </c>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5" t="s">
        <v>2</v>
      </c>
      <c r="C3" s="2"/>
      <c r="D3" s="2"/>
      <c r="E3" s="1"/>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B4" s="6"/>
      <c r="C4" s="6"/>
      <c r="D4" s="6"/>
    </row>
    <row r="5" customFormat="false" ht="15" hidden="false" customHeight="false" outlineLevel="0" collapsed="false">
      <c r="B5" s="6"/>
      <c r="C5" s="6"/>
      <c r="D5" s="6"/>
    </row>
    <row r="6" customFormat="false" ht="15" hidden="false" customHeight="false" outlineLevel="0" collapsed="false">
      <c r="B6" s="7" t="s">
        <v>3</v>
      </c>
      <c r="C6" s="7" t="s">
        <v>4</v>
      </c>
      <c r="D6" s="7" t="s">
        <v>5</v>
      </c>
    </row>
    <row r="7" customFormat="false" ht="15" hidden="false" customHeight="false" outlineLevel="0" collapsed="false">
      <c r="B7" s="8" t="s">
        <v>6</v>
      </c>
      <c r="C7" s="8" t="s">
        <v>7</v>
      </c>
      <c r="D7" s="9" t="s">
        <v>8</v>
      </c>
    </row>
    <row r="8" customFormat="false" ht="15" hidden="false" customHeight="false" outlineLevel="0" collapsed="false">
      <c r="B8" s="8" t="s">
        <v>9</v>
      </c>
      <c r="C8" s="8" t="s">
        <v>10</v>
      </c>
      <c r="D8" s="9" t="s">
        <v>11</v>
      </c>
    </row>
    <row r="9" customFormat="false" ht="15" hidden="false" customHeight="false" outlineLevel="0" collapsed="false">
      <c r="B9" s="8" t="s">
        <v>12</v>
      </c>
      <c r="C9" s="8" t="s">
        <v>13</v>
      </c>
      <c r="D9" s="9" t="s">
        <v>14</v>
      </c>
    </row>
    <row r="10" customFormat="false" ht="15" hidden="false" customHeight="false" outlineLevel="0" collapsed="false">
      <c r="B10" s="8" t="s">
        <v>15</v>
      </c>
      <c r="C10" s="8" t="s">
        <v>16</v>
      </c>
      <c r="D10" s="9" t="s">
        <v>17</v>
      </c>
    </row>
    <row r="11" customFormat="false" ht="15" hidden="false" customHeight="false" outlineLevel="0" collapsed="false">
      <c r="B11" s="8" t="s">
        <v>18</v>
      </c>
      <c r="C11" s="8" t="s">
        <v>19</v>
      </c>
      <c r="D11" s="9" t="s">
        <v>20</v>
      </c>
    </row>
    <row r="12" customFormat="false" ht="15" hidden="false" customHeight="false" outlineLevel="0" collapsed="false">
      <c r="B12" s="8" t="s">
        <v>21</v>
      </c>
      <c r="C12" s="8" t="s">
        <v>22</v>
      </c>
      <c r="D12" s="9" t="s">
        <v>23</v>
      </c>
    </row>
    <row r="13" customFormat="false" ht="15" hidden="false" customHeight="false" outlineLevel="0" collapsed="false">
      <c r="B13" s="8" t="s">
        <v>24</v>
      </c>
      <c r="C13" s="8" t="s">
        <v>25</v>
      </c>
      <c r="D13" s="9" t="s">
        <v>23</v>
      </c>
    </row>
    <row r="14" customFormat="false" ht="15" hidden="false" customHeight="false" outlineLevel="0" collapsed="false">
      <c r="B14" s="8" t="s">
        <v>26</v>
      </c>
      <c r="C14" s="8" t="s">
        <v>27</v>
      </c>
      <c r="D14" s="9" t="s">
        <v>20</v>
      </c>
    </row>
    <row r="17" customFormat="false" ht="19.5" hidden="false" customHeight="true" outlineLevel="0" collapsed="false">
      <c r="B17" s="10" t="s">
        <v>28</v>
      </c>
      <c r="C17" s="11"/>
      <c r="D17" s="11"/>
      <c r="E17" s="11"/>
      <c r="F17" s="11"/>
      <c r="G17" s="11"/>
    </row>
    <row r="18" customFormat="false" ht="233.25" hidden="false" customHeight="true" outlineLevel="0" collapsed="false">
      <c r="B18" s="12" t="s">
        <v>29</v>
      </c>
      <c r="C18" s="12"/>
      <c r="D18" s="12"/>
      <c r="E18" s="12"/>
      <c r="F18" s="12"/>
      <c r="G18" s="12"/>
    </row>
    <row r="20" customFormat="false" ht="19.5" hidden="false" customHeight="true" outlineLevel="0" collapsed="false">
      <c r="B20" s="10" t="s">
        <v>30</v>
      </c>
      <c r="C20" s="11"/>
      <c r="D20" s="11"/>
      <c r="E20" s="11"/>
      <c r="F20" s="11"/>
      <c r="G20" s="11"/>
    </row>
    <row r="21" customFormat="false" ht="57" hidden="false" customHeight="true" outlineLevel="0" collapsed="false">
      <c r="B21" s="12" t="s">
        <v>31</v>
      </c>
      <c r="C21" s="12"/>
      <c r="D21" s="12"/>
      <c r="E21" s="12"/>
      <c r="F21" s="12"/>
      <c r="G21" s="12"/>
    </row>
    <row r="22" customFormat="false" ht="15" hidden="false" customHeight="false" outlineLevel="0" collapsed="false">
      <c r="B22" s="13" t="s">
        <v>32</v>
      </c>
      <c r="C22" s="13"/>
      <c r="D22" s="13"/>
      <c r="E22" s="13"/>
      <c r="F22" s="13"/>
      <c r="G22" s="13"/>
    </row>
    <row r="23" customFormat="false" ht="15" hidden="false" customHeight="false" outlineLevel="0" collapsed="false">
      <c r="B23" s="14" t="s">
        <v>33</v>
      </c>
    </row>
  </sheetData>
  <mergeCells count="3">
    <mergeCell ref="B18:G18"/>
    <mergeCell ref="B21:G21"/>
    <mergeCell ref="B22:G22"/>
  </mergeCells>
  <hyperlinks>
    <hyperlink ref="D2" r:id="rId1" display="FINAMODEL.com"/>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5B9BD5"/>
    <pageSetUpPr fitToPage="false"/>
  </sheetPr>
  <dimension ref="A1:AD9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3" min="3" style="0" width="14"/>
    <col collapsed="false" customWidth="true" hidden="false" outlineLevel="0" max="4" min="4" style="0" width="8"/>
    <col collapsed="false" customWidth="true" hidden="false" outlineLevel="0" max="5" min="5" style="0" width="36"/>
    <col collapsed="false" customWidth="true" hidden="false" outlineLevel="0" max="8" min="6" style="0" width="12"/>
  </cols>
  <sheetData>
    <row r="1" customFormat="false" ht="15" hidden="false" customHeight="false" outlineLevel="0" collapsed="false">
      <c r="A1" s="1"/>
      <c r="B1" s="2"/>
      <c r="C1" s="2"/>
      <c r="D1" s="2"/>
      <c r="E1" s="2"/>
      <c r="F1" s="2"/>
      <c r="G1" s="2"/>
      <c r="H1" s="2"/>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3" t="s">
        <v>9</v>
      </c>
      <c r="C2" s="2"/>
      <c r="D2" s="2"/>
      <c r="E2" s="2"/>
      <c r="F2" s="2"/>
      <c r="G2" s="2"/>
      <c r="H2" s="2"/>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5" t="s">
        <v>34</v>
      </c>
      <c r="C3" s="2"/>
      <c r="D3" s="2"/>
      <c r="E3" s="2"/>
      <c r="F3" s="2"/>
      <c r="G3" s="2"/>
      <c r="H3" s="2"/>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B4" s="7" t="s">
        <v>35</v>
      </c>
      <c r="C4" s="15" t="s">
        <v>36</v>
      </c>
      <c r="D4" s="15" t="s">
        <v>37</v>
      </c>
      <c r="E4" s="7" t="s">
        <v>38</v>
      </c>
      <c r="F4" s="15" t="s">
        <v>39</v>
      </c>
      <c r="G4" s="15" t="s">
        <v>40</v>
      </c>
      <c r="H4" s="15" t="s">
        <v>41</v>
      </c>
    </row>
    <row r="5" customFormat="false" ht="15" hidden="false" customHeight="false" outlineLevel="0" collapsed="false">
      <c r="B5" s="6"/>
      <c r="C5" s="6"/>
      <c r="D5" s="6"/>
      <c r="E5" s="6"/>
      <c r="F5" s="6"/>
      <c r="G5" s="6"/>
      <c r="H5" s="6"/>
    </row>
    <row r="6" customFormat="false" ht="15" hidden="false" customHeight="false" outlineLevel="0" collapsed="false">
      <c r="B6" s="16" t="s">
        <v>42</v>
      </c>
      <c r="C6" s="17" t="n">
        <v>1</v>
      </c>
      <c r="D6" s="9" t="s">
        <v>43</v>
      </c>
      <c r="E6" s="9" t="s">
        <v>44</v>
      </c>
      <c r="F6" s="6"/>
      <c r="G6" s="6"/>
      <c r="H6" s="6"/>
    </row>
    <row r="7" customFormat="false" ht="15" hidden="false" customHeight="false" outlineLevel="0" collapsed="false">
      <c r="B7" s="6"/>
      <c r="C7" s="6"/>
      <c r="D7" s="6"/>
      <c r="E7" s="6"/>
      <c r="F7" s="6"/>
      <c r="G7" s="6"/>
      <c r="H7" s="6"/>
    </row>
    <row r="8" customFormat="false" ht="15" hidden="false" customHeight="false" outlineLevel="0" collapsed="false">
      <c r="B8" s="18" t="s">
        <v>45</v>
      </c>
      <c r="C8" s="19"/>
      <c r="D8" s="19"/>
      <c r="E8" s="19"/>
      <c r="F8" s="19"/>
      <c r="G8" s="19"/>
      <c r="H8" s="19"/>
    </row>
    <row r="9" customFormat="false" ht="15" hidden="false" customHeight="false" outlineLevel="0" collapsed="false">
      <c r="B9" s="20" t="s">
        <v>46</v>
      </c>
      <c r="C9" s="21" t="n">
        <v>50</v>
      </c>
      <c r="D9" s="22" t="s">
        <v>47</v>
      </c>
      <c r="E9" s="22" t="s">
        <v>48</v>
      </c>
      <c r="F9" s="6"/>
      <c r="G9" s="6"/>
      <c r="H9" s="6"/>
    </row>
    <row r="10" customFormat="false" ht="15" hidden="false" customHeight="false" outlineLevel="0" collapsed="false">
      <c r="B10" s="20" t="s">
        <v>49</v>
      </c>
      <c r="C10" s="23" t="n">
        <v>10</v>
      </c>
      <c r="D10" s="22" t="s">
        <v>50</v>
      </c>
      <c r="E10" s="22" t="s">
        <v>51</v>
      </c>
      <c r="F10" s="6"/>
      <c r="G10" s="6"/>
      <c r="H10" s="6"/>
    </row>
    <row r="11" customFormat="false" ht="15" hidden="false" customHeight="false" outlineLevel="0" collapsed="false">
      <c r="B11" s="20" t="s">
        <v>52</v>
      </c>
      <c r="C11" s="24" t="n">
        <v>0.02</v>
      </c>
      <c r="D11" s="6"/>
      <c r="E11" s="22" t="s">
        <v>53</v>
      </c>
      <c r="F11" s="6"/>
      <c r="G11" s="6"/>
      <c r="H11" s="6"/>
    </row>
    <row r="12" customFormat="false" ht="15" hidden="false" customHeight="false" outlineLevel="0" collapsed="false">
      <c r="B12" s="20" t="s">
        <v>54</v>
      </c>
      <c r="C12" s="24" t="n">
        <v>0.02</v>
      </c>
      <c r="D12" s="6"/>
      <c r="E12" s="22" t="s">
        <v>55</v>
      </c>
      <c r="F12" s="6"/>
      <c r="G12" s="6"/>
      <c r="H12" s="6"/>
    </row>
    <row r="13" customFormat="false" ht="15" hidden="false" customHeight="false" outlineLevel="0" collapsed="false">
      <c r="B13" s="20" t="s">
        <v>56</v>
      </c>
      <c r="C13" s="21" t="n">
        <v>5</v>
      </c>
      <c r="D13" s="22" t="s">
        <v>47</v>
      </c>
      <c r="E13" s="22" t="s">
        <v>57</v>
      </c>
      <c r="F13" s="6"/>
      <c r="G13" s="6"/>
      <c r="H13" s="6"/>
    </row>
    <row r="14" customFormat="false" ht="15" hidden="false" customHeight="false" outlineLevel="0" collapsed="false">
      <c r="B14" s="6"/>
      <c r="C14" s="6"/>
      <c r="D14" s="6"/>
      <c r="E14" s="6"/>
      <c r="F14" s="6"/>
      <c r="G14" s="6"/>
      <c r="H14" s="6"/>
    </row>
    <row r="15" customFormat="false" ht="15" hidden="false" customHeight="false" outlineLevel="0" collapsed="false">
      <c r="B15" s="18" t="s">
        <v>58</v>
      </c>
      <c r="C15" s="19"/>
      <c r="D15" s="19"/>
      <c r="E15" s="19"/>
      <c r="F15" s="19"/>
      <c r="G15" s="19"/>
      <c r="H15" s="19"/>
    </row>
    <row r="16" customFormat="false" ht="15" hidden="false" customHeight="false" outlineLevel="0" collapsed="false">
      <c r="B16" s="20" t="s">
        <v>59</v>
      </c>
      <c r="C16" s="23" t="n">
        <v>3.5</v>
      </c>
      <c r="D16" s="22" t="s">
        <v>50</v>
      </c>
      <c r="E16" s="22" t="s">
        <v>60</v>
      </c>
      <c r="F16" s="6"/>
      <c r="G16" s="6"/>
      <c r="H16" s="6"/>
    </row>
    <row r="17" customFormat="false" ht="15" hidden="false" customHeight="false" outlineLevel="0" collapsed="false">
      <c r="B17" s="20" t="s">
        <v>61</v>
      </c>
      <c r="C17" s="23" t="n">
        <v>1</v>
      </c>
      <c r="D17" s="22" t="s">
        <v>50</v>
      </c>
      <c r="E17" s="22" t="s">
        <v>62</v>
      </c>
      <c r="F17" s="6"/>
      <c r="G17" s="6"/>
      <c r="H17" s="6"/>
    </row>
    <row r="18" customFormat="false" ht="15" hidden="false" customHeight="false" outlineLevel="0" collapsed="false">
      <c r="B18" s="20" t="s">
        <v>63</v>
      </c>
      <c r="C18" s="24" t="n">
        <v>0.065</v>
      </c>
      <c r="D18" s="6"/>
      <c r="E18" s="22" t="s">
        <v>64</v>
      </c>
      <c r="F18" s="6"/>
      <c r="G18" s="6"/>
      <c r="H18" s="6"/>
    </row>
    <row r="19" customFormat="false" ht="15" hidden="false" customHeight="false" outlineLevel="0" collapsed="false">
      <c r="B19" s="20" t="s">
        <v>65</v>
      </c>
      <c r="C19" s="24" t="n">
        <v>0.05</v>
      </c>
      <c r="D19" s="6"/>
      <c r="E19" s="22" t="s">
        <v>66</v>
      </c>
      <c r="F19" s="6"/>
      <c r="G19" s="6"/>
      <c r="H19" s="6"/>
    </row>
    <row r="20" customFormat="false" ht="15" hidden="false" customHeight="false" outlineLevel="0" collapsed="false">
      <c r="B20" s="20" t="s">
        <v>67</v>
      </c>
      <c r="C20" s="24" t="n">
        <v>0.02</v>
      </c>
      <c r="D20" s="6"/>
      <c r="E20" s="22" t="s">
        <v>68</v>
      </c>
      <c r="F20" s="6"/>
      <c r="G20" s="6"/>
      <c r="H20" s="6"/>
    </row>
    <row r="21" customFormat="false" ht="15" hidden="false" customHeight="false" outlineLevel="0" collapsed="false">
      <c r="B21" s="20" t="s">
        <v>69</v>
      </c>
      <c r="C21" s="17" t="n">
        <v>5</v>
      </c>
      <c r="D21" s="22" t="s">
        <v>70</v>
      </c>
      <c r="E21" s="22" t="s">
        <v>71</v>
      </c>
      <c r="F21" s="6"/>
      <c r="G21" s="6"/>
      <c r="H21" s="6"/>
    </row>
    <row r="22" customFormat="false" ht="15" hidden="false" customHeight="false" outlineLevel="0" collapsed="false">
      <c r="B22" s="20" t="s">
        <v>72</v>
      </c>
      <c r="C22" s="17" t="n">
        <v>6</v>
      </c>
      <c r="D22" s="22" t="s">
        <v>70</v>
      </c>
      <c r="E22" s="22" t="s">
        <v>73</v>
      </c>
      <c r="F22" s="6"/>
      <c r="G22" s="6"/>
      <c r="H22" s="6"/>
    </row>
    <row r="23" customFormat="false" ht="15" hidden="false" customHeight="false" outlineLevel="0" collapsed="false">
      <c r="B23" s="20" t="s">
        <v>74</v>
      </c>
      <c r="C23" s="24" t="n">
        <v>0.04</v>
      </c>
      <c r="D23" s="6"/>
      <c r="E23" s="22" t="s">
        <v>75</v>
      </c>
      <c r="F23" s="6"/>
      <c r="G23" s="6"/>
      <c r="H23" s="6"/>
    </row>
    <row r="24" customFormat="false" ht="15" hidden="false" customHeight="false" outlineLevel="0" collapsed="false">
      <c r="B24" s="20" t="s">
        <v>76</v>
      </c>
      <c r="C24" s="25" t="n">
        <f aca="false">CHOOSE(Scenario_Idx,F24,G24,H24)</f>
        <v>0.5</v>
      </c>
      <c r="D24" s="6"/>
      <c r="E24" s="9" t="s">
        <v>77</v>
      </c>
      <c r="F24" s="24" t="n">
        <v>0.5</v>
      </c>
      <c r="G24" s="24" t="n">
        <v>0.75</v>
      </c>
      <c r="H24" s="24" t="n">
        <v>0.3</v>
      </c>
    </row>
    <row r="25" customFormat="false" ht="15" hidden="false" customHeight="false" outlineLevel="0" collapsed="false">
      <c r="B25" s="6"/>
      <c r="C25" s="6"/>
      <c r="D25" s="6"/>
      <c r="E25" s="6"/>
      <c r="F25" s="6"/>
      <c r="G25" s="6"/>
      <c r="H25" s="6"/>
    </row>
    <row r="26" customFormat="false" ht="15" hidden="false" customHeight="false" outlineLevel="0" collapsed="false">
      <c r="B26" s="18" t="s">
        <v>78</v>
      </c>
      <c r="C26" s="19"/>
      <c r="D26" s="19"/>
      <c r="E26" s="19"/>
      <c r="F26" s="19"/>
      <c r="G26" s="19"/>
      <c r="H26" s="19"/>
    </row>
    <row r="27" customFormat="false" ht="15" hidden="false" customHeight="false" outlineLevel="0" collapsed="false">
      <c r="B27" s="20" t="s">
        <v>79</v>
      </c>
      <c r="C27" s="24" t="n">
        <v>0.7</v>
      </c>
      <c r="D27" s="6"/>
      <c r="E27" s="22" t="s">
        <v>80</v>
      </c>
      <c r="F27" s="6"/>
      <c r="G27" s="6"/>
      <c r="H27" s="6"/>
    </row>
    <row r="28" customFormat="false" ht="15" hidden="false" customHeight="false" outlineLevel="0" collapsed="false">
      <c r="B28" s="20" t="s">
        <v>81</v>
      </c>
      <c r="C28" s="24" t="n">
        <v>0.0025</v>
      </c>
      <c r="D28" s="6"/>
      <c r="E28" s="22" t="s">
        <v>82</v>
      </c>
      <c r="F28" s="6"/>
      <c r="G28" s="6"/>
      <c r="H28" s="6"/>
    </row>
    <row r="29" customFormat="false" ht="15" hidden="false" customHeight="false" outlineLevel="0" collapsed="false">
      <c r="B29" s="20" t="s">
        <v>83</v>
      </c>
      <c r="C29" s="24" t="n">
        <v>0.05</v>
      </c>
      <c r="D29" s="6"/>
      <c r="E29" s="22" t="s">
        <v>84</v>
      </c>
      <c r="F29" s="6"/>
      <c r="G29" s="6"/>
      <c r="H29" s="6"/>
    </row>
    <row r="30" customFormat="false" ht="15" hidden="false" customHeight="false" outlineLevel="0" collapsed="false">
      <c r="B30" s="20" t="s">
        <v>85</v>
      </c>
      <c r="C30" s="24" t="n">
        <v>0.08</v>
      </c>
      <c r="D30" s="6"/>
      <c r="E30" s="22" t="s">
        <v>86</v>
      </c>
      <c r="F30" s="6"/>
      <c r="G30" s="6"/>
      <c r="H30" s="6"/>
    </row>
    <row r="31" customFormat="false" ht="15" hidden="false" customHeight="false" outlineLevel="0" collapsed="false">
      <c r="B31" s="6"/>
      <c r="C31" s="6"/>
      <c r="D31" s="6"/>
      <c r="E31" s="6"/>
      <c r="F31" s="6"/>
      <c r="G31" s="6"/>
      <c r="H31" s="6"/>
    </row>
    <row r="32" customFormat="false" ht="15" hidden="false" customHeight="false" outlineLevel="0" collapsed="false">
      <c r="B32" s="18" t="s">
        <v>87</v>
      </c>
      <c r="C32" s="19"/>
      <c r="D32" s="19"/>
      <c r="E32" s="19"/>
      <c r="F32" s="19"/>
      <c r="G32" s="19"/>
      <c r="H32" s="19"/>
    </row>
    <row r="33" customFormat="false" ht="15" hidden="false" customHeight="false" outlineLevel="0" collapsed="false">
      <c r="B33" s="20" t="s">
        <v>88</v>
      </c>
      <c r="C33" s="21" t="n">
        <v>150</v>
      </c>
      <c r="D33" s="22" t="s">
        <v>47</v>
      </c>
      <c r="E33" s="22" t="s">
        <v>89</v>
      </c>
      <c r="F33" s="6"/>
      <c r="G33" s="6"/>
      <c r="H33" s="6"/>
    </row>
    <row r="34" customFormat="false" ht="15" hidden="false" customHeight="false" outlineLevel="0" collapsed="false">
      <c r="B34" s="20" t="s">
        <v>90</v>
      </c>
      <c r="C34" s="25" t="n">
        <f aca="false">CHOOSE(Scenario_Idx,F34,G34,H34)</f>
        <v>0.04</v>
      </c>
      <c r="D34" s="6"/>
      <c r="E34" s="6"/>
      <c r="F34" s="24" t="n">
        <v>0.04</v>
      </c>
      <c r="G34" s="24" t="n">
        <v>0.09</v>
      </c>
      <c r="H34" s="24" t="n">
        <v>0</v>
      </c>
    </row>
    <row r="35" customFormat="false" ht="15" hidden="false" customHeight="false" outlineLevel="0" collapsed="false">
      <c r="B35" s="20" t="s">
        <v>91</v>
      </c>
      <c r="C35" s="25" t="n">
        <f aca="false">CHOOSE(Scenario_Idx,F35,G35,H35)</f>
        <v>0.04</v>
      </c>
      <c r="D35" s="6"/>
      <c r="E35" s="6"/>
      <c r="F35" s="24" t="n">
        <v>0.04</v>
      </c>
      <c r="G35" s="24" t="n">
        <v>0.08</v>
      </c>
      <c r="H35" s="24" t="n">
        <v>0</v>
      </c>
    </row>
    <row r="36" customFormat="false" ht="15" hidden="false" customHeight="false" outlineLevel="0" collapsed="false">
      <c r="B36" s="20" t="s">
        <v>92</v>
      </c>
      <c r="C36" s="25" t="n">
        <f aca="false">CHOOSE(Scenario_Idx,F36,G36,H36)</f>
        <v>0.03</v>
      </c>
      <c r="D36" s="6"/>
      <c r="E36" s="6"/>
      <c r="F36" s="24" t="n">
        <v>0.03</v>
      </c>
      <c r="G36" s="24" t="n">
        <v>0.07</v>
      </c>
      <c r="H36" s="24" t="n">
        <v>0</v>
      </c>
    </row>
    <row r="37" customFormat="false" ht="15" hidden="false" customHeight="false" outlineLevel="0" collapsed="false">
      <c r="B37" s="20" t="s">
        <v>93</v>
      </c>
      <c r="C37" s="25" t="n">
        <f aca="false">CHOOSE(Scenario_Idx,F37,G37,H37)</f>
        <v>0.03</v>
      </c>
      <c r="D37" s="6"/>
      <c r="E37" s="6"/>
      <c r="F37" s="24" t="n">
        <v>0.03</v>
      </c>
      <c r="G37" s="24" t="n">
        <v>0.06</v>
      </c>
      <c r="H37" s="24" t="n">
        <v>0</v>
      </c>
    </row>
    <row r="38" customFormat="false" ht="15" hidden="false" customHeight="false" outlineLevel="0" collapsed="false">
      <c r="B38" s="20" t="s">
        <v>94</v>
      </c>
      <c r="C38" s="25" t="n">
        <f aca="false">CHOOSE(Scenario_Idx,F38,G38,H38)</f>
        <v>0.03</v>
      </c>
      <c r="D38" s="6"/>
      <c r="E38" s="6"/>
      <c r="F38" s="24" t="n">
        <v>0.03</v>
      </c>
      <c r="G38" s="24" t="n">
        <v>0.05</v>
      </c>
      <c r="H38" s="24" t="n">
        <v>-0.01</v>
      </c>
    </row>
    <row r="39" customFormat="false" ht="15" hidden="false" customHeight="false" outlineLevel="0" collapsed="false">
      <c r="B39" s="6"/>
      <c r="C39" s="6"/>
      <c r="D39" s="6"/>
      <c r="E39" s="6"/>
      <c r="F39" s="6"/>
      <c r="G39" s="6"/>
      <c r="H39" s="6"/>
    </row>
    <row r="40" customFormat="false" ht="15" hidden="false" customHeight="false" outlineLevel="0" collapsed="false">
      <c r="B40" s="20" t="s">
        <v>95</v>
      </c>
      <c r="C40" s="21" t="n">
        <v>70</v>
      </c>
      <c r="D40" s="22" t="s">
        <v>47</v>
      </c>
      <c r="E40" s="22" t="s">
        <v>96</v>
      </c>
      <c r="F40" s="6"/>
      <c r="G40" s="6"/>
      <c r="H40" s="6"/>
    </row>
    <row r="41" customFormat="false" ht="15" hidden="false" customHeight="false" outlineLevel="0" collapsed="false">
      <c r="B41" s="20" t="s">
        <v>97</v>
      </c>
      <c r="C41" s="25" t="n">
        <f aca="false">CHOOSE(Scenario_Idx,F41,G41,H41)</f>
        <v>0.05</v>
      </c>
      <c r="D41" s="6"/>
      <c r="E41" s="6"/>
      <c r="F41" s="24" t="n">
        <v>0.05</v>
      </c>
      <c r="G41" s="24" t="n">
        <v>0.1</v>
      </c>
      <c r="H41" s="24" t="n">
        <v>0.01</v>
      </c>
    </row>
    <row r="42" customFormat="false" ht="15" hidden="false" customHeight="false" outlineLevel="0" collapsed="false">
      <c r="B42" s="20" t="s">
        <v>98</v>
      </c>
      <c r="C42" s="25" t="n">
        <f aca="false">CHOOSE(Scenario_Idx,F42,G42,H42)</f>
        <v>0.05</v>
      </c>
      <c r="D42" s="6"/>
      <c r="E42" s="6"/>
      <c r="F42" s="24" t="n">
        <v>0.05</v>
      </c>
      <c r="G42" s="24" t="n">
        <v>0.09</v>
      </c>
      <c r="H42" s="24" t="n">
        <v>0.01</v>
      </c>
    </row>
    <row r="43" customFormat="false" ht="15" hidden="false" customHeight="false" outlineLevel="0" collapsed="false">
      <c r="B43" s="20" t="s">
        <v>99</v>
      </c>
      <c r="C43" s="25" t="n">
        <f aca="false">CHOOSE(Scenario_Idx,F43,G43,H43)</f>
        <v>0.04</v>
      </c>
      <c r="D43" s="6"/>
      <c r="E43" s="6"/>
      <c r="F43" s="24" t="n">
        <v>0.04</v>
      </c>
      <c r="G43" s="24" t="n">
        <v>0.08</v>
      </c>
      <c r="H43" s="24" t="n">
        <v>0</v>
      </c>
    </row>
    <row r="44" customFormat="false" ht="15" hidden="false" customHeight="false" outlineLevel="0" collapsed="false">
      <c r="B44" s="20" t="s">
        <v>100</v>
      </c>
      <c r="C44" s="25" t="n">
        <f aca="false">CHOOSE(Scenario_Idx,F44,G44,H44)</f>
        <v>0.04</v>
      </c>
      <c r="D44" s="6"/>
      <c r="E44" s="6"/>
      <c r="F44" s="24" t="n">
        <v>0.04</v>
      </c>
      <c r="G44" s="24" t="n">
        <v>0.07</v>
      </c>
      <c r="H44" s="24" t="n">
        <v>0</v>
      </c>
    </row>
    <row r="45" customFormat="false" ht="15" hidden="false" customHeight="false" outlineLevel="0" collapsed="false">
      <c r="B45" s="20" t="s">
        <v>101</v>
      </c>
      <c r="C45" s="25" t="n">
        <f aca="false">CHOOSE(Scenario_Idx,F45,G45,H45)</f>
        <v>0.03</v>
      </c>
      <c r="D45" s="6"/>
      <c r="E45" s="6"/>
      <c r="F45" s="24" t="n">
        <v>0.03</v>
      </c>
      <c r="G45" s="24" t="n">
        <v>0.06</v>
      </c>
      <c r="H45" s="24" t="n">
        <v>0</v>
      </c>
    </row>
    <row r="46" customFormat="false" ht="15" hidden="false" customHeight="false" outlineLevel="0" collapsed="false">
      <c r="B46" s="6"/>
      <c r="C46" s="6"/>
      <c r="D46" s="6"/>
      <c r="E46" s="6"/>
      <c r="F46" s="6"/>
      <c r="G46" s="6"/>
      <c r="H46" s="6"/>
    </row>
    <row r="47" customFormat="false" ht="15" hidden="false" customHeight="false" outlineLevel="0" collapsed="false">
      <c r="B47" s="20" t="s">
        <v>102</v>
      </c>
      <c r="C47" s="21" t="n">
        <v>30</v>
      </c>
      <c r="D47" s="22" t="s">
        <v>47</v>
      </c>
      <c r="E47" s="22" t="s">
        <v>96</v>
      </c>
      <c r="F47" s="6"/>
      <c r="G47" s="6"/>
      <c r="H47" s="6"/>
    </row>
    <row r="48" customFormat="false" ht="15" hidden="false" customHeight="false" outlineLevel="0" collapsed="false">
      <c r="B48" s="20" t="s">
        <v>103</v>
      </c>
      <c r="C48" s="25" t="n">
        <f aca="false">CHOOSE(Scenario_Idx,F48,G48,H48)</f>
        <v>0.15</v>
      </c>
      <c r="D48" s="6"/>
      <c r="E48" s="6"/>
      <c r="F48" s="24" t="n">
        <v>0.15</v>
      </c>
      <c r="G48" s="24" t="n">
        <v>0.22</v>
      </c>
      <c r="H48" s="24" t="n">
        <v>0.07</v>
      </c>
    </row>
    <row r="49" customFormat="false" ht="15" hidden="false" customHeight="false" outlineLevel="0" collapsed="false">
      <c r="B49" s="20" t="s">
        <v>104</v>
      </c>
      <c r="C49" s="25" t="n">
        <f aca="false">CHOOSE(Scenario_Idx,F49,G49,H49)</f>
        <v>0.13</v>
      </c>
      <c r="D49" s="6"/>
      <c r="E49" s="6"/>
      <c r="F49" s="24" t="n">
        <v>0.13</v>
      </c>
      <c r="G49" s="24" t="n">
        <v>0.2</v>
      </c>
      <c r="H49" s="24" t="n">
        <v>0.05</v>
      </c>
    </row>
    <row r="50" customFormat="false" ht="15" hidden="false" customHeight="false" outlineLevel="0" collapsed="false">
      <c r="B50" s="20" t="s">
        <v>105</v>
      </c>
      <c r="C50" s="25" t="n">
        <f aca="false">CHOOSE(Scenario_Idx,F50,G50,H50)</f>
        <v>0.11</v>
      </c>
      <c r="D50" s="6"/>
      <c r="E50" s="6"/>
      <c r="F50" s="24" t="n">
        <v>0.11</v>
      </c>
      <c r="G50" s="24" t="n">
        <v>0.18</v>
      </c>
      <c r="H50" s="24" t="n">
        <v>0.04</v>
      </c>
    </row>
    <row r="51" customFormat="false" ht="15" hidden="false" customHeight="false" outlineLevel="0" collapsed="false">
      <c r="B51" s="20" t="s">
        <v>106</v>
      </c>
      <c r="C51" s="25" t="n">
        <f aca="false">CHOOSE(Scenario_Idx,F51,G51,H51)</f>
        <v>0.09</v>
      </c>
      <c r="D51" s="6"/>
      <c r="E51" s="6"/>
      <c r="F51" s="24" t="n">
        <v>0.09</v>
      </c>
      <c r="G51" s="24" t="n">
        <v>0.15</v>
      </c>
      <c r="H51" s="24" t="n">
        <v>0.03</v>
      </c>
    </row>
    <row r="52" customFormat="false" ht="15" hidden="false" customHeight="false" outlineLevel="0" collapsed="false">
      <c r="B52" s="20" t="s">
        <v>107</v>
      </c>
      <c r="C52" s="25" t="n">
        <f aca="false">CHOOSE(Scenario_Idx,F52,G52,H52)</f>
        <v>0.08</v>
      </c>
      <c r="D52" s="6"/>
      <c r="E52" s="6"/>
      <c r="F52" s="24" t="n">
        <v>0.08</v>
      </c>
      <c r="G52" s="24" t="n">
        <v>0.13</v>
      </c>
      <c r="H52" s="24" t="n">
        <v>0.02</v>
      </c>
    </row>
    <row r="53" customFormat="false" ht="15" hidden="false" customHeight="false" outlineLevel="0" collapsed="false">
      <c r="B53" s="6"/>
      <c r="C53" s="6"/>
      <c r="D53" s="6"/>
      <c r="E53" s="6"/>
      <c r="F53" s="6"/>
      <c r="G53" s="6"/>
      <c r="H53" s="6"/>
    </row>
    <row r="54" customFormat="false" ht="15" hidden="false" customHeight="false" outlineLevel="0" collapsed="false">
      <c r="B54" s="18" t="s">
        <v>108</v>
      </c>
      <c r="C54" s="19"/>
      <c r="D54" s="19"/>
      <c r="E54" s="19"/>
      <c r="F54" s="19"/>
      <c r="G54" s="19"/>
      <c r="H54" s="19"/>
    </row>
    <row r="55" customFormat="false" ht="15" hidden="false" customHeight="false" outlineLevel="0" collapsed="false">
      <c r="B55" s="20" t="s">
        <v>109</v>
      </c>
      <c r="C55" s="24" t="n">
        <v>0.55</v>
      </c>
      <c r="D55" s="6"/>
      <c r="E55" s="22" t="s">
        <v>110</v>
      </c>
      <c r="F55" s="6"/>
      <c r="G55" s="6"/>
      <c r="H55" s="6"/>
    </row>
    <row r="56" customFormat="false" ht="15" hidden="false" customHeight="false" outlineLevel="0" collapsed="false">
      <c r="B56" s="20" t="s">
        <v>111</v>
      </c>
      <c r="C56" s="24" t="n">
        <v>0.6</v>
      </c>
      <c r="D56" s="6"/>
      <c r="E56" s="22" t="s">
        <v>110</v>
      </c>
      <c r="F56" s="6"/>
      <c r="G56" s="6"/>
      <c r="H56" s="6"/>
    </row>
    <row r="57" customFormat="false" ht="15" hidden="false" customHeight="false" outlineLevel="0" collapsed="false">
      <c r="B57" s="20" t="s">
        <v>112</v>
      </c>
      <c r="C57" s="24" t="n">
        <v>0.75</v>
      </c>
      <c r="D57" s="6"/>
      <c r="E57" s="22" t="s">
        <v>110</v>
      </c>
      <c r="F57" s="6"/>
      <c r="G57" s="6"/>
      <c r="H57" s="6"/>
    </row>
    <row r="58" customFormat="false" ht="15" hidden="false" customHeight="false" outlineLevel="0" collapsed="false">
      <c r="B58" s="6"/>
      <c r="C58" s="6"/>
      <c r="D58" s="6"/>
      <c r="E58" s="6"/>
      <c r="F58" s="6"/>
      <c r="G58" s="6"/>
      <c r="H58" s="6"/>
    </row>
    <row r="59" customFormat="false" ht="15" hidden="false" customHeight="false" outlineLevel="0" collapsed="false">
      <c r="B59" s="20" t="s">
        <v>113</v>
      </c>
      <c r="C59" s="25" t="n">
        <f aca="false">CHOOSE(Scenario_Idx,F59,G59,H59)</f>
        <v>0.45</v>
      </c>
      <c r="D59" s="6"/>
      <c r="E59" s="6"/>
      <c r="F59" s="24" t="n">
        <v>0.45</v>
      </c>
      <c r="G59" s="24" t="n">
        <v>0.43</v>
      </c>
      <c r="H59" s="24" t="n">
        <v>0.47</v>
      </c>
    </row>
    <row r="60" customFormat="false" ht="15" hidden="false" customHeight="false" outlineLevel="0" collapsed="false">
      <c r="B60" s="20" t="s">
        <v>114</v>
      </c>
      <c r="C60" s="25" t="n">
        <f aca="false">CHOOSE(Scenario_Idx,F60,G60,H60)</f>
        <v>0.445</v>
      </c>
      <c r="D60" s="6"/>
      <c r="E60" s="6"/>
      <c r="F60" s="24" t="n">
        <v>0.445</v>
      </c>
      <c r="G60" s="24" t="n">
        <v>0.425</v>
      </c>
      <c r="H60" s="24" t="n">
        <v>0.465</v>
      </c>
    </row>
    <row r="61" customFormat="false" ht="15" hidden="false" customHeight="false" outlineLevel="0" collapsed="false">
      <c r="B61" s="20" t="s">
        <v>115</v>
      </c>
      <c r="C61" s="25" t="n">
        <f aca="false">CHOOSE(Scenario_Idx,F61,G61,H61)</f>
        <v>0.44</v>
      </c>
      <c r="D61" s="6"/>
      <c r="E61" s="6"/>
      <c r="F61" s="24" t="n">
        <v>0.44</v>
      </c>
      <c r="G61" s="24" t="n">
        <v>0.42</v>
      </c>
      <c r="H61" s="24" t="n">
        <v>0.46</v>
      </c>
    </row>
    <row r="62" customFormat="false" ht="15" hidden="false" customHeight="false" outlineLevel="0" collapsed="false">
      <c r="B62" s="20" t="s">
        <v>116</v>
      </c>
      <c r="C62" s="25" t="n">
        <f aca="false">CHOOSE(Scenario_Idx,F62,G62,H62)</f>
        <v>0.435</v>
      </c>
      <c r="D62" s="6"/>
      <c r="E62" s="6"/>
      <c r="F62" s="24" t="n">
        <v>0.435</v>
      </c>
      <c r="G62" s="24" t="n">
        <v>0.415</v>
      </c>
      <c r="H62" s="24" t="n">
        <v>0.46</v>
      </c>
    </row>
    <row r="63" customFormat="false" ht="15" hidden="false" customHeight="false" outlineLevel="0" collapsed="false">
      <c r="B63" s="20" t="s">
        <v>117</v>
      </c>
      <c r="C63" s="25" t="n">
        <f aca="false">CHOOSE(Scenario_Idx,F63,G63,H63)</f>
        <v>0.43</v>
      </c>
      <c r="D63" s="6"/>
      <c r="E63" s="6"/>
      <c r="F63" s="24" t="n">
        <v>0.43</v>
      </c>
      <c r="G63" s="24" t="n">
        <v>0.41</v>
      </c>
      <c r="H63" s="24" t="n">
        <v>0.46</v>
      </c>
    </row>
    <row r="64" customFormat="false" ht="15" hidden="false" customHeight="false" outlineLevel="0" collapsed="false">
      <c r="B64" s="6"/>
      <c r="C64" s="6"/>
      <c r="D64" s="6"/>
      <c r="E64" s="6"/>
      <c r="F64" s="6"/>
      <c r="G64" s="6"/>
      <c r="H64" s="6"/>
    </row>
    <row r="65" customFormat="false" ht="15" hidden="false" customHeight="false" outlineLevel="0" collapsed="false">
      <c r="B65" s="20" t="s">
        <v>118</v>
      </c>
      <c r="C65" s="24" t="n">
        <v>0.12</v>
      </c>
      <c r="D65" s="6"/>
      <c r="E65" s="22" t="s">
        <v>119</v>
      </c>
      <c r="F65" s="6"/>
      <c r="G65" s="6"/>
      <c r="H65" s="6"/>
    </row>
    <row r="66" customFormat="false" ht="15" hidden="false" customHeight="false" outlineLevel="0" collapsed="false">
      <c r="B66" s="20" t="s">
        <v>120</v>
      </c>
      <c r="C66" s="24" t="n">
        <v>0.06</v>
      </c>
      <c r="D66" s="6"/>
      <c r="E66" s="22" t="s">
        <v>121</v>
      </c>
      <c r="F66" s="6"/>
      <c r="G66" s="6"/>
      <c r="H66" s="6"/>
    </row>
    <row r="67" customFormat="false" ht="15" hidden="false" customHeight="false" outlineLevel="0" collapsed="false">
      <c r="B67" s="20" t="s">
        <v>122</v>
      </c>
      <c r="C67" s="24" t="n">
        <v>0.04</v>
      </c>
      <c r="D67" s="6"/>
      <c r="E67" s="22" t="s">
        <v>123</v>
      </c>
      <c r="F67" s="6"/>
      <c r="G67" s="6"/>
      <c r="H67" s="6"/>
    </row>
    <row r="68" customFormat="false" ht="15" hidden="false" customHeight="false" outlineLevel="0" collapsed="false">
      <c r="B68" s="20" t="s">
        <v>124</v>
      </c>
      <c r="C68" s="21" t="n">
        <v>4</v>
      </c>
      <c r="D68" s="22" t="s">
        <v>47</v>
      </c>
      <c r="E68" s="22" t="s">
        <v>125</v>
      </c>
      <c r="F68" s="6"/>
      <c r="G68" s="6"/>
      <c r="H68" s="6"/>
    </row>
    <row r="69" customFormat="false" ht="15" hidden="false" customHeight="false" outlineLevel="0" collapsed="false">
      <c r="B69" s="20" t="s">
        <v>126</v>
      </c>
      <c r="C69" s="24" t="n">
        <v>0.025</v>
      </c>
      <c r="D69" s="6"/>
      <c r="E69" s="22" t="s">
        <v>127</v>
      </c>
      <c r="F69" s="6"/>
      <c r="G69" s="6"/>
      <c r="H69" s="6"/>
    </row>
    <row r="70" customFormat="false" ht="15" hidden="false" customHeight="false" outlineLevel="0" collapsed="false">
      <c r="B70" s="6"/>
      <c r="C70" s="6"/>
      <c r="D70" s="6"/>
      <c r="E70" s="6"/>
      <c r="F70" s="6"/>
      <c r="G70" s="6"/>
      <c r="H70" s="6"/>
    </row>
    <row r="71" customFormat="false" ht="15" hidden="false" customHeight="false" outlineLevel="0" collapsed="false">
      <c r="B71" s="20" t="s">
        <v>128</v>
      </c>
      <c r="C71" s="25" t="n">
        <f aca="false">CHOOSE(Scenario_Idx,F71,G71,H71)</f>
        <v>0.22</v>
      </c>
      <c r="D71" s="6"/>
      <c r="E71" s="6"/>
      <c r="F71" s="24" t="n">
        <v>0.22</v>
      </c>
      <c r="G71" s="24" t="n">
        <v>0.21</v>
      </c>
      <c r="H71" s="24" t="n">
        <v>0.23</v>
      </c>
    </row>
    <row r="72" customFormat="false" ht="15" hidden="false" customHeight="false" outlineLevel="0" collapsed="false">
      <c r="B72" s="20" t="s">
        <v>129</v>
      </c>
      <c r="C72" s="25" t="n">
        <f aca="false">CHOOSE(Scenario_Idx,F72,G72,H72)</f>
        <v>0.215</v>
      </c>
      <c r="D72" s="6"/>
      <c r="E72" s="6"/>
      <c r="F72" s="24" t="n">
        <v>0.215</v>
      </c>
      <c r="G72" s="24" t="n">
        <v>0.205</v>
      </c>
      <c r="H72" s="24" t="n">
        <v>0.225</v>
      </c>
    </row>
    <row r="73" customFormat="false" ht="15" hidden="false" customHeight="false" outlineLevel="0" collapsed="false">
      <c r="B73" s="20" t="s">
        <v>130</v>
      </c>
      <c r="C73" s="25" t="n">
        <f aca="false">CHOOSE(Scenario_Idx,F73,G73,H73)</f>
        <v>0.21</v>
      </c>
      <c r="D73" s="6"/>
      <c r="E73" s="6"/>
      <c r="F73" s="24" t="n">
        <v>0.21</v>
      </c>
      <c r="G73" s="24" t="n">
        <v>0.2</v>
      </c>
      <c r="H73" s="24" t="n">
        <v>0.22</v>
      </c>
    </row>
    <row r="74" customFormat="false" ht="15" hidden="false" customHeight="false" outlineLevel="0" collapsed="false">
      <c r="B74" s="20" t="s">
        <v>131</v>
      </c>
      <c r="C74" s="25" t="n">
        <f aca="false">CHOOSE(Scenario_Idx,F74,G74,H74)</f>
        <v>0.205</v>
      </c>
      <c r="D74" s="6"/>
      <c r="E74" s="6"/>
      <c r="F74" s="24" t="n">
        <v>0.205</v>
      </c>
      <c r="G74" s="24" t="n">
        <v>0.195</v>
      </c>
      <c r="H74" s="24" t="n">
        <v>0.22</v>
      </c>
    </row>
    <row r="75" customFormat="false" ht="15" hidden="false" customHeight="false" outlineLevel="0" collapsed="false">
      <c r="B75" s="20" t="s">
        <v>132</v>
      </c>
      <c r="C75" s="25" t="n">
        <f aca="false">CHOOSE(Scenario_Idx,F75,G75,H75)</f>
        <v>0.2</v>
      </c>
      <c r="D75" s="6"/>
      <c r="E75" s="6"/>
      <c r="F75" s="24" t="n">
        <v>0.2</v>
      </c>
      <c r="G75" s="24" t="n">
        <v>0.19</v>
      </c>
      <c r="H75" s="24" t="n">
        <v>0.22</v>
      </c>
    </row>
    <row r="76" customFormat="false" ht="15" hidden="false" customHeight="false" outlineLevel="0" collapsed="false">
      <c r="B76" s="6"/>
      <c r="C76" s="6"/>
      <c r="D76" s="6"/>
      <c r="E76" s="6"/>
      <c r="F76" s="6"/>
      <c r="G76" s="6"/>
      <c r="H76" s="6"/>
    </row>
    <row r="77" customFormat="false" ht="15" hidden="false" customHeight="false" outlineLevel="0" collapsed="false">
      <c r="B77" s="18" t="s">
        <v>133</v>
      </c>
      <c r="C77" s="19"/>
      <c r="D77" s="19"/>
      <c r="E77" s="19"/>
      <c r="F77" s="19"/>
      <c r="G77" s="19"/>
      <c r="H77" s="19"/>
    </row>
    <row r="78" customFormat="false" ht="15" hidden="false" customHeight="false" outlineLevel="0" collapsed="false">
      <c r="B78" s="20" t="s">
        <v>134</v>
      </c>
      <c r="C78" s="24" t="n">
        <v>0.04</v>
      </c>
      <c r="D78" s="6"/>
      <c r="E78" s="22" t="s">
        <v>135</v>
      </c>
      <c r="F78" s="6"/>
      <c r="G78" s="6"/>
      <c r="H78" s="6"/>
    </row>
    <row r="79" customFormat="false" ht="15" hidden="false" customHeight="false" outlineLevel="0" collapsed="false">
      <c r="B79" s="20" t="s">
        <v>136</v>
      </c>
      <c r="C79" s="24" t="n">
        <v>0.25</v>
      </c>
      <c r="D79" s="6"/>
      <c r="E79" s="22" t="s">
        <v>137</v>
      </c>
      <c r="F79" s="6"/>
      <c r="G79" s="6"/>
      <c r="H79" s="6"/>
    </row>
    <row r="80" customFormat="false" ht="15" hidden="false" customHeight="false" outlineLevel="0" collapsed="false">
      <c r="B80" s="6"/>
      <c r="C80" s="6"/>
      <c r="D80" s="6"/>
      <c r="E80" s="6"/>
      <c r="F80" s="6"/>
      <c r="G80" s="6"/>
      <c r="H80" s="6"/>
    </row>
    <row r="81" customFormat="false" ht="15" hidden="false" customHeight="false" outlineLevel="0" collapsed="false">
      <c r="B81" s="18" t="s">
        <v>138</v>
      </c>
      <c r="C81" s="19"/>
      <c r="D81" s="19"/>
      <c r="E81" s="19"/>
      <c r="F81" s="19"/>
      <c r="G81" s="19"/>
      <c r="H81" s="19"/>
    </row>
    <row r="82" customFormat="false" ht="15" hidden="false" customHeight="false" outlineLevel="0" collapsed="false">
      <c r="B82" s="20" t="s">
        <v>139</v>
      </c>
      <c r="C82" s="24" t="n">
        <v>0.035</v>
      </c>
      <c r="D82" s="6"/>
      <c r="E82" s="22" t="s">
        <v>140</v>
      </c>
      <c r="F82" s="6"/>
      <c r="G82" s="6"/>
      <c r="H82" s="6"/>
    </row>
    <row r="83" customFormat="false" ht="15" hidden="false" customHeight="false" outlineLevel="0" collapsed="false">
      <c r="B83" s="20" t="s">
        <v>141</v>
      </c>
      <c r="C83" s="17" t="n">
        <v>45</v>
      </c>
      <c r="D83" s="22" t="s">
        <v>142</v>
      </c>
      <c r="E83" s="22" t="s">
        <v>143</v>
      </c>
      <c r="F83" s="6"/>
      <c r="G83" s="6"/>
      <c r="H83" s="6"/>
    </row>
    <row r="84" customFormat="false" ht="15" hidden="false" customHeight="false" outlineLevel="0" collapsed="false">
      <c r="B84" s="20" t="s">
        <v>144</v>
      </c>
      <c r="C84" s="17" t="n">
        <v>60</v>
      </c>
      <c r="D84" s="22" t="s">
        <v>142</v>
      </c>
      <c r="E84" s="22" t="s">
        <v>145</v>
      </c>
      <c r="F84" s="6"/>
      <c r="G84" s="6"/>
      <c r="H84" s="6"/>
    </row>
    <row r="85" customFormat="false" ht="15" hidden="false" customHeight="false" outlineLevel="0" collapsed="false">
      <c r="B85" s="20" t="s">
        <v>146</v>
      </c>
      <c r="C85" s="17" t="n">
        <v>40</v>
      </c>
      <c r="D85" s="22" t="s">
        <v>142</v>
      </c>
      <c r="E85" s="22" t="s">
        <v>147</v>
      </c>
      <c r="F85" s="6"/>
      <c r="G85" s="6"/>
      <c r="H85" s="6"/>
    </row>
    <row r="86" customFormat="false" ht="15" hidden="false" customHeight="false" outlineLevel="0" collapsed="false">
      <c r="B86" s="6"/>
      <c r="C86" s="6"/>
      <c r="D86" s="6"/>
      <c r="E86" s="6"/>
      <c r="F86" s="6"/>
      <c r="G86" s="6"/>
      <c r="H86" s="6"/>
    </row>
    <row r="87" customFormat="false" ht="15" hidden="false" customHeight="false" outlineLevel="0" collapsed="false">
      <c r="B87" s="18" t="s">
        <v>148</v>
      </c>
      <c r="C87" s="19"/>
      <c r="D87" s="19"/>
      <c r="E87" s="19"/>
      <c r="F87" s="19"/>
      <c r="G87" s="19"/>
      <c r="H87" s="19"/>
    </row>
    <row r="88" customFormat="false" ht="15" hidden="false" customHeight="false" outlineLevel="0" collapsed="false">
      <c r="B88" s="20" t="s">
        <v>149</v>
      </c>
      <c r="C88" s="17" t="n">
        <v>5</v>
      </c>
      <c r="D88" s="22" t="s">
        <v>150</v>
      </c>
      <c r="E88" s="22" t="s">
        <v>151</v>
      </c>
      <c r="F88" s="6"/>
      <c r="G88" s="6"/>
      <c r="H88" s="6"/>
    </row>
    <row r="89" customFormat="false" ht="15" hidden="false" customHeight="false" outlineLevel="0" collapsed="false">
      <c r="B89" s="20" t="s">
        <v>152</v>
      </c>
      <c r="C89" s="26" t="n">
        <f aca="false">CHOOSE(Scenario_Idx,F89,G89,H89)</f>
        <v>10.5</v>
      </c>
      <c r="D89" s="9" t="s">
        <v>50</v>
      </c>
      <c r="E89" s="9" t="s">
        <v>153</v>
      </c>
      <c r="F89" s="23" t="n">
        <v>10.5</v>
      </c>
      <c r="G89" s="23" t="n">
        <v>12</v>
      </c>
      <c r="H89" s="23" t="n">
        <v>9</v>
      </c>
    </row>
    <row r="90" customFormat="false" ht="15" hidden="false" customHeight="false" outlineLevel="0" collapsed="false">
      <c r="B90" s="6"/>
      <c r="C90" s="6"/>
      <c r="D90" s="6"/>
      <c r="E90" s="6"/>
      <c r="F90" s="6"/>
      <c r="G90" s="6"/>
      <c r="H90" s="6"/>
    </row>
    <row r="91" customFormat="false" ht="15" hidden="false" customHeight="false" outlineLevel="0" collapsed="false">
      <c r="B91" s="18" t="s">
        <v>154</v>
      </c>
      <c r="C91" s="19"/>
      <c r="D91" s="19"/>
      <c r="E91" s="19"/>
      <c r="F91" s="19"/>
      <c r="G91" s="19"/>
      <c r="H91" s="19"/>
    </row>
    <row r="92" customFormat="false" ht="15" hidden="false" customHeight="false" outlineLevel="0" collapsed="false">
      <c r="B92" s="20" t="s">
        <v>155</v>
      </c>
      <c r="C92" s="24" t="n">
        <v>0.2</v>
      </c>
      <c r="D92" s="6"/>
      <c r="E92" s="22" t="s">
        <v>156</v>
      </c>
      <c r="F92" s="6"/>
      <c r="G92" s="6"/>
      <c r="H92" s="6"/>
    </row>
    <row r="93" customFormat="false" ht="15" hidden="false" customHeight="false" outlineLevel="0" collapsed="false">
      <c r="B93" s="20" t="s">
        <v>157</v>
      </c>
      <c r="C93" s="23" t="n">
        <v>2.5</v>
      </c>
      <c r="D93" s="22" t="s">
        <v>50</v>
      </c>
      <c r="E93" s="22" t="s">
        <v>158</v>
      </c>
      <c r="F93" s="6"/>
      <c r="G93" s="6"/>
      <c r="H93" s="6"/>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AD2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4" min="3" style="0" width="16"/>
  </cols>
  <sheetData>
    <row r="1" customFormat="false" ht="15" hidden="false" customHeight="false" outlineLevel="0" collapsed="false">
      <c r="A1" s="1"/>
      <c r="B1" s="2"/>
      <c r="C1" s="2"/>
      <c r="D1" s="2"/>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3" t="s">
        <v>159</v>
      </c>
      <c r="C2" s="2"/>
      <c r="D2" s="2"/>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5" t="s">
        <v>160</v>
      </c>
      <c r="C3" s="2"/>
      <c r="D3" s="2"/>
      <c r="E3" s="1"/>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B4" s="27"/>
      <c r="C4" s="28" t="s">
        <v>161</v>
      </c>
      <c r="D4" s="28" t="s">
        <v>162</v>
      </c>
    </row>
    <row r="5" customFormat="false" ht="15" hidden="false" customHeight="false" outlineLevel="0" collapsed="false">
      <c r="B5" s="6"/>
      <c r="C5" s="6"/>
      <c r="D5" s="6"/>
    </row>
    <row r="6" customFormat="false" ht="15" hidden="false" customHeight="false" outlineLevel="0" collapsed="false">
      <c r="B6" s="29" t="s">
        <v>163</v>
      </c>
      <c r="C6" s="30"/>
      <c r="D6" s="30"/>
    </row>
    <row r="7" customFormat="false" ht="15" hidden="false" customHeight="false" outlineLevel="0" collapsed="false">
      <c r="B7" s="31" t="s">
        <v>164</v>
      </c>
      <c r="C7" s="32" t="n">
        <f aca="false">Entry_EBITDA*Senior_Leverage</f>
        <v>175</v>
      </c>
      <c r="D7" s="33" t="n">
        <f aca="false">IFERROR(C7/C14,0)</f>
        <v>0.336862367661213</v>
      </c>
    </row>
    <row r="8" customFormat="false" ht="15" hidden="false" customHeight="false" outlineLevel="0" collapsed="false">
      <c r="B8" s="31" t="s">
        <v>165</v>
      </c>
      <c r="C8" s="32" t="n">
        <f aca="false">Entry_EBITDA*Sub_Leverage</f>
        <v>50</v>
      </c>
      <c r="D8" s="33" t="n">
        <f aca="false">IFERROR(C8/C14,0)</f>
        <v>0.0962463907603465</v>
      </c>
    </row>
    <row r="9" customFormat="false" ht="15" hidden="false" customHeight="false" outlineLevel="0" collapsed="false">
      <c r="B9" s="34" t="s">
        <v>166</v>
      </c>
      <c r="C9" s="35" t="n">
        <f aca="false">C7+C8</f>
        <v>225</v>
      </c>
      <c r="D9" s="36" t="n">
        <f aca="false">IFERROR(C9/C14,0)</f>
        <v>0.433108758421559</v>
      </c>
    </row>
    <row r="10" customFormat="false" ht="15" hidden="false" customHeight="false" outlineLevel="0" collapsed="false">
      <c r="B10" s="6"/>
      <c r="C10" s="6"/>
      <c r="D10" s="6"/>
    </row>
    <row r="11" customFormat="false" ht="15" hidden="false" customHeight="false" outlineLevel="0" collapsed="false">
      <c r="B11" s="31" t="s">
        <v>167</v>
      </c>
      <c r="C11" s="32" t="n">
        <f aca="false">C13*Sponsor_Share</f>
        <v>206.15</v>
      </c>
      <c r="D11" s="33" t="n">
        <f aca="false">IFERROR(C11/C14,0)</f>
        <v>0.396823869104909</v>
      </c>
    </row>
    <row r="12" customFormat="false" ht="15" hidden="false" customHeight="false" outlineLevel="0" collapsed="false">
      <c r="B12" s="31" t="s">
        <v>168</v>
      </c>
      <c r="C12" s="32" t="n">
        <f aca="false">C13*(1-Sponsor_Share)</f>
        <v>88.35</v>
      </c>
      <c r="D12" s="33" t="n">
        <f aca="false">IFERROR(C12/C14,0)</f>
        <v>0.170067372473532</v>
      </c>
    </row>
    <row r="13" customFormat="false" ht="15" hidden="false" customHeight="false" outlineLevel="0" collapsed="false">
      <c r="B13" s="34" t="s">
        <v>169</v>
      </c>
      <c r="C13" s="35" t="n">
        <f aca="false">C21-C9</f>
        <v>294.5</v>
      </c>
      <c r="D13" s="36" t="n">
        <f aca="false">IFERROR(C13/C14,0)</f>
        <v>0.566891241578441</v>
      </c>
    </row>
    <row r="14" customFormat="false" ht="15" hidden="false" customHeight="false" outlineLevel="0" collapsed="false">
      <c r="B14" s="16" t="s">
        <v>170</v>
      </c>
      <c r="C14" s="37" t="n">
        <f aca="false">C9+C13</f>
        <v>519.5</v>
      </c>
      <c r="D14" s="6"/>
    </row>
    <row r="15" customFormat="false" ht="15" hidden="false" customHeight="false" outlineLevel="0" collapsed="false">
      <c r="B15" s="6"/>
      <c r="C15" s="6"/>
      <c r="D15" s="6"/>
    </row>
    <row r="16" customFormat="false" ht="15" hidden="false" customHeight="false" outlineLevel="0" collapsed="false">
      <c r="B16" s="29" t="s">
        <v>171</v>
      </c>
      <c r="C16" s="30"/>
      <c r="D16" s="30"/>
    </row>
    <row r="17" customFormat="false" ht="15" hidden="false" customHeight="false" outlineLevel="0" collapsed="false">
      <c r="B17" s="31" t="s">
        <v>172</v>
      </c>
      <c r="C17" s="32" t="n">
        <f aca="false">Entry_EBITDA*Entry_Multiple</f>
        <v>500</v>
      </c>
      <c r="D17" s="38" t="n">
        <f aca="false">IFERROR(C17/C21,0)</f>
        <v>0.962463907603465</v>
      </c>
    </row>
    <row r="18" customFormat="false" ht="15" hidden="false" customHeight="false" outlineLevel="0" collapsed="false">
      <c r="B18" s="31" t="s">
        <v>52</v>
      </c>
      <c r="C18" s="32" t="n">
        <f aca="false">C17*Transaction_Fees</f>
        <v>10</v>
      </c>
      <c r="D18" s="38" t="n">
        <f aca="false">IFERROR(C18/C21,0)</f>
        <v>0.0192492781520693</v>
      </c>
    </row>
    <row r="19" customFormat="false" ht="15" hidden="false" customHeight="false" outlineLevel="0" collapsed="false">
      <c r="B19" s="31" t="s">
        <v>173</v>
      </c>
      <c r="C19" s="32" t="n">
        <f aca="false">C9*Debt_Issuance_Cost</f>
        <v>4.5</v>
      </c>
      <c r="D19" s="38" t="n">
        <f aca="false">IFERROR(C19/C21,0)</f>
        <v>0.00866217516843118</v>
      </c>
    </row>
    <row r="20" customFormat="false" ht="15" hidden="false" customHeight="false" outlineLevel="0" collapsed="false">
      <c r="B20" s="31" t="s">
        <v>174</v>
      </c>
      <c r="C20" s="32" t="n">
        <f aca="false">Cash_To_BS</f>
        <v>5</v>
      </c>
      <c r="D20" s="38" t="n">
        <f aca="false">IFERROR(C20/C21,0)</f>
        <v>0.00962463907603465</v>
      </c>
    </row>
    <row r="21" customFormat="false" ht="15" hidden="false" customHeight="false" outlineLevel="0" collapsed="false">
      <c r="B21" s="16" t="s">
        <v>175</v>
      </c>
      <c r="C21" s="37" t="n">
        <f aca="false">C17+C18+C19+C20</f>
        <v>519.5</v>
      </c>
      <c r="D21" s="6"/>
    </row>
    <row r="22" customFormat="false" ht="15" hidden="false" customHeight="false" outlineLevel="0" collapsed="false">
      <c r="B22" s="6"/>
      <c r="C22" s="6"/>
      <c r="D22" s="6"/>
    </row>
    <row r="23" customFormat="false" ht="15" hidden="false" customHeight="false" outlineLevel="0" collapsed="false">
      <c r="B23" s="16" t="s">
        <v>176</v>
      </c>
      <c r="C23" s="39" t="n">
        <f aca="false">C14-C21</f>
        <v>0</v>
      </c>
      <c r="D23" s="6"/>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D4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7" min="3" style="0" width="14"/>
  </cols>
  <sheetData>
    <row r="1" customFormat="false" ht="15" hidden="false" customHeight="false" outlineLevel="0" collapsed="false">
      <c r="A1" s="1"/>
      <c r="B1" s="2"/>
      <c r="C1" s="2"/>
      <c r="D1" s="2"/>
      <c r="E1" s="2"/>
      <c r="F1" s="2"/>
      <c r="G1" s="2"/>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3" t="s">
        <v>177</v>
      </c>
      <c r="C2" s="2"/>
      <c r="D2" s="2"/>
      <c r="E2" s="2"/>
      <c r="F2" s="2"/>
      <c r="G2" s="2"/>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5" t="s">
        <v>178</v>
      </c>
      <c r="C3" s="2"/>
      <c r="D3" s="2"/>
      <c r="E3" s="2"/>
      <c r="F3" s="2"/>
      <c r="G3" s="2"/>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B4" s="27" t="s">
        <v>179</v>
      </c>
      <c r="C4" s="40" t="n">
        <f aca="false">COLUMN()-2</f>
        <v>1</v>
      </c>
      <c r="D4" s="40" t="n">
        <f aca="false">COLUMN()-2</f>
        <v>2</v>
      </c>
      <c r="E4" s="40" t="n">
        <f aca="false">COLUMN()-2</f>
        <v>3</v>
      </c>
      <c r="F4" s="40" t="n">
        <f aca="false">COLUMN()-2</f>
        <v>4</v>
      </c>
      <c r="G4" s="40" t="n">
        <f aca="false">COLUMN()-2</f>
        <v>5</v>
      </c>
    </row>
    <row r="5" customFormat="false" ht="15" hidden="false" customHeight="false" outlineLevel="0" collapsed="false">
      <c r="B5" s="6"/>
      <c r="C5" s="6"/>
      <c r="D5" s="6"/>
      <c r="E5" s="6"/>
      <c r="F5" s="6"/>
      <c r="G5" s="6"/>
    </row>
    <row r="6" customFormat="false" ht="15" hidden="false" customHeight="false" outlineLevel="0" collapsed="false">
      <c r="B6" s="7" t="s">
        <v>180</v>
      </c>
      <c r="C6" s="29"/>
      <c r="D6" s="29"/>
      <c r="E6" s="29"/>
      <c r="F6" s="29"/>
      <c r="G6" s="29"/>
    </row>
    <row r="7" customFormat="false" ht="15" hidden="false" customHeight="false" outlineLevel="0" collapsed="false">
      <c r="B7" s="41" t="s">
        <v>181</v>
      </c>
      <c r="C7" s="42" t="n">
        <f aca="false">Seg_A_Size*(1+Seg_A_G1)</f>
        <v>156</v>
      </c>
      <c r="D7" s="42" t="n">
        <f aca="false">C7*(1+Seg_A_G2)</f>
        <v>162.24</v>
      </c>
      <c r="E7" s="42" t="n">
        <f aca="false">D7*(1+Seg_A_G3)</f>
        <v>167.1072</v>
      </c>
      <c r="F7" s="42" t="n">
        <f aca="false">E7*(1+Seg_A_G4)</f>
        <v>172.120416</v>
      </c>
      <c r="G7" s="42" t="n">
        <f aca="false">F7*(1+Seg_A_G5)</f>
        <v>177.28402848</v>
      </c>
    </row>
    <row r="8" customFormat="false" ht="15" hidden="false" customHeight="false" outlineLevel="0" collapsed="false">
      <c r="B8" s="41" t="s">
        <v>182</v>
      </c>
      <c r="C8" s="42" t="n">
        <f aca="false">Seg_B_Size*(1+Seg_B_G1)</f>
        <v>73.5</v>
      </c>
      <c r="D8" s="42" t="n">
        <f aca="false">C8*(1+Seg_B_G2)</f>
        <v>77.175</v>
      </c>
      <c r="E8" s="42" t="n">
        <f aca="false">D8*(1+Seg_B_G3)</f>
        <v>80.262</v>
      </c>
      <c r="F8" s="42" t="n">
        <f aca="false">E8*(1+Seg_B_G4)</f>
        <v>83.47248</v>
      </c>
      <c r="G8" s="42" t="n">
        <f aca="false">F8*(1+Seg_B_G5)</f>
        <v>85.9766544</v>
      </c>
    </row>
    <row r="9" customFormat="false" ht="15" hidden="false" customHeight="false" outlineLevel="0" collapsed="false">
      <c r="B9" s="41" t="s">
        <v>183</v>
      </c>
      <c r="C9" s="42" t="n">
        <f aca="false">Seg_C_Size*(1+Seg_C_G1)</f>
        <v>34.5</v>
      </c>
      <c r="D9" s="42" t="n">
        <f aca="false">C9*(1+Seg_C_G2)</f>
        <v>38.985</v>
      </c>
      <c r="E9" s="42" t="n">
        <f aca="false">D9*(1+Seg_C_G3)</f>
        <v>43.27335</v>
      </c>
      <c r="F9" s="42" t="n">
        <f aca="false">E9*(1+Seg_C_G4)</f>
        <v>47.1679515</v>
      </c>
      <c r="G9" s="42" t="n">
        <f aca="false">F9*(1+Seg_C_G5)</f>
        <v>50.94138762</v>
      </c>
    </row>
    <row r="10" customFormat="false" ht="15" hidden="false" customHeight="false" outlineLevel="0" collapsed="false">
      <c r="B10" s="43" t="s">
        <v>184</v>
      </c>
      <c r="C10" s="35" t="n">
        <f aca="false">C7+C8+C9</f>
        <v>264</v>
      </c>
      <c r="D10" s="35" t="n">
        <f aca="false">D7+D8+D9</f>
        <v>278.4</v>
      </c>
      <c r="E10" s="35" t="n">
        <f aca="false">E7+E8+E9</f>
        <v>290.64255</v>
      </c>
      <c r="F10" s="35" t="n">
        <f aca="false">F7+F8+F9</f>
        <v>302.7608475</v>
      </c>
      <c r="G10" s="35" t="n">
        <f aca="false">G7+G8+G9</f>
        <v>314.2020705</v>
      </c>
    </row>
    <row r="11" customFormat="false" ht="15" hidden="false" customHeight="false" outlineLevel="0" collapsed="false">
      <c r="B11" s="44" t="s">
        <v>185</v>
      </c>
      <c r="C11" s="45" t="n">
        <f aca="false">0</f>
        <v>0</v>
      </c>
      <c r="D11" s="45" t="n">
        <f aca="false">IFERROR(D10/C10-1,0)</f>
        <v>0.0545454545454547</v>
      </c>
      <c r="E11" s="45" t="n">
        <f aca="false">IFERROR(E10/D10-1,0)</f>
        <v>0.0439746767241378</v>
      </c>
      <c r="F11" s="45" t="n">
        <f aca="false">IFERROR(F10/E10-1,0)</f>
        <v>0.0416948499109988</v>
      </c>
      <c r="G11" s="45" t="n">
        <f aca="false">IFERROR(G10/F10-1,0)</f>
        <v>0.0377896385694323</v>
      </c>
    </row>
    <row r="12" customFormat="false" ht="15" hidden="false" customHeight="false" outlineLevel="0" collapsed="false">
      <c r="B12" s="6"/>
      <c r="C12" s="6"/>
      <c r="D12" s="6"/>
      <c r="E12" s="6"/>
      <c r="F12" s="6"/>
      <c r="G12" s="6"/>
    </row>
    <row r="13" customFormat="false" ht="15" hidden="false" customHeight="false" outlineLevel="0" collapsed="false">
      <c r="B13" s="7" t="s">
        <v>186</v>
      </c>
      <c r="C13" s="29"/>
      <c r="D13" s="29"/>
      <c r="E13" s="29"/>
      <c r="F13" s="29"/>
      <c r="G13" s="29"/>
    </row>
    <row r="14" customFormat="false" ht="15" hidden="false" customHeight="false" outlineLevel="0" collapsed="false">
      <c r="B14" s="41" t="s">
        <v>187</v>
      </c>
      <c r="C14" s="42" t="n">
        <f aca="false">C7*(1-Seg_A_GM)</f>
        <v>70.2</v>
      </c>
      <c r="D14" s="42" t="n">
        <f aca="false">D7*(1-Seg_A_GM)</f>
        <v>73.008</v>
      </c>
      <c r="E14" s="42" t="n">
        <f aca="false">E7*(1-Seg_A_GM)</f>
        <v>75.19824</v>
      </c>
      <c r="F14" s="42" t="n">
        <f aca="false">F7*(1-Seg_A_GM)</f>
        <v>77.4541872</v>
      </c>
      <c r="G14" s="42" t="n">
        <f aca="false">G7*(1-Seg_A_GM)</f>
        <v>79.777812816</v>
      </c>
    </row>
    <row r="15" customFormat="false" ht="15" hidden="false" customHeight="false" outlineLevel="0" collapsed="false">
      <c r="B15" s="41" t="s">
        <v>188</v>
      </c>
      <c r="C15" s="42" t="n">
        <f aca="false">C8*(1-Seg_B_GM)</f>
        <v>29.4</v>
      </c>
      <c r="D15" s="42" t="n">
        <f aca="false">D8*(1-Seg_B_GM)</f>
        <v>30.87</v>
      </c>
      <c r="E15" s="42" t="n">
        <f aca="false">E8*(1-Seg_B_GM)</f>
        <v>32.1048</v>
      </c>
      <c r="F15" s="42" t="n">
        <f aca="false">F8*(1-Seg_B_GM)</f>
        <v>33.388992</v>
      </c>
      <c r="G15" s="42" t="n">
        <f aca="false">G8*(1-Seg_B_GM)</f>
        <v>34.39066176</v>
      </c>
    </row>
    <row r="16" customFormat="false" ht="15" hidden="false" customHeight="false" outlineLevel="0" collapsed="false">
      <c r="B16" s="41" t="s">
        <v>189</v>
      </c>
      <c r="C16" s="42" t="n">
        <f aca="false">C9*(1-Seg_C_GM)</f>
        <v>8.625</v>
      </c>
      <c r="D16" s="42" t="n">
        <f aca="false">D9*(1-Seg_C_GM)</f>
        <v>9.74625</v>
      </c>
      <c r="E16" s="42" t="n">
        <f aca="false">E9*(1-Seg_C_GM)</f>
        <v>10.8183375</v>
      </c>
      <c r="F16" s="42" t="n">
        <f aca="false">F9*(1-Seg_C_GM)</f>
        <v>11.791987875</v>
      </c>
      <c r="G16" s="42" t="n">
        <f aca="false">G9*(1-Seg_C_GM)</f>
        <v>12.735346905</v>
      </c>
    </row>
    <row r="17" customFormat="false" ht="15" hidden="false" customHeight="false" outlineLevel="0" collapsed="false">
      <c r="B17" s="43" t="s">
        <v>190</v>
      </c>
      <c r="C17" s="35" t="n">
        <f aca="false">C10*COGS_Y1</f>
        <v>118.8</v>
      </c>
      <c r="D17" s="35" t="n">
        <f aca="false">D10*COGS_Y2</f>
        <v>123.888</v>
      </c>
      <c r="E17" s="35" t="n">
        <f aca="false">E10*COGS_Y3</f>
        <v>127.882722</v>
      </c>
      <c r="F17" s="35" t="n">
        <f aca="false">F10*COGS_Y4</f>
        <v>131.7009686625</v>
      </c>
      <c r="G17" s="35" t="n">
        <f aca="false">G10*COGS_Y5</f>
        <v>135.106890315</v>
      </c>
    </row>
    <row r="18" customFormat="false" ht="15" hidden="false" customHeight="false" outlineLevel="0" collapsed="false">
      <c r="B18" s="43" t="s">
        <v>191</v>
      </c>
      <c r="C18" s="35" t="n">
        <f aca="false">C10-C17</f>
        <v>145.2</v>
      </c>
      <c r="D18" s="35" t="n">
        <f aca="false">D10-D17</f>
        <v>154.512</v>
      </c>
      <c r="E18" s="35" t="n">
        <f aca="false">E10-E17</f>
        <v>162.759828</v>
      </c>
      <c r="F18" s="35" t="n">
        <f aca="false">F10-F17</f>
        <v>171.0598788375</v>
      </c>
      <c r="G18" s="35" t="n">
        <f aca="false">G10-G17</f>
        <v>179.095180185</v>
      </c>
    </row>
    <row r="19" customFormat="false" ht="15" hidden="false" customHeight="false" outlineLevel="0" collapsed="false">
      <c r="B19" s="44" t="s">
        <v>192</v>
      </c>
      <c r="C19" s="45" t="n">
        <f aca="false">IFERROR(C18/C10,0)</f>
        <v>0.55</v>
      </c>
      <c r="D19" s="45" t="n">
        <f aca="false">IFERROR(D18/D10,0)</f>
        <v>0.555</v>
      </c>
      <c r="E19" s="45" t="n">
        <f aca="false">IFERROR(E18/E10,0)</f>
        <v>0.56</v>
      </c>
      <c r="F19" s="45" t="n">
        <f aca="false">IFERROR(F18/F10,0)</f>
        <v>0.565</v>
      </c>
      <c r="G19" s="45" t="n">
        <f aca="false">IFERROR(G18/G10,0)</f>
        <v>0.57</v>
      </c>
    </row>
    <row r="20" customFormat="false" ht="15" hidden="false" customHeight="false" outlineLevel="0" collapsed="false">
      <c r="B20" s="6"/>
      <c r="C20" s="6"/>
      <c r="D20" s="6"/>
      <c r="E20" s="6"/>
      <c r="F20" s="6"/>
      <c r="G20" s="6"/>
    </row>
    <row r="21" customFormat="false" ht="15" hidden="false" customHeight="false" outlineLevel="0" collapsed="false">
      <c r="B21" s="7" t="s">
        <v>193</v>
      </c>
      <c r="C21" s="29"/>
      <c r="D21" s="29"/>
      <c r="E21" s="29"/>
      <c r="F21" s="29"/>
      <c r="G21" s="29"/>
    </row>
    <row r="22" customFormat="false" ht="15" hidden="false" customHeight="false" outlineLevel="0" collapsed="false">
      <c r="B22" s="41" t="s">
        <v>194</v>
      </c>
      <c r="C22" s="42" t="n">
        <f aca="false">C10*Opex_Sal_Pct</f>
        <v>31.68</v>
      </c>
      <c r="D22" s="42" t="n">
        <f aca="false">D10*Opex_Sal_Pct</f>
        <v>33.408</v>
      </c>
      <c r="E22" s="42" t="n">
        <f aca="false">E10*Opex_Sal_Pct</f>
        <v>34.877106</v>
      </c>
      <c r="F22" s="42" t="n">
        <f aca="false">F10*Opex_Sal_Pct</f>
        <v>36.3313017</v>
      </c>
      <c r="G22" s="42" t="n">
        <f aca="false">G10*Opex_Sal_Pct</f>
        <v>37.70424846</v>
      </c>
    </row>
    <row r="23" customFormat="false" ht="15" hidden="false" customHeight="false" outlineLevel="0" collapsed="false">
      <c r="B23" s="41" t="s">
        <v>195</v>
      </c>
      <c r="C23" s="42" t="n">
        <f aca="false">C10*Opex_SGA_Pct</f>
        <v>15.84</v>
      </c>
      <c r="D23" s="42" t="n">
        <f aca="false">D10*Opex_SGA_Pct</f>
        <v>16.704</v>
      </c>
      <c r="E23" s="42" t="n">
        <f aca="false">E10*Opex_SGA_Pct</f>
        <v>17.438553</v>
      </c>
      <c r="F23" s="42" t="n">
        <f aca="false">F10*Opex_SGA_Pct</f>
        <v>18.16565085</v>
      </c>
      <c r="G23" s="42" t="n">
        <f aca="false">G10*Opex_SGA_Pct</f>
        <v>18.85212423</v>
      </c>
    </row>
    <row r="24" customFormat="false" ht="15" hidden="false" customHeight="false" outlineLevel="0" collapsed="false">
      <c r="B24" s="41" t="s">
        <v>196</v>
      </c>
      <c r="C24" s="42" t="n">
        <f aca="false">C10*Opex_RD_Pct</f>
        <v>10.56</v>
      </c>
      <c r="D24" s="42" t="n">
        <f aca="false">D10*Opex_RD_Pct</f>
        <v>11.136</v>
      </c>
      <c r="E24" s="42" t="n">
        <f aca="false">E10*Opex_RD_Pct</f>
        <v>11.625702</v>
      </c>
      <c r="F24" s="42" t="n">
        <f aca="false">F10*Opex_RD_Pct</f>
        <v>12.1104339</v>
      </c>
      <c r="G24" s="42" t="n">
        <f aca="false">G10*Opex_RD_Pct</f>
        <v>12.56808282</v>
      </c>
    </row>
    <row r="25" customFormat="false" ht="15" hidden="false" customHeight="false" outlineLevel="0" collapsed="false">
      <c r="B25" s="41" t="s">
        <v>197</v>
      </c>
      <c r="C25" s="42" t="n">
        <f aca="false">Opex_Other*(1+Opex_Inflation)^1</f>
        <v>4.1</v>
      </c>
      <c r="D25" s="42" t="n">
        <f aca="false">Opex_Other*(1+Opex_Inflation)^2</f>
        <v>4.2025</v>
      </c>
      <c r="E25" s="42" t="n">
        <f aca="false">Opex_Other*(1+Opex_Inflation)^3</f>
        <v>4.3075625</v>
      </c>
      <c r="F25" s="42" t="n">
        <f aca="false">Opex_Other*(1+Opex_Inflation)^4</f>
        <v>4.4152515625</v>
      </c>
      <c r="G25" s="42" t="n">
        <f aca="false">Opex_Other*(1+Opex_Inflation)^5</f>
        <v>4.5256328515625</v>
      </c>
    </row>
    <row r="26" customFormat="false" ht="15" hidden="false" customHeight="false" outlineLevel="0" collapsed="false">
      <c r="B26" s="43" t="s">
        <v>198</v>
      </c>
      <c r="C26" s="35" t="n">
        <f aca="false">C10*OpEx_Y1</f>
        <v>58.08</v>
      </c>
      <c r="D26" s="35" t="n">
        <f aca="false">D10*OpEx_Y2</f>
        <v>59.856</v>
      </c>
      <c r="E26" s="35" t="n">
        <f aca="false">E10*OpEx_Y3</f>
        <v>61.0349355</v>
      </c>
      <c r="F26" s="35" t="n">
        <f aca="false">F10*OpEx_Y4</f>
        <v>62.0659737375</v>
      </c>
      <c r="G26" s="35" t="n">
        <f aca="false">G10*OpEx_Y5</f>
        <v>62.8404141</v>
      </c>
    </row>
    <row r="27" customFormat="false" ht="15" hidden="false" customHeight="false" outlineLevel="0" collapsed="false">
      <c r="B27" s="43" t="s">
        <v>199</v>
      </c>
      <c r="C27" s="35" t="n">
        <f aca="false">C18-C26</f>
        <v>87.12</v>
      </c>
      <c r="D27" s="35" t="n">
        <f aca="false">D18-D26</f>
        <v>94.656</v>
      </c>
      <c r="E27" s="35" t="n">
        <f aca="false">E18-E26</f>
        <v>101.7248925</v>
      </c>
      <c r="F27" s="35" t="n">
        <f aca="false">F18-F26</f>
        <v>108.9939051</v>
      </c>
      <c r="G27" s="35" t="n">
        <f aca="false">G18-G26</f>
        <v>116.254766085</v>
      </c>
    </row>
    <row r="28" customFormat="false" ht="15" hidden="false" customHeight="false" outlineLevel="0" collapsed="false">
      <c r="B28" s="44" t="s">
        <v>200</v>
      </c>
      <c r="C28" s="45" t="n">
        <f aca="false">IFERROR(C27/C10,0)</f>
        <v>0.33</v>
      </c>
      <c r="D28" s="45" t="n">
        <f aca="false">IFERROR(D27/D10,0)</f>
        <v>0.34</v>
      </c>
      <c r="E28" s="45" t="n">
        <f aca="false">IFERROR(E27/E10,0)</f>
        <v>0.35</v>
      </c>
      <c r="F28" s="45" t="n">
        <f aca="false">IFERROR(F27/F10,0)</f>
        <v>0.36</v>
      </c>
      <c r="G28" s="45" t="n">
        <f aca="false">IFERROR(G27/G10,0)</f>
        <v>0.37</v>
      </c>
    </row>
    <row r="29" customFormat="false" ht="15" hidden="false" customHeight="false" outlineLevel="0" collapsed="false">
      <c r="B29" s="6"/>
      <c r="C29" s="6"/>
      <c r="D29" s="6"/>
      <c r="E29" s="6"/>
      <c r="F29" s="6"/>
      <c r="G29" s="6"/>
    </row>
    <row r="30" customFormat="false" ht="15" hidden="false" customHeight="false" outlineLevel="0" collapsed="false">
      <c r="B30" s="7" t="s">
        <v>201</v>
      </c>
      <c r="C30" s="29"/>
      <c r="D30" s="29"/>
      <c r="E30" s="29"/>
      <c r="F30" s="29"/>
      <c r="G30" s="29"/>
    </row>
    <row r="31" customFormat="false" ht="15" hidden="false" customHeight="false" outlineLevel="0" collapsed="false">
      <c r="B31" s="41" t="s">
        <v>202</v>
      </c>
      <c r="C31" s="42" t="n">
        <f aca="false">C10*DA_Pct</f>
        <v>10.56</v>
      </c>
      <c r="D31" s="42" t="n">
        <f aca="false">D10*DA_Pct</f>
        <v>11.136</v>
      </c>
      <c r="E31" s="42" t="n">
        <f aca="false">E10*DA_Pct</f>
        <v>11.625702</v>
      </c>
      <c r="F31" s="42" t="n">
        <f aca="false">F10*DA_Pct</f>
        <v>12.1104339</v>
      </c>
      <c r="G31" s="42" t="n">
        <f aca="false">G10*DA_Pct</f>
        <v>12.56808282</v>
      </c>
    </row>
    <row r="32" customFormat="false" ht="15" hidden="false" customHeight="false" outlineLevel="0" collapsed="false">
      <c r="B32" s="43" t="s">
        <v>203</v>
      </c>
      <c r="C32" s="35" t="n">
        <f aca="false">C27-C31</f>
        <v>76.56</v>
      </c>
      <c r="D32" s="35" t="n">
        <f aca="false">D27-D31</f>
        <v>83.52</v>
      </c>
      <c r="E32" s="35" t="n">
        <f aca="false">E27-E31</f>
        <v>90.0991905</v>
      </c>
      <c r="F32" s="35" t="n">
        <f aca="false">F27-F31</f>
        <v>96.8834712</v>
      </c>
      <c r="G32" s="35" t="n">
        <f aca="false">G27-G31</f>
        <v>103.686683265</v>
      </c>
    </row>
    <row r="33" customFormat="false" ht="15" hidden="false" customHeight="false" outlineLevel="0" collapsed="false">
      <c r="B33" s="41" t="s">
        <v>204</v>
      </c>
      <c r="C33" s="42" t="n">
        <f aca="false">INDEX(DS_Total_Interest,1,1)</f>
        <v>15.875</v>
      </c>
      <c r="D33" s="42" t="n">
        <f aca="false">INDEX(DS_Total_Interest,1,2)</f>
        <v>15.77875</v>
      </c>
      <c r="E33" s="42" t="n">
        <f aca="false">INDEX(DS_Total_Interest,1,3)</f>
        <v>14.8002735017123</v>
      </c>
      <c r="F33" s="42" t="n">
        <f aca="false">INDEX(DS_Total_Interest,1,4)</f>
        <v>13.6291473600171</v>
      </c>
      <c r="G33" s="42" t="n">
        <f aca="false">INDEX(DS_Total_Interest,1,5)</f>
        <v>12.2318011941899</v>
      </c>
    </row>
    <row r="34" customFormat="false" ht="15" hidden="false" customHeight="false" outlineLevel="0" collapsed="false">
      <c r="B34" s="41" t="s">
        <v>205</v>
      </c>
      <c r="C34" s="42" t="n">
        <f aca="false">C32-C33</f>
        <v>60.685</v>
      </c>
      <c r="D34" s="42" t="n">
        <f aca="false">D32-D33</f>
        <v>67.74125</v>
      </c>
      <c r="E34" s="42" t="n">
        <f aca="false">E32-E33</f>
        <v>75.2989169982877</v>
      </c>
      <c r="F34" s="42" t="n">
        <f aca="false">F32-F33</f>
        <v>83.2543238399829</v>
      </c>
      <c r="G34" s="42" t="n">
        <f aca="false">G32-G33</f>
        <v>91.4548820708101</v>
      </c>
    </row>
    <row r="35" customFormat="false" ht="15" hidden="false" customHeight="false" outlineLevel="0" collapsed="false">
      <c r="B35" s="41" t="s">
        <v>206</v>
      </c>
      <c r="C35" s="42" t="n">
        <f aca="false">MAX(C34,0)*Tax_Rate</f>
        <v>15.17125</v>
      </c>
      <c r="D35" s="42" t="n">
        <f aca="false">MAX(D34,0)*Tax_Rate</f>
        <v>16.9353125</v>
      </c>
      <c r="E35" s="42" t="n">
        <f aca="false">MAX(E34,0)*Tax_Rate</f>
        <v>18.8247292495719</v>
      </c>
      <c r="F35" s="42" t="n">
        <f aca="false">MAX(F34,0)*Tax_Rate</f>
        <v>20.8135809599957</v>
      </c>
      <c r="G35" s="42" t="n">
        <f aca="false">MAX(G34,0)*Tax_Rate</f>
        <v>22.8637205177025</v>
      </c>
    </row>
    <row r="36" customFormat="false" ht="15" hidden="false" customHeight="false" outlineLevel="0" collapsed="false">
      <c r="B36" s="46" t="s">
        <v>207</v>
      </c>
      <c r="C36" s="37" t="n">
        <f aca="false">C34-C35</f>
        <v>45.51375</v>
      </c>
      <c r="D36" s="37" t="n">
        <f aca="false">D34-D35</f>
        <v>50.8059375</v>
      </c>
      <c r="E36" s="37" t="n">
        <f aca="false">E34-E35</f>
        <v>56.4741877487158</v>
      </c>
      <c r="F36" s="37" t="n">
        <f aca="false">F34-F35</f>
        <v>62.4407428799872</v>
      </c>
      <c r="G36" s="37" t="n">
        <f aca="false">G34-G35</f>
        <v>68.5911615531076</v>
      </c>
    </row>
    <row r="37" customFormat="false" ht="15" hidden="false" customHeight="false" outlineLevel="0" collapsed="false">
      <c r="B37" s="6"/>
      <c r="C37" s="6"/>
      <c r="D37" s="6"/>
      <c r="E37" s="6"/>
      <c r="F37" s="6"/>
      <c r="G37" s="6"/>
    </row>
    <row r="38" customFormat="false" ht="15" hidden="false" customHeight="false" outlineLevel="0" collapsed="false">
      <c r="B38" s="7" t="s">
        <v>208</v>
      </c>
      <c r="C38" s="29"/>
      <c r="D38" s="29"/>
      <c r="E38" s="29"/>
      <c r="F38" s="29"/>
      <c r="G38" s="29"/>
    </row>
    <row r="39" customFormat="false" ht="15" hidden="false" customHeight="false" outlineLevel="0" collapsed="false">
      <c r="B39" s="41" t="s">
        <v>209</v>
      </c>
      <c r="C39" s="42" t="n">
        <f aca="false">C10*DSO/365</f>
        <v>32.5479452054795</v>
      </c>
      <c r="D39" s="42" t="n">
        <f aca="false">D10*DSO/365</f>
        <v>34.3232876712329</v>
      </c>
      <c r="E39" s="42" t="n">
        <f aca="false">E10*DSO/365</f>
        <v>35.8326431506849</v>
      </c>
      <c r="F39" s="42" t="n">
        <f aca="false">F10*DSO/365</f>
        <v>37.3266798287671</v>
      </c>
      <c r="G39" s="42" t="n">
        <f aca="false">G10*DSO/365</f>
        <v>38.7372415684932</v>
      </c>
    </row>
    <row r="40" customFormat="false" ht="15" hidden="false" customHeight="false" outlineLevel="0" collapsed="false">
      <c r="B40" s="41" t="s">
        <v>210</v>
      </c>
      <c r="C40" s="42" t="n">
        <f aca="false">C17*DIO/365</f>
        <v>19.5287671232877</v>
      </c>
      <c r="D40" s="42" t="n">
        <f aca="false">D17*DIO/365</f>
        <v>20.3651506849315</v>
      </c>
      <c r="E40" s="42" t="n">
        <f aca="false">E17*DIO/365</f>
        <v>21.0218173150685</v>
      </c>
      <c r="F40" s="42" t="n">
        <f aca="false">F17*DIO/365</f>
        <v>21.6494743006849</v>
      </c>
      <c r="G40" s="42" t="n">
        <f aca="false">G17*DIO/365</f>
        <v>22.2093518326027</v>
      </c>
    </row>
    <row r="41" customFormat="false" ht="15" hidden="false" customHeight="false" outlineLevel="0" collapsed="false">
      <c r="B41" s="41" t="s">
        <v>211</v>
      </c>
      <c r="C41" s="42" t="n">
        <f aca="false">C17*DPO/365</f>
        <v>13.0191780821918</v>
      </c>
      <c r="D41" s="42" t="n">
        <f aca="false">D17*DPO/365</f>
        <v>13.5767671232877</v>
      </c>
      <c r="E41" s="42" t="n">
        <f aca="false">E17*DPO/365</f>
        <v>14.0145448767123</v>
      </c>
      <c r="F41" s="42" t="n">
        <f aca="false">F17*DPO/365</f>
        <v>14.4329828671233</v>
      </c>
      <c r="G41" s="42" t="n">
        <f aca="false">G17*DPO/365</f>
        <v>14.8062345550685</v>
      </c>
    </row>
    <row r="42" customFormat="false" ht="15" hidden="false" customHeight="false" outlineLevel="0" collapsed="false">
      <c r="B42" s="43" t="s">
        <v>212</v>
      </c>
      <c r="C42" s="35" t="n">
        <f aca="false">C39+C40-C41</f>
        <v>39.0575342465753</v>
      </c>
      <c r="D42" s="35" t="n">
        <f aca="false">D39+D40-D41</f>
        <v>41.1116712328767</v>
      </c>
      <c r="E42" s="35" t="n">
        <f aca="false">E39+E40-E41</f>
        <v>42.8399155890411</v>
      </c>
      <c r="F42" s="35" t="n">
        <f aca="false">F39+F40-F41</f>
        <v>44.5431712623288</v>
      </c>
      <c r="G42" s="35" t="n">
        <f aca="false">G39+G40-G41</f>
        <v>46.1403588460274</v>
      </c>
    </row>
    <row r="43" customFormat="false" ht="15" hidden="false" customHeight="false" outlineLevel="0" collapsed="false">
      <c r="B43" s="41" t="s">
        <v>213</v>
      </c>
      <c r="C43" s="42" t="n">
        <f aca="false">C42-((Seg_A_Size+Seg_B_Size+Seg_C_Size)*DSO/365+(Seg_A_Size*(1-Seg_A_GM)+Seg_B_Size*(1-Seg_B_GM)+Seg_C_Size*(1-Seg_C_GM))*(DIO-DPO)/365)</f>
        <v>2.59178082191781</v>
      </c>
      <c r="D43" s="42" t="n">
        <f aca="false">D42-C42</f>
        <v>2.05413698630138</v>
      </c>
      <c r="E43" s="42" t="n">
        <f aca="false">E42-D42</f>
        <v>1.72824435616438</v>
      </c>
      <c r="F43" s="42" t="n">
        <f aca="false">F42-E42</f>
        <v>1.70325567328766</v>
      </c>
      <c r="G43" s="42" t="n">
        <f aca="false">G42-F42</f>
        <v>1.59718758369862</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AD3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7" min="3" style="0" width="14"/>
  </cols>
  <sheetData>
    <row r="1" customFormat="false" ht="15" hidden="false" customHeight="false" outlineLevel="0" collapsed="false">
      <c r="A1" s="1"/>
      <c r="B1" s="2"/>
      <c r="C1" s="2"/>
      <c r="D1" s="2"/>
      <c r="E1" s="2"/>
      <c r="F1" s="2"/>
      <c r="G1" s="2"/>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3" t="s">
        <v>214</v>
      </c>
      <c r="C2" s="2"/>
      <c r="D2" s="2"/>
      <c r="E2" s="2"/>
      <c r="F2" s="2"/>
      <c r="G2" s="2"/>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5" t="s">
        <v>215</v>
      </c>
      <c r="C3" s="2"/>
      <c r="D3" s="2"/>
      <c r="E3" s="2"/>
      <c r="F3" s="2"/>
      <c r="G3" s="2"/>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B4" s="27" t="s">
        <v>179</v>
      </c>
      <c r="C4" s="40" t="n">
        <f aca="false">COLUMN()-2</f>
        <v>1</v>
      </c>
      <c r="D4" s="40" t="n">
        <f aca="false">COLUMN()-2</f>
        <v>2</v>
      </c>
      <c r="E4" s="40" t="n">
        <f aca="false">COLUMN()-2</f>
        <v>3</v>
      </c>
      <c r="F4" s="40" t="n">
        <f aca="false">COLUMN()-2</f>
        <v>4</v>
      </c>
      <c r="G4" s="40" t="n">
        <f aca="false">COLUMN()-2</f>
        <v>5</v>
      </c>
    </row>
    <row r="5" customFormat="false" ht="15" hidden="false" customHeight="false" outlineLevel="0" collapsed="false">
      <c r="B5" s="6"/>
      <c r="C5" s="6"/>
      <c r="D5" s="6"/>
      <c r="E5" s="6"/>
      <c r="F5" s="6"/>
      <c r="G5" s="6"/>
    </row>
    <row r="6" customFormat="false" ht="15" hidden="false" customHeight="false" outlineLevel="0" collapsed="false">
      <c r="B6" s="7" t="s">
        <v>164</v>
      </c>
      <c r="C6" s="29"/>
      <c r="D6" s="29"/>
      <c r="E6" s="29"/>
      <c r="F6" s="29"/>
      <c r="G6" s="29"/>
    </row>
    <row r="7" customFormat="false" ht="15" hidden="false" customHeight="false" outlineLevel="0" collapsed="false">
      <c r="B7" s="41" t="s">
        <v>216</v>
      </c>
      <c r="C7" s="42" t="n">
        <f aca="false">SU_Senior_Debt</f>
        <v>175</v>
      </c>
      <c r="D7" s="42" t="n">
        <f aca="false">C12</f>
        <v>170.75</v>
      </c>
      <c r="E7" s="42" t="n">
        <f aca="false">D12</f>
        <v>152.816515410959</v>
      </c>
      <c r="F7" s="42" t="n">
        <f aca="false">E12</f>
        <v>131.80399015411</v>
      </c>
      <c r="G7" s="42" t="n">
        <f aca="false">F12</f>
        <v>107.19134883369</v>
      </c>
    </row>
    <row r="8" customFormat="false" ht="15" hidden="false" customHeight="false" outlineLevel="0" collapsed="false">
      <c r="B8" s="41" t="s">
        <v>217</v>
      </c>
      <c r="C8" s="42" t="n">
        <f aca="false">0</f>
        <v>0</v>
      </c>
      <c r="D8" s="42" t="n">
        <f aca="false">0</f>
        <v>0</v>
      </c>
      <c r="E8" s="42" t="n">
        <f aca="false">0</f>
        <v>0</v>
      </c>
      <c r="F8" s="42" t="n">
        <f aca="false">0</f>
        <v>0</v>
      </c>
      <c r="G8" s="42" t="n">
        <f aca="false">0</f>
        <v>0</v>
      </c>
    </row>
    <row r="9" customFormat="false" ht="15" hidden="false" customHeight="false" outlineLevel="0" collapsed="false">
      <c r="B9" s="41" t="s">
        <v>218</v>
      </c>
      <c r="C9" s="42" t="n">
        <f aca="false">MIN(SU_Senior_Debt*Senior_Amort,C7)</f>
        <v>3.5</v>
      </c>
      <c r="D9" s="42" t="n">
        <f aca="false">MIN(SU_Senior_Debt*Senior_Amort,D7)</f>
        <v>3.5</v>
      </c>
      <c r="E9" s="42" t="n">
        <f aca="false">MIN(SU_Senior_Debt*Senior_Amort,E7)</f>
        <v>3.5</v>
      </c>
      <c r="F9" s="42" t="n">
        <f aca="false">MIN(SU_Senior_Debt*Senior_Amort,F7)</f>
        <v>3.5</v>
      </c>
      <c r="G9" s="42" t="n">
        <f aca="false">MIN(SU_Senior_Debt*Senior_Amort,G7)</f>
        <v>3.5</v>
      </c>
    </row>
    <row r="10" customFormat="false" ht="15" hidden="false" customHeight="false" outlineLevel="0" collapsed="false">
      <c r="B10" s="41" t="s">
        <v>219</v>
      </c>
      <c r="C10" s="42" t="n">
        <f aca="false">MIN(MAX(0,Cash_To_BS-C9)*Sweep_Pct,C7-C9)</f>
        <v>0.75</v>
      </c>
      <c r="D10" s="42" t="n">
        <f aca="false">MIN(MAX(0,C35)*Sweep_Pct,D7-D9)</f>
        <v>14.4334845890411</v>
      </c>
      <c r="E10" s="42" t="n">
        <f aca="false">MIN(MAX(0,D35)*Sweep_Pct,E7-E9)</f>
        <v>17.5125252568493</v>
      </c>
      <c r="F10" s="42" t="n">
        <f aca="false">MIN(MAX(0,E35)*Sweep_Pct,F7-F9)</f>
        <v>21.1126413204195</v>
      </c>
      <c r="G10" s="42" t="n">
        <f aca="false">MIN(MAX(0,F35)*Sweep_Pct,G7-G9)</f>
        <v>24.8108000420912</v>
      </c>
    </row>
    <row r="11" customFormat="false" ht="15" hidden="false" customHeight="false" outlineLevel="0" collapsed="false">
      <c r="B11" s="41" t="s">
        <v>220</v>
      </c>
      <c r="C11" s="42" t="n">
        <f aca="false">IF(C4=Senior_Tenor,C7-C9-C10,0)</f>
        <v>0</v>
      </c>
      <c r="D11" s="42" t="n">
        <f aca="false">IF(D4=Senior_Tenor,D7-D9-D10,0)</f>
        <v>0</v>
      </c>
      <c r="E11" s="42" t="n">
        <f aca="false">IF(E4=Senior_Tenor,E7-E9-E10,0)</f>
        <v>0</v>
      </c>
      <c r="F11" s="42" t="n">
        <f aca="false">IF(F4=Senior_Tenor,F7-F9-F10,0)</f>
        <v>0</v>
      </c>
      <c r="G11" s="42" t="n">
        <f aca="false">IF(G4=Senior_Tenor,G7-G9-G10,0)</f>
        <v>78.8805487915989</v>
      </c>
    </row>
    <row r="12" customFormat="false" ht="15" hidden="false" customHeight="false" outlineLevel="0" collapsed="false">
      <c r="B12" s="43" t="s">
        <v>221</v>
      </c>
      <c r="C12" s="35" t="n">
        <f aca="false">C7+C8-C9-C10-C11</f>
        <v>170.75</v>
      </c>
      <c r="D12" s="35" t="n">
        <f aca="false">D7+D8-D9-D10-D11</f>
        <v>152.816515410959</v>
      </c>
      <c r="E12" s="35" t="n">
        <f aca="false">E7+E8-E9-E10-E11</f>
        <v>131.80399015411</v>
      </c>
      <c r="F12" s="35" t="n">
        <f aca="false">F7+F8-F9-F10-F11</f>
        <v>107.19134883369</v>
      </c>
      <c r="G12" s="35" t="n">
        <f aca="false">G7+G8-G9-G10-G11</f>
        <v>0</v>
      </c>
    </row>
    <row r="13" customFormat="false" ht="15" hidden="false" customHeight="false" outlineLevel="0" collapsed="false">
      <c r="B13" s="41" t="s">
        <v>204</v>
      </c>
      <c r="C13" s="42" t="n">
        <f aca="false">C7*Senior_Rate</f>
        <v>11.375</v>
      </c>
      <c r="D13" s="42" t="n">
        <f aca="false">D7*Senior_Rate</f>
        <v>11.09875</v>
      </c>
      <c r="E13" s="42" t="n">
        <f aca="false">E7*Senior_Rate</f>
        <v>9.93307350171233</v>
      </c>
      <c r="F13" s="42" t="n">
        <f aca="false">F7*Senior_Rate</f>
        <v>8.56725936001713</v>
      </c>
      <c r="G13" s="42" t="n">
        <f aca="false">G7*Senior_Rate</f>
        <v>6.96743767418986</v>
      </c>
    </row>
    <row r="14" customFormat="false" ht="15" hidden="false" customHeight="false" outlineLevel="0" collapsed="false">
      <c r="B14" s="6"/>
      <c r="C14" s="6"/>
      <c r="D14" s="6"/>
      <c r="E14" s="6"/>
      <c r="F14" s="6"/>
      <c r="G14" s="6"/>
    </row>
    <row r="15" customFormat="false" ht="15" hidden="false" customHeight="false" outlineLevel="0" collapsed="false">
      <c r="B15" s="7" t="s">
        <v>165</v>
      </c>
      <c r="C15" s="29"/>
      <c r="D15" s="29"/>
      <c r="E15" s="29"/>
      <c r="F15" s="29"/>
      <c r="G15" s="29"/>
    </row>
    <row r="16" customFormat="false" ht="15" hidden="false" customHeight="false" outlineLevel="0" collapsed="false">
      <c r="B16" s="41" t="s">
        <v>216</v>
      </c>
      <c r="C16" s="42" t="n">
        <f aca="false">SU_Sub_Debt</f>
        <v>50</v>
      </c>
      <c r="D16" s="42" t="n">
        <f aca="false">C20</f>
        <v>52</v>
      </c>
      <c r="E16" s="42" t="n">
        <f aca="false">D20</f>
        <v>54.08</v>
      </c>
      <c r="F16" s="42" t="n">
        <f aca="false">E20</f>
        <v>56.2432</v>
      </c>
      <c r="G16" s="42" t="n">
        <f aca="false">F20</f>
        <v>58.492928</v>
      </c>
    </row>
    <row r="17" customFormat="false" ht="15" hidden="false" customHeight="false" outlineLevel="0" collapsed="false">
      <c r="B17" s="41" t="s">
        <v>217</v>
      </c>
      <c r="C17" s="42" t="n">
        <f aca="false">0</f>
        <v>0</v>
      </c>
      <c r="D17" s="42" t="n">
        <f aca="false">0</f>
        <v>0</v>
      </c>
      <c r="E17" s="42" t="n">
        <f aca="false">0</f>
        <v>0</v>
      </c>
      <c r="F17" s="42" t="n">
        <f aca="false">0</f>
        <v>0</v>
      </c>
      <c r="G17" s="42" t="n">
        <f aca="false">0</f>
        <v>0</v>
      </c>
    </row>
    <row r="18" customFormat="false" ht="15" hidden="false" customHeight="false" outlineLevel="0" collapsed="false">
      <c r="B18" s="41" t="s">
        <v>222</v>
      </c>
      <c r="C18" s="42" t="n">
        <f aca="false">C16*PIK_Rate</f>
        <v>2</v>
      </c>
      <c r="D18" s="42" t="n">
        <f aca="false">D16*PIK_Rate</f>
        <v>2.08</v>
      </c>
      <c r="E18" s="42" t="n">
        <f aca="false">E16*PIK_Rate</f>
        <v>2.1632</v>
      </c>
      <c r="F18" s="42" t="n">
        <f aca="false">F16*PIK_Rate</f>
        <v>2.249728</v>
      </c>
      <c r="G18" s="42" t="n">
        <f aca="false">G16*PIK_Rate</f>
        <v>2.33971712</v>
      </c>
    </row>
    <row r="19" customFormat="false" ht="15" hidden="false" customHeight="false" outlineLevel="0" collapsed="false">
      <c r="B19" s="41" t="s">
        <v>220</v>
      </c>
      <c r="C19" s="42" t="n">
        <f aca="false">IF(C4=Sub_Tenor,C16+C18,0)</f>
        <v>0</v>
      </c>
      <c r="D19" s="42" t="n">
        <f aca="false">IF(D4=Sub_Tenor,D16+D18,0)</f>
        <v>0</v>
      </c>
      <c r="E19" s="42" t="n">
        <f aca="false">IF(E4=Sub_Tenor,E16+E18,0)</f>
        <v>0</v>
      </c>
      <c r="F19" s="42" t="n">
        <f aca="false">IF(F4=Sub_Tenor,F16+F18,0)</f>
        <v>0</v>
      </c>
      <c r="G19" s="42" t="n">
        <f aca="false">IF(G4=Sub_Tenor,G16+G18,0)</f>
        <v>0</v>
      </c>
    </row>
    <row r="20" customFormat="false" ht="15" hidden="false" customHeight="false" outlineLevel="0" collapsed="false">
      <c r="B20" s="43" t="s">
        <v>221</v>
      </c>
      <c r="C20" s="35" t="n">
        <f aca="false">C16+C17+C18-C19</f>
        <v>52</v>
      </c>
      <c r="D20" s="35" t="n">
        <f aca="false">D16+D17+D18-D19</f>
        <v>54.08</v>
      </c>
      <c r="E20" s="35" t="n">
        <f aca="false">E16+E17+E18-E19</f>
        <v>56.2432</v>
      </c>
      <c r="F20" s="35" t="n">
        <f aca="false">F16+F17+F18-F19</f>
        <v>58.492928</v>
      </c>
      <c r="G20" s="35" t="n">
        <f aca="false">G16+G17+G18-G19</f>
        <v>60.83264512</v>
      </c>
    </row>
    <row r="21" customFormat="false" ht="15" hidden="false" customHeight="false" outlineLevel="0" collapsed="false">
      <c r="B21" s="41" t="s">
        <v>223</v>
      </c>
      <c r="C21" s="42" t="n">
        <f aca="false">C16*Sub_Rate</f>
        <v>2.5</v>
      </c>
      <c r="D21" s="42" t="n">
        <f aca="false">D16*Sub_Rate</f>
        <v>2.6</v>
      </c>
      <c r="E21" s="42" t="n">
        <f aca="false">E16*Sub_Rate</f>
        <v>2.704</v>
      </c>
      <c r="F21" s="42" t="n">
        <f aca="false">F16*Sub_Rate</f>
        <v>2.81216</v>
      </c>
      <c r="G21" s="42" t="n">
        <f aca="false">G16*Sub_Rate</f>
        <v>2.9246464</v>
      </c>
    </row>
    <row r="22" customFormat="false" ht="15" hidden="false" customHeight="false" outlineLevel="0" collapsed="false">
      <c r="B22" s="6"/>
      <c r="C22" s="6"/>
      <c r="D22" s="6"/>
      <c r="E22" s="6"/>
      <c r="F22" s="6"/>
      <c r="G22" s="6"/>
    </row>
    <row r="23" customFormat="false" ht="15" hidden="false" customHeight="false" outlineLevel="0" collapsed="false">
      <c r="B23" s="7" t="s">
        <v>224</v>
      </c>
      <c r="C23" s="29"/>
      <c r="D23" s="29"/>
      <c r="E23" s="29"/>
      <c r="F23" s="29"/>
      <c r="G23" s="29"/>
    </row>
    <row r="24" customFormat="false" ht="15" hidden="false" customHeight="false" outlineLevel="0" collapsed="false">
      <c r="B24" s="43" t="s">
        <v>225</v>
      </c>
      <c r="C24" s="35" t="n">
        <f aca="false">C13+C21+C18</f>
        <v>15.875</v>
      </c>
      <c r="D24" s="35" t="n">
        <f aca="false">D13+D21+D18</f>
        <v>15.77875</v>
      </c>
      <c r="E24" s="35" t="n">
        <f aca="false">E13+E21+E18</f>
        <v>14.8002735017123</v>
      </c>
      <c r="F24" s="35" t="n">
        <f aca="false">F13+F21+F18</f>
        <v>13.6291473600171</v>
      </c>
      <c r="G24" s="35" t="n">
        <f aca="false">G13+G21+G18</f>
        <v>12.2318011941899</v>
      </c>
    </row>
    <row r="25" customFormat="false" ht="15" hidden="false" customHeight="false" outlineLevel="0" collapsed="false">
      <c r="B25" s="47" t="s">
        <v>166</v>
      </c>
      <c r="C25" s="39" t="n">
        <f aca="false">C12+C20</f>
        <v>222.75</v>
      </c>
      <c r="D25" s="39" t="n">
        <f aca="false">D12+D20</f>
        <v>206.896515410959</v>
      </c>
      <c r="E25" s="39" t="n">
        <f aca="false">E12+E20</f>
        <v>188.04719015411</v>
      </c>
      <c r="F25" s="39" t="n">
        <f aca="false">F12+F20</f>
        <v>165.68427683369</v>
      </c>
      <c r="G25" s="39" t="n">
        <f aca="false">G12+G20</f>
        <v>60.83264512</v>
      </c>
    </row>
    <row r="26" customFormat="false" ht="15" hidden="false" customHeight="false" outlineLevel="0" collapsed="false">
      <c r="B26" s="41" t="s">
        <v>226</v>
      </c>
      <c r="C26" s="42" t="n">
        <f aca="false">C25-INDEX(CF_Closing_Cash,1,1)</f>
        <v>175.758030821918</v>
      </c>
      <c r="D26" s="42" t="n">
        <f aca="false">D25-INDEX(CF_Closing_Cash,1,2)</f>
        <v>125.614230308219</v>
      </c>
      <c r="E26" s="42" t="n">
        <f aca="false">E25-INDEX(CF_Closing_Cash,1,3)</f>
        <v>69.4150741656678</v>
      </c>
      <c r="F26" s="42" t="n">
        <f aca="false">F25-INDEX(CF_Closing_Cash,1,4)</f>
        <v>7.16378272146835</v>
      </c>
      <c r="G26" s="42" t="n">
        <f aca="false">G25-INDEX(CF_Closing_Cash,1,5)</f>
        <v>-61.4012016004407</v>
      </c>
    </row>
    <row r="27" customFormat="false" ht="15" hidden="false" customHeight="false" outlineLevel="0" collapsed="false">
      <c r="B27" s="6"/>
      <c r="C27" s="6"/>
      <c r="D27" s="6"/>
      <c r="E27" s="6"/>
      <c r="F27" s="6"/>
      <c r="G27" s="6"/>
    </row>
    <row r="28" customFormat="false" ht="15" hidden="false" customHeight="false" outlineLevel="0" collapsed="false">
      <c r="B28" s="7" t="s">
        <v>227</v>
      </c>
      <c r="C28" s="29"/>
      <c r="D28" s="29"/>
      <c r="E28" s="29"/>
      <c r="F28" s="29"/>
      <c r="G28" s="29"/>
    </row>
    <row r="29" customFormat="false" ht="15" hidden="false" customHeight="false" outlineLevel="0" collapsed="false">
      <c r="B29" s="41" t="s">
        <v>228</v>
      </c>
      <c r="C29" s="48" t="n">
        <f aca="false">IFERROR(C26/INDEX(OM_EBITDA,1,1),0)</f>
        <v>2.01742459621118</v>
      </c>
      <c r="D29" s="48" t="n">
        <f aca="false">IFERROR(D26/INDEX(OM_EBITDA,1,2),0)</f>
        <v>1.32706041147121</v>
      </c>
      <c r="E29" s="48" t="n">
        <f aca="false">IFERROR(E26/INDEX(OM_EBITDA,1,3),0)</f>
        <v>0.682380413089823</v>
      </c>
      <c r="F29" s="48" t="n">
        <f aca="false">IFERROR(F26/INDEX(OM_EBITDA,1,4),0)</f>
        <v>0.0657264524552607</v>
      </c>
      <c r="G29" s="48" t="n">
        <f aca="false">IFERROR(G26/INDEX(OM_EBITDA,1,5),0)</f>
        <v>-0.52816072551853</v>
      </c>
    </row>
    <row r="30" customFormat="false" ht="15" hidden="false" customHeight="false" outlineLevel="0" collapsed="false">
      <c r="B30" s="41" t="s">
        <v>229</v>
      </c>
      <c r="C30" s="48" t="n">
        <f aca="false">IFERROR(INDEX(OM_EBITDA,1,1)/C24,0)</f>
        <v>5.48787401574803</v>
      </c>
      <c r="D30" s="48" t="n">
        <f aca="false">IFERROR(INDEX(OM_EBITDA,1,2)/D24,0)</f>
        <v>5.99895428978848</v>
      </c>
      <c r="E30" s="48" t="n">
        <f aca="false">IFERROR(INDEX(OM_EBITDA,1,3)/E24,0)</f>
        <v>6.87317653205739</v>
      </c>
      <c r="F30" s="48" t="n">
        <f aca="false">IFERROR(INDEX(OM_EBITDA,1,4)/F24,0)</f>
        <v>7.99711839786455</v>
      </c>
      <c r="G30" s="48" t="n">
        <f aca="false">IFERROR(INDEX(OM_EBITDA,1,5)/G24,0)</f>
        <v>9.50430474133453</v>
      </c>
    </row>
    <row r="31" customFormat="false" ht="15" hidden="false" customHeight="false" outlineLevel="0" collapsed="false">
      <c r="B31" s="49" t="s">
        <v>230</v>
      </c>
      <c r="C31" s="50" t="str">
        <f aca="false">IF(C29&lt;=6,"PASS","FAIL")</f>
        <v>PASS</v>
      </c>
      <c r="D31" s="50" t="str">
        <f aca="false">IF(D29&lt;=6,"PASS","FAIL")</f>
        <v>PASS</v>
      </c>
      <c r="E31" s="50" t="str">
        <f aca="false">IF(E29&lt;=6,"PASS","FAIL")</f>
        <v>PASS</v>
      </c>
      <c r="F31" s="50" t="str">
        <f aca="false">IF(F29&lt;=6,"PASS","FAIL")</f>
        <v>PASS</v>
      </c>
      <c r="G31" s="50" t="str">
        <f aca="false">IF(G29&lt;=6,"PASS","FAIL")</f>
        <v>PASS</v>
      </c>
    </row>
    <row r="32" customFormat="false" ht="15" hidden="false" customHeight="false" outlineLevel="0" collapsed="false">
      <c r="B32" s="49" t="s">
        <v>231</v>
      </c>
      <c r="C32" s="50" t="str">
        <f aca="false">IF(C30&gt;=2,"PASS","FAIL")</f>
        <v>PASS</v>
      </c>
      <c r="D32" s="50" t="str">
        <f aca="false">IF(D30&gt;=2,"PASS","FAIL")</f>
        <v>PASS</v>
      </c>
      <c r="E32" s="50" t="str">
        <f aca="false">IF(E30&gt;=2,"PASS","FAIL")</f>
        <v>PASS</v>
      </c>
      <c r="F32" s="50" t="str">
        <f aca="false">IF(F30&gt;=2,"PASS","FAIL")</f>
        <v>PASS</v>
      </c>
      <c r="G32" s="50" t="str">
        <f aca="false">IF(G30&gt;=2,"PASS","FAIL")</f>
        <v>PASS</v>
      </c>
    </row>
    <row r="33" customFormat="false" ht="15" hidden="false" customHeight="false" outlineLevel="0" collapsed="false">
      <c r="B33" s="6"/>
      <c r="C33" s="6"/>
      <c r="D33" s="6"/>
      <c r="E33" s="6"/>
      <c r="F33" s="6"/>
      <c r="G33" s="6"/>
    </row>
    <row r="34" customFormat="false" ht="15" hidden="false" customHeight="false" outlineLevel="0" collapsed="false">
      <c r="B34" s="7" t="s">
        <v>232</v>
      </c>
      <c r="C34" s="29"/>
      <c r="D34" s="29"/>
      <c r="E34" s="29"/>
      <c r="F34" s="29"/>
      <c r="G34" s="29"/>
    </row>
    <row r="35" customFormat="false" ht="15" hidden="false" customHeight="false" outlineLevel="0" collapsed="false">
      <c r="B35" s="44" t="s">
        <v>233</v>
      </c>
      <c r="C35" s="51" t="n">
        <f aca="false">INDEX(CF_CFO,1,1)+INDEX(CF_CFI,1,1)-C9-C13-C21</f>
        <v>28.8669691780822</v>
      </c>
      <c r="D35" s="51" t="n">
        <f aca="false">INDEX(CF_CFO,1,2)+INDEX(CF_CFI,1,2)-D9-D13-D21</f>
        <v>35.0250505136986</v>
      </c>
      <c r="E35" s="51" t="n">
        <f aca="false">INDEX(CF_CFO,1,3)+INDEX(CF_CFI,1,3)-E9-E13-E21</f>
        <v>42.2252826408391</v>
      </c>
      <c r="F35" s="51" t="n">
        <f aca="false">INDEX(CF_CFO,1,4)+INDEX(CF_CFI,1,4)-F9-F13-F21</f>
        <v>49.6216000841824</v>
      </c>
      <c r="G35" s="51" t="n">
        <f aca="false">INDEX(CF_CFO,1,5)+INDEX(CF_CFI,1,5)-G9-G13-G21</f>
        <v>57.5126173677191</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AD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7" min="3" style="0" width="14"/>
  </cols>
  <sheetData>
    <row r="1" customFormat="false" ht="15" hidden="false" customHeight="false" outlineLevel="0" collapsed="false">
      <c r="A1" s="1"/>
      <c r="B1" s="2"/>
      <c r="C1" s="2"/>
      <c r="D1" s="2"/>
      <c r="E1" s="2"/>
      <c r="F1" s="2"/>
      <c r="G1" s="2"/>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3" t="s">
        <v>234</v>
      </c>
      <c r="C2" s="2"/>
      <c r="D2" s="2"/>
      <c r="E2" s="2"/>
      <c r="F2" s="2"/>
      <c r="G2" s="2"/>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5" t="s">
        <v>235</v>
      </c>
      <c r="C3" s="2"/>
      <c r="D3" s="2"/>
      <c r="E3" s="2"/>
      <c r="F3" s="2"/>
      <c r="G3" s="2"/>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B4" s="27" t="s">
        <v>179</v>
      </c>
      <c r="C4" s="40" t="n">
        <f aca="false">COLUMN()-2</f>
        <v>1</v>
      </c>
      <c r="D4" s="40" t="n">
        <f aca="false">COLUMN()-2</f>
        <v>2</v>
      </c>
      <c r="E4" s="40" t="n">
        <f aca="false">COLUMN()-2</f>
        <v>3</v>
      </c>
      <c r="F4" s="40" t="n">
        <f aca="false">COLUMN()-2</f>
        <v>4</v>
      </c>
      <c r="G4" s="40" t="n">
        <f aca="false">COLUMN()-2</f>
        <v>5</v>
      </c>
    </row>
    <row r="5" customFormat="false" ht="15" hidden="false" customHeight="false" outlineLevel="0" collapsed="false">
      <c r="B5" s="6"/>
      <c r="C5" s="6"/>
      <c r="D5" s="6"/>
      <c r="E5" s="6"/>
      <c r="F5" s="6"/>
      <c r="G5" s="6"/>
    </row>
    <row r="6" customFormat="false" ht="15" hidden="false" customHeight="false" outlineLevel="0" collapsed="false">
      <c r="B6" s="7" t="s">
        <v>236</v>
      </c>
      <c r="C6" s="29"/>
      <c r="D6" s="29"/>
      <c r="E6" s="29"/>
      <c r="F6" s="29"/>
      <c r="G6" s="29"/>
    </row>
    <row r="7" customFormat="false" ht="15" hidden="false" customHeight="false" outlineLevel="0" collapsed="false">
      <c r="B7" s="41" t="s">
        <v>237</v>
      </c>
      <c r="C7" s="42" t="n">
        <f aca="false">INDEX(OM_Net_Income,1,1)</f>
        <v>45.51375</v>
      </c>
      <c r="D7" s="42" t="n">
        <f aca="false">INDEX(OM_Net_Income,1,2)</f>
        <v>50.8059375</v>
      </c>
      <c r="E7" s="42" t="n">
        <f aca="false">INDEX(OM_Net_Income,1,3)</f>
        <v>56.4741877487158</v>
      </c>
      <c r="F7" s="42" t="n">
        <f aca="false">INDEX(OM_Net_Income,1,4)</f>
        <v>62.4407428799872</v>
      </c>
      <c r="G7" s="42" t="n">
        <f aca="false">INDEX(OM_Net_Income,1,5)</f>
        <v>68.5911615531076</v>
      </c>
    </row>
    <row r="8" customFormat="false" ht="15" hidden="false" customHeight="false" outlineLevel="0" collapsed="false">
      <c r="B8" s="41" t="s">
        <v>238</v>
      </c>
      <c r="C8" s="42" t="n">
        <f aca="false">INDEX(OM_DA,1,1)</f>
        <v>10.56</v>
      </c>
      <c r="D8" s="42" t="n">
        <f aca="false">INDEX(OM_DA,1,2)</f>
        <v>11.136</v>
      </c>
      <c r="E8" s="42" t="n">
        <f aca="false">INDEX(OM_DA,1,3)</f>
        <v>11.625702</v>
      </c>
      <c r="F8" s="42" t="n">
        <f aca="false">INDEX(OM_DA,1,4)</f>
        <v>12.1104339</v>
      </c>
      <c r="G8" s="42" t="n">
        <f aca="false">INDEX(OM_DA,1,5)</f>
        <v>12.56808282</v>
      </c>
    </row>
    <row r="9" customFormat="false" ht="15" hidden="false" customHeight="false" outlineLevel="0" collapsed="false">
      <c r="B9" s="44" t="s">
        <v>239</v>
      </c>
      <c r="C9" s="51" t="n">
        <f aca="false">INDEX(DS_SUB_PIK,1,1)</f>
        <v>2</v>
      </c>
      <c r="D9" s="51" t="n">
        <f aca="false">INDEX(DS_SUB_PIK,1,2)</f>
        <v>2.08</v>
      </c>
      <c r="E9" s="51" t="n">
        <f aca="false">INDEX(DS_SUB_PIK,1,3)</f>
        <v>2.1632</v>
      </c>
      <c r="F9" s="51" t="n">
        <f aca="false">INDEX(DS_SUB_PIK,1,4)</f>
        <v>2.249728</v>
      </c>
      <c r="G9" s="51" t="n">
        <f aca="false">INDEX(DS_SUB_PIK,1,5)</f>
        <v>2.33971712</v>
      </c>
    </row>
    <row r="10" customFormat="false" ht="15" hidden="false" customHeight="false" outlineLevel="0" collapsed="false">
      <c r="B10" s="41" t="s">
        <v>240</v>
      </c>
      <c r="C10" s="42" t="n">
        <f aca="false">-INDEX(OM_NWC_Change,1,1)</f>
        <v>-2.59178082191781</v>
      </c>
      <c r="D10" s="42" t="n">
        <f aca="false">-INDEX(OM_NWC_Change,1,2)</f>
        <v>-2.05413698630138</v>
      </c>
      <c r="E10" s="42" t="n">
        <f aca="false">-INDEX(OM_NWC_Change,1,3)</f>
        <v>-1.72824435616438</v>
      </c>
      <c r="F10" s="42" t="n">
        <f aca="false">-INDEX(OM_NWC_Change,1,4)</f>
        <v>-1.70325567328766</v>
      </c>
      <c r="G10" s="42" t="n">
        <f aca="false">-INDEX(OM_NWC_Change,1,5)</f>
        <v>-1.59718758369862</v>
      </c>
    </row>
    <row r="11" customFormat="false" ht="15" hidden="false" customHeight="false" outlineLevel="0" collapsed="false">
      <c r="B11" s="43" t="s">
        <v>241</v>
      </c>
      <c r="C11" s="35" t="n">
        <f aca="false">C7+C8+C9+C10</f>
        <v>55.4819691780822</v>
      </c>
      <c r="D11" s="35" t="n">
        <f aca="false">D7+D8+D9+D10</f>
        <v>61.9678005136986</v>
      </c>
      <c r="E11" s="35" t="n">
        <f aca="false">E7+E8+E9+E10</f>
        <v>68.5348453925514</v>
      </c>
      <c r="F11" s="35" t="n">
        <f aca="false">F7+F8+F9+F10</f>
        <v>75.0976491066995</v>
      </c>
      <c r="G11" s="35" t="n">
        <f aca="false">G7+G8+G9+G10</f>
        <v>81.901773909409</v>
      </c>
    </row>
    <row r="12" customFormat="false" ht="15" hidden="false" customHeight="false" outlineLevel="0" collapsed="false">
      <c r="B12" s="6"/>
      <c r="C12" s="6"/>
      <c r="D12" s="6"/>
      <c r="E12" s="6"/>
      <c r="F12" s="6"/>
      <c r="G12" s="6"/>
    </row>
    <row r="13" customFormat="false" ht="15" hidden="false" customHeight="false" outlineLevel="0" collapsed="false">
      <c r="B13" s="7" t="s">
        <v>242</v>
      </c>
      <c r="C13" s="29"/>
      <c r="D13" s="29"/>
      <c r="E13" s="29"/>
      <c r="F13" s="29"/>
      <c r="G13" s="29"/>
    </row>
    <row r="14" customFormat="false" ht="15" hidden="false" customHeight="false" outlineLevel="0" collapsed="false">
      <c r="B14" s="41" t="s">
        <v>243</v>
      </c>
      <c r="C14" s="42" t="n">
        <f aca="false">-INDEX(OM_Revenue,1,1)*Capex_Pct</f>
        <v>-9.24</v>
      </c>
      <c r="D14" s="42" t="n">
        <f aca="false">-INDEX(OM_Revenue,1,2)*Capex_Pct</f>
        <v>-9.744</v>
      </c>
      <c r="E14" s="42" t="n">
        <f aca="false">-INDEX(OM_Revenue,1,3)*Capex_Pct</f>
        <v>-10.17248925</v>
      </c>
      <c r="F14" s="42" t="n">
        <f aca="false">-INDEX(OM_Revenue,1,4)*Capex_Pct</f>
        <v>-10.5966296625</v>
      </c>
      <c r="G14" s="42" t="n">
        <f aca="false">-INDEX(OM_Revenue,1,5)*Capex_Pct</f>
        <v>-10.9970724675</v>
      </c>
    </row>
    <row r="15" customFormat="false" ht="15" hidden="false" customHeight="false" outlineLevel="0" collapsed="false">
      <c r="B15" s="43" t="s">
        <v>244</v>
      </c>
      <c r="C15" s="35" t="n">
        <f aca="false">C14</f>
        <v>-9.24</v>
      </c>
      <c r="D15" s="35" t="n">
        <f aca="false">D14</f>
        <v>-9.744</v>
      </c>
      <c r="E15" s="35" t="n">
        <f aca="false">E14</f>
        <v>-10.17248925</v>
      </c>
      <c r="F15" s="35" t="n">
        <f aca="false">F14</f>
        <v>-10.5966296625</v>
      </c>
      <c r="G15" s="35" t="n">
        <f aca="false">G14</f>
        <v>-10.9970724675</v>
      </c>
    </row>
    <row r="16" customFormat="false" ht="15" hidden="false" customHeight="false" outlineLevel="0" collapsed="false">
      <c r="B16" s="6"/>
      <c r="C16" s="6"/>
      <c r="D16" s="6"/>
      <c r="E16" s="6"/>
      <c r="F16" s="6"/>
      <c r="G16" s="6"/>
    </row>
    <row r="17" customFormat="false" ht="15" hidden="false" customHeight="false" outlineLevel="0" collapsed="false">
      <c r="B17" s="7" t="s">
        <v>245</v>
      </c>
      <c r="C17" s="29"/>
      <c r="D17" s="29"/>
      <c r="E17" s="29"/>
      <c r="F17" s="29"/>
      <c r="G17" s="29"/>
    </row>
    <row r="18" customFormat="false" ht="15" hidden="false" customHeight="false" outlineLevel="0" collapsed="false">
      <c r="B18" s="41" t="s">
        <v>246</v>
      </c>
      <c r="C18" s="42" t="n">
        <f aca="false">-INDEX(DS_SR_Amort,1,1)</f>
        <v>-3.5</v>
      </c>
      <c r="D18" s="42" t="n">
        <f aca="false">-INDEX(DS_SR_Amort,1,2)</f>
        <v>-3.5</v>
      </c>
      <c r="E18" s="42" t="n">
        <f aca="false">-INDEX(DS_SR_Amort,1,3)</f>
        <v>-3.5</v>
      </c>
      <c r="F18" s="42" t="n">
        <f aca="false">-INDEX(DS_SR_Amort,1,4)</f>
        <v>-3.5</v>
      </c>
      <c r="G18" s="42" t="n">
        <f aca="false">-INDEX(DS_SR_Amort,1,5)</f>
        <v>-3.5</v>
      </c>
    </row>
    <row r="19" customFormat="false" ht="15" hidden="false" customHeight="false" outlineLevel="0" collapsed="false">
      <c r="B19" s="41" t="s">
        <v>247</v>
      </c>
      <c r="C19" s="42" t="n">
        <f aca="false">-INDEX(DS_SR_Prepay,1,1)</f>
        <v>-0.75</v>
      </c>
      <c r="D19" s="42" t="n">
        <f aca="false">-INDEX(DS_SR_Prepay,1,2)</f>
        <v>-14.4334845890411</v>
      </c>
      <c r="E19" s="42" t="n">
        <f aca="false">-INDEX(DS_SR_Prepay,1,3)</f>
        <v>-17.5125252568493</v>
      </c>
      <c r="F19" s="42" t="n">
        <f aca="false">-INDEX(DS_SR_Prepay,1,4)</f>
        <v>-21.1126413204195</v>
      </c>
      <c r="G19" s="42" t="n">
        <f aca="false">-INDEX(DS_SR_Prepay,1,5)</f>
        <v>-24.8108000420912</v>
      </c>
    </row>
    <row r="20" customFormat="false" ht="15" hidden="false" customHeight="false" outlineLevel="0" collapsed="false">
      <c r="B20" s="41" t="s">
        <v>248</v>
      </c>
      <c r="C20" s="42" t="n">
        <f aca="false">-INDEX(DS_SR_Maturity,1,1)</f>
        <v>-0</v>
      </c>
      <c r="D20" s="42" t="n">
        <f aca="false">-INDEX(DS_SR_Maturity,1,2)</f>
        <v>-0</v>
      </c>
      <c r="E20" s="42" t="n">
        <f aca="false">-INDEX(DS_SR_Maturity,1,3)</f>
        <v>-0</v>
      </c>
      <c r="F20" s="42" t="n">
        <f aca="false">-INDEX(DS_SR_Maturity,1,4)</f>
        <v>-0</v>
      </c>
      <c r="G20" s="42" t="n">
        <f aca="false">-INDEX(DS_SR_Maturity,1,5)</f>
        <v>-78.8805487915989</v>
      </c>
    </row>
    <row r="21" customFormat="false" ht="15" hidden="false" customHeight="false" outlineLevel="0" collapsed="false">
      <c r="B21" s="41" t="s">
        <v>249</v>
      </c>
      <c r="C21" s="42" t="n">
        <f aca="false">-INDEX(DS_SUB_Maturity,1,1)</f>
        <v>-0</v>
      </c>
      <c r="D21" s="42" t="n">
        <f aca="false">-INDEX(DS_SUB_Maturity,1,2)</f>
        <v>-0</v>
      </c>
      <c r="E21" s="42" t="n">
        <f aca="false">-INDEX(DS_SUB_Maturity,1,3)</f>
        <v>-0</v>
      </c>
      <c r="F21" s="42" t="n">
        <f aca="false">-INDEX(DS_SUB_Maturity,1,4)</f>
        <v>-0</v>
      </c>
      <c r="G21" s="42" t="n">
        <f aca="false">-INDEX(DS_SUB_Maturity,1,5)</f>
        <v>-0</v>
      </c>
    </row>
    <row r="22" customFormat="false" ht="15" hidden="false" customHeight="false" outlineLevel="0" collapsed="false">
      <c r="B22" s="43" t="s">
        <v>250</v>
      </c>
      <c r="C22" s="35" t="n">
        <f aca="false">C18+C19+C20+C21</f>
        <v>-4.25</v>
      </c>
      <c r="D22" s="35" t="n">
        <f aca="false">D18+D19+D20+D21</f>
        <v>-17.9334845890411</v>
      </c>
      <c r="E22" s="35" t="n">
        <f aca="false">E18+E19+E20+E21</f>
        <v>-21.0125252568493</v>
      </c>
      <c r="F22" s="35" t="n">
        <f aca="false">F18+F19+F20+F21</f>
        <v>-24.6126413204195</v>
      </c>
      <c r="G22" s="35" t="n">
        <f aca="false">G18+G19+G20+G21</f>
        <v>-107.19134883369</v>
      </c>
    </row>
    <row r="23" customFormat="false" ht="15" hidden="false" customHeight="false" outlineLevel="0" collapsed="false">
      <c r="B23" s="6"/>
      <c r="C23" s="6"/>
      <c r="D23" s="6"/>
      <c r="E23" s="6"/>
      <c r="F23" s="6"/>
      <c r="G23" s="6"/>
    </row>
    <row r="24" customFormat="false" ht="15" hidden="false" customHeight="false" outlineLevel="0" collapsed="false">
      <c r="B24" s="7" t="s">
        <v>251</v>
      </c>
      <c r="C24" s="29"/>
      <c r="D24" s="29"/>
      <c r="E24" s="29"/>
      <c r="F24" s="29"/>
      <c r="G24" s="29"/>
    </row>
    <row r="25" customFormat="false" ht="15" hidden="false" customHeight="false" outlineLevel="0" collapsed="false">
      <c r="B25" s="43" t="s">
        <v>252</v>
      </c>
      <c r="C25" s="35" t="n">
        <f aca="false">C11+C15+C22</f>
        <v>41.9919691780822</v>
      </c>
      <c r="D25" s="35" t="n">
        <f aca="false">D11+D15+D22</f>
        <v>34.2903159246575</v>
      </c>
      <c r="E25" s="35" t="n">
        <f aca="false">E11+E15+E22</f>
        <v>37.3498308857021</v>
      </c>
      <c r="F25" s="35" t="n">
        <f aca="false">F11+F15+F22</f>
        <v>39.88837812378</v>
      </c>
      <c r="G25" s="35" t="n">
        <f aca="false">G11+G15+G22</f>
        <v>-36.2866473917811</v>
      </c>
    </row>
    <row r="26" customFormat="false" ht="15" hidden="false" customHeight="false" outlineLevel="0" collapsed="false">
      <c r="B26" s="41" t="s">
        <v>253</v>
      </c>
      <c r="C26" s="42" t="n">
        <f aca="false">Cash_To_BS</f>
        <v>5</v>
      </c>
      <c r="D26" s="42" t="n">
        <f aca="false">C27</f>
        <v>46.9919691780822</v>
      </c>
      <c r="E26" s="42" t="n">
        <f aca="false">D27</f>
        <v>81.2822851027397</v>
      </c>
      <c r="F26" s="42" t="n">
        <f aca="false">E27</f>
        <v>118.632115988442</v>
      </c>
      <c r="G26" s="42" t="n">
        <f aca="false">F27</f>
        <v>158.520494112222</v>
      </c>
    </row>
    <row r="27" customFormat="false" ht="15" hidden="false" customHeight="false" outlineLevel="0" collapsed="false">
      <c r="B27" s="43" t="s">
        <v>254</v>
      </c>
      <c r="C27" s="35" t="n">
        <f aca="false">C26+C25</f>
        <v>46.9919691780822</v>
      </c>
      <c r="D27" s="35" t="n">
        <f aca="false">D26+D25</f>
        <v>81.2822851027397</v>
      </c>
      <c r="E27" s="35" t="n">
        <f aca="false">E26+E25</f>
        <v>118.632115988442</v>
      </c>
      <c r="F27" s="35" t="n">
        <f aca="false">F26+F25</f>
        <v>158.520494112222</v>
      </c>
      <c r="G27" s="35" t="n">
        <f aca="false">G26+G25</f>
        <v>122.233846720441</v>
      </c>
    </row>
    <row r="28" customFormat="false" ht="15" hidden="false" customHeight="false" outlineLevel="0" collapsed="false">
      <c r="B28" s="44" t="s">
        <v>255</v>
      </c>
      <c r="C28" s="51" t="n">
        <f aca="false">C27-C26-C25</f>
        <v>0</v>
      </c>
      <c r="D28" s="51" t="n">
        <f aca="false">D27-D26-D25</f>
        <v>0</v>
      </c>
      <c r="E28" s="51" t="n">
        <f aca="false">E27-E26-E25</f>
        <v>0</v>
      </c>
      <c r="F28" s="51" t="n">
        <f aca="false">F27-F26-F25</f>
        <v>0</v>
      </c>
      <c r="G28" s="51" t="n">
        <f aca="false">G27-G26-G25</f>
        <v>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AD6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8" min="3" style="0" width="14"/>
  </cols>
  <sheetData>
    <row r="1" customFormat="false" ht="15" hidden="false" customHeight="false" outlineLevel="0" collapsed="false">
      <c r="A1" s="1"/>
      <c r="B1" s="2"/>
      <c r="C1" s="2"/>
      <c r="D1" s="2"/>
      <c r="E1" s="2"/>
      <c r="F1" s="2"/>
      <c r="G1" s="2"/>
      <c r="H1" s="2"/>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3" t="s">
        <v>256</v>
      </c>
      <c r="C2" s="2"/>
      <c r="D2" s="2"/>
      <c r="E2" s="2"/>
      <c r="F2" s="2"/>
      <c r="G2" s="2"/>
      <c r="H2" s="2"/>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5" t="s">
        <v>257</v>
      </c>
      <c r="C3" s="2"/>
      <c r="D3" s="2"/>
      <c r="E3" s="2"/>
      <c r="F3" s="2"/>
      <c r="G3" s="2"/>
      <c r="H3" s="2"/>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B4" s="27" t="s">
        <v>179</v>
      </c>
      <c r="C4" s="40" t="n">
        <f aca="false">COLUMN()-2</f>
        <v>1</v>
      </c>
      <c r="D4" s="40" t="n">
        <f aca="false">COLUMN()-2</f>
        <v>2</v>
      </c>
      <c r="E4" s="40" t="n">
        <f aca="false">COLUMN()-2</f>
        <v>3</v>
      </c>
      <c r="F4" s="40" t="n">
        <f aca="false">COLUMN()-2</f>
        <v>4</v>
      </c>
      <c r="G4" s="40" t="n">
        <f aca="false">COLUMN()-2</f>
        <v>5</v>
      </c>
      <c r="H4" s="6"/>
    </row>
    <row r="5" customFormat="false" ht="15" hidden="false" customHeight="false" outlineLevel="0" collapsed="false">
      <c r="B5" s="6"/>
      <c r="C5" s="6"/>
      <c r="D5" s="6"/>
      <c r="E5" s="6"/>
      <c r="F5" s="6"/>
      <c r="G5" s="6"/>
      <c r="H5" s="6"/>
    </row>
    <row r="6" customFormat="false" ht="15" hidden="false" customHeight="false" outlineLevel="0" collapsed="false">
      <c r="B6" s="7" t="s">
        <v>258</v>
      </c>
      <c r="C6" s="29"/>
      <c r="D6" s="29"/>
      <c r="E6" s="29"/>
      <c r="F6" s="29"/>
      <c r="G6" s="29"/>
      <c r="H6" s="6"/>
    </row>
    <row r="7" customFormat="false" ht="15" hidden="false" customHeight="false" outlineLevel="0" collapsed="false">
      <c r="B7" s="41" t="s">
        <v>259</v>
      </c>
      <c r="C7" s="42" t="n">
        <f aca="false">INDEX(OM_EBITDA,1,1)</f>
        <v>87.12</v>
      </c>
      <c r="D7" s="42" t="n">
        <f aca="false">INDEX(OM_EBITDA,1,2)</f>
        <v>94.656</v>
      </c>
      <c r="E7" s="42" t="n">
        <f aca="false">INDEX(OM_EBITDA,1,3)</f>
        <v>101.7248925</v>
      </c>
      <c r="F7" s="42" t="n">
        <f aca="false">INDEX(OM_EBITDA,1,4)</f>
        <v>108.9939051</v>
      </c>
      <c r="G7" s="42" t="n">
        <f aca="false">INDEX(OM_EBITDA,1,5)</f>
        <v>116.254766085</v>
      </c>
      <c r="H7" s="6"/>
    </row>
    <row r="8" customFormat="false" ht="15" hidden="false" customHeight="false" outlineLevel="0" collapsed="false">
      <c r="B8" s="41" t="s">
        <v>260</v>
      </c>
      <c r="C8" s="42" t="n">
        <f aca="false">C7*Exit_Multiple</f>
        <v>914.76</v>
      </c>
      <c r="D8" s="42" t="n">
        <f aca="false">D7*Exit_Multiple</f>
        <v>993.888</v>
      </c>
      <c r="E8" s="42" t="n">
        <f aca="false">E7*Exit_Multiple</f>
        <v>1068.11137125</v>
      </c>
      <c r="F8" s="42" t="n">
        <f aca="false">F7*Exit_Multiple</f>
        <v>1144.43600355</v>
      </c>
      <c r="G8" s="42" t="n">
        <f aca="false">G7*Exit_Multiple</f>
        <v>1220.6750438925</v>
      </c>
      <c r="H8" s="6"/>
    </row>
    <row r="9" customFormat="false" ht="15" hidden="false" customHeight="false" outlineLevel="0" collapsed="false">
      <c r="B9" s="41" t="s">
        <v>261</v>
      </c>
      <c r="C9" s="42" t="n">
        <f aca="false">INDEX(DS_Net_Debt,1,1)</f>
        <v>175.758030821918</v>
      </c>
      <c r="D9" s="42" t="n">
        <f aca="false">INDEX(DS_Net_Debt,1,2)</f>
        <v>125.614230308219</v>
      </c>
      <c r="E9" s="42" t="n">
        <f aca="false">INDEX(DS_Net_Debt,1,3)</f>
        <v>69.4150741656678</v>
      </c>
      <c r="F9" s="42" t="n">
        <f aca="false">INDEX(DS_Net_Debt,1,4)</f>
        <v>7.16378272146835</v>
      </c>
      <c r="G9" s="42" t="n">
        <f aca="false">INDEX(DS_Net_Debt,1,5)</f>
        <v>-61.4012016004407</v>
      </c>
      <c r="H9" s="6"/>
    </row>
    <row r="10" customFormat="false" ht="15" hidden="false" customHeight="false" outlineLevel="0" collapsed="false">
      <c r="B10" s="43" t="s">
        <v>262</v>
      </c>
      <c r="C10" s="35" t="n">
        <f aca="false">MAX(C8-C9,0)</f>
        <v>739.001969178082</v>
      </c>
      <c r="D10" s="35" t="n">
        <f aca="false">MAX(D8-D9,0)</f>
        <v>868.273769691781</v>
      </c>
      <c r="E10" s="35" t="n">
        <f aca="false">MAX(E8-E9,0)</f>
        <v>998.696297084332</v>
      </c>
      <c r="F10" s="35" t="n">
        <f aca="false">MAX(F8-F9,0)</f>
        <v>1137.27222082853</v>
      </c>
      <c r="G10" s="35" t="n">
        <f aca="false">MAX(G8-G9,0)</f>
        <v>1282.07624549294</v>
      </c>
      <c r="H10" s="6"/>
    </row>
    <row r="11" customFormat="false" ht="15" hidden="false" customHeight="false" outlineLevel="0" collapsed="false">
      <c r="B11" s="6"/>
      <c r="C11" s="6"/>
      <c r="D11" s="6"/>
      <c r="E11" s="6"/>
      <c r="F11" s="6"/>
      <c r="G11" s="6"/>
      <c r="H11" s="6"/>
    </row>
    <row r="12" customFormat="false" ht="15" hidden="false" customHeight="false" outlineLevel="0" collapsed="false">
      <c r="B12" s="7" t="s">
        <v>263</v>
      </c>
      <c r="C12" s="29"/>
      <c r="D12" s="29"/>
      <c r="E12" s="29"/>
      <c r="F12" s="29"/>
      <c r="G12" s="29"/>
      <c r="H12" s="6"/>
    </row>
    <row r="13" customFormat="false" ht="15" hidden="false" customHeight="false" outlineLevel="0" collapsed="false">
      <c r="B13" s="41" t="s">
        <v>264</v>
      </c>
      <c r="C13" s="42" t="n">
        <f aca="false">IF(C4=Exit_Year,C10*Sponsor_Share,0)</f>
        <v>0</v>
      </c>
      <c r="D13" s="42" t="n">
        <f aca="false">IF(D4=Exit_Year,D10*Sponsor_Share,0)</f>
        <v>0</v>
      </c>
      <c r="E13" s="42" t="n">
        <f aca="false">IF(E4=Exit_Year,E10*Sponsor_Share,0)</f>
        <v>0</v>
      </c>
      <c r="F13" s="42" t="n">
        <f aca="false">IF(F4=Exit_Year,F10*Sponsor_Share,0)</f>
        <v>0</v>
      </c>
      <c r="G13" s="42" t="n">
        <f aca="false">IF(G4=Exit_Year,G10*Sponsor_Share,0)</f>
        <v>897.453371845058</v>
      </c>
      <c r="H13" s="6"/>
    </row>
    <row r="14" customFormat="false" ht="15" hidden="false" customHeight="false" outlineLevel="0" collapsed="false">
      <c r="B14" s="41" t="s">
        <v>265</v>
      </c>
      <c r="C14" s="42" t="n">
        <f aca="false">IF(C4=Exit_Year,C10*(1-Sponsor_Share),0)</f>
        <v>0</v>
      </c>
      <c r="D14" s="42" t="n">
        <f aca="false">IF(D4=Exit_Year,D10*(1-Sponsor_Share),0)</f>
        <v>0</v>
      </c>
      <c r="E14" s="42" t="n">
        <f aca="false">IF(E4=Exit_Year,E10*(1-Sponsor_Share),0)</f>
        <v>0</v>
      </c>
      <c r="F14" s="42" t="n">
        <f aca="false">IF(F4=Exit_Year,F10*(1-Sponsor_Share),0)</f>
        <v>0</v>
      </c>
      <c r="G14" s="42" t="n">
        <f aca="false">IF(G4=Exit_Year,G10*(1-Sponsor_Share),0)</f>
        <v>384.622873647882</v>
      </c>
      <c r="H14" s="6"/>
    </row>
    <row r="15" customFormat="false" ht="15" hidden="false" customHeight="false" outlineLevel="0" collapsed="false">
      <c r="B15" s="43" t="s">
        <v>266</v>
      </c>
      <c r="C15" s="35" t="n">
        <f aca="false">C13+C14</f>
        <v>0</v>
      </c>
      <c r="D15" s="35" t="n">
        <f aca="false">D13+D14</f>
        <v>0</v>
      </c>
      <c r="E15" s="35" t="n">
        <f aca="false">E13+E14</f>
        <v>0</v>
      </c>
      <c r="F15" s="35" t="n">
        <f aca="false">F13+F14</f>
        <v>0</v>
      </c>
      <c r="G15" s="35" t="n">
        <f aca="false">G13+G14</f>
        <v>1282.07624549294</v>
      </c>
      <c r="H15" s="6"/>
    </row>
    <row r="16" customFormat="false" ht="15" hidden="false" customHeight="false" outlineLevel="0" collapsed="false">
      <c r="B16" s="6"/>
      <c r="C16" s="6"/>
      <c r="D16" s="6"/>
      <c r="E16" s="6"/>
      <c r="F16" s="6"/>
      <c r="G16" s="6"/>
      <c r="H16" s="6"/>
    </row>
    <row r="17" customFormat="false" ht="15" hidden="false" customHeight="false" outlineLevel="0" collapsed="false">
      <c r="B17" s="7" t="s">
        <v>267</v>
      </c>
      <c r="C17" s="29"/>
      <c r="D17" s="29"/>
      <c r="E17" s="29"/>
      <c r="F17" s="29"/>
      <c r="G17" s="29"/>
      <c r="H17" s="6"/>
    </row>
    <row r="18" customFormat="false" ht="15" hidden="false" customHeight="false" outlineLevel="0" collapsed="false">
      <c r="B18" s="31" t="s">
        <v>268</v>
      </c>
      <c r="C18" s="32" t="n">
        <f aca="false">SU_Sponsor_Eq</f>
        <v>206.15</v>
      </c>
      <c r="D18" s="6"/>
      <c r="E18" s="6"/>
      <c r="F18" s="6"/>
      <c r="G18" s="6"/>
      <c r="H18" s="6"/>
    </row>
    <row r="19" customFormat="false" ht="15" hidden="false" customHeight="false" outlineLevel="0" collapsed="false">
      <c r="B19" s="41" t="s">
        <v>269</v>
      </c>
      <c r="C19" s="42" t="n">
        <f aca="false">C13</f>
        <v>0</v>
      </c>
      <c r="D19" s="42" t="n">
        <f aca="false">D13</f>
        <v>0</v>
      </c>
      <c r="E19" s="42" t="n">
        <f aca="false">E13</f>
        <v>0</v>
      </c>
      <c r="F19" s="42" t="n">
        <f aca="false">F13</f>
        <v>0</v>
      </c>
      <c r="G19" s="42" t="n">
        <f aca="false">G13</f>
        <v>897.453371845058</v>
      </c>
      <c r="H19" s="6"/>
    </row>
    <row r="20" customFormat="false" ht="15" hidden="false" customHeight="false" outlineLevel="0" collapsed="false">
      <c r="B20" s="41" t="s">
        <v>270</v>
      </c>
      <c r="C20" s="48" t="n">
        <f aca="false">IF(C4=Exit_Year,IFERROR(C19/SU_Sponsor_Eq,0),0)</f>
        <v>0</v>
      </c>
      <c r="D20" s="48" t="n">
        <f aca="false">IF(D4=Exit_Year,IFERROR(D19/SU_Sponsor_Eq,0),0)</f>
        <v>0</v>
      </c>
      <c r="E20" s="48" t="n">
        <f aca="false">IF(E4=Exit_Year,IFERROR(E19/SU_Sponsor_Eq,0),0)</f>
        <v>0</v>
      </c>
      <c r="F20" s="48" t="n">
        <f aca="false">IF(F4=Exit_Year,IFERROR(F19/SU_Sponsor_Eq,0),0)</f>
        <v>0</v>
      </c>
      <c r="G20" s="48" t="n">
        <f aca="false">IF(G4=Exit_Year,IFERROR(G19/SU_Sponsor_Eq,0),0)</f>
        <v>4.35339981491661</v>
      </c>
      <c r="H20" s="6"/>
    </row>
    <row r="21" customFormat="false" ht="15" hidden="false" customHeight="false" outlineLevel="0" collapsed="false">
      <c r="B21" s="6"/>
      <c r="C21" s="6"/>
      <c r="D21" s="6"/>
      <c r="E21" s="6"/>
      <c r="F21" s="6"/>
      <c r="G21" s="6"/>
      <c r="H21" s="6"/>
    </row>
    <row r="22" customFormat="false" ht="15" hidden="false" customHeight="false" outlineLevel="0" collapsed="false">
      <c r="B22" s="31" t="s">
        <v>271</v>
      </c>
      <c r="C22" s="32" t="n">
        <f aca="false">-SU_Sponsor_Eq</f>
        <v>-206.15</v>
      </c>
      <c r="D22" s="32" t="n">
        <f aca="false">C13</f>
        <v>0</v>
      </c>
      <c r="E22" s="32" t="n">
        <f aca="false">D13</f>
        <v>0</v>
      </c>
      <c r="F22" s="32" t="n">
        <f aca="false">E13</f>
        <v>0</v>
      </c>
      <c r="G22" s="32" t="n">
        <f aca="false">F13</f>
        <v>0</v>
      </c>
      <c r="H22" s="32" t="n">
        <f aca="false">G13</f>
        <v>897.453371845058</v>
      </c>
    </row>
    <row r="23" customFormat="false" ht="15" hidden="false" customHeight="false" outlineLevel="0" collapsed="false">
      <c r="B23" s="34" t="s">
        <v>272</v>
      </c>
      <c r="C23" s="36" t="n">
        <f aca="false">IFERROR(IRR(C22:H22),0)</f>
        <v>0.342040774266283</v>
      </c>
      <c r="D23" s="6"/>
      <c r="E23" s="6"/>
      <c r="F23" s="6"/>
      <c r="G23" s="6"/>
      <c r="H23" s="6"/>
    </row>
    <row r="24" customFormat="false" ht="15" hidden="false" customHeight="false" outlineLevel="0" collapsed="false">
      <c r="B24" s="6"/>
      <c r="C24" s="6"/>
      <c r="D24" s="6"/>
      <c r="E24" s="6"/>
      <c r="F24" s="6"/>
      <c r="G24" s="6"/>
      <c r="H24" s="6"/>
    </row>
    <row r="25" customFormat="false" ht="15" hidden="false" customHeight="false" outlineLevel="0" collapsed="false">
      <c r="B25" s="7" t="s">
        <v>273</v>
      </c>
      <c r="C25" s="29"/>
      <c r="D25" s="29"/>
      <c r="E25" s="29"/>
      <c r="F25" s="29"/>
      <c r="G25" s="29"/>
      <c r="H25" s="6"/>
    </row>
    <row r="26" customFormat="false" ht="15" hidden="false" customHeight="false" outlineLevel="0" collapsed="false">
      <c r="B26" s="31" t="s">
        <v>268</v>
      </c>
      <c r="C26" s="32" t="n">
        <f aca="false">SU_CoInvest_Eq</f>
        <v>88.35</v>
      </c>
      <c r="D26" s="6"/>
      <c r="E26" s="6"/>
      <c r="F26" s="6"/>
      <c r="G26" s="6"/>
      <c r="H26" s="6"/>
    </row>
    <row r="27" customFormat="false" ht="15" hidden="false" customHeight="false" outlineLevel="0" collapsed="false">
      <c r="B27" s="41" t="s">
        <v>274</v>
      </c>
      <c r="C27" s="42" t="n">
        <f aca="false">C14</f>
        <v>0</v>
      </c>
      <c r="D27" s="42" t="n">
        <f aca="false">D14</f>
        <v>0</v>
      </c>
      <c r="E27" s="42" t="n">
        <f aca="false">E14</f>
        <v>0</v>
      </c>
      <c r="F27" s="42" t="n">
        <f aca="false">F14</f>
        <v>0</v>
      </c>
      <c r="G27" s="42" t="n">
        <f aca="false">G14</f>
        <v>384.622873647882</v>
      </c>
      <c r="H27" s="6"/>
    </row>
    <row r="28" customFormat="false" ht="15" hidden="false" customHeight="false" outlineLevel="0" collapsed="false">
      <c r="B28" s="44" t="s">
        <v>275</v>
      </c>
      <c r="C28" s="51" t="n">
        <f aca="false">SU_CoInvest_Eq*CoInvest_Fee</f>
        <v>0.220875</v>
      </c>
      <c r="D28" s="51" t="n">
        <f aca="false">C28+SU_CoInvest_Eq*CoInvest_Fee</f>
        <v>0.44175</v>
      </c>
      <c r="E28" s="51" t="n">
        <f aca="false">D28+SU_CoInvest_Eq*CoInvest_Fee</f>
        <v>0.662625</v>
      </c>
      <c r="F28" s="51" t="n">
        <f aca="false">E28+SU_CoInvest_Eq*CoInvest_Fee</f>
        <v>0.8835</v>
      </c>
      <c r="G28" s="51" t="n">
        <f aca="false">F28+SU_CoInvest_Eq*CoInvest_Fee</f>
        <v>1.104375</v>
      </c>
      <c r="H28" s="6"/>
    </row>
    <row r="29" customFormat="false" ht="15" hidden="false" customHeight="false" outlineLevel="0" collapsed="false">
      <c r="B29" s="41" t="s">
        <v>276</v>
      </c>
      <c r="C29" s="42" t="n">
        <f aca="false">IF(C4=Exit_Year,MAX(C27-SU_CoInvest_Eq*(1+Preferred_Return)^C4,0),0)</f>
        <v>0</v>
      </c>
      <c r="D29" s="42" t="n">
        <f aca="false">IF(D4=Exit_Year,MAX(D27-SU_CoInvest_Eq*(1+Preferred_Return)^D4,0),0)</f>
        <v>0</v>
      </c>
      <c r="E29" s="42" t="n">
        <f aca="false">IF(E4=Exit_Year,MAX(E27-SU_CoInvest_Eq*(1+Preferred_Return)^E4,0),0)</f>
        <v>0</v>
      </c>
      <c r="F29" s="42" t="n">
        <f aca="false">IF(F4=Exit_Year,MAX(F27-SU_CoInvest_Eq*(1+Preferred_Return)^F4,0),0)</f>
        <v>0</v>
      </c>
      <c r="G29" s="42" t="n">
        <f aca="false">IF(G4=Exit_Year,MAX(G27-SU_CoInvest_Eq*(1+Preferred_Return)^G4,0),0)</f>
        <v>254.807738062602</v>
      </c>
      <c r="H29" s="6"/>
    </row>
    <row r="30" customFormat="false" ht="15" hidden="false" customHeight="false" outlineLevel="0" collapsed="false">
      <c r="B30" s="41" t="s">
        <v>277</v>
      </c>
      <c r="C30" s="42" t="n">
        <f aca="false">C29*CoInvest_Carry</f>
        <v>0</v>
      </c>
      <c r="D30" s="42" t="n">
        <f aca="false">D29*CoInvest_Carry</f>
        <v>0</v>
      </c>
      <c r="E30" s="42" t="n">
        <f aca="false">E29*CoInvest_Carry</f>
        <v>0</v>
      </c>
      <c r="F30" s="42" t="n">
        <f aca="false">F29*CoInvest_Carry</f>
        <v>0</v>
      </c>
      <c r="G30" s="42" t="n">
        <f aca="false">G29*CoInvest_Carry</f>
        <v>12.7403869031301</v>
      </c>
      <c r="H30" s="6"/>
    </row>
    <row r="31" customFormat="false" ht="15" hidden="false" customHeight="false" outlineLevel="0" collapsed="false">
      <c r="B31" s="43" t="s">
        <v>278</v>
      </c>
      <c r="C31" s="35" t="n">
        <f aca="false">IF(C4=Exit_Year,C27-C30,0)</f>
        <v>0</v>
      </c>
      <c r="D31" s="35" t="n">
        <f aca="false">IF(D4=Exit_Year,D27-D30,0)</f>
        <v>0</v>
      </c>
      <c r="E31" s="35" t="n">
        <f aca="false">IF(E4=Exit_Year,E27-E30,0)</f>
        <v>0</v>
      </c>
      <c r="F31" s="35" t="n">
        <f aca="false">IF(F4=Exit_Year,F27-F30,0)</f>
        <v>0</v>
      </c>
      <c r="G31" s="35" t="n">
        <f aca="false">IF(G4=Exit_Year,G27-G30,0)</f>
        <v>371.882486744752</v>
      </c>
      <c r="H31" s="6"/>
    </row>
    <row r="32" customFormat="false" ht="15" hidden="false" customHeight="false" outlineLevel="0" collapsed="false">
      <c r="B32" s="6"/>
      <c r="C32" s="6"/>
      <c r="D32" s="6"/>
      <c r="E32" s="6"/>
      <c r="F32" s="6"/>
      <c r="G32" s="6"/>
      <c r="H32" s="6"/>
    </row>
    <row r="33" customFormat="false" ht="15" hidden="false" customHeight="false" outlineLevel="0" collapsed="false">
      <c r="B33" s="7" t="s">
        <v>279</v>
      </c>
      <c r="C33" s="29"/>
      <c r="D33" s="29"/>
      <c r="E33" s="29"/>
      <c r="F33" s="29"/>
      <c r="G33" s="29"/>
      <c r="H33" s="6"/>
    </row>
    <row r="34" customFormat="false" ht="15" hidden="false" customHeight="false" outlineLevel="0" collapsed="false">
      <c r="B34" s="41" t="s">
        <v>280</v>
      </c>
      <c r="C34" s="48" t="n">
        <f aca="false">IF(C4=Exit_Year,IFERROR(C27/SU_CoInvest_Eq,0),0)</f>
        <v>0</v>
      </c>
      <c r="D34" s="48" t="n">
        <f aca="false">IF(D4=Exit_Year,IFERROR(D27/SU_CoInvest_Eq,0),0)</f>
        <v>0</v>
      </c>
      <c r="E34" s="48" t="n">
        <f aca="false">IF(E4=Exit_Year,IFERROR(E27/SU_CoInvest_Eq,0),0)</f>
        <v>0</v>
      </c>
      <c r="F34" s="48" t="n">
        <f aca="false">IF(F4=Exit_Year,IFERROR(F27/SU_CoInvest_Eq,0),0)</f>
        <v>0</v>
      </c>
      <c r="G34" s="48" t="n">
        <f aca="false">IF(G4=Exit_Year,IFERROR(G27/SU_CoInvest_Eq,0),0)</f>
        <v>4.35339981491661</v>
      </c>
      <c r="H34" s="6"/>
    </row>
    <row r="35" customFormat="false" ht="15" hidden="false" customHeight="false" outlineLevel="0" collapsed="false">
      <c r="B35" s="41" t="s">
        <v>281</v>
      </c>
      <c r="C35" s="48" t="n">
        <f aca="false">IF(C4=Exit_Year,IFERROR(C31/SU_CoInvest_Eq,0),0)</f>
        <v>0</v>
      </c>
      <c r="D35" s="48" t="n">
        <f aca="false">IF(D4=Exit_Year,IFERROR(D31/SU_CoInvest_Eq,0),0)</f>
        <v>0</v>
      </c>
      <c r="E35" s="48" t="n">
        <f aca="false">IF(E4=Exit_Year,IFERROR(E31/SU_CoInvest_Eq,0),0)</f>
        <v>0</v>
      </c>
      <c r="F35" s="48" t="n">
        <f aca="false">IF(F4=Exit_Year,IFERROR(F31/SU_CoInvest_Eq,0),0)</f>
        <v>0</v>
      </c>
      <c r="G35" s="48" t="n">
        <f aca="false">IF(G4=Exit_Year,IFERROR(G31/SU_CoInvest_Eq,0),0)</f>
        <v>4.20919622801078</v>
      </c>
      <c r="H35" s="6"/>
    </row>
    <row r="36" customFormat="false" ht="15" hidden="false" customHeight="false" outlineLevel="0" collapsed="false">
      <c r="B36" s="6"/>
      <c r="C36" s="6"/>
      <c r="D36" s="6"/>
      <c r="E36" s="6"/>
      <c r="F36" s="6"/>
      <c r="G36" s="6"/>
      <c r="H36" s="6"/>
    </row>
    <row r="37" customFormat="false" ht="15" hidden="false" customHeight="false" outlineLevel="0" collapsed="false">
      <c r="B37" s="7" t="s">
        <v>282</v>
      </c>
      <c r="C37" s="29"/>
      <c r="D37" s="29"/>
      <c r="E37" s="29"/>
      <c r="F37" s="29"/>
      <c r="G37" s="29"/>
      <c r="H37" s="6"/>
    </row>
    <row r="38" customFormat="false" ht="15" hidden="false" customHeight="false" outlineLevel="0" collapsed="false">
      <c r="B38" s="31" t="s">
        <v>283</v>
      </c>
      <c r="C38" s="32" t="n">
        <f aca="false">-SU_CoInvest_Eq</f>
        <v>-88.35</v>
      </c>
      <c r="D38" s="32" t="n">
        <f aca="false">C27</f>
        <v>0</v>
      </c>
      <c r="E38" s="32" t="n">
        <f aca="false">D27</f>
        <v>0</v>
      </c>
      <c r="F38" s="32" t="n">
        <f aca="false">E27</f>
        <v>0</v>
      </c>
      <c r="G38" s="32" t="n">
        <f aca="false">F27</f>
        <v>0</v>
      </c>
      <c r="H38" s="32" t="n">
        <f aca="false">G27</f>
        <v>384.622873647882</v>
      </c>
    </row>
    <row r="39" customFormat="false" ht="15" hidden="false" customHeight="false" outlineLevel="0" collapsed="false">
      <c r="B39" s="31" t="s">
        <v>284</v>
      </c>
      <c r="C39" s="32" t="n">
        <f aca="false">-SU_CoInvest_Eq</f>
        <v>-88.35</v>
      </c>
      <c r="D39" s="32" t="n">
        <f aca="false">C31-SU_CoInvest_Eq*CoInvest_Fee</f>
        <v>-0.220875</v>
      </c>
      <c r="E39" s="32" t="n">
        <f aca="false">D31-SU_CoInvest_Eq*CoInvest_Fee</f>
        <v>-0.220875</v>
      </c>
      <c r="F39" s="32" t="n">
        <f aca="false">E31-SU_CoInvest_Eq*CoInvest_Fee</f>
        <v>-0.220875</v>
      </c>
      <c r="G39" s="32" t="n">
        <f aca="false">F31-SU_CoInvest_Eq*CoInvest_Fee</f>
        <v>-0.220875</v>
      </c>
      <c r="H39" s="32" t="n">
        <f aca="false">G31-SU_CoInvest_Eq*CoInvest_Fee</f>
        <v>371.661611744752</v>
      </c>
    </row>
    <row r="40" customFormat="false" ht="15" hidden="false" customHeight="false" outlineLevel="0" collapsed="false">
      <c r="B40" s="34" t="s">
        <v>285</v>
      </c>
      <c r="C40" s="36" t="n">
        <f aca="false">IFERROR(IRR(C38:H38),0)</f>
        <v>0.342040774266283</v>
      </c>
      <c r="D40" s="6"/>
      <c r="E40" s="6"/>
      <c r="F40" s="6"/>
      <c r="G40" s="6"/>
      <c r="H40" s="6"/>
    </row>
    <row r="41" customFormat="false" ht="15" hidden="false" customHeight="false" outlineLevel="0" collapsed="false">
      <c r="B41" s="34" t="s">
        <v>286</v>
      </c>
      <c r="C41" s="36" t="n">
        <f aca="false">IFERROR(IRR(C39:H39),0)</f>
        <v>0.331504804465255</v>
      </c>
      <c r="D41" s="6"/>
      <c r="E41" s="6"/>
      <c r="F41" s="6"/>
      <c r="G41" s="6"/>
      <c r="H41" s="6"/>
    </row>
    <row r="42" customFormat="false" ht="15" hidden="false" customHeight="false" outlineLevel="0" collapsed="false">
      <c r="B42" s="6"/>
      <c r="C42" s="6"/>
      <c r="D42" s="6"/>
      <c r="E42" s="6"/>
      <c r="F42" s="6"/>
      <c r="G42" s="6"/>
      <c r="H42" s="6"/>
    </row>
    <row r="43" customFormat="false" ht="15" hidden="false" customHeight="false" outlineLevel="0" collapsed="false">
      <c r="B43" s="7" t="s">
        <v>287</v>
      </c>
      <c r="C43" s="29"/>
      <c r="D43" s="29"/>
      <c r="E43" s="29"/>
      <c r="F43" s="29"/>
      <c r="G43" s="29"/>
      <c r="H43" s="6"/>
    </row>
    <row r="44" customFormat="false" ht="15" hidden="false" customHeight="false" outlineLevel="0" collapsed="false">
      <c r="B44" s="31" t="s">
        <v>288</v>
      </c>
      <c r="C44" s="38" t="n">
        <f aca="false">C41-Target_IRR</f>
        <v>0.131504804465255</v>
      </c>
      <c r="D44" s="6"/>
      <c r="E44" s="6"/>
      <c r="F44" s="6"/>
      <c r="G44" s="6"/>
      <c r="H44" s="6"/>
    </row>
    <row r="45" customFormat="false" ht="15" hidden="false" customHeight="false" outlineLevel="0" collapsed="false">
      <c r="B45" s="31" t="s">
        <v>289</v>
      </c>
      <c r="C45" s="52" t="n">
        <f aca="false">INDEX(RT_CI_Net_MOIC,1,Exit_Year)-Target_MOIC</f>
        <v>1.70919622801078</v>
      </c>
      <c r="D45" s="6"/>
      <c r="E45" s="6"/>
      <c r="F45" s="6"/>
      <c r="G45" s="6"/>
      <c r="H45" s="6"/>
    </row>
    <row r="46" customFormat="false" ht="15" hidden="false" customHeight="false" outlineLevel="0" collapsed="false">
      <c r="B46" s="6"/>
      <c r="C46" s="6"/>
      <c r="D46" s="6"/>
      <c r="E46" s="6"/>
      <c r="F46" s="6"/>
      <c r="G46" s="6"/>
      <c r="H46" s="6"/>
    </row>
    <row r="47" customFormat="false" ht="15" hidden="false" customHeight="false" outlineLevel="0" collapsed="false">
      <c r="B47" s="7" t="s">
        <v>290</v>
      </c>
      <c r="C47" s="29"/>
      <c r="D47" s="29"/>
      <c r="E47" s="29"/>
      <c r="F47" s="29"/>
      <c r="G47" s="29"/>
      <c r="H47" s="6"/>
    </row>
    <row r="48" customFormat="false" ht="15" hidden="false" customHeight="false" outlineLevel="0" collapsed="false">
      <c r="B48" s="18" t="s">
        <v>291</v>
      </c>
      <c r="C48" s="53" t="n">
        <v>0.8</v>
      </c>
      <c r="D48" s="53" t="n">
        <v>0.9</v>
      </c>
      <c r="E48" s="53" t="n">
        <v>1</v>
      </c>
      <c r="F48" s="53" t="n">
        <v>1.1</v>
      </c>
      <c r="G48" s="53" t="n">
        <v>1.2</v>
      </c>
      <c r="H48" s="6"/>
    </row>
    <row r="49" customFormat="false" ht="15" hidden="false" customHeight="false" outlineLevel="0" collapsed="false">
      <c r="B49" s="54" t="n">
        <v>8</v>
      </c>
      <c r="C49" s="55" t="n">
        <f aca="false">IFERROR((((MAX(INDEX(OM_EBITDA,1,Exit_Year)*0.8*8-INDEX(DS_Net_Debt,1,Exit_Year),0)*(1-Sponsor_Share))-MAX((MAX(INDEX(OM_EBITDA,1,Exit_Year)*0.8*8-INDEX(DS_Net_Debt,1,Exit_Year),0)*(1-Sponsor_Share))-SU_CoInvest_Eq*(1+Preferred_Return)^Exit_Year,0)*CoInvest_Carry)/SU_CoInvest_Eq)^(1/Exit_Year)-1,0)</f>
        <v>0.217181565125553</v>
      </c>
      <c r="D49" s="55" t="n">
        <f aca="false">IFERROR((((MAX(INDEX(OM_EBITDA,1,Exit_Year)*0.9*8-INDEX(DS_Net_Debt,1,Exit_Year),0)*(1-Sponsor_Share))-MAX((MAX(INDEX(OM_EBITDA,1,Exit_Year)*0.9*8-INDEX(DS_Net_Debt,1,Exit_Year),0)*(1-Sponsor_Share))-SU_CoInvest_Eq*(1+Preferred_Return)^Exit_Year,0)*CoInvest_Carry)/SU_CoInvest_Eq)^(1/Exit_Year)-1,0)</f>
        <v>0.243367180374693</v>
      </c>
      <c r="E49" s="55" t="n">
        <f aca="false">IFERROR((((MAX(INDEX(OM_EBITDA,1,Exit_Year)*1*8-INDEX(DS_Net_Debt,1,Exit_Year),0)*(1-Sponsor_Share))-MAX((MAX(INDEX(OM_EBITDA,1,Exit_Year)*1*8-INDEX(DS_Net_Debt,1,Exit_Year),0)*(1-Sponsor_Share))-SU_CoInvest_Eq*(1+Preferred_Return)^Exit_Year,0)*CoInvest_Carry)/SU_CoInvest_Eq)^(1/Exit_Year)-1,0)</f>
        <v>0.267516362011984</v>
      </c>
      <c r="F49" s="55" t="n">
        <f aca="false">IFERROR((((MAX(INDEX(OM_EBITDA,1,Exit_Year)*1.1*8-INDEX(DS_Net_Debt,1,Exit_Year),0)*(1-Sponsor_Share))-MAX((MAX(INDEX(OM_EBITDA,1,Exit_Year)*1.1*8-INDEX(DS_Net_Debt,1,Exit_Year),0)*(1-Sponsor_Share))-SU_CoInvest_Eq*(1+Preferred_Return)^Exit_Year,0)*CoInvest_Carry)/SU_CoInvest_Eq)^(1/Exit_Year)-1,0)</f>
        <v>0.289954130287286</v>
      </c>
      <c r="G49" s="55" t="n">
        <f aca="false">IFERROR((((MAX(INDEX(OM_EBITDA,1,Exit_Year)*1.2*8-INDEX(DS_Net_Debt,1,Exit_Year),0)*(1-Sponsor_Share))-MAX((MAX(INDEX(OM_EBITDA,1,Exit_Year)*1.2*8-INDEX(DS_Net_Debt,1,Exit_Year),0)*(1-Sponsor_Share))-SU_CoInvest_Eq*(1+Preferred_Return)^Exit_Year,0)*CoInvest_Carry)/SU_CoInvest_Eq)^(1/Exit_Year)-1,0)</f>
        <v>0.310931335556926</v>
      </c>
      <c r="H49" s="6"/>
    </row>
    <row r="50" customFormat="false" ht="15" hidden="false" customHeight="false" outlineLevel="0" collapsed="false">
      <c r="B50" s="54" t="n">
        <v>10</v>
      </c>
      <c r="C50" s="55" t="n">
        <f aca="false">IFERROR((((MAX(INDEX(OM_EBITDA,1,Exit_Year)*0.8*10-INDEX(DS_Net_Debt,1,Exit_Year),0)*(1-Sponsor_Share))-MAX((MAX(INDEX(OM_EBITDA,1,Exit_Year)*0.8*10-INDEX(DS_Net_Debt,1,Exit_Year),0)*(1-Sponsor_Share))-SU_CoInvest_Eq*(1+Preferred_Return)^Exit_Year,0)*CoInvest_Carry)/SU_CoInvest_Eq)^(1/Exit_Year)-1,0)</f>
        <v>0.267516362011984</v>
      </c>
      <c r="D50" s="55" t="n">
        <f aca="false">IFERROR((((MAX(INDEX(OM_EBITDA,1,Exit_Year)*0.9*10-INDEX(DS_Net_Debt,1,Exit_Year),0)*(1-Sponsor_Share))-MAX((MAX(INDEX(OM_EBITDA,1,Exit_Year)*0.9*10-INDEX(DS_Net_Debt,1,Exit_Year),0)*(1-Sponsor_Share))-SU_CoInvest_Eq*(1+Preferred_Return)^Exit_Year,0)*CoInvest_Carry)/SU_CoInvest_Eq)^(1/Exit_Year)-1,0)</f>
        <v>0.295326851304696</v>
      </c>
      <c r="E50" s="55" t="n">
        <f aca="false">IFERROR((((MAX(INDEX(OM_EBITDA,1,Exit_Year)*1*10-INDEX(DS_Net_Debt,1,Exit_Year),0)*(1-Sponsor_Share))-MAX((MAX(INDEX(OM_EBITDA,1,Exit_Year)*1*10-INDEX(DS_Net_Debt,1,Exit_Year),0)*(1-Sponsor_Share))-SU_CoInvest_Eq*(1+Preferred_Return)^Exit_Year,0)*CoInvest_Carry)/SU_CoInvest_Eq)^(1/Exit_Year)-1,0)</f>
        <v>0.320935727452379</v>
      </c>
      <c r="F50" s="55" t="n">
        <f aca="false">IFERROR((((MAX(INDEX(OM_EBITDA,1,Exit_Year)*1.1*10-INDEX(DS_Net_Debt,1,Exit_Year),0)*(1-Sponsor_Share))-MAX((MAX(INDEX(OM_EBITDA,1,Exit_Year)*1.1*10-INDEX(DS_Net_Debt,1,Exit_Year),0)*(1-Sponsor_Share))-SU_CoInvest_Eq*(1+Preferred_Return)^Exit_Year,0)*CoInvest_Carry)/SU_CoInvest_Eq)^(1/Exit_Year)-1,0)</f>
        <v>0.344700121235705</v>
      </c>
      <c r="G50" s="55" t="n">
        <f aca="false">IFERROR((((MAX(INDEX(OM_EBITDA,1,Exit_Year)*1.2*10-INDEX(DS_Net_Debt,1,Exit_Year),0)*(1-Sponsor_Share))-MAX((MAX(INDEX(OM_EBITDA,1,Exit_Year)*1.2*10-INDEX(DS_Net_Debt,1,Exit_Year),0)*(1-Sponsor_Share))-SU_CoInvest_Eq*(1+Preferred_Return)^Exit_Year,0)*CoInvest_Carry)/SU_CoInvest_Eq)^(1/Exit_Year)-1,0)</f>
        <v>0.366894441422383</v>
      </c>
      <c r="H50" s="6"/>
    </row>
    <row r="51" customFormat="false" ht="15" hidden="false" customHeight="false" outlineLevel="0" collapsed="false">
      <c r="B51" s="54" t="n">
        <v>12</v>
      </c>
      <c r="C51" s="55" t="n">
        <f aca="false">IFERROR((((MAX(INDEX(OM_EBITDA,1,Exit_Year)*0.8*12-INDEX(DS_Net_Debt,1,Exit_Year),0)*(1-Sponsor_Share))-MAX((MAX(INDEX(OM_EBITDA,1,Exit_Year)*0.8*12-INDEX(DS_Net_Debt,1,Exit_Year),0)*(1-Sponsor_Share))-SU_CoInvest_Eq*(1+Preferred_Return)^Exit_Year,0)*CoInvest_Carry)/SU_CoInvest_Eq)^(1/Exit_Year)-1,0)</f>
        <v>0.310931335556926</v>
      </c>
      <c r="D51" s="55" t="n">
        <f aca="false">IFERROR((((MAX(INDEX(OM_EBITDA,1,Exit_Year)*0.9*12-INDEX(DS_Net_Debt,1,Exit_Year),0)*(1-Sponsor_Share))-MAX((MAX(INDEX(OM_EBITDA,1,Exit_Year)*0.9*12-INDEX(DS_Net_Debt,1,Exit_Year),0)*(1-Sponsor_Share))-SU_CoInvest_Eq*(1+Preferred_Return)^Exit_Year,0)*CoInvest_Carry)/SU_CoInvest_Eq)^(1/Exit_Year)-1,0)</f>
        <v>0.340080661852044</v>
      </c>
      <c r="E51" s="55" t="n">
        <f aca="false">IFERROR((((MAX(INDEX(OM_EBITDA,1,Exit_Year)*1*12-INDEX(DS_Net_Debt,1,Exit_Year),0)*(1-Sponsor_Share))-MAX((MAX(INDEX(OM_EBITDA,1,Exit_Year)*1*12-INDEX(DS_Net_Debt,1,Exit_Year),0)*(1-Sponsor_Share))-SU_CoInvest_Eq*(1+Preferred_Return)^Exit_Year,0)*CoInvest_Carry)/SU_CoInvest_Eq)^(1/Exit_Year)-1,0)</f>
        <v>0.366894441422383</v>
      </c>
      <c r="F51" s="55" t="n">
        <f aca="false">IFERROR((((MAX(INDEX(OM_EBITDA,1,Exit_Year)*1.1*12-INDEX(DS_Net_Debt,1,Exit_Year),0)*(1-Sponsor_Share))-MAX((MAX(INDEX(OM_EBITDA,1,Exit_Year)*1.1*12-INDEX(DS_Net_Debt,1,Exit_Year),0)*(1-Sponsor_Share))-SU_CoInvest_Eq*(1+Preferred_Return)^Exit_Year,0)*CoInvest_Carry)/SU_CoInvest_Eq)^(1/Exit_Year)-1,0)</f>
        <v>0.391755707938599</v>
      </c>
      <c r="G51" s="55" t="n">
        <f aca="false">IFERROR((((MAX(INDEX(OM_EBITDA,1,Exit_Year)*1.2*12-INDEX(DS_Net_Debt,1,Exit_Year),0)*(1-Sponsor_Share))-MAX((MAX(INDEX(OM_EBITDA,1,Exit_Year)*1.2*12-INDEX(DS_Net_Debt,1,Exit_Year),0)*(1-Sponsor_Share))-SU_CoInvest_Eq*(1+Preferred_Return)^Exit_Year,0)*CoInvest_Carry)/SU_CoInvest_Eq)^(1/Exit_Year)-1,0)</f>
        <v>0.414957875430725</v>
      </c>
      <c r="H51" s="6"/>
    </row>
    <row r="52" customFormat="false" ht="15" hidden="false" customHeight="false" outlineLevel="0" collapsed="false">
      <c r="B52" s="54" t="n">
        <v>14</v>
      </c>
      <c r="C52" s="55" t="n">
        <f aca="false">IFERROR((((MAX(INDEX(OM_EBITDA,1,Exit_Year)*0.8*14-INDEX(DS_Net_Debt,1,Exit_Year),0)*(1-Sponsor_Share))-MAX((MAX(INDEX(OM_EBITDA,1,Exit_Year)*0.8*14-INDEX(DS_Net_Debt,1,Exit_Year),0)*(1-Sponsor_Share))-SU_CoInvest_Eq*(1+Preferred_Return)^Exit_Year,0)*CoInvest_Carry)/SU_CoInvest_Eq)^(1/Exit_Year)-1,0)</f>
        <v>0.349256962184218</v>
      </c>
      <c r="D52" s="55" t="n">
        <f aca="false">IFERROR((((MAX(INDEX(OM_EBITDA,1,Exit_Year)*0.9*14-INDEX(DS_Net_Debt,1,Exit_Year),0)*(1-Sponsor_Share))-MAX((MAX(INDEX(OM_EBITDA,1,Exit_Year)*0.9*14-INDEX(DS_Net_Debt,1,Exit_Year),0)*(1-Sponsor_Share))-SU_CoInvest_Eq*(1+Preferred_Return)^Exit_Year,0)*CoInvest_Carry)/SU_CoInvest_Eq)^(1/Exit_Year)-1,0)</f>
        <v>0.379549063559994</v>
      </c>
      <c r="E52" s="55" t="n">
        <f aca="false">IFERROR((((MAX(INDEX(OM_EBITDA,1,Exit_Year)*1*14-INDEX(DS_Net_Debt,1,Exit_Year),0)*(1-Sponsor_Share))-MAX((MAX(INDEX(OM_EBITDA,1,Exit_Year)*1*14-INDEX(DS_Net_Debt,1,Exit_Year),0)*(1-Sponsor_Share))-SU_CoInvest_Eq*(1+Preferred_Return)^Exit_Year,0)*CoInvest_Carry)/SU_CoInvest_Eq)^(1/Exit_Year)-1,0)</f>
        <v>0.407392876682225</v>
      </c>
      <c r="F52" s="55" t="n">
        <f aca="false">IFERROR((((MAX(INDEX(OM_EBITDA,1,Exit_Year)*1.1*14-INDEX(DS_Net_Debt,1,Exit_Year),0)*(1-Sponsor_Share))-MAX((MAX(INDEX(OM_EBITDA,1,Exit_Year)*1.1*14-INDEX(DS_Net_Debt,1,Exit_Year),0)*(1-Sponsor_Share))-SU_CoInvest_Eq*(1+Preferred_Return)^Exit_Year,0)*CoInvest_Carry)/SU_CoInvest_Eq)^(1/Exit_Year)-1,0)</f>
        <v>0.433193112459775</v>
      </c>
      <c r="G52" s="55" t="n">
        <f aca="false">IFERROR((((MAX(INDEX(OM_EBITDA,1,Exit_Year)*1.2*14-INDEX(DS_Net_Debt,1,Exit_Year),0)*(1-Sponsor_Share))-MAX((MAX(INDEX(OM_EBITDA,1,Exit_Year)*1.2*14-INDEX(DS_Net_Debt,1,Exit_Year),0)*(1-Sponsor_Share))-SU_CoInvest_Eq*(1+Preferred_Return)^Exit_Year,0)*CoInvest_Carry)/SU_CoInvest_Eq)^(1/Exit_Year)-1,0)</f>
        <v>0.457259100835225</v>
      </c>
      <c r="H52" s="6"/>
    </row>
    <row r="53" customFormat="false" ht="15" hidden="false" customHeight="false" outlineLevel="0" collapsed="false">
      <c r="B53" s="54" t="n">
        <v>16</v>
      </c>
      <c r="C53" s="55" t="n">
        <f aca="false">IFERROR((((MAX(INDEX(OM_EBITDA,1,Exit_Year)*0.8*16-INDEX(DS_Net_Debt,1,Exit_Year),0)*(1-Sponsor_Share))-MAX((MAX(INDEX(OM_EBITDA,1,Exit_Year)*0.8*16-INDEX(DS_Net_Debt,1,Exit_Year),0)*(1-Sponsor_Share))-SU_CoInvest_Eq*(1+Preferred_Return)^Exit_Year,0)*CoInvest_Carry)/SU_CoInvest_Eq)^(1/Exit_Year)-1,0)</f>
        <v>0.383665945396652</v>
      </c>
      <c r="D53" s="55" t="n">
        <f aca="false">IFERROR((((MAX(INDEX(OM_EBITDA,1,Exit_Year)*0.9*16-INDEX(DS_Net_Debt,1,Exit_Year),0)*(1-Sponsor_Share))-MAX((MAX(INDEX(OM_EBITDA,1,Exit_Year)*0.9*16-INDEX(DS_Net_Debt,1,Exit_Year),0)*(1-Sponsor_Share))-SU_CoInvest_Eq*(1+Preferred_Return)^Exit_Year,0)*CoInvest_Carry)/SU_CoInvest_Eq)^(1/Exit_Year)-1,0)</f>
        <v>0.414957875430725</v>
      </c>
      <c r="E53" s="55" t="n">
        <f aca="false">IFERROR((((MAX(INDEX(OM_EBITDA,1,Exit_Year)*1*16-INDEX(DS_Net_Debt,1,Exit_Year),0)*(1-Sponsor_Share))-MAX((MAX(INDEX(OM_EBITDA,1,Exit_Year)*1*16-INDEX(DS_Net_Debt,1,Exit_Year),0)*(1-Sponsor_Share))-SU_CoInvest_Eq*(1+Preferred_Return)^Exit_Year,0)*CoInvest_Carry)/SU_CoInvest_Eq)^(1/Exit_Year)-1,0)</f>
        <v>0.44370404762359</v>
      </c>
      <c r="F53" s="55" t="n">
        <f aca="false">IFERROR((((MAX(INDEX(OM_EBITDA,1,Exit_Year)*1.1*16-INDEX(DS_Net_Debt,1,Exit_Year),0)*(1-Sponsor_Share))-MAX((MAX(INDEX(OM_EBITDA,1,Exit_Year)*1.1*16-INDEX(DS_Net_Debt,1,Exit_Year),0)*(1-Sponsor_Share))-SU_CoInvest_Eq*(1+Preferred_Return)^Exit_Year,0)*CoInvest_Carry)/SU_CoInvest_Eq)^(1/Exit_Year)-1,0)</f>
        <v>0.47032780555654</v>
      </c>
      <c r="G53" s="55" t="n">
        <f aca="false">IFERROR((((MAX(INDEX(OM_EBITDA,1,Exit_Year)*1.2*16-INDEX(DS_Net_Debt,1,Exit_Year),0)*(1-Sponsor_Share))-MAX((MAX(INDEX(OM_EBITDA,1,Exit_Year)*1.2*16-INDEX(DS_Net_Debt,1,Exit_Year),0)*(1-Sponsor_Share))-SU_CoInvest_Eq*(1+Preferred_Return)^Exit_Year,0)*CoInvest_Carry)/SU_CoInvest_Eq)^(1/Exit_Year)-1,0)</f>
        <v>0.495152172718795</v>
      </c>
      <c r="H53" s="6"/>
    </row>
    <row r="54" customFormat="false" ht="15" hidden="false" customHeight="false" outlineLevel="0" collapsed="false">
      <c r="B54" s="6"/>
      <c r="C54" s="6"/>
      <c r="D54" s="6"/>
      <c r="E54" s="6"/>
      <c r="F54" s="6"/>
      <c r="G54" s="6"/>
      <c r="H54" s="6"/>
    </row>
    <row r="55" customFormat="false" ht="15" hidden="false" customHeight="false" outlineLevel="0" collapsed="false">
      <c r="B55" s="6"/>
      <c r="C55" s="6"/>
      <c r="D55" s="6"/>
      <c r="E55" s="6"/>
      <c r="F55" s="6"/>
      <c r="G55" s="6"/>
      <c r="H55" s="6"/>
    </row>
    <row r="56" customFormat="false" ht="15" hidden="false" customHeight="false" outlineLevel="0" collapsed="false">
      <c r="B56" s="7" t="s">
        <v>292</v>
      </c>
      <c r="C56" s="29"/>
      <c r="D56" s="29"/>
      <c r="E56" s="29"/>
      <c r="F56" s="29"/>
      <c r="G56" s="29"/>
      <c r="H56" s="6"/>
    </row>
    <row r="57" customFormat="false" ht="15" hidden="false" customHeight="false" outlineLevel="0" collapsed="false">
      <c r="B57" s="18" t="s">
        <v>291</v>
      </c>
      <c r="C57" s="53" t="n">
        <v>0.8</v>
      </c>
      <c r="D57" s="53" t="n">
        <v>0.9</v>
      </c>
      <c r="E57" s="53" t="n">
        <v>1</v>
      </c>
      <c r="F57" s="53" t="n">
        <v>1.1</v>
      </c>
      <c r="G57" s="53" t="n">
        <v>1.2</v>
      </c>
      <c r="H57" s="6"/>
    </row>
    <row r="58" customFormat="false" ht="15" hidden="false" customHeight="false" outlineLevel="0" collapsed="false">
      <c r="B58" s="54" t="n">
        <v>8</v>
      </c>
      <c r="C58" s="56" t="n">
        <f aca="false">IFERROR(((MAX(INDEX(OM_EBITDA,1,Exit_Year)*0.8*8-INDEX(DS_Net_Debt,1,Exit_Year),0)*(1-Sponsor_Share))-MAX((MAX(INDEX(OM_EBITDA,1,Exit_Year)*0.8*8-INDEX(DS_Net_Debt,1,Exit_Year),0)*(1-Sponsor_Share))-SU_CoInvest_Eq*(1+Preferred_Return)^Exit_Year,0)*CoInvest_Carry)/SU_CoInvest_Eq,0)</f>
        <v>2.67163319269304</v>
      </c>
      <c r="D58" s="56" t="n">
        <f aca="false">IFERROR(((MAX(INDEX(OM_EBITDA,1,Exit_Year)*0.9*8-INDEX(DS_Net_Debt,1,Exit_Year),0)*(1-Sponsor_Share))-MAX((MAX(INDEX(OM_EBITDA,1,Exit_Year)*0.9*8-INDEX(DS_Net_Debt,1,Exit_Year),0)*(1-Sponsor_Share))-SU_CoInvest_Eq*(1+Preferred_Return)^Exit_Year,0)*CoInvest_Carry)/SU_CoInvest_Eq,0)</f>
        <v>2.97164549226723</v>
      </c>
      <c r="E58" s="56" t="n">
        <f aca="false">IFERROR(((MAX(INDEX(OM_EBITDA,1,Exit_Year)*1*8-INDEX(DS_Net_Debt,1,Exit_Year),0)*(1-Sponsor_Share))-MAX((MAX(INDEX(OM_EBITDA,1,Exit_Year)*1*8-INDEX(DS_Net_Debt,1,Exit_Year),0)*(1-Sponsor_Share))-SU_CoInvest_Eq*(1+Preferred_Return)^Exit_Year,0)*CoInvest_Carry)/SU_CoInvest_Eq,0)</f>
        <v>3.27165779184142</v>
      </c>
      <c r="F58" s="56" t="n">
        <f aca="false">IFERROR(((MAX(INDEX(OM_EBITDA,1,Exit_Year)*1.1*8-INDEX(DS_Net_Debt,1,Exit_Year),0)*(1-Sponsor_Share))-MAX((MAX(INDEX(OM_EBITDA,1,Exit_Year)*1.1*8-INDEX(DS_Net_Debt,1,Exit_Year),0)*(1-Sponsor_Share))-SU_CoInvest_Eq*(1+Preferred_Return)^Exit_Year,0)*CoInvest_Carry)/SU_CoInvest_Eq,0)</f>
        <v>3.57167009141562</v>
      </c>
      <c r="G58" s="56" t="n">
        <f aca="false">IFERROR(((MAX(INDEX(OM_EBITDA,1,Exit_Year)*1.2*8-INDEX(DS_Net_Debt,1,Exit_Year),0)*(1-Sponsor_Share))-MAX((MAX(INDEX(OM_EBITDA,1,Exit_Year)*1.2*8-INDEX(DS_Net_Debt,1,Exit_Year),0)*(1-Sponsor_Share))-SU_CoInvest_Eq*(1+Preferred_Return)^Exit_Year,0)*CoInvest_Carry)/SU_CoInvest_Eq,0)</f>
        <v>3.87168239098981</v>
      </c>
      <c r="H58" s="6"/>
    </row>
    <row r="59" customFormat="false" ht="15" hidden="false" customHeight="false" outlineLevel="0" collapsed="false">
      <c r="B59" s="54" t="n">
        <v>10</v>
      </c>
      <c r="C59" s="56" t="n">
        <f aca="false">IFERROR(((MAX(INDEX(OM_EBITDA,1,Exit_Year)*0.8*10-INDEX(DS_Net_Debt,1,Exit_Year),0)*(1-Sponsor_Share))-MAX((MAX(INDEX(OM_EBITDA,1,Exit_Year)*0.8*10-INDEX(DS_Net_Debt,1,Exit_Year),0)*(1-Sponsor_Share))-SU_CoInvest_Eq*(1+Preferred_Return)^Exit_Year,0)*CoInvest_Carry)/SU_CoInvest_Eq,0)</f>
        <v>3.27165779184142</v>
      </c>
      <c r="D59" s="56" t="n">
        <f aca="false">IFERROR(((MAX(INDEX(OM_EBITDA,1,Exit_Year)*0.9*10-INDEX(DS_Net_Debt,1,Exit_Year),0)*(1-Sponsor_Share))-MAX((MAX(INDEX(OM_EBITDA,1,Exit_Year)*0.9*10-INDEX(DS_Net_Debt,1,Exit_Year),0)*(1-Sponsor_Share))-SU_CoInvest_Eq*(1+Preferred_Return)^Exit_Year,0)*CoInvest_Carry)/SU_CoInvest_Eq,0)</f>
        <v>3.64667316630916</v>
      </c>
      <c r="E59" s="56" t="n">
        <f aca="false">IFERROR(((MAX(INDEX(OM_EBITDA,1,Exit_Year)*1*10-INDEX(DS_Net_Debt,1,Exit_Year),0)*(1-Sponsor_Share))-MAX((MAX(INDEX(OM_EBITDA,1,Exit_Year)*1*10-INDEX(DS_Net_Debt,1,Exit_Year),0)*(1-Sponsor_Share))-SU_CoInvest_Eq*(1+Preferred_Return)^Exit_Year,0)*CoInvest_Carry)/SU_CoInvest_Eq,0)</f>
        <v>4.02168854077691</v>
      </c>
      <c r="F59" s="56" t="n">
        <f aca="false">IFERROR(((MAX(INDEX(OM_EBITDA,1,Exit_Year)*1.1*10-INDEX(DS_Net_Debt,1,Exit_Year),0)*(1-Sponsor_Share))-MAX((MAX(INDEX(OM_EBITDA,1,Exit_Year)*1.1*10-INDEX(DS_Net_Debt,1,Exit_Year),0)*(1-Sponsor_Share))-SU_CoInvest_Eq*(1+Preferred_Return)^Exit_Year,0)*CoInvest_Carry)/SU_CoInvest_Eq,0)</f>
        <v>4.39670391524465</v>
      </c>
      <c r="G59" s="56" t="n">
        <f aca="false">IFERROR(((MAX(INDEX(OM_EBITDA,1,Exit_Year)*1.2*10-INDEX(DS_Net_Debt,1,Exit_Year),0)*(1-Sponsor_Share))-MAX((MAX(INDEX(OM_EBITDA,1,Exit_Year)*1.2*10-INDEX(DS_Net_Debt,1,Exit_Year),0)*(1-Sponsor_Share))-SU_CoInvest_Eq*(1+Preferred_Return)^Exit_Year,0)*CoInvest_Carry)/SU_CoInvest_Eq,0)</f>
        <v>4.77171928971239</v>
      </c>
      <c r="H59" s="6"/>
    </row>
    <row r="60" customFormat="false" ht="15" hidden="false" customHeight="false" outlineLevel="0" collapsed="false">
      <c r="B60" s="54" t="n">
        <v>12</v>
      </c>
      <c r="C60" s="56" t="n">
        <f aca="false">IFERROR(((MAX(INDEX(OM_EBITDA,1,Exit_Year)*0.8*12-INDEX(DS_Net_Debt,1,Exit_Year),0)*(1-Sponsor_Share))-MAX((MAX(INDEX(OM_EBITDA,1,Exit_Year)*0.8*12-INDEX(DS_Net_Debt,1,Exit_Year),0)*(1-Sponsor_Share))-SU_CoInvest_Eq*(1+Preferred_Return)^Exit_Year,0)*CoInvest_Carry)/SU_CoInvest_Eq,0)</f>
        <v>3.87168239098981</v>
      </c>
      <c r="D60" s="56" t="n">
        <f aca="false">IFERROR(((MAX(INDEX(OM_EBITDA,1,Exit_Year)*0.9*12-INDEX(DS_Net_Debt,1,Exit_Year),0)*(1-Sponsor_Share))-MAX((MAX(INDEX(OM_EBITDA,1,Exit_Year)*0.9*12-INDEX(DS_Net_Debt,1,Exit_Year),0)*(1-Sponsor_Share))-SU_CoInvest_Eq*(1+Preferred_Return)^Exit_Year,0)*CoInvest_Carry)/SU_CoInvest_Eq,0)</f>
        <v>4.3217008403511</v>
      </c>
      <c r="E60" s="56" t="n">
        <f aca="false">IFERROR(((MAX(INDEX(OM_EBITDA,1,Exit_Year)*1*12-INDEX(DS_Net_Debt,1,Exit_Year),0)*(1-Sponsor_Share))-MAX((MAX(INDEX(OM_EBITDA,1,Exit_Year)*1*12-INDEX(DS_Net_Debt,1,Exit_Year),0)*(1-Sponsor_Share))-SU_CoInvest_Eq*(1+Preferred_Return)^Exit_Year,0)*CoInvest_Carry)/SU_CoInvest_Eq,0)</f>
        <v>4.77171928971239</v>
      </c>
      <c r="F60" s="56" t="n">
        <f aca="false">IFERROR(((MAX(INDEX(OM_EBITDA,1,Exit_Year)*1.1*12-INDEX(DS_Net_Debt,1,Exit_Year),0)*(1-Sponsor_Share))-MAX((MAX(INDEX(OM_EBITDA,1,Exit_Year)*1.1*12-INDEX(DS_Net_Debt,1,Exit_Year),0)*(1-Sponsor_Share))-SU_CoInvest_Eq*(1+Preferred_Return)^Exit_Year,0)*CoInvest_Carry)/SU_CoInvest_Eq,0)</f>
        <v>5.22173773907368</v>
      </c>
      <c r="G60" s="56" t="n">
        <f aca="false">IFERROR(((MAX(INDEX(OM_EBITDA,1,Exit_Year)*1.2*12-INDEX(DS_Net_Debt,1,Exit_Year),0)*(1-Sponsor_Share))-MAX((MAX(INDEX(OM_EBITDA,1,Exit_Year)*1.2*12-INDEX(DS_Net_Debt,1,Exit_Year),0)*(1-Sponsor_Share))-SU_CoInvest_Eq*(1+Preferred_Return)^Exit_Year,0)*CoInvest_Carry)/SU_CoInvest_Eq,0)</f>
        <v>5.67175618843497</v>
      </c>
      <c r="H60" s="6"/>
    </row>
    <row r="61" customFormat="false" ht="15" hidden="false" customHeight="false" outlineLevel="0" collapsed="false">
      <c r="B61" s="54" t="n">
        <v>14</v>
      </c>
      <c r="C61" s="56" t="n">
        <f aca="false">IFERROR(((MAX(INDEX(OM_EBITDA,1,Exit_Year)*0.8*14-INDEX(DS_Net_Debt,1,Exit_Year),0)*(1-Sponsor_Share))-MAX((MAX(INDEX(OM_EBITDA,1,Exit_Year)*0.8*14-INDEX(DS_Net_Debt,1,Exit_Year),0)*(1-Sponsor_Share))-SU_CoInvest_Eq*(1+Preferred_Return)^Exit_Year,0)*CoInvest_Carry)/SU_CoInvest_Eq,0)</f>
        <v>4.4717069901382</v>
      </c>
      <c r="D61" s="56" t="n">
        <f aca="false">IFERROR(((MAX(INDEX(OM_EBITDA,1,Exit_Year)*0.9*14-INDEX(DS_Net_Debt,1,Exit_Year),0)*(1-Sponsor_Share))-MAX((MAX(INDEX(OM_EBITDA,1,Exit_Year)*0.9*14-INDEX(DS_Net_Debt,1,Exit_Year),0)*(1-Sponsor_Share))-SU_CoInvest_Eq*(1+Preferred_Return)^Exit_Year,0)*CoInvest_Carry)/SU_CoInvest_Eq,0)</f>
        <v>4.99672851439304</v>
      </c>
      <c r="E61" s="56" t="n">
        <f aca="false">IFERROR(((MAX(INDEX(OM_EBITDA,1,Exit_Year)*1*14-INDEX(DS_Net_Debt,1,Exit_Year),0)*(1-Sponsor_Share))-MAX((MAX(INDEX(OM_EBITDA,1,Exit_Year)*1*14-INDEX(DS_Net_Debt,1,Exit_Year),0)*(1-Sponsor_Share))-SU_CoInvest_Eq*(1+Preferred_Return)^Exit_Year,0)*CoInvest_Carry)/SU_CoInvest_Eq,0)</f>
        <v>5.52175003864787</v>
      </c>
      <c r="F61" s="56" t="n">
        <f aca="false">IFERROR(((MAX(INDEX(OM_EBITDA,1,Exit_Year)*1.1*14-INDEX(DS_Net_Debt,1,Exit_Year),0)*(1-Sponsor_Share))-MAX((MAX(INDEX(OM_EBITDA,1,Exit_Year)*1.1*14-INDEX(DS_Net_Debt,1,Exit_Year),0)*(1-Sponsor_Share))-SU_CoInvest_Eq*(1+Preferred_Return)^Exit_Year,0)*CoInvest_Carry)/SU_CoInvest_Eq,0)</f>
        <v>6.04677156290271</v>
      </c>
      <c r="G61" s="56" t="n">
        <f aca="false">IFERROR(((MAX(INDEX(OM_EBITDA,1,Exit_Year)*1.2*14-INDEX(DS_Net_Debt,1,Exit_Year),0)*(1-Sponsor_Share))-MAX((MAX(INDEX(OM_EBITDA,1,Exit_Year)*1.2*14-INDEX(DS_Net_Debt,1,Exit_Year),0)*(1-Sponsor_Share))-SU_CoInvest_Eq*(1+Preferred_Return)^Exit_Year,0)*CoInvest_Carry)/SU_CoInvest_Eq,0)</f>
        <v>6.57179308715755</v>
      </c>
      <c r="H61" s="6"/>
    </row>
    <row r="62" customFormat="false" ht="15" hidden="false" customHeight="false" outlineLevel="0" collapsed="false">
      <c r="B62" s="54" t="n">
        <v>16</v>
      </c>
      <c r="C62" s="56" t="n">
        <f aca="false">IFERROR(((MAX(INDEX(OM_EBITDA,1,Exit_Year)*0.8*16-INDEX(DS_Net_Debt,1,Exit_Year),0)*(1-Sponsor_Share))-MAX((MAX(INDEX(OM_EBITDA,1,Exit_Year)*0.8*16-INDEX(DS_Net_Debt,1,Exit_Year),0)*(1-Sponsor_Share))-SU_CoInvest_Eq*(1+Preferred_Return)^Exit_Year,0)*CoInvest_Carry)/SU_CoInvest_Eq,0)</f>
        <v>5.07173158928658</v>
      </c>
      <c r="D62" s="56" t="n">
        <f aca="false">IFERROR(((MAX(INDEX(OM_EBITDA,1,Exit_Year)*0.9*16-INDEX(DS_Net_Debt,1,Exit_Year),0)*(1-Sponsor_Share))-MAX((MAX(INDEX(OM_EBITDA,1,Exit_Year)*0.9*16-INDEX(DS_Net_Debt,1,Exit_Year),0)*(1-Sponsor_Share))-SU_CoInvest_Eq*(1+Preferred_Return)^Exit_Year,0)*CoInvest_Carry)/SU_CoInvest_Eq,0)</f>
        <v>5.67175618843497</v>
      </c>
      <c r="E62" s="56" t="n">
        <f aca="false">IFERROR(((MAX(INDEX(OM_EBITDA,1,Exit_Year)*1*16-INDEX(DS_Net_Debt,1,Exit_Year),0)*(1-Sponsor_Share))-MAX((MAX(INDEX(OM_EBITDA,1,Exit_Year)*1*16-INDEX(DS_Net_Debt,1,Exit_Year),0)*(1-Sponsor_Share))-SU_CoInvest_Eq*(1+Preferred_Return)^Exit_Year,0)*CoInvest_Carry)/SU_CoInvest_Eq,0)</f>
        <v>6.27178078758336</v>
      </c>
      <c r="F62" s="56" t="n">
        <f aca="false">IFERROR(((MAX(INDEX(OM_EBITDA,1,Exit_Year)*1.1*16-INDEX(DS_Net_Debt,1,Exit_Year),0)*(1-Sponsor_Share))-MAX((MAX(INDEX(OM_EBITDA,1,Exit_Year)*1.1*16-INDEX(DS_Net_Debt,1,Exit_Year),0)*(1-Sponsor_Share))-SU_CoInvest_Eq*(1+Preferred_Return)^Exit_Year,0)*CoInvest_Carry)/SU_CoInvest_Eq,0)</f>
        <v>6.87180538673175</v>
      </c>
      <c r="G62" s="56" t="n">
        <f aca="false">IFERROR(((MAX(INDEX(OM_EBITDA,1,Exit_Year)*1.2*16-INDEX(DS_Net_Debt,1,Exit_Year),0)*(1-Sponsor_Share))-MAX((MAX(INDEX(OM_EBITDA,1,Exit_Year)*1.2*16-INDEX(DS_Net_Debt,1,Exit_Year),0)*(1-Sponsor_Share))-SU_CoInvest_Eq*(1+Preferred_Return)^Exit_Year,0)*CoInvest_Carry)/SU_CoInvest_Eq,0)</f>
        <v>7.47182998588013</v>
      </c>
      <c r="H62" s="6"/>
    </row>
  </sheetData>
  <conditionalFormatting sqref="C49:G53">
    <cfRule type="colorScale" priority="2">
      <colorScale>
        <cfvo type="min" val="0"/>
        <cfvo type="percentile" val="50"/>
        <cfvo type="max" val="0"/>
        <color rgb="FFF8696B"/>
        <color rgb="FFFFFFFF"/>
        <color rgb="FF63BE7B"/>
      </colorScale>
    </cfRule>
  </conditionalFormatting>
  <conditionalFormatting sqref="C58:G62">
    <cfRule type="colorScale" priority="3">
      <colorScale>
        <cfvo type="min" val="0"/>
        <cfvo type="percentile" val="50"/>
        <cfvo type="max" val="0"/>
        <color rgb="FFF8696B"/>
        <color rgb="FFFFFFFF"/>
        <color rgb="FF63BE7B"/>
      </colorScale>
    </cfRule>
  </conditionalFormatting>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AD1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3" min="3" style="0" width="16"/>
    <col collapsed="false" customWidth="true" hidden="false" outlineLevel="0" max="4" min="4" style="0" width="44"/>
  </cols>
  <sheetData>
    <row r="1" customFormat="false" ht="15" hidden="false" customHeight="false" outlineLevel="0" collapsed="false">
      <c r="A1" s="1"/>
      <c r="B1" s="2"/>
      <c r="C1" s="2"/>
      <c r="D1" s="2"/>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3" t="s">
        <v>293</v>
      </c>
      <c r="C2" s="2"/>
      <c r="D2" s="2"/>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5" t="s">
        <v>294</v>
      </c>
      <c r="C3" s="2"/>
      <c r="D3" s="2"/>
      <c r="E3" s="1"/>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B4" s="6"/>
      <c r="C4" s="6"/>
      <c r="D4" s="6"/>
    </row>
    <row r="5" customFormat="false" ht="15" hidden="false" customHeight="false" outlineLevel="0" collapsed="false">
      <c r="B5" s="6"/>
      <c r="C5" s="6"/>
      <c r="D5" s="6"/>
    </row>
    <row r="6" customFormat="false" ht="15" hidden="false" customHeight="false" outlineLevel="0" collapsed="false">
      <c r="B6" s="7" t="s">
        <v>295</v>
      </c>
      <c r="C6" s="7" t="s">
        <v>296</v>
      </c>
      <c r="D6" s="7" t="s">
        <v>297</v>
      </c>
    </row>
    <row r="7" customFormat="false" ht="15" hidden="false" customHeight="false" outlineLevel="0" collapsed="false">
      <c r="B7" s="20" t="s">
        <v>298</v>
      </c>
      <c r="C7" s="57" t="str">
        <f aca="false">IF(ABS(SU_Check)&lt;0.01,"PASS","FAIL")</f>
        <v>PASS</v>
      </c>
      <c r="D7" s="22" t="s">
        <v>299</v>
      </c>
    </row>
    <row r="8" customFormat="false" ht="15" hidden="false" customHeight="false" outlineLevel="0" collapsed="false">
      <c r="B8" s="20" t="s">
        <v>300</v>
      </c>
      <c r="C8" s="57" t="str">
        <f aca="false">IF(MIN(Cash_Flow!C27:G27)&gt;=0,"PASS","FAIL")</f>
        <v>PASS</v>
      </c>
      <c r="D8" s="22" t="s">
        <v>301</v>
      </c>
    </row>
    <row r="9" customFormat="false" ht="15" hidden="false" customHeight="false" outlineLevel="0" collapsed="false">
      <c r="B9" s="20" t="s">
        <v>302</v>
      </c>
      <c r="C9" s="57" t="str">
        <f aca="false">IF(Debt_Schedule!G12&lt;Debt_Schedule!C7,"PASS","FAIL")</f>
        <v>PASS</v>
      </c>
      <c r="D9" s="22" t="s">
        <v>303</v>
      </c>
    </row>
    <row r="10" customFormat="false" ht="15" hidden="false" customHeight="false" outlineLevel="0" collapsed="false">
      <c r="B10" s="20" t="s">
        <v>304</v>
      </c>
      <c r="C10" s="57" t="str">
        <f aca="false">IF(MAX(Debt_Schedule!C29:G29)&lt;=6,"PASS","FAIL")</f>
        <v>PASS</v>
      </c>
      <c r="D10" s="22" t="s">
        <v>305</v>
      </c>
    </row>
    <row r="11" customFormat="false" ht="15" hidden="false" customHeight="false" outlineLevel="0" collapsed="false">
      <c r="B11" s="20" t="s">
        <v>306</v>
      </c>
      <c r="C11" s="57" t="str">
        <f aca="false">IF(MIN(Debt_Schedule!C30:G30)&gt;=2,"PASS","FAIL")</f>
        <v>PASS</v>
      </c>
      <c r="D11" s="22" t="s">
        <v>307</v>
      </c>
    </row>
    <row r="12" customFormat="false" ht="15" hidden="false" customHeight="false" outlineLevel="0" collapsed="false">
      <c r="B12" s="20" t="s">
        <v>308</v>
      </c>
      <c r="C12" s="57" t="str">
        <f aca="false">IF(AND(MIN(Operating_Model!C28:G28)&gt;=0.1,MAX(Operating_Model!C28:G28)&lt;=0.5),"PASS","FAIL")</f>
        <v>PASS</v>
      </c>
      <c r="D12" s="22" t="s">
        <v>309</v>
      </c>
    </row>
    <row r="13" customFormat="false" ht="15" hidden="false" customHeight="false" outlineLevel="0" collapsed="false">
      <c r="B13" s="20" t="s">
        <v>310</v>
      </c>
      <c r="C13" s="57" t="str">
        <f aca="false">IF(MAX(ABS(Cash_Flow!C28),ABS(Cash_Flow!D28),ABS(Cash_Flow!E28),ABS(Cash_Flow!F28),ABS(Cash_Flow!G28))&lt;0.01,"PASS","FAIL")</f>
        <v>PASS</v>
      </c>
      <c r="D13" s="22" t="s">
        <v>311</v>
      </c>
    </row>
    <row r="14" customFormat="false" ht="15" hidden="false" customHeight="false" outlineLevel="0" collapsed="false">
      <c r="B14" s="20" t="s">
        <v>312</v>
      </c>
      <c r="C14" s="57" t="str">
        <f aca="false">IF(ABS(INDEX(RT_CI_Gross_MOIC,1,Exit_Year)-IFERROR(INDEX(RT_CI_Gross_Proc,1,Exit_Year)/SU_CoInvest_Eq,0))&lt;0.01,"PASS","FAIL")</f>
        <v>PASS</v>
      </c>
      <c r="D14" s="22" t="s">
        <v>313</v>
      </c>
    </row>
    <row r="15" customFormat="false" ht="15" hidden="false" customHeight="false" outlineLevel="0" collapsed="false">
      <c r="B15" s="20" t="s">
        <v>314</v>
      </c>
      <c r="C15" s="57" t="str">
        <f aca="false">IF(RT_Net_IRR&gt;0,"PASS","FAIL")</f>
        <v>PASS</v>
      </c>
      <c r="D15" s="22" t="s">
        <v>315</v>
      </c>
    </row>
    <row r="16" customFormat="false" ht="15" hidden="false" customHeight="false" outlineLevel="0" collapsed="false">
      <c r="B16" s="20" t="s">
        <v>316</v>
      </c>
      <c r="C16" s="57" t="str">
        <f aca="false">IF(ABS(Operating_Model!G35-MAX(Operating_Model!G34,0)*Tax_Rate)&lt;0.01,"PASS","FAIL")</f>
        <v>PASS</v>
      </c>
      <c r="D16" s="22" t="s">
        <v>317</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B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90"/>
    <col collapsed="false" customWidth="true" hidden="false" outlineLevel="0" max="3" min="3" style="0" width="2"/>
  </cols>
  <sheetData>
    <row r="2" customFormat="false" ht="31.5" hidden="false" customHeight="true" outlineLevel="0" collapsed="false">
      <c r="B2" s="58" t="s">
        <v>318</v>
      </c>
    </row>
    <row r="3" customFormat="false" ht="3.75" hidden="false" customHeight="true" outlineLevel="0" collapsed="false">
      <c r="B3" s="59"/>
    </row>
    <row r="5" customFormat="false" ht="19.5" hidden="false" customHeight="true" outlineLevel="0" collapsed="false">
      <c r="B5" s="60" t="s">
        <v>319</v>
      </c>
    </row>
    <row r="6" customFormat="false" ht="48" hidden="false" customHeight="true" outlineLevel="0" collapsed="false">
      <c r="B6" s="61" t="s">
        <v>320</v>
      </c>
    </row>
    <row r="8" customFormat="false" ht="19.5" hidden="false" customHeight="true" outlineLevel="0" collapsed="false">
      <c r="B8" s="60" t="s">
        <v>321</v>
      </c>
    </row>
    <row r="9" customFormat="false" ht="61.5" hidden="false" customHeight="true" outlineLevel="0" collapsed="false">
      <c r="B9" s="61" t="s">
        <v>322</v>
      </c>
    </row>
    <row r="11" customFormat="false" ht="19.5" hidden="false" customHeight="true" outlineLevel="0" collapsed="false">
      <c r="B11" s="60" t="s">
        <v>323</v>
      </c>
    </row>
    <row r="12" customFormat="false" ht="75.75" hidden="false" customHeight="true" outlineLevel="0" collapsed="false">
      <c r="B12" s="61" t="s">
        <v>324</v>
      </c>
    </row>
    <row r="14" customFormat="false" ht="19.5" hidden="false" customHeight="true" outlineLevel="0" collapsed="false">
      <c r="B14" s="60" t="s">
        <v>325</v>
      </c>
    </row>
    <row r="15" customFormat="false" ht="61.5" hidden="false" customHeight="true" outlineLevel="0" collapsed="false">
      <c r="B15" s="61" t="s">
        <v>326</v>
      </c>
    </row>
    <row r="17" customFormat="false" ht="19.5" hidden="false" customHeight="true" outlineLevel="0" collapsed="false">
      <c r="B17" s="60" t="s">
        <v>327</v>
      </c>
    </row>
    <row r="18" customFormat="false" ht="33.75" hidden="false" customHeight="true" outlineLevel="0" collapsed="false">
      <c r="B18" s="61" t="s">
        <v>328</v>
      </c>
    </row>
    <row r="20" customFormat="false" ht="19.5" hidden="false" customHeight="true" outlineLevel="0" collapsed="false">
      <c r="B20" s="60" t="s">
        <v>329</v>
      </c>
    </row>
    <row r="21" customFormat="false" ht="33.75" hidden="false" customHeight="true" outlineLevel="0" collapsed="false">
      <c r="B21" s="61" t="s">
        <v>330</v>
      </c>
    </row>
    <row r="23" customFormat="false" ht="21.75" hidden="false" customHeight="true" outlineLevel="0" collapsed="false">
      <c r="B23" s="62" t="s">
        <v>331</v>
      </c>
    </row>
    <row r="25" customFormat="false" ht="18" hidden="false" customHeight="true" outlineLevel="0" collapsed="false">
      <c r="B25" s="63" t="s">
        <v>332</v>
      </c>
    </row>
    <row r="26" customFormat="false" ht="201.75" hidden="false" customHeight="true" outlineLevel="0" collapsed="false">
      <c r="B26" s="64" t="s">
        <v>333</v>
      </c>
    </row>
    <row r="28" customFormat="false" ht="18" hidden="false" customHeight="true" outlineLevel="0" collapsed="false">
      <c r="B28" s="65" t="s">
        <v>334</v>
      </c>
    </row>
  </sheetData>
  <printOptions headings="false" gridLines="false" gridLinesSet="true" horizontalCentered="true" verticalCentered="false"/>
  <pageMargins left="0.4" right="0.4"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LibreOffice/26.2.0.3$MacOSX_AARCH64 LibreOffice_project/afbbd0df0edb6d40b450b0337ac646b0913a760c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2026-05-15T18:52:54Z</dcterms:created>
  <dc:creator>openpyxl</dc:creator>
  <dc:description/>
  <dc:language>en-GB</dc:language>
  <cp:lastModifiedBy/>
  <dcterms:modified xsi:type="dcterms:W3CDTF">2026-05-15T18:52:54Z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