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1.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Disclaimer" sheetId="2" state="visible" r:id="rId4"/>
    <sheet name="Assumptions" sheetId="3" state="visible" r:id="rId5"/>
    <sheet name="Pool_Schedule" sheetId="4" state="visible" r:id="rId6"/>
    <sheet name="Credit_Performance" sheetId="5" state="visible" r:id="rId7"/>
    <sheet name="Revenue" sheetId="6" state="visible" r:id="rId8"/>
    <sheet name="Funding" sheetId="7" state="visible" r:id="rId9"/>
    <sheet name="Operating_Costs" sheetId="8" state="visible" r:id="rId10"/>
    <sheet name="Cash_Flow" sheetId="9" state="visible" r:id="rId11"/>
    <sheet name="Returns" sheetId="10" state="visible" r:id="rId12"/>
    <sheet name="Checks" sheetId="11" state="visible" r:id="rId13"/>
  </sheets>
  <definedNames>
    <definedName function="false" hidden="false" name="Acquisition_Fee_Rate" vbProcedure="false">Assumptions!$C$22</definedName>
    <definedName function="false" hidden="false" name="Advance_Rate_Limit" vbProcedure="false">Assumptions!$C$15</definedName>
    <definedName function="false" hidden="false" name="Annual_CDR" vbProcedure="false">Assumptions!$C$10</definedName>
    <definedName function="false" hidden="false" name="Annual_CPR" vbProcedure="false">Assumptions!$C$11</definedName>
    <definedName function="false" hidden="false" name="CDR_Covenant" vbProcedure="false">Assumptions!$C$29</definedName>
    <definedName function="false" hidden="false" name="Commitment_Fee_Rate" vbProcedure="false">Assumptions!$C$18</definedName>
    <definedName function="false" hidden="false" name="Delinquency_Rate" vbProcedure="false">Assumptions!$C$24</definedName>
    <definedName function="false" hidden="false" name="Equity_Contribution" vbProcedure="false">Assumptions!$C$26</definedName>
    <definedName function="false" hidden="false" name="Facility_Limit" vbProcedure="false">Assumptions!$C$16</definedName>
    <definedName function="false" hidden="false" name="GA_Fee_Rate" vbProcedure="false">Assumptions!$C$21</definedName>
    <definedName function="false" hidden="false" name="Initial_Pool_Balance" vbProcedure="false">Assumptions!$C$7</definedName>
    <definedName function="false" hidden="false" name="Late_Fee_Rate" vbProcedure="false">Assumptions!$C$23</definedName>
    <definedName function="false" hidden="false" name="Leverage_Cap" vbProcedure="false">Assumptions!$C$31</definedName>
    <definedName function="false" hidden="false" name="Loss_Ceiling" vbProcedure="false">Assumptions!$C$30</definedName>
    <definedName function="false" hidden="false" name="Loss_Severity" vbProcedure="false">Assumptions!$C$12</definedName>
    <definedName function="false" hidden="false" name="OC_Trigger" vbProcedure="false">Assumptions!$C$28</definedName>
    <definedName function="false" hidden="false" name="Prepay_Fee_Rate" vbProcedure="false">Assumptions!$C$25</definedName>
    <definedName function="false" hidden="false" name="Recovery_Lag" vbProcedure="false">Assumptions!$C$14</definedName>
    <definedName function="false" hidden="false" name="Recovery_Rate" vbProcedure="false">Assumptions!$C$13</definedName>
    <definedName function="false" hidden="false" name="Servicer_Fee_Rate" vbProcedure="false">Assumptions!$C$19</definedName>
    <definedName function="false" hidden="false" name="Trustee_Fee_Rate" vbProcedure="false">Assumptions!$C$20</definedName>
    <definedName function="false" hidden="false" name="WAC" vbProcedure="false">Assumptions!$C$8</definedName>
    <definedName function="false" hidden="false" name="WAM" vbProcedure="false">Assumptions!$C$9</definedName>
    <definedName function="false" hidden="false" name="Warehouse_Draw_Y0" vbProcedure="false">Assumptions!$C$27</definedName>
    <definedName function="false" hidden="false" name="Warehouse_Rate" vbProcedure="false">Assumptions!$C$17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<sst xmlns="http://schemas.openxmlformats.org/spreadsheetml/2006/main" count="282" uniqueCount="213">
  <si>
    <t xml:space="preserve">Collateral Pool Financial Model</t>
  </si>
  <si>
    <t xml:space="preserve">FINAMODEL.com</t>
  </si>
  <si>
    <t xml:space="preserve">Warehouse-Funded Consumer Loan Portfolio</t>
  </si>
  <si>
    <t xml:space="preserve">Model Date:</t>
  </si>
  <si>
    <t xml:space="preserve">Initial Pool Balance:</t>
  </si>
  <si>
    <t xml:space="preserve">Warehouse Drawn (Year 0):</t>
  </si>
  <si>
    <t xml:space="preserve">Equity Contributed:</t>
  </si>
  <si>
    <t xml:space="preserve">WAC:</t>
  </si>
  <si>
    <t xml:space="preserve">Annual CDR:</t>
  </si>
  <si>
    <t xml:space="preserve">Equity IRR:</t>
  </si>
  <si>
    <t xml:space="preserve">Equity MOIC:</t>
  </si>
  <si>
    <t xml:space="preserve">About this model</t>
  </si>
  <si>
    <t xml:space="preserve">This collateral pool model values a warehouse-financed consumer loan portfolio and measures equity returns after credit losses, funding costs, and operating expenses. It models a $140M pool of unsecured consumer loans funded by $98M of warehouse debt at 8.5% (SOFR plus 400 bps) and $42M of equity haircut. The pool generates interest income at a 20% weighted average coupon (WAC), prepayments at 15% annual CPR, and defaults at 7% CDR with 70% loss severity. After funding costs, servicing fees, and net credit losses, the model projects equity IRR, MOIC, and net yield metrics across a 7-year runoff period.
The model includes a pool schedule showing the principal balance roll-forward (opening, scheduled repayments, prepayments, defaults, closing); a credit performance sheet tracking monthly CDR, CPR, delinquency, and recoveries with a 12-month recovery lag; a funding schedule showing warehouse debt drawdown and repayment mechanics; operating cost sections for servicing fees, trustee fees, and G&amp;A; and a three-section cash flow statement separating operating (interest and fees), investing (principal collections and pool acquisition), and financing activities (equity contribution and warehouse movements).
This model is used by alternative credit funds, specialty lenders, and fintech originators evaluating warehouse financing capacity, exit returns, and covenant headroom. It is particularly valuable for teams managing loan-backed securitisations or warehouse facilities where advance rate and OC ratio covenants drive borrowing capacity.</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</si>
  <si>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</si>
  <si>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</si>
  <si>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</si>
  <si>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</si>
  <si>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</si>
  <si>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</si>
  <si>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</si>
  <si>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</si>
  <si>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</si>
  <si>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</si>
  <si>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</si>
  <si>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</si>
  <si>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</si>
  <si>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</si>
  <si>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</si>
  <si>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</si>
  <si>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</si>
  <si>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</si>
  <si>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</si>
  <si>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</si>
  <si>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</si>
  <si>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Assumptions</t>
  </si>
  <si>
    <t xml:space="preserve">Model inputs — all orange cells are editable</t>
  </si>
  <si>
    <t xml:space="preserve">Assumption</t>
  </si>
  <si>
    <t xml:space="preserve">Value</t>
  </si>
  <si>
    <t xml:space="preserve">Unit</t>
  </si>
  <si>
    <t xml:space="preserve">Notes</t>
  </si>
  <si>
    <t xml:space="preserve">[Rows 5-6 reserved for scenario toggle]</t>
  </si>
  <si>
    <t xml:space="preserve">Pool Characteristics</t>
  </si>
  <si>
    <t xml:space="preserve">Initial Pool Balance</t>
  </si>
  <si>
    <t xml:space="preserve">$</t>
  </si>
  <si>
    <t xml:space="preserve">Face value of pool acquired</t>
  </si>
  <si>
    <t xml:space="preserve">WAC</t>
  </si>
  <si>
    <t xml:space="preserve">%</t>
  </si>
  <si>
    <t xml:space="preserve">Weighted avg coupon on pool</t>
  </si>
  <si>
    <t xml:space="preserve">Credit Assumptions</t>
  </si>
  <si>
    <t xml:space="preserve">months</t>
  </si>
  <si>
    <t xml:space="preserve">Weighted avg maturity</t>
  </si>
  <si>
    <t xml:space="preserve">Annual CDR</t>
  </si>
  <si>
    <t xml:space="preserve">Annual gross default rate</t>
  </si>
  <si>
    <t xml:space="preserve">Annual CPR</t>
  </si>
  <si>
    <t xml:space="preserve">Annual prepayment rate</t>
  </si>
  <si>
    <t xml:space="preserve">Loss Severity</t>
  </si>
  <si>
    <t xml:space="preserve">LGD — fraction of default lost</t>
  </si>
  <si>
    <t xml:space="preserve">Recovery Rate</t>
  </si>
  <si>
    <t xml:space="preserve">1 - Loss_Severity (informational)</t>
  </si>
  <si>
    <t xml:space="preserve">Warehouse Facility</t>
  </si>
  <si>
    <t xml:space="preserve">periods</t>
  </si>
  <si>
    <t xml:space="preserve">Periods after default that recovery arrives</t>
  </si>
  <si>
    <t xml:space="preserve">Advance Rate Limit</t>
  </si>
  <si>
    <t xml:space="preserve">Max warehouse draw / pool balance</t>
  </si>
  <si>
    <t xml:space="preserve">Facility Limit</t>
  </si>
  <si>
    <t xml:space="preserve">Warehouse facility cap</t>
  </si>
  <si>
    <t xml:space="preserve">Warehouse Rate</t>
  </si>
  <si>
    <t xml:space="preserve">SOFR (4.5%) + Spread (4.0%)</t>
  </si>
  <si>
    <t xml:space="preserve">Fee Assumptions</t>
  </si>
  <si>
    <t xml:space="preserve">Fee on undrawn warehouse capacity</t>
  </si>
  <si>
    <t xml:space="preserve">Servicer Fee Rate</t>
  </si>
  <si>
    <t xml:space="preserve">Annual % of pool balance</t>
  </si>
  <si>
    <t xml:space="preserve">Trustee Fee Rate</t>
  </si>
  <si>
    <t xml:space="preserve">G&amp;A Fee Rate</t>
  </si>
  <si>
    <t xml:space="preserve">Annual % of pool balance (mgmt/G&amp;A)</t>
  </si>
  <si>
    <t xml:space="preserve">Acquisition Fee Rate</t>
  </si>
  <si>
    <t xml:space="preserve">One-time fee at Year 0</t>
  </si>
  <si>
    <t xml:space="preserve">Late Fee Rate</t>
  </si>
  <si>
    <t xml:space="preserve">Annual % of delinquent balance</t>
  </si>
  <si>
    <t xml:space="preserve">Delinquency Rate</t>
  </si>
  <si>
    <t xml:space="preserve">% of pool balance that is delinquent</t>
  </si>
  <si>
    <t xml:space="preserve">Equity &amp; Warehouse (Day 0)</t>
  </si>
  <si>
    <t xml:space="preserve">Fee on prepaid principal</t>
  </si>
  <si>
    <t xml:space="preserve">Equity Contribution</t>
  </si>
  <si>
    <t xml:space="preserve">Pool × (1 - Advance_Rate_Limit)</t>
  </si>
  <si>
    <t xml:space="preserve">Covenants</t>
  </si>
  <si>
    <t xml:space="preserve">Pool × Advance_Rate_Limit</t>
  </si>
  <si>
    <t xml:space="preserve">OC Trigger</t>
  </si>
  <si>
    <t xml:space="preserve">x</t>
  </si>
  <si>
    <t xml:space="preserve">Min pool balance / warehouse drawn</t>
  </si>
  <si>
    <t xml:space="preserve">CDR Covenant</t>
  </si>
  <si>
    <t xml:space="preserve">CDR breach threshold</t>
  </si>
  <si>
    <t xml:space="preserve">Loss Ceiling</t>
  </si>
  <si>
    <t xml:space="preserve">Max cumulative net loss / initial pool</t>
  </si>
  <si>
    <t xml:space="preserve">Leverage Cap</t>
  </si>
  <si>
    <t xml:space="preserve">Max warehouse / equity</t>
  </si>
  <si>
    <t xml:space="preserve">Pool Schedule</t>
  </si>
  <si>
    <t xml:space="preserve">Principal roll-forward Year 0 to Year 6</t>
  </si>
  <si>
    <t xml:space="preserve">Year 0</t>
  </si>
  <si>
    <t xml:space="preserve">Year 1</t>
  </si>
  <si>
    <t xml:space="preserve">Year 2</t>
  </si>
  <si>
    <t xml:space="preserve">Year 3</t>
  </si>
  <si>
    <t xml:space="preserve">Year 4</t>
  </si>
  <si>
    <t xml:space="preserve">Year 5</t>
  </si>
  <si>
    <t xml:space="preserve">Year 6</t>
  </si>
  <si>
    <t xml:space="preserve">Opening Balance</t>
  </si>
  <si>
    <t xml:space="preserve">  Sched Repayments</t>
  </si>
  <si>
    <t xml:space="preserve">  Gross Defaults</t>
  </si>
  <si>
    <t xml:space="preserve">  Prepayments</t>
  </si>
  <si>
    <t xml:space="preserve">Closing Balance</t>
  </si>
  <si>
    <t xml:space="preserve">  Cumulative Defaults</t>
  </si>
  <si>
    <t xml:space="preserve">  Cumulative Net Loss</t>
  </si>
  <si>
    <t xml:space="preserve">Recon Check</t>
  </si>
  <si>
    <t xml:space="preserve">Credit Performance</t>
  </si>
  <si>
    <t xml:space="preserve">CDR/CPR curves, defaults, recoveries, net losses</t>
  </si>
  <si>
    <t xml:space="preserve">Period</t>
  </si>
  <si>
    <t xml:space="preserve">Opening Pool Bal</t>
  </si>
  <si>
    <t xml:space="preserve">Closing Pool Bal</t>
  </si>
  <si>
    <t xml:space="preserve">Avg Pool Balance</t>
  </si>
  <si>
    <t xml:space="preserve">  Net Loss</t>
  </si>
  <si>
    <t xml:space="preserve">  Gross Recovery Eligible</t>
  </si>
  <si>
    <t xml:space="preserve">  Recovery Cash (lagged)</t>
  </si>
  <si>
    <t xml:space="preserve">Cumulative Defaults</t>
  </si>
  <si>
    <t xml:space="preserve">Cumulative Net Loss</t>
  </si>
  <si>
    <t xml:space="preserve">Actual CDR</t>
  </si>
  <si>
    <t xml:space="preserve">  Delinquent Balance</t>
  </si>
  <si>
    <t xml:space="preserve">Net Loss Rate</t>
  </si>
  <si>
    <t xml:space="preserve">Cum Loss / Initial Pool</t>
  </si>
  <si>
    <t xml:space="preserve">Revenue</t>
  </si>
  <si>
    <t xml:space="preserve">Interest income, fee income, net yield</t>
  </si>
  <si>
    <t xml:space="preserve">  Interest Income</t>
  </si>
  <si>
    <t xml:space="preserve">  Acquisition Fee</t>
  </si>
  <si>
    <t xml:space="preserve">  Late Fees</t>
  </si>
  <si>
    <t xml:space="preserve">  Prepay Fees</t>
  </si>
  <si>
    <t xml:space="preserve">Total Revenue</t>
  </si>
  <si>
    <t xml:space="preserve">  Net Losses</t>
  </si>
  <si>
    <t xml:space="preserve">Net Revenue</t>
  </si>
  <si>
    <t xml:space="preserve">Net Yield</t>
  </si>
  <si>
    <t xml:space="preserve">Interest Yield</t>
  </si>
  <si>
    <t xml:space="preserve">Funding</t>
  </si>
  <si>
    <t xml:space="preserve">Warehouse facility roll-forward, interest, commitment fee</t>
  </si>
  <si>
    <t xml:space="preserve">Warehouse Opening</t>
  </si>
  <si>
    <t xml:space="preserve">  Drawdown</t>
  </si>
  <si>
    <t xml:space="preserve">  Repayment</t>
  </si>
  <si>
    <t xml:space="preserve">Warehouse Closing</t>
  </si>
  <si>
    <t xml:space="preserve">Avg Warehouse Bal</t>
  </si>
  <si>
    <t xml:space="preserve">  Warehouse Interest</t>
  </si>
  <si>
    <t xml:space="preserve">Undrawn Capacity</t>
  </si>
  <si>
    <t xml:space="preserve">  Commitment Fee</t>
  </si>
  <si>
    <t xml:space="preserve">Advance Rate</t>
  </si>
  <si>
    <t xml:space="preserve">OC Ratio</t>
  </si>
  <si>
    <t xml:space="preserve">Leverage</t>
  </si>
  <si>
    <t xml:space="preserve">Operating Costs</t>
  </si>
  <si>
    <t xml:space="preserve">Servicer fee, trustee fee, G&amp;A — annual % of pool balance</t>
  </si>
  <si>
    <t xml:space="preserve">  Servicer Fee</t>
  </si>
  <si>
    <t xml:space="preserve">  Trustee Fee</t>
  </si>
  <si>
    <t xml:space="preserve">  G&amp;A / Mgmt Fee</t>
  </si>
  <si>
    <t xml:space="preserve">Total Opex</t>
  </si>
  <si>
    <t xml:space="preserve">Cash Flow</t>
  </si>
  <si>
    <t xml:space="preserve">Three-section cash flow statement (v18 critical fixes applied)</t>
  </si>
  <si>
    <t xml:space="preserve">OPERATING CASH FLOWS</t>
  </si>
  <si>
    <t xml:space="preserve">  Interest Received</t>
  </si>
  <si>
    <t xml:space="preserve">  Recoveries Received</t>
  </si>
  <si>
    <t xml:space="preserve">  Operating Costs</t>
  </si>
  <si>
    <t xml:space="preserve">Total Operating CF</t>
  </si>
  <si>
    <t xml:space="preserve">INVESTING CASH FLOWS</t>
  </si>
  <si>
    <t xml:space="preserve">  Pool Acquisition</t>
  </si>
  <si>
    <t xml:space="preserve">  Sched Principal Received</t>
  </si>
  <si>
    <t xml:space="preserve">  Prepayments Received</t>
  </si>
  <si>
    <t xml:space="preserve">Total Investing CF</t>
  </si>
  <si>
    <t xml:space="preserve">FINANCING CASH FLOWS</t>
  </si>
  <si>
    <t xml:space="preserve">  Equity Contribution</t>
  </si>
  <si>
    <t xml:space="preserve">  Warehouse Drawdown</t>
  </si>
  <si>
    <t xml:space="preserve">  Warehouse Repayment</t>
  </si>
  <si>
    <t xml:space="preserve">  Warehouse Interest Paid</t>
  </si>
  <si>
    <t xml:space="preserve">  Commitment Fee Paid</t>
  </si>
  <si>
    <t xml:space="preserve">Total Financing CF</t>
  </si>
  <si>
    <t xml:space="preserve">NET CASH FLOW</t>
  </si>
  <si>
    <t xml:space="preserve">Net Cash Flow</t>
  </si>
  <si>
    <t xml:space="preserve">Equity Cash Flow</t>
  </si>
  <si>
    <t xml:space="preserve">Returns</t>
  </si>
  <si>
    <t xml:space="preserve">Equity IRR, MOIC, key performance metrics</t>
  </si>
  <si>
    <t xml:space="preserve">Metric</t>
  </si>
  <si>
    <t xml:space="preserve">Equity IRR</t>
  </si>
  <si>
    <t xml:space="preserve">Equity MOIC</t>
  </si>
  <si>
    <t xml:space="preserve">Net Pool Yield</t>
  </si>
  <si>
    <t xml:space="preserve">Cash Yield (Y1)</t>
  </si>
  <si>
    <t xml:space="preserve">Cum Net Loss %</t>
  </si>
  <si>
    <t xml:space="preserve">Avg Annual CDR</t>
  </si>
  <si>
    <t xml:space="preserve">Min OC Ratio</t>
  </si>
  <si>
    <t xml:space="preserve">Peak Leverage</t>
  </si>
  <si>
    <t xml:space="preserve">Payback Period (yrs)</t>
  </si>
  <si>
    <t xml:space="preserve">Warehouse Repaid Y6</t>
  </si>
  <si>
    <t xml:space="preserve">Checks</t>
  </si>
  <si>
    <t xml:space="preserve">Model validation — all checks should be TRUE</t>
  </si>
  <si>
    <t xml:space="preserve">Check</t>
  </si>
  <si>
    <t xml:space="preserve">Result</t>
  </si>
  <si>
    <t xml:space="preserve">Expected</t>
  </si>
  <si>
    <t xml:space="preserve">Pool recon all periods</t>
  </si>
  <si>
    <t xml:space="preserve">TRUE</t>
  </si>
  <si>
    <t xml:space="preserve">Advance rate &lt;= limit</t>
  </si>
  <si>
    <t xml:space="preserve">Recovery lag: Y0 rec = 0</t>
  </si>
  <si>
    <t xml:space="preserve">Cash conservation all periods</t>
  </si>
  <si>
    <t xml:space="preserve">Net yield positive all periods</t>
  </si>
  <si>
    <t xml:space="preserve">IRR numeric</t>
  </si>
  <si>
    <t xml:space="preserve">Warehouse repaid by Y6</t>
  </si>
  <si>
    <t xml:space="preserve">No negative pool balance</t>
  </si>
  <si>
    <t xml:space="preserve">No negative warehouse balance</t>
  </si>
  <si>
    <t xml:space="preserve">MOIC above 1.0x</t>
  </si>
  <si>
    <t xml:space="preserve">Cum loss below ceiling</t>
  </si>
  <si>
    <t xml:space="preserve">Leverage below cap</t>
  </si>
  <si>
    <t xml:space="preserve">OC ratio &gt;= trigger (all periods)</t>
  </si>
  <si>
    <t xml:space="preserve">CDR within covenant</t>
  </si>
</sst>
</file>

<file path=xl/styles.xml><?xml version="1.0" encoding="utf-8"?>
<styleSheet xmlns="http://schemas.openxmlformats.org/spreadsheetml/2006/main">
  <numFmts count="6">
    <numFmt numFmtId="164" formatCode="General"/>
    <numFmt numFmtId="165" formatCode="dd/mm/yy"/>
    <numFmt numFmtId="166" formatCode="#,##0.00"/>
    <numFmt numFmtId="167" formatCode="0.00%"/>
    <numFmt numFmtId="168" formatCode="0.00\x"/>
    <numFmt numFmtId="169" formatCode="0"/>
  </numFmts>
  <fonts count="24">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2"/>
      <color theme="0"/>
      <name val="Arial"/>
      <family val="0"/>
      <charset val="1"/>
    </font>
    <font>
      <sz val="11"/>
      <color theme="1"/>
      <name val="Arial"/>
      <family val="0"/>
      <charset val="1"/>
    </font>
    <font>
      <sz val="10"/>
      <color rgb="FF00000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i val="true"/>
      <sz val="9"/>
      <color rgb="FF808080"/>
      <name val="Arial"/>
      <family val="0"/>
      <charset val="1"/>
    </font>
    <font>
      <b val="true"/>
      <sz val="10"/>
      <color rgb="FFFFFFFF"/>
      <name val="Arial"/>
      <family val="0"/>
      <charset val="1"/>
    </font>
    <font>
      <sz val="10"/>
      <color rgb="FF2E75B6"/>
      <name val="Arial"/>
      <family val="0"/>
      <charset val="1"/>
    </font>
    <font>
      <b val="true"/>
      <sz val="10"/>
      <color rgb="FF000000"/>
      <name val="Arial"/>
      <family val="0"/>
      <charset val="1"/>
    </font>
  </fonts>
  <fills count="8">
    <fill>
      <patternFill patternType="none"/>
    </fill>
    <fill>
      <patternFill patternType="gray125"/>
    </fill>
    <fill>
      <patternFill patternType="solid">
        <fgColor theme="3"/>
        <bgColor rgb="FF1F4E79"/>
      </patternFill>
    </fill>
    <fill>
      <patternFill patternType="solid">
        <fgColor rgb="FFD6E4F0"/>
        <bgColor rgb="FFC6EFCE"/>
      </patternFill>
    </fill>
    <fill>
      <patternFill patternType="solid">
        <fgColor rgb="FF1F4E79"/>
        <bgColor rgb="FF1F497D"/>
      </patternFill>
    </fill>
    <fill>
      <patternFill patternType="solid">
        <fgColor rgb="FFF2F2F2"/>
        <bgColor rgb="FFFFFFFF"/>
      </patternFill>
    </fill>
    <fill>
      <patternFill patternType="solid">
        <fgColor rgb="FF2E75B6"/>
        <bgColor rgb="FF0066CC"/>
      </patternFill>
    </fill>
    <fill>
      <patternFill patternType="solid">
        <fgColor rgb="FFFFF2CC"/>
        <bgColor rgb="FFF2F2F2"/>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5" fontId="9" fillId="0" borderId="0" xfId="0" applyFont="true" applyBorder="false" applyAlignment="true" applyProtection="false">
      <alignment horizontal="right" vertical="center" textRotation="0" wrapText="false" indent="0" shrinkToFit="false"/>
      <protection locked="true" hidden="false"/>
    </xf>
    <xf numFmtId="166" fontId="9" fillId="0" borderId="0" xfId="0" applyFont="true" applyBorder="false" applyAlignment="true" applyProtection="false">
      <alignment horizontal="right" vertical="center" textRotation="0" wrapText="false" indent="0" shrinkToFit="false"/>
      <protection locked="true" hidden="false"/>
    </xf>
    <xf numFmtId="167" fontId="9" fillId="0" borderId="0" xfId="0" applyFont="true" applyBorder="false" applyAlignment="true" applyProtection="false">
      <alignment horizontal="right" vertical="center" textRotation="0" wrapText="false" indent="0" shrinkToFit="false"/>
      <protection locked="true" hidden="false"/>
    </xf>
    <xf numFmtId="168" fontId="9" fillId="0" borderId="0" xfId="0" applyFont="true" applyBorder="false" applyAlignment="true" applyProtection="false">
      <alignment horizontal="right" vertical="center" textRotation="0" wrapText="false" indent="0" shrinkToFit="false"/>
      <protection locked="true" hidden="false"/>
    </xf>
    <xf numFmtId="164" fontId="10" fillId="3" borderId="0" xfId="0" applyFont="true" applyBorder="false" applyAlignment="true" applyProtection="false">
      <alignment horizontal="left" vertical="center"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left" vertical="top" textRotation="0" wrapText="tru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left" vertical="center" textRotation="0" wrapText="false" indent="1" shrinkToFit="false"/>
      <protection locked="true" hidden="false"/>
    </xf>
    <xf numFmtId="164" fontId="16" fillId="0" borderId="0" xfId="0" applyFont="true" applyBorder="false" applyAlignment="true" applyProtection="false">
      <alignment horizontal="left" vertical="top" textRotation="0" wrapText="true" indent="1" shrinkToFit="false"/>
      <protection locked="true" hidden="false"/>
    </xf>
    <xf numFmtId="164" fontId="17" fillId="0" borderId="0" xfId="0" applyFont="true" applyBorder="false" applyAlignment="true" applyProtection="false">
      <alignment horizontal="left" vertical="center" textRotation="0" wrapText="false" indent="1" shrinkToFit="false"/>
      <protection locked="true" hidden="false"/>
    </xf>
    <xf numFmtId="164" fontId="10" fillId="0" borderId="0" xfId="0" applyFont="true" applyBorder="false" applyAlignment="true" applyProtection="false">
      <alignment horizontal="left" vertical="center" textRotation="0" wrapText="false" indent="1" shrinkToFit="false"/>
      <protection locked="true" hidden="false"/>
    </xf>
    <xf numFmtId="164" fontId="18" fillId="5" borderId="0" xfId="0" applyFont="true" applyBorder="false" applyAlignment="true" applyProtection="false">
      <alignment horizontal="left" vertical="top" textRotation="0" wrapText="true" indent="1" shrinkToFit="false"/>
      <protection locked="true" hidden="false"/>
    </xf>
    <xf numFmtId="164" fontId="19" fillId="0" borderId="0" xfId="0" applyFont="true" applyBorder="false" applyAlignment="true" applyProtection="false">
      <alignment horizontal="left" vertical="center" textRotation="0" wrapText="false" indent="1"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21" fillId="4" borderId="0" xfId="0" applyFont="true" applyBorder="false" applyAlignment="true" applyProtection="false">
      <alignment horizontal="left" vertical="center" textRotation="0" wrapText="false" indent="0" shrinkToFit="false"/>
      <protection locked="true" hidden="false"/>
    </xf>
    <xf numFmtId="164" fontId="21" fillId="4" borderId="0" xfId="0" applyFont="true" applyBorder="false" applyAlignment="true" applyProtection="false">
      <alignment horizontal="center" vertical="center"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6" borderId="0" xfId="0" applyFont="true" applyBorder="false" applyAlignment="true" applyProtection="false">
      <alignment horizontal="left" vertical="center" textRotation="0" wrapText="false" indent="0" shrinkToFit="false"/>
      <protection locked="true" hidden="false"/>
    </xf>
    <xf numFmtId="164" fontId="8" fillId="6" borderId="0" xfId="0" applyFont="true" applyBorder="false" applyAlignment="false" applyProtection="false">
      <alignment horizontal="general" vertical="bottom" textRotation="0" wrapText="false" indent="0" shrinkToFit="false"/>
      <protection locked="true" hidden="false"/>
    </xf>
    <xf numFmtId="166" fontId="22" fillId="7" borderId="0" xfId="0" applyFont="true" applyBorder="false" applyAlignment="true" applyProtection="false">
      <alignment horizontal="right" vertical="center" textRotation="0" wrapText="false" indent="0" shrinkToFit="false"/>
      <protection locked="true" hidden="false"/>
    </xf>
    <xf numFmtId="167" fontId="22" fillId="7" borderId="0" xfId="0" applyFont="true" applyBorder="false" applyAlignment="true" applyProtection="false">
      <alignment horizontal="right" vertical="center" textRotation="0" wrapText="false" indent="0" shrinkToFit="false"/>
      <protection locked="true" hidden="false"/>
    </xf>
    <xf numFmtId="166" fontId="22" fillId="6" borderId="0" xfId="0" applyFont="true" applyBorder="false" applyAlignment="true" applyProtection="false">
      <alignment horizontal="right" vertical="center" textRotation="0" wrapText="false" indent="0" shrinkToFit="false"/>
      <protection locked="true" hidden="false"/>
    </xf>
    <xf numFmtId="164" fontId="20" fillId="6" borderId="0" xfId="0" applyFont="true" applyBorder="false" applyAlignment="false" applyProtection="false">
      <alignment horizontal="general" vertical="bottom" textRotation="0" wrapText="false" indent="0" shrinkToFit="false"/>
      <protection locked="true" hidden="false"/>
    </xf>
    <xf numFmtId="164" fontId="20" fillId="6" borderId="0" xfId="0" applyFont="true" applyBorder="false" applyAlignment="true" applyProtection="false">
      <alignment horizontal="left" vertical="center" textRotation="0" wrapText="false" indent="0" shrinkToFit="false"/>
      <protection locked="true" hidden="false"/>
    </xf>
    <xf numFmtId="167" fontId="22" fillId="6" borderId="0" xfId="0" applyFont="true" applyBorder="false" applyAlignment="true" applyProtection="false">
      <alignment horizontal="right" vertical="center" textRotation="0" wrapText="false" indent="0" shrinkToFit="false"/>
      <protection locked="true" hidden="false"/>
    </xf>
    <xf numFmtId="168" fontId="22" fillId="7" borderId="0" xfId="0" applyFont="true" applyBorder="false" applyAlignment="true" applyProtection="false">
      <alignment horizontal="right" vertical="center" textRotation="0" wrapText="false" indent="0" shrinkToFit="false"/>
      <protection locked="true" hidden="false"/>
    </xf>
    <xf numFmtId="169" fontId="21" fillId="4" borderId="0" xfId="0" applyFont="true" applyBorder="false" applyAlignment="true" applyProtection="false">
      <alignment horizontal="center"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6" fontId="23" fillId="0" borderId="2" xfId="0" applyFont="true" applyBorder="true" applyAlignment="true" applyProtection="false">
      <alignment horizontal="right"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6" fontId="23" fillId="0" borderId="3" xfId="0" applyFont="true" applyBorder="true" applyAlignment="true" applyProtection="false">
      <alignment horizontal="right" vertical="center" textRotation="0" wrapText="false" indent="0" shrinkToFit="false"/>
      <protection locked="true" hidden="false"/>
    </xf>
    <xf numFmtId="167" fontId="23" fillId="0" borderId="0" xfId="0" applyFont="true" applyBorder="false" applyAlignment="true" applyProtection="false">
      <alignment horizontal="right" vertical="center" textRotation="0" wrapText="false" indent="0" shrinkToFit="false"/>
      <protection locked="true" hidden="false"/>
    </xf>
    <xf numFmtId="168" fontId="23"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charset val="1"/>
        <family val="0"/>
        <b val="1"/>
        <color rgb="FF375623"/>
        <sz val="10"/>
      </font>
      <fill>
        <patternFill>
          <bgColor rgb="FFC6EFCE"/>
        </patternFill>
      </fill>
    </dxf>
    <dxf>
      <font>
        <name val="Arial"/>
        <charset val="1"/>
        <family val="0"/>
        <b val="1"/>
        <color rgb="FF9C0006"/>
        <sz val="10"/>
      </font>
      <fill>
        <patternFill>
          <bgColor rgb="FFFFC7CE"/>
        </patternFill>
      </fill>
    </dxf>
  </dxfs>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5B9BD5"/>
      <rgbColor rgb="FF993366"/>
      <rgbColor rgb="FFFFF2CC"/>
      <rgbColor rgb="FFF2F2F2"/>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2E75B6"/>
      <rgbColor rgb="FF33CCCC"/>
      <rgbColor rgb="FF99CC00"/>
      <rgbColor rgb="FFFFCC00"/>
      <rgbColor rgb="FFFF9900"/>
      <rgbColor rgb="FFED7D31"/>
      <rgbColor rgb="FF595959"/>
      <rgbColor rgb="FFA5A5A5"/>
      <rgbColor rgb="FF1F4E79"/>
      <rgbColor rgb="FF70AD47"/>
      <rgbColor rgb="FF375623"/>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2"/>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2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7" t="n">
        <f aca="true">TODAY()</f>
        <v>46157</v>
      </c>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6" t="s">
        <v>4</v>
      </c>
      <c r="C6" s="8" t="n">
        <f aca="false">Initial_Pool_Balance</f>
        <v>140000000</v>
      </c>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6" t="s">
        <v>5</v>
      </c>
      <c r="C7" s="8" t="n">
        <f aca="false">Warehouse_Draw_Y0</f>
        <v>98000000</v>
      </c>
      <c r="D7" s="5"/>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6" t="s">
        <v>6</v>
      </c>
      <c r="C8" s="8" t="n">
        <f aca="false">Equity_Contribution</f>
        <v>42000000</v>
      </c>
      <c r="D8" s="5"/>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6" t="s">
        <v>7</v>
      </c>
      <c r="C9" s="9" t="n">
        <f aca="false">WAC</f>
        <v>0.2</v>
      </c>
      <c r="D9" s="5"/>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6" t="s">
        <v>8</v>
      </c>
      <c r="C10" s="9" t="n">
        <f aca="false">Annual_CDR</f>
        <v>0.07</v>
      </c>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6" t="s">
        <v>9</v>
      </c>
      <c r="C12" s="9" t="n">
        <f aca="false">Returns!C5</f>
        <v>0.169677104149842</v>
      </c>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6" t="s">
        <v>10</v>
      </c>
      <c r="C13" s="10" t="n">
        <f aca="false">Returns!C6</f>
        <v>1.57586791541871</v>
      </c>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9.5" hidden="false" customHeight="true" outlineLevel="0" collapsed="false">
      <c r="A16" s="5"/>
      <c r="B16" s="11" t="s">
        <v>11</v>
      </c>
      <c r="C16" s="12"/>
      <c r="D16" s="12"/>
      <c r="E16" s="12"/>
      <c r="F16" s="12"/>
      <c r="G16" s="12"/>
      <c r="H16" s="5"/>
      <c r="I16" s="5"/>
      <c r="J16" s="5"/>
      <c r="K16" s="5"/>
      <c r="L16" s="5"/>
      <c r="M16" s="5"/>
      <c r="N16" s="5"/>
      <c r="O16" s="5"/>
      <c r="P16" s="5"/>
      <c r="Q16" s="5"/>
      <c r="R16" s="5"/>
      <c r="S16" s="5"/>
      <c r="T16" s="5"/>
      <c r="U16" s="5"/>
      <c r="V16" s="5"/>
      <c r="W16" s="5"/>
      <c r="X16" s="5"/>
      <c r="Y16" s="5"/>
      <c r="Z16" s="5"/>
      <c r="AA16" s="5"/>
      <c r="AB16" s="5"/>
      <c r="AC16" s="5"/>
      <c r="AD16" s="5"/>
    </row>
    <row r="17" customFormat="false" ht="233.25" hidden="false" customHeight="true" outlineLevel="0" collapsed="false">
      <c r="A17" s="5"/>
      <c r="B17" s="13" t="s">
        <v>12</v>
      </c>
      <c r="C17" s="13"/>
      <c r="D17" s="13"/>
      <c r="E17" s="13"/>
      <c r="F17" s="13"/>
      <c r="G17" s="13"/>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9.5" hidden="false" customHeight="true" outlineLevel="0" collapsed="false">
      <c r="A19" s="5"/>
      <c r="B19" s="11" t="s">
        <v>13</v>
      </c>
      <c r="C19" s="12"/>
      <c r="D19" s="12"/>
      <c r="E19" s="12"/>
      <c r="F19" s="12"/>
      <c r="G19" s="12"/>
      <c r="H19" s="5"/>
      <c r="I19" s="5"/>
      <c r="J19" s="5"/>
      <c r="K19" s="5"/>
      <c r="L19" s="5"/>
      <c r="M19" s="5"/>
      <c r="N19" s="5"/>
      <c r="O19" s="5"/>
      <c r="P19" s="5"/>
      <c r="Q19" s="5"/>
      <c r="R19" s="5"/>
      <c r="S19" s="5"/>
      <c r="T19" s="5"/>
      <c r="U19" s="5"/>
      <c r="V19" s="5"/>
      <c r="W19" s="5"/>
      <c r="X19" s="5"/>
      <c r="Y19" s="5"/>
      <c r="Z19" s="5"/>
      <c r="AA19" s="5"/>
      <c r="AB19" s="5"/>
      <c r="AC19" s="5"/>
      <c r="AD19" s="5"/>
    </row>
    <row r="20" customFormat="false" ht="57" hidden="false" customHeight="true" outlineLevel="0" collapsed="false">
      <c r="A20" s="5"/>
      <c r="B20" s="13" t="s">
        <v>14</v>
      </c>
      <c r="C20" s="13"/>
      <c r="D20" s="13"/>
      <c r="E20" s="13"/>
      <c r="F20" s="13"/>
      <c r="G20" s="13"/>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14" t="s">
        <v>15</v>
      </c>
      <c r="C21" s="14"/>
      <c r="D21" s="14"/>
      <c r="E21" s="14"/>
      <c r="F21" s="14"/>
      <c r="G21" s="14"/>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15" t="s">
        <v>16</v>
      </c>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row>
  </sheetData>
  <mergeCells count="3">
    <mergeCell ref="B17:G17"/>
    <mergeCell ref="B20:G20"/>
    <mergeCell ref="B21:G21"/>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C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3" min="3" style="0" width="20"/>
    <col collapsed="false" customWidth="true" hidden="false" outlineLevel="0" max="4" min="4" style="0" width="14"/>
    <col collapsed="false" customWidth="true" hidden="false" outlineLevel="0" max="9" min="5" style="0" width="16"/>
  </cols>
  <sheetData>
    <row r="1" customFormat="false" ht="15" hidden="false" customHeight="false" outlineLevel="0" collapsed="false">
      <c r="A1" s="5"/>
      <c r="B1" s="5"/>
      <c r="C1" s="5"/>
    </row>
    <row r="2" customFormat="false" ht="22.05" hidden="false" customHeight="false" outlineLevel="0" collapsed="false">
      <c r="A2" s="5"/>
      <c r="B2" s="16" t="s">
        <v>180</v>
      </c>
      <c r="C2" s="5"/>
    </row>
    <row r="3" customFormat="false" ht="15" hidden="false" customHeight="false" outlineLevel="0" collapsed="false">
      <c r="A3" s="5"/>
      <c r="B3" s="24" t="s">
        <v>181</v>
      </c>
      <c r="C3" s="5"/>
    </row>
    <row r="4" customFormat="false" ht="15" hidden="false" customHeight="false" outlineLevel="0" collapsed="false">
      <c r="A4" s="5"/>
      <c r="B4" s="25" t="s">
        <v>182</v>
      </c>
      <c r="C4" s="26" t="s">
        <v>37</v>
      </c>
    </row>
    <row r="5" customFormat="false" ht="15" hidden="false" customHeight="false" outlineLevel="0" collapsed="false">
      <c r="A5" s="5"/>
      <c r="B5" s="6" t="s">
        <v>183</v>
      </c>
      <c r="C5" s="42" t="n">
        <f aca="false">IRR(Cash_Flow!C29:I29)</f>
        <v>0.169677104149842</v>
      </c>
    </row>
    <row r="6" customFormat="false" ht="15" hidden="false" customHeight="false" outlineLevel="0" collapsed="false">
      <c r="A6" s="5"/>
      <c r="B6" s="6" t="s">
        <v>184</v>
      </c>
      <c r="C6" s="43" t="n">
        <f aca="false">IF(Cash_Flow!C29&gt;=0,0,SUMPRODUCT((Cash_Flow!D29:I29&gt;0)*Cash_Flow!D29:I29)/-Cash_Flow!C29)</f>
        <v>1.57586791541871</v>
      </c>
    </row>
    <row r="7" customFormat="false" ht="15" hidden="false" customHeight="false" outlineLevel="0" collapsed="false">
      <c r="A7" s="5"/>
      <c r="B7" s="6" t="s">
        <v>185</v>
      </c>
      <c r="C7" s="9" t="n">
        <f aca="false">AVERAGE(Revenue!C12:I12)</f>
        <v>0.146091315212901</v>
      </c>
    </row>
    <row r="8" customFormat="false" ht="15" hidden="false" customHeight="false" outlineLevel="0" collapsed="false">
      <c r="A8" s="5"/>
      <c r="B8" s="6" t="s">
        <v>186</v>
      </c>
      <c r="C8" s="9" t="n">
        <f aca="false">IF(Equity_Contribution=0,0,Cash_Flow!D29/Equity_Contribution)</f>
        <v>0.215746132641965</v>
      </c>
    </row>
    <row r="9" customFormat="false" ht="15" hidden="false" customHeight="false" outlineLevel="0" collapsed="false">
      <c r="A9" s="5"/>
      <c r="B9" s="6" t="s">
        <v>187</v>
      </c>
      <c r="C9" s="9" t="n">
        <f aca="false">Credit_Performance!I13/Initial_Pool_Balance</f>
        <v>0.125893308837581</v>
      </c>
    </row>
    <row r="10" customFormat="false" ht="15" hidden="false" customHeight="false" outlineLevel="0" collapsed="false">
      <c r="A10" s="5"/>
      <c r="B10" s="6" t="s">
        <v>188</v>
      </c>
      <c r="C10" s="9" t="n">
        <f aca="false">Annual_CDR</f>
        <v>0.07</v>
      </c>
    </row>
    <row r="11" customFormat="false" ht="15" hidden="false" customHeight="false" outlineLevel="0" collapsed="false">
      <c r="A11" s="5"/>
      <c r="B11" s="6" t="s">
        <v>189</v>
      </c>
      <c r="C11" s="10" t="n">
        <f aca="false">IF(ISNUMBER(_xlfn.MINIFS(Funding!C14:I14,Funding!C8:I8,"&gt;"&amp;0)),_xlfn.MINIFS(Funding!C14:I14,Funding!C8:I8,"&gt;"&amp;0),"N/A")</f>
        <v>1.58178410904736</v>
      </c>
    </row>
    <row r="12" customFormat="false" ht="15" hidden="false" customHeight="false" outlineLevel="0" collapsed="false">
      <c r="A12" s="5"/>
      <c r="B12" s="6" t="s">
        <v>190</v>
      </c>
      <c r="C12" s="10" t="n">
        <f aca="false">MAX(Funding!C15:I15)</f>
        <v>1.31778550624568</v>
      </c>
    </row>
    <row r="13" customFormat="false" ht="15" hidden="false" customHeight="false" outlineLevel="0" collapsed="false">
      <c r="A13" s="5"/>
      <c r="B13" s="6" t="s">
        <v>191</v>
      </c>
      <c r="C13" s="8" t="n">
        <f aca="false">IFERROR(MATCH(TRUE(),Cash_Flow!D29:I29&gt;0,0),"N/A")</f>
        <v>1</v>
      </c>
    </row>
    <row r="14" customFormat="false" ht="15" hidden="false" customHeight="false" outlineLevel="0" collapsed="false">
      <c r="A14" s="5"/>
      <c r="B14" s="6" t="s">
        <v>192</v>
      </c>
      <c r="C14" s="8" t="n">
        <f aca="false">Funding!I8</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D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18"/>
    <col collapsed="false" customWidth="true" hidden="false" outlineLevel="0" max="4" min="4" style="0" width="16"/>
  </cols>
  <sheetData>
    <row r="1" customFormat="false" ht="15" hidden="false" customHeight="false" outlineLevel="0" collapsed="false">
      <c r="A1" s="5"/>
      <c r="B1" s="5"/>
      <c r="C1" s="5"/>
      <c r="D1" s="5"/>
    </row>
    <row r="2" customFormat="false" ht="22.05" hidden="false" customHeight="false" outlineLevel="0" collapsed="false">
      <c r="A2" s="5"/>
      <c r="B2" s="16" t="s">
        <v>193</v>
      </c>
      <c r="C2" s="5"/>
      <c r="D2" s="5"/>
    </row>
    <row r="3" customFormat="false" ht="15" hidden="false" customHeight="false" outlineLevel="0" collapsed="false">
      <c r="A3" s="5"/>
      <c r="B3" s="24" t="s">
        <v>194</v>
      </c>
      <c r="C3" s="5"/>
      <c r="D3" s="5"/>
    </row>
    <row r="4" customFormat="false" ht="15" hidden="false" customHeight="false" outlineLevel="0" collapsed="false">
      <c r="A4" s="5"/>
      <c r="B4" s="25" t="s">
        <v>195</v>
      </c>
      <c r="C4" s="26" t="s">
        <v>196</v>
      </c>
      <c r="D4" s="26" t="s">
        <v>197</v>
      </c>
    </row>
    <row r="5" customFormat="false" ht="15" hidden="false" customHeight="false" outlineLevel="0" collapsed="false">
      <c r="A5" s="5"/>
      <c r="B5" s="6" t="s">
        <v>198</v>
      </c>
      <c r="C5" s="44" t="b">
        <f aca="false">MIN(Pool_Schedule!C12:I12)&gt;-1</f>
        <v>1</v>
      </c>
      <c r="D5" s="45" t="s">
        <v>199</v>
      </c>
    </row>
    <row r="6" customFormat="false" ht="15" hidden="false" customHeight="false" outlineLevel="0" collapsed="false">
      <c r="A6" s="5"/>
      <c r="B6" s="6" t="s">
        <v>200</v>
      </c>
      <c r="C6" s="44" t="b">
        <f aca="false">IFERROR(MAX(Funding!C13:I13),0)&lt;=Advance_Rate_Limit</f>
        <v>1</v>
      </c>
      <c r="D6" s="45" t="s">
        <v>199</v>
      </c>
    </row>
    <row r="7" customFormat="false" ht="15" hidden="false" customHeight="false" outlineLevel="0" collapsed="false">
      <c r="A7" s="5"/>
      <c r="B7" s="6" t="s">
        <v>201</v>
      </c>
      <c r="C7" s="44" t="b">
        <f aca="false">Credit_Performance!C11=0</f>
        <v>1</v>
      </c>
      <c r="D7" s="45" t="s">
        <v>199</v>
      </c>
    </row>
    <row r="8" customFormat="false" ht="15" hidden="false" customHeight="false" outlineLevel="0" collapsed="false">
      <c r="A8" s="5"/>
      <c r="B8" s="6" t="s">
        <v>202</v>
      </c>
      <c r="C8" s="44" t="b">
        <f aca="false">MAX(ABS(Cash_Flow!C28:I28))&lt;1</f>
        <v>1</v>
      </c>
      <c r="D8" s="45" t="s">
        <v>199</v>
      </c>
    </row>
    <row r="9" customFormat="false" ht="15" hidden="false" customHeight="false" outlineLevel="0" collapsed="false">
      <c r="A9" s="5"/>
      <c r="B9" s="6" t="s">
        <v>203</v>
      </c>
      <c r="C9" s="44" t="b">
        <f aca="false">MIN(Revenue!C12:I12)&gt;0</f>
        <v>1</v>
      </c>
      <c r="D9" s="45" t="s">
        <v>199</v>
      </c>
    </row>
    <row r="10" customFormat="false" ht="15" hidden="false" customHeight="false" outlineLevel="0" collapsed="false">
      <c r="A10" s="5"/>
      <c r="B10" s="6" t="s">
        <v>204</v>
      </c>
      <c r="C10" s="44" t="b">
        <f aca="false">ISNUMBER(Returns!C5)</f>
        <v>1</v>
      </c>
      <c r="D10" s="45" t="s">
        <v>199</v>
      </c>
    </row>
    <row r="11" customFormat="false" ht="15" hidden="false" customHeight="false" outlineLevel="0" collapsed="false">
      <c r="A11" s="5"/>
      <c r="B11" s="6" t="s">
        <v>205</v>
      </c>
      <c r="C11" s="44" t="b">
        <f aca="false">Funding!I8&lt;=1</f>
        <v>1</v>
      </c>
      <c r="D11" s="45" t="s">
        <v>199</v>
      </c>
    </row>
    <row r="12" customFormat="false" ht="15" hidden="false" customHeight="false" outlineLevel="0" collapsed="false">
      <c r="A12" s="5"/>
      <c r="B12" s="6" t="s">
        <v>206</v>
      </c>
      <c r="C12" s="44" t="b">
        <f aca="false">MIN(Pool_Schedule!C9:I9)&gt;=0</f>
        <v>1</v>
      </c>
      <c r="D12" s="45" t="s">
        <v>199</v>
      </c>
    </row>
    <row r="13" customFormat="false" ht="15" hidden="false" customHeight="false" outlineLevel="0" collapsed="false">
      <c r="A13" s="5"/>
      <c r="B13" s="6" t="s">
        <v>207</v>
      </c>
      <c r="C13" s="44" t="b">
        <f aca="false">MIN(Funding!C8:I8)&gt;=0</f>
        <v>1</v>
      </c>
      <c r="D13" s="45" t="s">
        <v>199</v>
      </c>
    </row>
    <row r="14" customFormat="false" ht="15" hidden="false" customHeight="false" outlineLevel="0" collapsed="false">
      <c r="A14" s="5"/>
      <c r="B14" s="6" t="s">
        <v>208</v>
      </c>
      <c r="C14" s="44" t="b">
        <f aca="false">Returns!C6&gt;=1</f>
        <v>1</v>
      </c>
      <c r="D14" s="45" t="s">
        <v>199</v>
      </c>
    </row>
    <row r="15" customFormat="false" ht="15" hidden="false" customHeight="false" outlineLevel="0" collapsed="false">
      <c r="A15" s="5"/>
      <c r="B15" s="6" t="s">
        <v>209</v>
      </c>
      <c r="C15" s="44" t="b">
        <f aca="false">Credit_Performance!I17&lt;=Loss_Ceiling</f>
        <v>1</v>
      </c>
      <c r="D15" s="45" t="s">
        <v>199</v>
      </c>
    </row>
    <row r="16" customFormat="false" ht="15" hidden="false" customHeight="false" outlineLevel="0" collapsed="false">
      <c r="A16" s="5"/>
      <c r="B16" s="6" t="s">
        <v>210</v>
      </c>
      <c r="C16" s="44" t="b">
        <f aca="false">Returns!C12&lt;=Leverage_Cap</f>
        <v>1</v>
      </c>
      <c r="D16" s="45" t="s">
        <v>199</v>
      </c>
    </row>
    <row r="17" customFormat="false" ht="15" hidden="false" customHeight="false" outlineLevel="0" collapsed="false">
      <c r="A17" s="5"/>
      <c r="B17" s="6" t="s">
        <v>211</v>
      </c>
      <c r="C17" s="44" t="b">
        <f aca="false">MIN(IFERROR(Funding!C14:I14,OC_Trigger+1))&gt;=OC_Trigger</f>
        <v>1</v>
      </c>
      <c r="D17" s="45" t="s">
        <v>199</v>
      </c>
    </row>
    <row r="18" customFormat="false" ht="15" hidden="false" customHeight="false" outlineLevel="0" collapsed="false">
      <c r="A18" s="5"/>
      <c r="B18" s="6" t="s">
        <v>212</v>
      </c>
      <c r="C18" s="44" t="b">
        <f aca="false">Annual_CDR&lt;=CDR_Covenant</f>
        <v>1</v>
      </c>
      <c r="D18" s="45" t="s">
        <v>199</v>
      </c>
    </row>
  </sheetData>
  <conditionalFormatting sqref="C5:C18">
    <cfRule type="expression" priority="2" aboveAverage="0" equalAverage="0" bottom="0" percent="0" rank="0" text="" dxfId="0">
      <formula>C5=1</formula>
    </cfRule>
    <cfRule type="expression" priority="3" aboveAverage="0" equalAverage="0" bottom="0" percent="0" rank="0" text="" dxfId="1">
      <formula>C5=0</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16" t="s">
        <v>17</v>
      </c>
    </row>
    <row r="3" customFormat="false" ht="3.75" hidden="false" customHeight="true" outlineLevel="0" collapsed="false">
      <c r="A3" s="5"/>
      <c r="B3" s="17"/>
    </row>
    <row r="4" customFormat="false" ht="15" hidden="false" customHeight="false" outlineLevel="0" collapsed="false">
      <c r="A4" s="5"/>
      <c r="B4" s="5"/>
    </row>
    <row r="5" customFormat="false" ht="19.5" hidden="false" customHeight="true" outlineLevel="0" collapsed="false">
      <c r="A5" s="5"/>
      <c r="B5" s="18" t="s">
        <v>18</v>
      </c>
    </row>
    <row r="6" customFormat="false" ht="48" hidden="false" customHeight="true" outlineLevel="0" collapsed="false">
      <c r="A6" s="5"/>
      <c r="B6" s="19" t="s">
        <v>19</v>
      </c>
    </row>
    <row r="7" customFormat="false" ht="15" hidden="false" customHeight="false" outlineLevel="0" collapsed="false">
      <c r="A7" s="5"/>
      <c r="B7" s="5"/>
    </row>
    <row r="8" customFormat="false" ht="19.5" hidden="false" customHeight="true" outlineLevel="0" collapsed="false">
      <c r="A8" s="5"/>
      <c r="B8" s="18" t="s">
        <v>20</v>
      </c>
    </row>
    <row r="9" customFormat="false" ht="61.5" hidden="false" customHeight="true" outlineLevel="0" collapsed="false">
      <c r="A9" s="5"/>
      <c r="B9" s="19" t="s">
        <v>21</v>
      </c>
    </row>
    <row r="10" customFormat="false" ht="15" hidden="false" customHeight="false" outlineLevel="0" collapsed="false">
      <c r="A10" s="5"/>
      <c r="B10" s="5"/>
    </row>
    <row r="11" customFormat="false" ht="19.5" hidden="false" customHeight="true" outlineLevel="0" collapsed="false">
      <c r="A11" s="5"/>
      <c r="B11" s="18" t="s">
        <v>22</v>
      </c>
    </row>
    <row r="12" customFormat="false" ht="75.75" hidden="false" customHeight="true" outlineLevel="0" collapsed="false">
      <c r="A12" s="5"/>
      <c r="B12" s="19" t="s">
        <v>23</v>
      </c>
    </row>
    <row r="13" customFormat="false" ht="15" hidden="false" customHeight="false" outlineLevel="0" collapsed="false">
      <c r="A13" s="5"/>
      <c r="B13" s="5"/>
    </row>
    <row r="14" customFormat="false" ht="19.5" hidden="false" customHeight="true" outlineLevel="0" collapsed="false">
      <c r="A14" s="5"/>
      <c r="B14" s="18" t="s">
        <v>24</v>
      </c>
    </row>
    <row r="15" customFormat="false" ht="61.5" hidden="false" customHeight="true" outlineLevel="0" collapsed="false">
      <c r="A15" s="5"/>
      <c r="B15" s="19" t="s">
        <v>25</v>
      </c>
    </row>
    <row r="16" customFormat="false" ht="15" hidden="false" customHeight="false" outlineLevel="0" collapsed="false">
      <c r="A16" s="5"/>
      <c r="B16" s="5"/>
    </row>
    <row r="17" customFormat="false" ht="19.5" hidden="false" customHeight="true" outlineLevel="0" collapsed="false">
      <c r="A17" s="5"/>
      <c r="B17" s="18" t="s">
        <v>26</v>
      </c>
    </row>
    <row r="18" customFormat="false" ht="33.75" hidden="false" customHeight="true" outlineLevel="0" collapsed="false">
      <c r="A18" s="5"/>
      <c r="B18" s="19" t="s">
        <v>27</v>
      </c>
    </row>
    <row r="19" customFormat="false" ht="15" hidden="false" customHeight="false" outlineLevel="0" collapsed="false">
      <c r="A19" s="5"/>
      <c r="B19" s="5"/>
    </row>
    <row r="20" customFormat="false" ht="19.5" hidden="false" customHeight="true" outlineLevel="0" collapsed="false">
      <c r="A20" s="5"/>
      <c r="B20" s="18" t="s">
        <v>28</v>
      </c>
    </row>
    <row r="21" customFormat="false" ht="33.75" hidden="false" customHeight="true" outlineLevel="0" collapsed="false">
      <c r="A21" s="5"/>
      <c r="B21" s="19" t="s">
        <v>29</v>
      </c>
    </row>
    <row r="22" customFormat="false" ht="15" hidden="false" customHeight="false" outlineLevel="0" collapsed="false">
      <c r="A22" s="5"/>
      <c r="B22" s="5"/>
    </row>
    <row r="23" customFormat="false" ht="21.75" hidden="false" customHeight="true" outlineLevel="0" collapsed="false">
      <c r="A23" s="5"/>
      <c r="B23" s="20" t="s">
        <v>30</v>
      </c>
    </row>
    <row r="24" customFormat="false" ht="15" hidden="false" customHeight="false" outlineLevel="0" collapsed="false">
      <c r="A24" s="5"/>
      <c r="B24" s="5"/>
    </row>
    <row r="25" customFormat="false" ht="18" hidden="false" customHeight="true" outlineLevel="0" collapsed="false">
      <c r="A25" s="5"/>
      <c r="B25" s="21" t="s">
        <v>31</v>
      </c>
    </row>
    <row r="26" customFormat="false" ht="201.75" hidden="false" customHeight="true" outlineLevel="0" collapsed="false">
      <c r="A26" s="5"/>
      <c r="B26" s="22" t="s">
        <v>32</v>
      </c>
    </row>
    <row r="27" customFormat="false" ht="15" hidden="false" customHeight="false" outlineLevel="0" collapsed="false">
      <c r="A27" s="5"/>
      <c r="B27" s="5"/>
    </row>
    <row r="28" customFormat="false" ht="18" hidden="false" customHeight="true" outlineLevel="0" collapsed="false">
      <c r="A28" s="5"/>
      <c r="B28" s="23" t="s">
        <v>33</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I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18"/>
    <col collapsed="false" customWidth="true" hidden="false" outlineLevel="0" max="4" min="4" style="0" width="12"/>
    <col collapsed="false" customWidth="true" hidden="false" outlineLevel="0" max="5" min="5" style="0" width="45"/>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16" t="s">
        <v>34</v>
      </c>
      <c r="C2" s="5"/>
      <c r="D2" s="5"/>
      <c r="E2" s="5"/>
      <c r="F2" s="5"/>
      <c r="G2" s="5"/>
      <c r="H2" s="5"/>
      <c r="I2" s="5"/>
    </row>
    <row r="3" customFormat="false" ht="15" hidden="false" customHeight="false" outlineLevel="0" collapsed="false">
      <c r="A3" s="5"/>
      <c r="B3" s="24" t="s">
        <v>35</v>
      </c>
      <c r="C3" s="5"/>
      <c r="D3" s="5"/>
      <c r="E3" s="5"/>
      <c r="F3" s="5"/>
      <c r="G3" s="5"/>
      <c r="H3" s="5"/>
      <c r="I3" s="5"/>
    </row>
    <row r="4" customFormat="false" ht="15" hidden="false" customHeight="false" outlineLevel="0" collapsed="false">
      <c r="A4" s="5"/>
      <c r="B4" s="25" t="s">
        <v>36</v>
      </c>
      <c r="C4" s="26" t="s">
        <v>37</v>
      </c>
      <c r="D4" s="26" t="s">
        <v>38</v>
      </c>
      <c r="E4" s="26" t="s">
        <v>39</v>
      </c>
      <c r="F4" s="5"/>
      <c r="G4" s="5"/>
      <c r="H4" s="5"/>
      <c r="I4" s="5"/>
    </row>
    <row r="5" customFormat="false" ht="15" hidden="false" customHeight="false" outlineLevel="0" collapsed="false">
      <c r="A5" s="5"/>
      <c r="B5" s="27" t="s">
        <v>40</v>
      </c>
      <c r="C5" s="5"/>
      <c r="D5" s="5"/>
      <c r="E5" s="5"/>
      <c r="F5" s="5"/>
      <c r="G5" s="5"/>
      <c r="H5" s="5"/>
      <c r="I5" s="5"/>
    </row>
    <row r="6" customFormat="false" ht="15" hidden="false" customHeight="false" outlineLevel="0" collapsed="false">
      <c r="A6" s="5"/>
      <c r="B6" s="28" t="s">
        <v>41</v>
      </c>
      <c r="C6" s="29"/>
      <c r="D6" s="29"/>
      <c r="E6" s="29"/>
      <c r="F6" s="29"/>
      <c r="G6" s="29"/>
      <c r="H6" s="29"/>
      <c r="I6" s="29"/>
    </row>
    <row r="7" customFormat="false" ht="15" hidden="false" customHeight="false" outlineLevel="0" collapsed="false">
      <c r="A7" s="5"/>
      <c r="B7" s="6" t="s">
        <v>42</v>
      </c>
      <c r="C7" s="30" t="n">
        <v>140000000</v>
      </c>
      <c r="D7" s="27" t="s">
        <v>43</v>
      </c>
      <c r="E7" s="24" t="s">
        <v>44</v>
      </c>
      <c r="F7" s="5"/>
      <c r="G7" s="5"/>
      <c r="H7" s="5"/>
      <c r="I7" s="5"/>
    </row>
    <row r="8" customFormat="false" ht="15" hidden="false" customHeight="false" outlineLevel="0" collapsed="false">
      <c r="A8" s="5"/>
      <c r="B8" s="6" t="s">
        <v>45</v>
      </c>
      <c r="C8" s="31" t="n">
        <v>0.2</v>
      </c>
      <c r="D8" s="27" t="s">
        <v>46</v>
      </c>
      <c r="E8" s="24" t="s">
        <v>47</v>
      </c>
      <c r="F8" s="5"/>
      <c r="G8" s="5"/>
      <c r="H8" s="5"/>
      <c r="I8" s="5"/>
    </row>
    <row r="9" customFormat="false" ht="15" hidden="false" customHeight="false" outlineLevel="0" collapsed="false">
      <c r="A9" s="5"/>
      <c r="B9" s="28" t="s">
        <v>48</v>
      </c>
      <c r="C9" s="32" t="n">
        <v>48</v>
      </c>
      <c r="D9" s="33" t="s">
        <v>49</v>
      </c>
      <c r="E9" s="34" t="s">
        <v>50</v>
      </c>
      <c r="F9" s="29"/>
      <c r="G9" s="29"/>
      <c r="H9" s="29"/>
      <c r="I9" s="29"/>
    </row>
    <row r="10" customFormat="false" ht="15" hidden="false" customHeight="false" outlineLevel="0" collapsed="false">
      <c r="A10" s="5"/>
      <c r="B10" s="6" t="s">
        <v>51</v>
      </c>
      <c r="C10" s="31" t="n">
        <v>0.07</v>
      </c>
      <c r="D10" s="27" t="s">
        <v>46</v>
      </c>
      <c r="E10" s="24" t="s">
        <v>52</v>
      </c>
      <c r="F10" s="5"/>
      <c r="G10" s="5"/>
      <c r="H10" s="5"/>
      <c r="I10" s="5"/>
    </row>
    <row r="11" customFormat="false" ht="15" hidden="false" customHeight="false" outlineLevel="0" collapsed="false">
      <c r="A11" s="5"/>
      <c r="B11" s="6" t="s">
        <v>53</v>
      </c>
      <c r="C11" s="31" t="n">
        <v>0.15</v>
      </c>
      <c r="D11" s="27" t="s">
        <v>46</v>
      </c>
      <c r="E11" s="24" t="s">
        <v>54</v>
      </c>
      <c r="F11" s="5"/>
      <c r="G11" s="5"/>
      <c r="H11" s="5"/>
      <c r="I11" s="5"/>
    </row>
    <row r="12" customFormat="false" ht="15" hidden="false" customHeight="false" outlineLevel="0" collapsed="false">
      <c r="A12" s="5"/>
      <c r="B12" s="6" t="s">
        <v>55</v>
      </c>
      <c r="C12" s="31" t="n">
        <v>0.7</v>
      </c>
      <c r="D12" s="27" t="s">
        <v>46</v>
      </c>
      <c r="E12" s="24" t="s">
        <v>56</v>
      </c>
      <c r="F12" s="5"/>
      <c r="G12" s="5"/>
      <c r="H12" s="5"/>
      <c r="I12" s="5"/>
    </row>
    <row r="13" customFormat="false" ht="15" hidden="false" customHeight="false" outlineLevel="0" collapsed="false">
      <c r="A13" s="5"/>
      <c r="B13" s="6" t="s">
        <v>57</v>
      </c>
      <c r="C13" s="31" t="n">
        <v>0.3</v>
      </c>
      <c r="D13" s="27" t="s">
        <v>46</v>
      </c>
      <c r="E13" s="24" t="s">
        <v>58</v>
      </c>
      <c r="F13" s="5"/>
      <c r="G13" s="5"/>
      <c r="H13" s="5"/>
      <c r="I13" s="5"/>
    </row>
    <row r="14" customFormat="false" ht="15" hidden="false" customHeight="false" outlineLevel="0" collapsed="false">
      <c r="A14" s="5"/>
      <c r="B14" s="28" t="s">
        <v>59</v>
      </c>
      <c r="C14" s="32" t="n">
        <v>1</v>
      </c>
      <c r="D14" s="33" t="s">
        <v>60</v>
      </c>
      <c r="E14" s="34" t="s">
        <v>61</v>
      </c>
      <c r="F14" s="29"/>
      <c r="G14" s="29"/>
      <c r="H14" s="29"/>
      <c r="I14" s="29"/>
    </row>
    <row r="15" customFormat="false" ht="15" hidden="false" customHeight="false" outlineLevel="0" collapsed="false">
      <c r="A15" s="5"/>
      <c r="B15" s="6" t="s">
        <v>62</v>
      </c>
      <c r="C15" s="31" t="n">
        <v>0.7</v>
      </c>
      <c r="D15" s="27" t="s">
        <v>46</v>
      </c>
      <c r="E15" s="24" t="s">
        <v>63</v>
      </c>
      <c r="F15" s="5"/>
      <c r="G15" s="5"/>
      <c r="H15" s="5"/>
      <c r="I15" s="5"/>
    </row>
    <row r="16" customFormat="false" ht="15" hidden="false" customHeight="false" outlineLevel="0" collapsed="false">
      <c r="A16" s="5"/>
      <c r="B16" s="6" t="s">
        <v>64</v>
      </c>
      <c r="C16" s="30" t="n">
        <v>110000000</v>
      </c>
      <c r="D16" s="27" t="s">
        <v>43</v>
      </c>
      <c r="E16" s="24" t="s">
        <v>65</v>
      </c>
      <c r="F16" s="5"/>
      <c r="G16" s="5"/>
      <c r="H16" s="5"/>
      <c r="I16" s="5"/>
    </row>
    <row r="17" customFormat="false" ht="15" hidden="false" customHeight="false" outlineLevel="0" collapsed="false">
      <c r="A17" s="5"/>
      <c r="B17" s="6" t="s">
        <v>66</v>
      </c>
      <c r="C17" s="31" t="n">
        <v>0.085</v>
      </c>
      <c r="D17" s="27" t="s">
        <v>46</v>
      </c>
      <c r="E17" s="24" t="s">
        <v>67</v>
      </c>
      <c r="F17" s="5"/>
      <c r="G17" s="5"/>
      <c r="H17" s="5"/>
      <c r="I17" s="5"/>
    </row>
    <row r="18" customFormat="false" ht="15" hidden="false" customHeight="false" outlineLevel="0" collapsed="false">
      <c r="A18" s="5"/>
      <c r="B18" s="28" t="s">
        <v>68</v>
      </c>
      <c r="C18" s="35" t="n">
        <v>0.005</v>
      </c>
      <c r="D18" s="33" t="s">
        <v>46</v>
      </c>
      <c r="E18" s="34" t="s">
        <v>69</v>
      </c>
      <c r="F18" s="29"/>
      <c r="G18" s="29"/>
      <c r="H18" s="29"/>
      <c r="I18" s="29"/>
    </row>
    <row r="19" customFormat="false" ht="15" hidden="false" customHeight="false" outlineLevel="0" collapsed="false">
      <c r="A19" s="5"/>
      <c r="B19" s="6" t="s">
        <v>70</v>
      </c>
      <c r="C19" s="31" t="n">
        <v>0.015</v>
      </c>
      <c r="D19" s="27" t="s">
        <v>46</v>
      </c>
      <c r="E19" s="24" t="s">
        <v>71</v>
      </c>
      <c r="F19" s="5"/>
      <c r="G19" s="5"/>
      <c r="H19" s="5"/>
      <c r="I19" s="5"/>
    </row>
    <row r="20" customFormat="false" ht="15" hidden="false" customHeight="false" outlineLevel="0" collapsed="false">
      <c r="A20" s="5"/>
      <c r="B20" s="6" t="s">
        <v>72</v>
      </c>
      <c r="C20" s="31" t="n">
        <v>0.002</v>
      </c>
      <c r="D20" s="27" t="s">
        <v>46</v>
      </c>
      <c r="E20" s="24" t="s">
        <v>71</v>
      </c>
      <c r="F20" s="5"/>
      <c r="G20" s="5"/>
      <c r="H20" s="5"/>
      <c r="I20" s="5"/>
    </row>
    <row r="21" customFormat="false" ht="15" hidden="false" customHeight="false" outlineLevel="0" collapsed="false">
      <c r="A21" s="5"/>
      <c r="B21" s="6" t="s">
        <v>73</v>
      </c>
      <c r="C21" s="31" t="n">
        <v>0.015</v>
      </c>
      <c r="D21" s="27" t="s">
        <v>46</v>
      </c>
      <c r="E21" s="24" t="s">
        <v>74</v>
      </c>
      <c r="F21" s="5"/>
      <c r="G21" s="5"/>
      <c r="H21" s="5"/>
      <c r="I21" s="5"/>
    </row>
    <row r="22" customFormat="false" ht="15" hidden="false" customHeight="false" outlineLevel="0" collapsed="false">
      <c r="A22" s="5"/>
      <c r="B22" s="6" t="s">
        <v>75</v>
      </c>
      <c r="C22" s="31" t="n">
        <v>0.02</v>
      </c>
      <c r="D22" s="27" t="s">
        <v>46</v>
      </c>
      <c r="E22" s="24" t="s">
        <v>76</v>
      </c>
      <c r="F22" s="5"/>
      <c r="G22" s="5"/>
      <c r="H22" s="5"/>
      <c r="I22" s="5"/>
    </row>
    <row r="23" customFormat="false" ht="15" hidden="false" customHeight="false" outlineLevel="0" collapsed="false">
      <c r="A23" s="5"/>
      <c r="B23" s="6" t="s">
        <v>77</v>
      </c>
      <c r="C23" s="31" t="n">
        <v>0.03</v>
      </c>
      <c r="D23" s="27" t="s">
        <v>46</v>
      </c>
      <c r="E23" s="24" t="s">
        <v>78</v>
      </c>
      <c r="F23" s="5"/>
      <c r="G23" s="5"/>
      <c r="H23" s="5"/>
      <c r="I23" s="5"/>
    </row>
    <row r="24" customFormat="false" ht="15" hidden="false" customHeight="false" outlineLevel="0" collapsed="false">
      <c r="A24" s="5"/>
      <c r="B24" s="6" t="s">
        <v>79</v>
      </c>
      <c r="C24" s="31" t="n">
        <v>0.05</v>
      </c>
      <c r="D24" s="27" t="s">
        <v>46</v>
      </c>
      <c r="E24" s="24" t="s">
        <v>80</v>
      </c>
      <c r="F24" s="5"/>
      <c r="G24" s="5"/>
      <c r="H24" s="5"/>
      <c r="I24" s="5"/>
    </row>
    <row r="25" customFormat="false" ht="15" hidden="false" customHeight="false" outlineLevel="0" collapsed="false">
      <c r="A25" s="5"/>
      <c r="B25" s="28" t="s">
        <v>81</v>
      </c>
      <c r="C25" s="35" t="n">
        <v>0.01</v>
      </c>
      <c r="D25" s="33" t="s">
        <v>46</v>
      </c>
      <c r="E25" s="34" t="s">
        <v>82</v>
      </c>
      <c r="F25" s="29"/>
      <c r="G25" s="29"/>
      <c r="H25" s="29"/>
      <c r="I25" s="29"/>
    </row>
    <row r="26" customFormat="false" ht="15" hidden="false" customHeight="false" outlineLevel="0" collapsed="false">
      <c r="A26" s="5"/>
      <c r="B26" s="6" t="s">
        <v>83</v>
      </c>
      <c r="C26" s="30" t="n">
        <v>42000000</v>
      </c>
      <c r="D26" s="27" t="s">
        <v>43</v>
      </c>
      <c r="E26" s="24" t="s">
        <v>84</v>
      </c>
      <c r="F26" s="5"/>
      <c r="G26" s="5"/>
      <c r="H26" s="5"/>
      <c r="I26" s="5"/>
    </row>
    <row r="27" customFormat="false" ht="15" hidden="false" customHeight="false" outlineLevel="0" collapsed="false">
      <c r="A27" s="5"/>
      <c r="B27" s="28" t="s">
        <v>85</v>
      </c>
      <c r="C27" s="32" t="n">
        <v>98000000</v>
      </c>
      <c r="D27" s="33" t="s">
        <v>43</v>
      </c>
      <c r="E27" s="34" t="s">
        <v>86</v>
      </c>
      <c r="F27" s="29"/>
      <c r="G27" s="29"/>
      <c r="H27" s="29"/>
      <c r="I27" s="29"/>
    </row>
    <row r="28" customFormat="false" ht="15" hidden="false" customHeight="false" outlineLevel="0" collapsed="false">
      <c r="A28" s="5"/>
      <c r="B28" s="6" t="s">
        <v>87</v>
      </c>
      <c r="C28" s="36" t="n">
        <v>1.25</v>
      </c>
      <c r="D28" s="27" t="s">
        <v>88</v>
      </c>
      <c r="E28" s="24" t="s">
        <v>89</v>
      </c>
      <c r="F28" s="5"/>
      <c r="G28" s="5"/>
      <c r="H28" s="5"/>
      <c r="I28" s="5"/>
    </row>
    <row r="29" customFormat="false" ht="15" hidden="false" customHeight="false" outlineLevel="0" collapsed="false">
      <c r="A29" s="5"/>
      <c r="B29" s="6" t="s">
        <v>90</v>
      </c>
      <c r="C29" s="31" t="n">
        <v>0.12</v>
      </c>
      <c r="D29" s="27" t="s">
        <v>46</v>
      </c>
      <c r="E29" s="24" t="s">
        <v>91</v>
      </c>
      <c r="F29" s="5"/>
      <c r="G29" s="5"/>
      <c r="H29" s="5"/>
      <c r="I29" s="5"/>
    </row>
    <row r="30" customFormat="false" ht="15" hidden="false" customHeight="false" outlineLevel="0" collapsed="false">
      <c r="A30" s="5"/>
      <c r="B30" s="6" t="s">
        <v>92</v>
      </c>
      <c r="C30" s="31" t="n">
        <v>0.15</v>
      </c>
      <c r="D30" s="27" t="s">
        <v>46</v>
      </c>
      <c r="E30" s="24" t="s">
        <v>93</v>
      </c>
      <c r="F30" s="5"/>
      <c r="G30" s="5"/>
      <c r="H30" s="5"/>
      <c r="I30" s="5"/>
    </row>
    <row r="31" customFormat="false" ht="15" hidden="false" customHeight="false" outlineLevel="0" collapsed="false">
      <c r="A31" s="5"/>
      <c r="B31" s="6" t="s">
        <v>94</v>
      </c>
      <c r="C31" s="36" t="n">
        <v>6</v>
      </c>
      <c r="D31" s="27" t="s">
        <v>88</v>
      </c>
      <c r="E31" s="24" t="s">
        <v>95</v>
      </c>
      <c r="F31" s="5"/>
      <c r="G31" s="5"/>
      <c r="H31" s="5"/>
      <c r="I31"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I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16" t="s">
        <v>96</v>
      </c>
      <c r="C2" s="5"/>
      <c r="D2" s="5"/>
      <c r="E2" s="5"/>
      <c r="F2" s="5"/>
      <c r="G2" s="5"/>
      <c r="H2" s="5"/>
      <c r="I2" s="5"/>
    </row>
    <row r="3" customFormat="false" ht="15" hidden="false" customHeight="false" outlineLevel="0" collapsed="false">
      <c r="A3" s="5"/>
      <c r="B3" s="24" t="s">
        <v>97</v>
      </c>
      <c r="C3" s="5"/>
      <c r="D3" s="5"/>
      <c r="E3" s="5"/>
      <c r="F3" s="5"/>
      <c r="G3" s="5"/>
      <c r="H3" s="5"/>
      <c r="I3" s="5"/>
    </row>
    <row r="4" customFormat="false" ht="15" hidden="false" customHeight="false" outlineLevel="0" collapsed="false">
      <c r="A4" s="5"/>
      <c r="B4" s="25"/>
      <c r="C4" s="37" t="s">
        <v>98</v>
      </c>
      <c r="D4" s="37" t="s">
        <v>99</v>
      </c>
      <c r="E4" s="37" t="s">
        <v>100</v>
      </c>
      <c r="F4" s="37" t="s">
        <v>101</v>
      </c>
      <c r="G4" s="37" t="s">
        <v>102</v>
      </c>
      <c r="H4" s="37" t="s">
        <v>103</v>
      </c>
      <c r="I4" s="37" t="s">
        <v>104</v>
      </c>
    </row>
    <row r="5" customFormat="false" ht="15" hidden="false" customHeight="false" outlineLevel="0" collapsed="false">
      <c r="A5" s="5"/>
      <c r="B5" s="6" t="s">
        <v>105</v>
      </c>
      <c r="C5" s="8" t="n">
        <f aca="false">Initial_Pool_Balance</f>
        <v>140000000</v>
      </c>
      <c r="D5" s="8" t="n">
        <f aca="false">C9</f>
        <v>87546991.2623186</v>
      </c>
      <c r="E5" s="8" t="n">
        <f aca="false">D9</f>
        <v>54746254.8506035</v>
      </c>
      <c r="F5" s="8" t="n">
        <f aca="false">E9</f>
        <v>34234784.964646</v>
      </c>
      <c r="G5" s="8" t="n">
        <f aca="false">F9</f>
        <v>21408231.572623</v>
      </c>
      <c r="H5" s="8" t="n">
        <f aca="false">G9</f>
        <v>13387330.4459294</v>
      </c>
      <c r="I5" s="8" t="n">
        <f aca="false">H9</f>
        <v>8371575.01125396</v>
      </c>
    </row>
    <row r="6" customFormat="false" ht="15" hidden="false" customHeight="false" outlineLevel="0" collapsed="false">
      <c r="A6" s="5"/>
      <c r="B6" s="6" t="s">
        <v>106</v>
      </c>
      <c r="C6" s="8" t="n">
        <f aca="false">C5*((-PMT(WAC/12,WAM,1)*12)-WAC)</f>
        <v>23123008.7376814</v>
      </c>
      <c r="D6" s="8" t="n">
        <f aca="false">D5*((-PMT(WAC/12,WAM,1)*12)-WAC)</f>
        <v>14459641.7422594</v>
      </c>
      <c r="E6" s="8" t="n">
        <f aca="false">E5*((-PMT(WAC/12,WAM,1)*12)-WAC)</f>
        <v>9042129.49475599</v>
      </c>
      <c r="F6" s="8" t="n">
        <f aca="false">F5*((-PMT(WAC/12,WAM,1)*12)-WAC)</f>
        <v>5654365.94192968</v>
      </c>
      <c r="G6" s="8" t="n">
        <f aca="false">G5*((-PMT(WAC/12,WAM,1)*12)-WAC)</f>
        <v>3535876.61222907</v>
      </c>
      <c r="H6" s="8" t="n">
        <f aca="false">H5*((-PMT(WAC/12,WAM,1)*12)-WAC)</f>
        <v>2211109.70625325</v>
      </c>
      <c r="I6" s="8" t="n">
        <f aca="false">I5*((-PMT(WAC/12,WAM,1)*12)-WAC)</f>
        <v>1382685.72952415</v>
      </c>
    </row>
    <row r="7" customFormat="false" ht="15" hidden="false" customHeight="false" outlineLevel="0" collapsed="false">
      <c r="A7" s="5"/>
      <c r="B7" s="6" t="s">
        <v>107</v>
      </c>
      <c r="C7" s="8" t="n">
        <f aca="false">C5*Annual_CDR</f>
        <v>9800000</v>
      </c>
      <c r="D7" s="8" t="n">
        <f aca="false">D5*Annual_CDR</f>
        <v>6128289.3883623</v>
      </c>
      <c r="E7" s="8" t="n">
        <f aca="false">E5*Annual_CDR</f>
        <v>3832237.83954224</v>
      </c>
      <c r="F7" s="8" t="n">
        <f aca="false">F5*Annual_CDR</f>
        <v>2396434.94752522</v>
      </c>
      <c r="G7" s="8" t="n">
        <f aca="false">G5*Annual_CDR</f>
        <v>1498576.21008361</v>
      </c>
      <c r="H7" s="8" t="n">
        <f aca="false">H5*Annual_CDR</f>
        <v>937113.13121506</v>
      </c>
      <c r="I7" s="8" t="n">
        <f aca="false">I5*Annual_CDR</f>
        <v>586010.250787778</v>
      </c>
    </row>
    <row r="8" customFormat="false" ht="15" hidden="false" customHeight="false" outlineLevel="0" collapsed="false">
      <c r="A8" s="5"/>
      <c r="B8" s="6" t="s">
        <v>108</v>
      </c>
      <c r="C8" s="8" t="n">
        <f aca="false">(C5-C7)*Annual_CPR</f>
        <v>19530000</v>
      </c>
      <c r="D8" s="8" t="n">
        <f aca="false">(D5-D7)*Annual_CPR</f>
        <v>12212805.2810934</v>
      </c>
      <c r="E8" s="8" t="n">
        <f aca="false">(E5-E7)*Annual_CPR</f>
        <v>7637102.55165918</v>
      </c>
      <c r="F8" s="8" t="n">
        <f aca="false">(F5-F7)*Annual_CPR</f>
        <v>4775752.50256812</v>
      </c>
      <c r="G8" s="8" t="n">
        <f aca="false">(G5-G7)*Annual_CPR</f>
        <v>2986448.30438091</v>
      </c>
      <c r="H8" s="8" t="n">
        <f aca="false">(H5-H7)*Annual_CPR</f>
        <v>1867532.59720716</v>
      </c>
      <c r="I8" s="8" t="n">
        <f aca="false">(I5-I7)*Annual_CPR</f>
        <v>1167834.71406993</v>
      </c>
    </row>
    <row r="9" customFormat="false" ht="15" hidden="false" customHeight="false" outlineLevel="0" collapsed="false">
      <c r="A9" s="5"/>
      <c r="B9" s="38" t="s">
        <v>109</v>
      </c>
      <c r="C9" s="39" t="n">
        <f aca="false">C5-C6-C7-C8</f>
        <v>87546991.2623186</v>
      </c>
      <c r="D9" s="39" t="n">
        <f aca="false">MAX(0,D5-D6-D7-D8)</f>
        <v>54746254.8506035</v>
      </c>
      <c r="E9" s="39" t="n">
        <f aca="false">MAX(0,E5-E6-E7-E8)</f>
        <v>34234784.964646</v>
      </c>
      <c r="F9" s="39" t="n">
        <f aca="false">MAX(0,F5-F6-F7-F8)</f>
        <v>21408231.572623</v>
      </c>
      <c r="G9" s="39" t="n">
        <f aca="false">MAX(0,G5-G6-G7-G8)</f>
        <v>13387330.4459294</v>
      </c>
      <c r="H9" s="39" t="n">
        <f aca="false">MAX(0,H5-H6-H7-H8)</f>
        <v>8371575.01125396</v>
      </c>
      <c r="I9" s="39" t="n">
        <f aca="false">MAX(0,I5-I6-I7-I8)</f>
        <v>5235044.31687211</v>
      </c>
    </row>
    <row r="10" customFormat="false" ht="15" hidden="false" customHeight="false" outlineLevel="0" collapsed="false">
      <c r="A10" s="5"/>
      <c r="B10" s="6" t="s">
        <v>110</v>
      </c>
      <c r="C10" s="8" t="n">
        <f aca="false">C7</f>
        <v>9800000</v>
      </c>
      <c r="D10" s="8" t="n">
        <f aca="false">C10+D7</f>
        <v>15928289.3883623</v>
      </c>
      <c r="E10" s="8" t="n">
        <f aca="false">D10+E7</f>
        <v>19760527.2279045</v>
      </c>
      <c r="F10" s="8" t="n">
        <f aca="false">E10+F7</f>
        <v>22156962.1754298</v>
      </c>
      <c r="G10" s="8" t="n">
        <f aca="false">F10+G7</f>
        <v>23655538.3855134</v>
      </c>
      <c r="H10" s="8" t="n">
        <f aca="false">G10+H7</f>
        <v>24592651.5167284</v>
      </c>
      <c r="I10" s="8" t="n">
        <f aca="false">H10+I7</f>
        <v>25178661.7675162</v>
      </c>
    </row>
    <row r="11" customFormat="false" ht="15" hidden="false" customHeight="false" outlineLevel="0" collapsed="false">
      <c r="A11" s="5"/>
      <c r="B11" s="6" t="s">
        <v>111</v>
      </c>
      <c r="C11" s="8" t="n">
        <f aca="false">C7*Loss_Severity</f>
        <v>6860000</v>
      </c>
      <c r="D11" s="8" t="n">
        <f aca="false">C11+D7*Loss_Severity</f>
        <v>11149802.5718536</v>
      </c>
      <c r="E11" s="8" t="n">
        <f aca="false">D11+E7*Loss_Severity</f>
        <v>13832369.0595332</v>
      </c>
      <c r="F11" s="8" t="n">
        <f aca="false">E11+F7*Loss_Severity</f>
        <v>15509873.5228008</v>
      </c>
      <c r="G11" s="8" t="n">
        <f aca="false">F11+G7*Loss_Severity</f>
        <v>16558876.8698594</v>
      </c>
      <c r="H11" s="8" t="n">
        <f aca="false">G11+H7*Loss_Severity</f>
        <v>17214856.0617099</v>
      </c>
      <c r="I11" s="8" t="n">
        <f aca="false">H11+I7*Loss_Severity</f>
        <v>17625063.2372614</v>
      </c>
    </row>
    <row r="12" customFormat="false" ht="15" hidden="false" customHeight="false" outlineLevel="0" collapsed="false">
      <c r="A12" s="5"/>
      <c r="B12" s="6" t="s">
        <v>112</v>
      </c>
      <c r="C12" s="8" t="n">
        <f aca="false">C9-(C5-C6-C7-C8)</f>
        <v>0</v>
      </c>
      <c r="D12" s="8" t="n">
        <f aca="false">D9-(D5-D6-D7-D8)</f>
        <v>0</v>
      </c>
      <c r="E12" s="8" t="n">
        <f aca="false">E9-(E5-E6-E7-E8)</f>
        <v>0</v>
      </c>
      <c r="F12" s="8" t="n">
        <f aca="false">F9-(F5-F6-F7-F8)</f>
        <v>0</v>
      </c>
      <c r="G12" s="8" t="n">
        <f aca="false">G9-(G5-G6-G7-G8)</f>
        <v>0</v>
      </c>
      <c r="H12" s="8" t="n">
        <f aca="false">H9-(H5-H6-H7-H8)</f>
        <v>0</v>
      </c>
      <c r="I12" s="8" t="n">
        <f aca="false">I9-(I5-I6-I7-I8)</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I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16" t="s">
        <v>113</v>
      </c>
      <c r="C2" s="5"/>
      <c r="D2" s="5"/>
      <c r="E2" s="5"/>
      <c r="F2" s="5"/>
      <c r="G2" s="5"/>
      <c r="H2" s="5"/>
      <c r="I2" s="5"/>
    </row>
    <row r="3" customFormat="false" ht="15" hidden="false" customHeight="false" outlineLevel="0" collapsed="false">
      <c r="A3" s="5"/>
      <c r="B3" s="24" t="s">
        <v>114</v>
      </c>
      <c r="C3" s="5"/>
      <c r="D3" s="5"/>
      <c r="E3" s="5"/>
      <c r="F3" s="5"/>
      <c r="G3" s="5"/>
      <c r="H3" s="5"/>
      <c r="I3" s="5"/>
    </row>
    <row r="4" customFormat="false" ht="15" hidden="false" customHeight="false" outlineLevel="0" collapsed="false">
      <c r="A4" s="5"/>
      <c r="B4" s="25" t="s">
        <v>115</v>
      </c>
      <c r="C4" s="37" t="n">
        <v>1</v>
      </c>
      <c r="D4" s="37" t="n">
        <v>2</v>
      </c>
      <c r="E4" s="37" t="n">
        <v>3</v>
      </c>
      <c r="F4" s="37" t="n">
        <v>4</v>
      </c>
      <c r="G4" s="37" t="n">
        <v>5</v>
      </c>
      <c r="H4" s="37" t="n">
        <v>6</v>
      </c>
      <c r="I4" s="37" t="n">
        <v>7</v>
      </c>
    </row>
    <row r="5" customFormat="false" ht="15" hidden="false" customHeight="false" outlineLevel="0" collapsed="false">
      <c r="A5" s="5"/>
      <c r="B5" s="6" t="s">
        <v>116</v>
      </c>
      <c r="C5" s="8" t="n">
        <f aca="false">Pool_Schedule!C5</f>
        <v>140000000</v>
      </c>
      <c r="D5" s="8" t="n">
        <f aca="false">Pool_Schedule!D5</f>
        <v>87546991.2623186</v>
      </c>
      <c r="E5" s="8" t="n">
        <f aca="false">Pool_Schedule!E5</f>
        <v>54746254.8506035</v>
      </c>
      <c r="F5" s="8" t="n">
        <f aca="false">Pool_Schedule!F5</f>
        <v>34234784.964646</v>
      </c>
      <c r="G5" s="8" t="n">
        <f aca="false">Pool_Schedule!G5</f>
        <v>21408231.572623</v>
      </c>
      <c r="H5" s="8" t="n">
        <f aca="false">Pool_Schedule!H5</f>
        <v>13387330.4459294</v>
      </c>
      <c r="I5" s="8" t="n">
        <f aca="false">Pool_Schedule!I5</f>
        <v>8371575.01125396</v>
      </c>
    </row>
    <row r="6" customFormat="false" ht="15" hidden="false" customHeight="false" outlineLevel="0" collapsed="false">
      <c r="A6" s="5"/>
      <c r="B6" s="6" t="s">
        <v>117</v>
      </c>
      <c r="C6" s="8" t="n">
        <f aca="false">Pool_Schedule!C9</f>
        <v>87546991.2623186</v>
      </c>
      <c r="D6" s="8" t="n">
        <f aca="false">Pool_Schedule!D9</f>
        <v>54746254.8506035</v>
      </c>
      <c r="E6" s="8" t="n">
        <f aca="false">Pool_Schedule!E9</f>
        <v>34234784.964646</v>
      </c>
      <c r="F6" s="8" t="n">
        <f aca="false">Pool_Schedule!F9</f>
        <v>21408231.572623</v>
      </c>
      <c r="G6" s="8" t="n">
        <f aca="false">Pool_Schedule!G9</f>
        <v>13387330.4459294</v>
      </c>
      <c r="H6" s="8" t="n">
        <f aca="false">Pool_Schedule!H9</f>
        <v>8371575.01125396</v>
      </c>
      <c r="I6" s="8" t="n">
        <f aca="false">Pool_Schedule!I9</f>
        <v>5235044.31687211</v>
      </c>
    </row>
    <row r="7" customFormat="false" ht="15" hidden="false" customHeight="false" outlineLevel="0" collapsed="false">
      <c r="A7" s="5"/>
      <c r="B7" s="6" t="s">
        <v>118</v>
      </c>
      <c r="C7" s="8" t="n">
        <f aca="false">(C5+C6)/2</f>
        <v>113773495.631159</v>
      </c>
      <c r="D7" s="8" t="n">
        <f aca="false">(D5+D6)/2</f>
        <v>71146623.056461</v>
      </c>
      <c r="E7" s="8" t="n">
        <f aca="false">(E5+E6)/2</f>
        <v>44490519.9076248</v>
      </c>
      <c r="F7" s="8" t="n">
        <f aca="false">(F5+F6)/2</f>
        <v>27821508.2686345</v>
      </c>
      <c r="G7" s="8" t="n">
        <f aca="false">(G5+G6)/2</f>
        <v>17397781.0092762</v>
      </c>
      <c r="H7" s="8" t="n">
        <f aca="false">(H5+H6)/2</f>
        <v>10879452.7285917</v>
      </c>
      <c r="I7" s="8" t="n">
        <f aca="false">(I5+I6)/2</f>
        <v>6803309.66406304</v>
      </c>
    </row>
    <row r="8" customFormat="false" ht="15" hidden="false" customHeight="false" outlineLevel="0" collapsed="false">
      <c r="A8" s="5"/>
      <c r="B8" s="6" t="s">
        <v>107</v>
      </c>
      <c r="C8" s="8" t="n">
        <f aca="false">Pool_Schedule!C7</f>
        <v>9800000</v>
      </c>
      <c r="D8" s="8" t="n">
        <f aca="false">Pool_Schedule!D7</f>
        <v>6128289.3883623</v>
      </c>
      <c r="E8" s="8" t="n">
        <f aca="false">Pool_Schedule!E7</f>
        <v>3832237.83954224</v>
      </c>
      <c r="F8" s="8" t="n">
        <f aca="false">Pool_Schedule!F7</f>
        <v>2396434.94752522</v>
      </c>
      <c r="G8" s="8" t="n">
        <f aca="false">Pool_Schedule!G7</f>
        <v>1498576.21008361</v>
      </c>
      <c r="H8" s="8" t="n">
        <f aca="false">Pool_Schedule!H7</f>
        <v>937113.13121506</v>
      </c>
      <c r="I8" s="8" t="n">
        <f aca="false">Pool_Schedule!I7</f>
        <v>586010.250787778</v>
      </c>
    </row>
    <row r="9" customFormat="false" ht="15" hidden="false" customHeight="false" outlineLevel="0" collapsed="false">
      <c r="A9" s="5"/>
      <c r="B9" s="6" t="s">
        <v>119</v>
      </c>
      <c r="C9" s="8" t="n">
        <f aca="false">C8*Loss_Severity</f>
        <v>6860000</v>
      </c>
      <c r="D9" s="8" t="n">
        <f aca="false">D8*Loss_Severity</f>
        <v>4289802.57185361</v>
      </c>
      <c r="E9" s="8" t="n">
        <f aca="false">E8*Loss_Severity</f>
        <v>2682566.48767957</v>
      </c>
      <c r="F9" s="8" t="n">
        <f aca="false">F8*Loss_Severity</f>
        <v>1677504.46326766</v>
      </c>
      <c r="G9" s="8" t="n">
        <f aca="false">G8*Loss_Severity</f>
        <v>1049003.34705853</v>
      </c>
      <c r="H9" s="8" t="n">
        <f aca="false">H8*Loss_Severity</f>
        <v>655979.191850542</v>
      </c>
      <c r="I9" s="8" t="n">
        <f aca="false">I8*Loss_Severity</f>
        <v>410207.175551444</v>
      </c>
    </row>
    <row r="10" customFormat="false" ht="15" hidden="false" customHeight="false" outlineLevel="0" collapsed="false">
      <c r="A10" s="5"/>
      <c r="B10" s="6" t="s">
        <v>120</v>
      </c>
      <c r="C10" s="8" t="n">
        <f aca="false">C8*(1-Loss_Severity)</f>
        <v>2940000</v>
      </c>
      <c r="D10" s="8" t="n">
        <f aca="false">D8*(1-Loss_Severity)</f>
        <v>1838486.81650869</v>
      </c>
      <c r="E10" s="8" t="n">
        <f aca="false">E8*(1-Loss_Severity)</f>
        <v>1149671.35186267</v>
      </c>
      <c r="F10" s="8" t="n">
        <f aca="false">F8*(1-Loss_Severity)</f>
        <v>718930.484257567</v>
      </c>
      <c r="G10" s="8" t="n">
        <f aca="false">G8*(1-Loss_Severity)</f>
        <v>449572.863025083</v>
      </c>
      <c r="H10" s="8" t="n">
        <f aca="false">H8*(1-Loss_Severity)</f>
        <v>281133.939364518</v>
      </c>
      <c r="I10" s="8" t="n">
        <f aca="false">I8*(1-Loss_Severity)</f>
        <v>175803.075236333</v>
      </c>
    </row>
    <row r="11" customFormat="false" ht="15" hidden="false" customHeight="false" outlineLevel="0" collapsed="false">
      <c r="A11" s="5"/>
      <c r="B11" s="6" t="s">
        <v>121</v>
      </c>
      <c r="C11" s="8" t="n">
        <f aca="false">IF(C4&lt;=Recovery_Lag,0,INDEX($C$10:$I$10,1,C4-Recovery_Lag)*Recovery_Rate)</f>
        <v>0</v>
      </c>
      <c r="D11" s="8" t="n">
        <f aca="false">IF(D4&lt;=Recovery_Lag,0,INDEX($C$10:$I$10,1,D4-Recovery_Lag)*Recovery_Rate)</f>
        <v>882000</v>
      </c>
      <c r="E11" s="8" t="n">
        <f aca="false">IF(E4&lt;=Recovery_Lag,0,INDEX($C$10:$I$10,1,E4-Recovery_Lag)*Recovery_Rate)</f>
        <v>551546.044952607</v>
      </c>
      <c r="F11" s="8" t="n">
        <f aca="false">IF(F4&lt;=Recovery_Lag,0,INDEX($C$10:$I$10,1,F4-Recovery_Lag)*Recovery_Rate)</f>
        <v>344901.405558802</v>
      </c>
      <c r="G11" s="8" t="n">
        <f aca="false">IF(G4&lt;=Recovery_Lag,0,INDEX($C$10:$I$10,1,G4-Recovery_Lag)*Recovery_Rate)</f>
        <v>215679.14527727</v>
      </c>
      <c r="H11" s="8" t="n">
        <f aca="false">IF(H4&lt;=Recovery_Lag,0,INDEX($C$10:$I$10,1,H4-Recovery_Lag)*Recovery_Rate)</f>
        <v>134871.858907525</v>
      </c>
      <c r="I11" s="8" t="n">
        <f aca="false">IF(I4&lt;=Recovery_Lag,0,INDEX($C$10:$I$10,1,I4-Recovery_Lag)*Recovery_Rate)</f>
        <v>84340.1818093554</v>
      </c>
    </row>
    <row r="12" customFormat="false" ht="15" hidden="false" customHeight="false" outlineLevel="0" collapsed="false">
      <c r="A12" s="5"/>
      <c r="B12" s="6" t="s">
        <v>122</v>
      </c>
      <c r="C12" s="8" t="n">
        <f aca="false">C8</f>
        <v>9800000</v>
      </c>
      <c r="D12" s="8" t="n">
        <f aca="false">C12+D8</f>
        <v>15928289.3883623</v>
      </c>
      <c r="E12" s="8" t="n">
        <f aca="false">D12+E8</f>
        <v>19760527.2279045</v>
      </c>
      <c r="F12" s="8" t="n">
        <f aca="false">E12+F8</f>
        <v>22156962.1754298</v>
      </c>
      <c r="G12" s="8" t="n">
        <f aca="false">F12+G8</f>
        <v>23655538.3855134</v>
      </c>
      <c r="H12" s="8" t="n">
        <f aca="false">G12+H8</f>
        <v>24592651.5167284</v>
      </c>
      <c r="I12" s="8" t="n">
        <f aca="false">H12+I8</f>
        <v>25178661.7675162</v>
      </c>
    </row>
    <row r="13" customFormat="false" ht="15" hidden="false" customHeight="false" outlineLevel="0" collapsed="false">
      <c r="A13" s="5"/>
      <c r="B13" s="6" t="s">
        <v>123</v>
      </c>
      <c r="C13" s="8" t="n">
        <f aca="false">C9</f>
        <v>6860000</v>
      </c>
      <c r="D13" s="8" t="n">
        <f aca="false">C13+D9</f>
        <v>11149802.5718536</v>
      </c>
      <c r="E13" s="8" t="n">
        <f aca="false">D13+E9</f>
        <v>13832369.0595332</v>
      </c>
      <c r="F13" s="8" t="n">
        <f aca="false">E13+F9</f>
        <v>15509873.5228008</v>
      </c>
      <c r="G13" s="8" t="n">
        <f aca="false">F13+G9</f>
        <v>16558876.8698594</v>
      </c>
      <c r="H13" s="8" t="n">
        <f aca="false">G13+H9</f>
        <v>17214856.0617099</v>
      </c>
      <c r="I13" s="8" t="n">
        <f aca="false">H13+I9</f>
        <v>17625063.2372614</v>
      </c>
    </row>
    <row r="14" customFormat="false" ht="15" hidden="false" customHeight="false" outlineLevel="0" collapsed="false">
      <c r="A14" s="5"/>
      <c r="B14" s="6" t="s">
        <v>124</v>
      </c>
      <c r="C14" s="9" t="n">
        <f aca="false">Annual_CDR</f>
        <v>0.07</v>
      </c>
      <c r="D14" s="9" t="n">
        <f aca="false">Annual_CDR</f>
        <v>0.07</v>
      </c>
      <c r="E14" s="9" t="n">
        <f aca="false">Annual_CDR</f>
        <v>0.07</v>
      </c>
      <c r="F14" s="9" t="n">
        <f aca="false">Annual_CDR</f>
        <v>0.07</v>
      </c>
      <c r="G14" s="9" t="n">
        <f aca="false">Annual_CDR</f>
        <v>0.07</v>
      </c>
      <c r="H14" s="9" t="n">
        <f aca="false">Annual_CDR</f>
        <v>0.07</v>
      </c>
      <c r="I14" s="9" t="n">
        <f aca="false">Annual_CDR</f>
        <v>0.07</v>
      </c>
    </row>
    <row r="15" customFormat="false" ht="15" hidden="false" customHeight="false" outlineLevel="0" collapsed="false">
      <c r="A15" s="5"/>
      <c r="B15" s="6" t="s">
        <v>125</v>
      </c>
      <c r="C15" s="8" t="n">
        <f aca="false">C6*Delinquency_Rate</f>
        <v>4377349.56311593</v>
      </c>
      <c r="D15" s="8" t="n">
        <f aca="false">D6*Delinquency_Rate</f>
        <v>2737312.74253017</v>
      </c>
      <c r="E15" s="8" t="n">
        <f aca="false">E6*Delinquency_Rate</f>
        <v>1711739.2482323</v>
      </c>
      <c r="F15" s="8" t="n">
        <f aca="false">F6*Delinquency_Rate</f>
        <v>1070411.57863115</v>
      </c>
      <c r="G15" s="8" t="n">
        <f aca="false">G6*Delinquency_Rate</f>
        <v>669366.522296472</v>
      </c>
      <c r="H15" s="8" t="n">
        <f aca="false">H6*Delinquency_Rate</f>
        <v>418578.750562698</v>
      </c>
      <c r="I15" s="8" t="n">
        <f aca="false">I6*Delinquency_Rate</f>
        <v>261752.215843605</v>
      </c>
    </row>
    <row r="16" customFormat="false" ht="15" hidden="false" customHeight="false" outlineLevel="0" collapsed="false">
      <c r="A16" s="5"/>
      <c r="B16" s="6" t="s">
        <v>126</v>
      </c>
      <c r="C16" s="9" t="n">
        <f aca="false">IF(C5=0,0,C9/C5)</f>
        <v>0.049</v>
      </c>
      <c r="D16" s="9" t="n">
        <f aca="false">IF(D5=0,0,D9/D5)</f>
        <v>0.049</v>
      </c>
      <c r="E16" s="9" t="n">
        <f aca="false">IF(E5=0,0,E9/E5)</f>
        <v>0.049</v>
      </c>
      <c r="F16" s="9" t="n">
        <f aca="false">IF(F5=0,0,F9/F5)</f>
        <v>0.049</v>
      </c>
      <c r="G16" s="9" t="n">
        <f aca="false">IF(G5=0,0,G9/G5)</f>
        <v>0.049</v>
      </c>
      <c r="H16" s="9" t="n">
        <f aca="false">IF(H5=0,0,H9/H5)</f>
        <v>0.049</v>
      </c>
      <c r="I16" s="9" t="n">
        <f aca="false">IF(I5=0,0,I9/I5)</f>
        <v>0.049</v>
      </c>
    </row>
    <row r="17" customFormat="false" ht="15" hidden="false" customHeight="false" outlineLevel="0" collapsed="false">
      <c r="A17" s="5"/>
      <c r="B17" s="6" t="s">
        <v>127</v>
      </c>
      <c r="C17" s="9" t="n">
        <f aca="false">C13/Initial_Pool_Balance</f>
        <v>0.049</v>
      </c>
      <c r="D17" s="9" t="n">
        <f aca="false">D13/Initial_Pool_Balance</f>
        <v>0.0796414469418115</v>
      </c>
      <c r="E17" s="9" t="n">
        <f aca="false">E13/Initial_Pool_Balance</f>
        <v>0.0988026361395227</v>
      </c>
      <c r="F17" s="9" t="n">
        <f aca="false">F13/Initial_Pool_Balance</f>
        <v>0.110784810877149</v>
      </c>
      <c r="G17" s="9" t="n">
        <f aca="false">G13/Initial_Pool_Balance</f>
        <v>0.118277691927567</v>
      </c>
      <c r="H17" s="9" t="n">
        <f aca="false">H13/Initial_Pool_Balance</f>
        <v>0.122963257583642</v>
      </c>
      <c r="I17" s="9" t="n">
        <f aca="false">I13/Initial_Pool_Balance</f>
        <v>0.125893308837581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I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16" t="s">
        <v>128</v>
      </c>
      <c r="C2" s="5"/>
      <c r="D2" s="5"/>
      <c r="E2" s="5"/>
      <c r="F2" s="5"/>
      <c r="G2" s="5"/>
      <c r="H2" s="5"/>
      <c r="I2" s="5"/>
    </row>
    <row r="3" customFormat="false" ht="15" hidden="false" customHeight="false" outlineLevel="0" collapsed="false">
      <c r="A3" s="5"/>
      <c r="B3" s="24" t="s">
        <v>129</v>
      </c>
      <c r="C3" s="5"/>
      <c r="D3" s="5"/>
      <c r="E3" s="5"/>
      <c r="F3" s="5"/>
      <c r="G3" s="5"/>
      <c r="H3" s="5"/>
      <c r="I3" s="5"/>
    </row>
    <row r="4" customFormat="false" ht="15" hidden="false" customHeight="false" outlineLevel="0" collapsed="false">
      <c r="A4" s="5"/>
      <c r="B4" s="25"/>
      <c r="C4" s="37" t="s">
        <v>98</v>
      </c>
      <c r="D4" s="37" t="s">
        <v>99</v>
      </c>
      <c r="E4" s="37" t="s">
        <v>100</v>
      </c>
      <c r="F4" s="37" t="s">
        <v>101</v>
      </c>
      <c r="G4" s="37" t="s">
        <v>102</v>
      </c>
      <c r="H4" s="37" t="s">
        <v>103</v>
      </c>
      <c r="I4" s="37" t="s">
        <v>104</v>
      </c>
    </row>
    <row r="5" customFormat="false" ht="15" hidden="false" customHeight="false" outlineLevel="0" collapsed="false">
      <c r="A5" s="5"/>
      <c r="B5" s="6" t="s">
        <v>130</v>
      </c>
      <c r="C5" s="8" t="n">
        <f aca="false">Credit_Performance!C7*WAC</f>
        <v>22754699.1262319</v>
      </c>
      <c r="D5" s="8" t="n">
        <f aca="false">Credit_Performance!D7*WAC</f>
        <v>14229324.6112922</v>
      </c>
      <c r="E5" s="8" t="n">
        <f aca="false">Credit_Performance!E7*WAC</f>
        <v>8898103.98152495</v>
      </c>
      <c r="F5" s="8" t="n">
        <f aca="false">Credit_Performance!F7*WAC</f>
        <v>5564301.65372691</v>
      </c>
      <c r="G5" s="8" t="n">
        <f aca="false">Credit_Performance!G7*WAC</f>
        <v>3479556.20185524</v>
      </c>
      <c r="H5" s="8" t="n">
        <f aca="false">Credit_Performance!H7*WAC</f>
        <v>2175890.54571834</v>
      </c>
      <c r="I5" s="8" t="n">
        <f aca="false">Credit_Performance!I7*WAC</f>
        <v>1360661.93281261</v>
      </c>
    </row>
    <row r="6" customFormat="false" ht="15" hidden="false" customHeight="false" outlineLevel="0" collapsed="false">
      <c r="A6" s="5"/>
      <c r="B6" s="6" t="s">
        <v>131</v>
      </c>
      <c r="C6" s="8" t="n">
        <f aca="false">Initial_Pool_Balance*Acquisition_Fee_Rate</f>
        <v>2800000</v>
      </c>
      <c r="D6" s="8" t="n">
        <f aca="false">0</f>
        <v>0</v>
      </c>
      <c r="E6" s="8" t="n">
        <f aca="false">0</f>
        <v>0</v>
      </c>
      <c r="F6" s="8" t="n">
        <f aca="false">0</f>
        <v>0</v>
      </c>
      <c r="G6" s="8" t="n">
        <f aca="false">0</f>
        <v>0</v>
      </c>
      <c r="H6" s="8" t="n">
        <f aca="false">0</f>
        <v>0</v>
      </c>
      <c r="I6" s="8" t="n">
        <f aca="false">0</f>
        <v>0</v>
      </c>
    </row>
    <row r="7" customFormat="false" ht="15" hidden="false" customHeight="false" outlineLevel="0" collapsed="false">
      <c r="A7" s="5"/>
      <c r="B7" s="6" t="s">
        <v>132</v>
      </c>
      <c r="C7" s="8" t="n">
        <f aca="false">Credit_Performance!C15*Late_Fee_Rate</f>
        <v>131320.486893478</v>
      </c>
      <c r="D7" s="8" t="n">
        <f aca="false">Credit_Performance!D15*Late_Fee_Rate</f>
        <v>82119.3822759052</v>
      </c>
      <c r="E7" s="8" t="n">
        <f aca="false">Credit_Performance!E15*Late_Fee_Rate</f>
        <v>51352.1774469691</v>
      </c>
      <c r="F7" s="8" t="n">
        <f aca="false">Credit_Performance!F15*Late_Fee_Rate</f>
        <v>32112.3473589345</v>
      </c>
      <c r="G7" s="8" t="n">
        <f aca="false">Credit_Performance!G15*Late_Fee_Rate</f>
        <v>20080.9956688941</v>
      </c>
      <c r="H7" s="8" t="n">
        <f aca="false">Credit_Performance!H15*Late_Fee_Rate</f>
        <v>12557.3625168809</v>
      </c>
      <c r="I7" s="8" t="n">
        <f aca="false">Credit_Performance!I15*Late_Fee_Rate</f>
        <v>7852.56647530816</v>
      </c>
    </row>
    <row r="8" customFormat="false" ht="15" hidden="false" customHeight="false" outlineLevel="0" collapsed="false">
      <c r="A8" s="5"/>
      <c r="B8" s="6" t="s">
        <v>133</v>
      </c>
      <c r="C8" s="8" t="n">
        <f aca="false">Pool_Schedule!C8*Prepay_Fee_Rate</f>
        <v>195300</v>
      </c>
      <c r="D8" s="8" t="n">
        <f aca="false">Pool_Schedule!D8*Prepay_Fee_Rate</f>
        <v>122128.052810934</v>
      </c>
      <c r="E8" s="8" t="n">
        <f aca="false">Pool_Schedule!E8*Prepay_Fee_Rate</f>
        <v>76371.0255165918</v>
      </c>
      <c r="F8" s="8" t="n">
        <f aca="false">Pool_Schedule!F8*Prepay_Fee_Rate</f>
        <v>47757.5250256812</v>
      </c>
      <c r="G8" s="8" t="n">
        <f aca="false">Pool_Schedule!G8*Prepay_Fee_Rate</f>
        <v>29864.4830438091</v>
      </c>
      <c r="H8" s="8" t="n">
        <f aca="false">Pool_Schedule!H8*Prepay_Fee_Rate</f>
        <v>18675.3259720716</v>
      </c>
      <c r="I8" s="8" t="n">
        <f aca="false">Pool_Schedule!I8*Prepay_Fee_Rate</f>
        <v>11678.3471406993</v>
      </c>
    </row>
    <row r="9" customFormat="false" ht="15" hidden="false" customHeight="false" outlineLevel="0" collapsed="false">
      <c r="A9" s="5"/>
      <c r="B9" s="38" t="s">
        <v>134</v>
      </c>
      <c r="C9" s="39" t="n">
        <f aca="false">SUM(C5:C8)</f>
        <v>25881319.6131253</v>
      </c>
      <c r="D9" s="39" t="n">
        <f aca="false">SUM(D5:D8)</f>
        <v>14433572.046379</v>
      </c>
      <c r="E9" s="39" t="n">
        <f aca="false">SUM(E5:E8)</f>
        <v>9025827.18448851</v>
      </c>
      <c r="F9" s="39" t="n">
        <f aca="false">SUM(F5:F8)</f>
        <v>5644171.52611152</v>
      </c>
      <c r="G9" s="39" t="n">
        <f aca="false">SUM(G5:G8)</f>
        <v>3529501.68056795</v>
      </c>
      <c r="H9" s="39" t="n">
        <f aca="false">SUM(H5:H8)</f>
        <v>2207123.23420729</v>
      </c>
      <c r="I9" s="39" t="n">
        <f aca="false">SUM(I5:I8)</f>
        <v>1380192.84642861</v>
      </c>
    </row>
    <row r="10" customFormat="false" ht="15" hidden="false" customHeight="false" outlineLevel="0" collapsed="false">
      <c r="A10" s="5"/>
      <c r="B10" s="6" t="s">
        <v>135</v>
      </c>
      <c r="C10" s="8" t="n">
        <f aca="false">-Credit_Performance!C9</f>
        <v>-6860000</v>
      </c>
      <c r="D10" s="8" t="n">
        <f aca="false">-Credit_Performance!D9</f>
        <v>-4289802.57185361</v>
      </c>
      <c r="E10" s="8" t="n">
        <f aca="false">-Credit_Performance!E9</f>
        <v>-2682566.48767957</v>
      </c>
      <c r="F10" s="8" t="n">
        <f aca="false">-Credit_Performance!F9</f>
        <v>-1677504.46326766</v>
      </c>
      <c r="G10" s="8" t="n">
        <f aca="false">-Credit_Performance!G9</f>
        <v>-1049003.34705853</v>
      </c>
      <c r="H10" s="8" t="n">
        <f aca="false">-Credit_Performance!H9</f>
        <v>-655979.191850542</v>
      </c>
      <c r="I10" s="8" t="n">
        <f aca="false">-Credit_Performance!I9</f>
        <v>-410207.175551444</v>
      </c>
    </row>
    <row r="11" customFormat="false" ht="15" hidden="false" customHeight="false" outlineLevel="0" collapsed="false">
      <c r="A11" s="5"/>
      <c r="B11" s="38" t="s">
        <v>136</v>
      </c>
      <c r="C11" s="39" t="n">
        <f aca="false">C9+C10</f>
        <v>19021319.6131253</v>
      </c>
      <c r="D11" s="39" t="n">
        <f aca="false">D9+D10</f>
        <v>10143769.4745254</v>
      </c>
      <c r="E11" s="39" t="n">
        <f aca="false">E9+E10</f>
        <v>6343260.69680894</v>
      </c>
      <c r="F11" s="39" t="n">
        <f aca="false">F9+F10</f>
        <v>3966667.06284387</v>
      </c>
      <c r="G11" s="39" t="n">
        <f aca="false">G9+G10</f>
        <v>2480498.33350942</v>
      </c>
      <c r="H11" s="39" t="n">
        <f aca="false">H9+H10</f>
        <v>1551144.04235675</v>
      </c>
      <c r="I11" s="39" t="n">
        <f aca="false">I9+I10</f>
        <v>969985.670877171</v>
      </c>
    </row>
    <row r="12" customFormat="false" ht="15" hidden="false" customHeight="false" outlineLevel="0" collapsed="false">
      <c r="A12" s="5"/>
      <c r="B12" s="6" t="s">
        <v>137</v>
      </c>
      <c r="C12" s="9" t="n">
        <f aca="false">IF(Credit_Performance!C7=0,0,(C9+C10)/Credit_Performance!C7)</f>
        <v>0.167185859128301</v>
      </c>
      <c r="D12" s="9" t="n">
        <f aca="false">IF(Credit_Performance!D7=0,0,(D9+D10)/Credit_Performance!D7)</f>
        <v>0.142575557893668</v>
      </c>
      <c r="E12" s="9" t="n">
        <f aca="false">IF(Credit_Performance!E7=0,0,(E9+E10)/Credit_Performance!E7)</f>
        <v>0.142575557893668</v>
      </c>
      <c r="F12" s="9" t="n">
        <f aca="false">IF(Credit_Performance!F7=0,0,(F9+F10)/Credit_Performance!F7)</f>
        <v>0.142575557893668</v>
      </c>
      <c r="G12" s="9" t="n">
        <f aca="false">IF(Credit_Performance!G7=0,0,(G9+G10)/Credit_Performance!G7)</f>
        <v>0.142575557893668</v>
      </c>
      <c r="H12" s="9" t="n">
        <f aca="false">IF(Credit_Performance!H7=0,0,(H9+H10)/Credit_Performance!H7)</f>
        <v>0.142575557893668</v>
      </c>
      <c r="I12" s="9" t="n">
        <f aca="false">IF(Credit_Performance!I7=0,0,(I9+I10)/Credit_Performance!I7)</f>
        <v>0.142575557893668</v>
      </c>
    </row>
    <row r="13" customFormat="false" ht="15" hidden="false" customHeight="false" outlineLevel="0" collapsed="false">
      <c r="A13" s="5"/>
      <c r="B13" s="6" t="s">
        <v>138</v>
      </c>
      <c r="C13" s="9" t="n">
        <f aca="false">IF(Credit_Performance!C7=0,0,C5/Credit_Performance!C7)</f>
        <v>0.2</v>
      </c>
      <c r="D13" s="9" t="n">
        <f aca="false">IF(Credit_Performance!D7=0,0,D5/Credit_Performance!D7)</f>
        <v>0.2</v>
      </c>
      <c r="E13" s="9" t="n">
        <f aca="false">IF(Credit_Performance!E7=0,0,E5/Credit_Performance!E7)</f>
        <v>0.2</v>
      </c>
      <c r="F13" s="9" t="n">
        <f aca="false">IF(Credit_Performance!F7=0,0,F5/Credit_Performance!F7)</f>
        <v>0.2</v>
      </c>
      <c r="G13" s="9" t="n">
        <f aca="false">IF(Credit_Performance!G7=0,0,G5/Credit_Performance!G7)</f>
        <v>0.2</v>
      </c>
      <c r="H13" s="9" t="n">
        <f aca="false">IF(Credit_Performance!H7=0,0,H5/Credit_Performance!H7)</f>
        <v>0.2</v>
      </c>
      <c r="I13" s="9" t="n">
        <f aca="false">IF(Credit_Performance!I7=0,0,I5/Credit_Performance!I7)</f>
        <v>0.2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I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16" t="s">
        <v>139</v>
      </c>
      <c r="C2" s="5"/>
      <c r="D2" s="5"/>
      <c r="E2" s="5"/>
      <c r="F2" s="5"/>
      <c r="G2" s="5"/>
      <c r="H2" s="5"/>
      <c r="I2" s="5"/>
    </row>
    <row r="3" customFormat="false" ht="15" hidden="false" customHeight="false" outlineLevel="0" collapsed="false">
      <c r="A3" s="5"/>
      <c r="B3" s="24" t="s">
        <v>140</v>
      </c>
      <c r="C3" s="5"/>
      <c r="D3" s="5"/>
      <c r="E3" s="5"/>
      <c r="F3" s="5"/>
      <c r="G3" s="5"/>
      <c r="H3" s="5"/>
      <c r="I3" s="5"/>
    </row>
    <row r="4" customFormat="false" ht="15" hidden="false" customHeight="false" outlineLevel="0" collapsed="false">
      <c r="A4" s="5"/>
      <c r="B4" s="25"/>
      <c r="C4" s="37" t="s">
        <v>98</v>
      </c>
      <c r="D4" s="37" t="s">
        <v>99</v>
      </c>
      <c r="E4" s="37" t="s">
        <v>100</v>
      </c>
      <c r="F4" s="37" t="s">
        <v>101</v>
      </c>
      <c r="G4" s="37" t="s">
        <v>102</v>
      </c>
      <c r="H4" s="37" t="s">
        <v>103</v>
      </c>
      <c r="I4" s="37" t="s">
        <v>104</v>
      </c>
    </row>
    <row r="5" customFormat="false" ht="15" hidden="false" customHeight="false" outlineLevel="0" collapsed="false">
      <c r="A5" s="5"/>
      <c r="B5" s="6" t="s">
        <v>141</v>
      </c>
      <c r="C5" s="8" t="n">
        <f aca="false">0</f>
        <v>0</v>
      </c>
      <c r="D5" s="8" t="n">
        <f aca="false">C8</f>
        <v>55346991.2623186</v>
      </c>
      <c r="E5" s="8" t="n">
        <f aca="false">D8</f>
        <v>28674544.2389658</v>
      </c>
      <c r="F5" s="8" t="n">
        <f aca="false">E8</f>
        <v>11995312.1925506</v>
      </c>
      <c r="G5" s="8" t="n">
        <f aca="false">F8</f>
        <v>1565193.74805279</v>
      </c>
      <c r="H5" s="8" t="n">
        <f aca="false">G8</f>
        <v>0</v>
      </c>
      <c r="I5" s="8" t="n">
        <f aca="false">H8</f>
        <v>0</v>
      </c>
    </row>
    <row r="6" customFormat="false" ht="15" hidden="false" customHeight="false" outlineLevel="0" collapsed="false">
      <c r="A6" s="5"/>
      <c r="B6" s="6" t="s">
        <v>142</v>
      </c>
      <c r="C6" s="8" t="n">
        <f aca="false">Warehouse_Draw_Y0</f>
        <v>98000000</v>
      </c>
      <c r="D6" s="8" t="n">
        <f aca="false">0</f>
        <v>0</v>
      </c>
      <c r="E6" s="8" t="n">
        <f aca="false">0</f>
        <v>0</v>
      </c>
      <c r="F6" s="8" t="n">
        <f aca="false">0</f>
        <v>0</v>
      </c>
      <c r="G6" s="8" t="n">
        <f aca="false">0</f>
        <v>0</v>
      </c>
      <c r="H6" s="8" t="n">
        <f aca="false">0</f>
        <v>0</v>
      </c>
      <c r="I6" s="8" t="n">
        <f aca="false">0</f>
        <v>0</v>
      </c>
    </row>
    <row r="7" customFormat="false" ht="15" hidden="false" customHeight="false" outlineLevel="0" collapsed="false">
      <c r="A7" s="5"/>
      <c r="B7" s="6" t="s">
        <v>143</v>
      </c>
      <c r="C7" s="8" t="n">
        <f aca="false">MIN(C6,Pool_Schedule!C6+Pool_Schedule!C8)</f>
        <v>42653008.7376814</v>
      </c>
      <c r="D7" s="8" t="n">
        <f aca="false">MIN(C8,Pool_Schedule!D6+Pool_Schedule!D8)</f>
        <v>26672447.0233528</v>
      </c>
      <c r="E7" s="8" t="n">
        <f aca="false">MIN(D8,Pool_Schedule!E6+Pool_Schedule!E8)</f>
        <v>16679232.0464152</v>
      </c>
      <c r="F7" s="8" t="n">
        <f aca="false">MIN(E8,Pool_Schedule!F6+Pool_Schedule!F8)</f>
        <v>10430118.4444978</v>
      </c>
      <c r="G7" s="8" t="n">
        <f aca="false">MIN(F8,Pool_Schedule!G6+Pool_Schedule!G8)</f>
        <v>1565193.74805279</v>
      </c>
      <c r="H7" s="8" t="n">
        <f aca="false">MIN(G8,Pool_Schedule!H6+Pool_Schedule!H8)</f>
        <v>0</v>
      </c>
      <c r="I7" s="8" t="n">
        <f aca="false">MIN(H8,Pool_Schedule!I6+Pool_Schedule!I8)</f>
        <v>0</v>
      </c>
    </row>
    <row r="8" customFormat="false" ht="15" hidden="false" customHeight="false" outlineLevel="0" collapsed="false">
      <c r="A8" s="5"/>
      <c r="B8" s="38" t="s">
        <v>144</v>
      </c>
      <c r="C8" s="39" t="n">
        <f aca="false">MAX(0,C5+C6-C7)</f>
        <v>55346991.2623186</v>
      </c>
      <c r="D8" s="39" t="n">
        <f aca="false">MAX(0,D5+D6-D7)</f>
        <v>28674544.2389658</v>
      </c>
      <c r="E8" s="39" t="n">
        <f aca="false">MAX(0,E5+E6-E7)</f>
        <v>11995312.1925506</v>
      </c>
      <c r="F8" s="39" t="n">
        <f aca="false">MAX(0,F5+F6-F7)</f>
        <v>1565193.74805279</v>
      </c>
      <c r="G8" s="39" t="n">
        <f aca="false">MAX(0,G5+G6-G7)</f>
        <v>0</v>
      </c>
      <c r="H8" s="39" t="n">
        <f aca="false">MAX(0,H5+H6-H7)</f>
        <v>0</v>
      </c>
      <c r="I8" s="39" t="n">
        <f aca="false">MAX(0,I5+I6-I7)</f>
        <v>0</v>
      </c>
    </row>
    <row r="9" customFormat="false" ht="15" hidden="false" customHeight="false" outlineLevel="0" collapsed="false">
      <c r="A9" s="5"/>
      <c r="B9" s="6" t="s">
        <v>145</v>
      </c>
      <c r="C9" s="8" t="n">
        <f aca="false">(C5+C8)/2</f>
        <v>27673495.6311593</v>
      </c>
      <c r="D9" s="8" t="n">
        <f aca="false">(D5+D8)/2</f>
        <v>42010767.7506422</v>
      </c>
      <c r="E9" s="8" t="n">
        <f aca="false">(E5+E8)/2</f>
        <v>20334928.2157582</v>
      </c>
      <c r="F9" s="8" t="n">
        <f aca="false">(F5+F8)/2</f>
        <v>6780252.97030169</v>
      </c>
      <c r="G9" s="8" t="n">
        <f aca="false">(G5+G8)/2</f>
        <v>782596.874026393</v>
      </c>
      <c r="H9" s="8" t="n">
        <f aca="false">(H5+H8)/2</f>
        <v>0</v>
      </c>
      <c r="I9" s="8" t="n">
        <f aca="false">(I5+I8)/2</f>
        <v>0</v>
      </c>
    </row>
    <row r="10" customFormat="false" ht="15" hidden="false" customHeight="false" outlineLevel="0" collapsed="false">
      <c r="A10" s="5"/>
      <c r="B10" s="6" t="s">
        <v>146</v>
      </c>
      <c r="C10" s="8" t="n">
        <f aca="false">C9*Warehouse_Rate</f>
        <v>2352247.12864854</v>
      </c>
      <c r="D10" s="8" t="n">
        <f aca="false">D9*Warehouse_Rate</f>
        <v>3570915.25880458</v>
      </c>
      <c r="E10" s="8" t="n">
        <f aca="false">E9*Warehouse_Rate</f>
        <v>1728468.89833945</v>
      </c>
      <c r="F10" s="8" t="n">
        <f aca="false">F9*Warehouse_Rate</f>
        <v>576321.502475643</v>
      </c>
      <c r="G10" s="8" t="n">
        <f aca="false">G9*Warehouse_Rate</f>
        <v>66520.7342922434</v>
      </c>
      <c r="H10" s="8" t="n">
        <f aca="false">H9*Warehouse_Rate</f>
        <v>0</v>
      </c>
      <c r="I10" s="8" t="n">
        <f aca="false">I9*Warehouse_Rate</f>
        <v>0</v>
      </c>
    </row>
    <row r="11" customFormat="false" ht="15" hidden="false" customHeight="false" outlineLevel="0" collapsed="false">
      <c r="A11" s="5"/>
      <c r="B11" s="6" t="s">
        <v>147</v>
      </c>
      <c r="C11" s="8" t="n">
        <f aca="false">MAX(0,Facility_Limit-C8)</f>
        <v>54653008.7376814</v>
      </c>
      <c r="D11" s="8" t="n">
        <f aca="false">MAX(0,Facility_Limit-D8)</f>
        <v>81325455.7610343</v>
      </c>
      <c r="E11" s="8" t="n">
        <f aca="false">MAX(0,Facility_Limit-E8)</f>
        <v>98004687.8074494</v>
      </c>
      <c r="F11" s="8" t="n">
        <f aca="false">MAX(0,Facility_Limit-F8)</f>
        <v>108434806.251947</v>
      </c>
      <c r="G11" s="8" t="n">
        <f aca="false">MAX(0,Facility_Limit-G8)</f>
        <v>110000000</v>
      </c>
      <c r="H11" s="8" t="n">
        <f aca="false">MAX(0,Facility_Limit-H8)</f>
        <v>110000000</v>
      </c>
      <c r="I11" s="8" t="n">
        <f aca="false">MAX(0,Facility_Limit-I8)</f>
        <v>110000000</v>
      </c>
    </row>
    <row r="12" customFormat="false" ht="15" hidden="false" customHeight="false" outlineLevel="0" collapsed="false">
      <c r="A12" s="5"/>
      <c r="B12" s="6" t="s">
        <v>148</v>
      </c>
      <c r="C12" s="8" t="n">
        <f aca="false">MAX(0,C11)*Commitment_Fee_Rate</f>
        <v>273265.043688407</v>
      </c>
      <c r="D12" s="8" t="n">
        <f aca="false">MAX(0,D11)*Commitment_Fee_Rate</f>
        <v>406627.278805171</v>
      </c>
      <c r="E12" s="8" t="n">
        <f aca="false">MAX(0,E11)*Commitment_Fee_Rate</f>
        <v>490023.439037247</v>
      </c>
      <c r="F12" s="8" t="n">
        <f aca="false">MAX(0,F11)*Commitment_Fee_Rate</f>
        <v>542174.031259736</v>
      </c>
      <c r="G12" s="8" t="n">
        <f aca="false">MAX(0,G11)*Commitment_Fee_Rate</f>
        <v>550000</v>
      </c>
      <c r="H12" s="8" t="n">
        <f aca="false">MAX(0,H11)*Commitment_Fee_Rate</f>
        <v>550000</v>
      </c>
      <c r="I12" s="8" t="n">
        <f aca="false">MAX(0,I11)*Commitment_Fee_Rate</f>
        <v>550000</v>
      </c>
    </row>
    <row r="13" customFormat="false" ht="15" hidden="false" customHeight="false" outlineLevel="0" collapsed="false">
      <c r="A13" s="5"/>
      <c r="B13" s="6" t="s">
        <v>149</v>
      </c>
      <c r="C13" s="9" t="n">
        <f aca="false">IF(Pool_Schedule!C9=0,0,C8/Pool_Schedule!C9)</f>
        <v>0.63219752574342</v>
      </c>
      <c r="D13" s="9" t="n">
        <f aca="false">IF(Pool_Schedule!D9=0,0,D8/Pool_Schedule!D9)</f>
        <v>0.523771796211731</v>
      </c>
      <c r="E13" s="9" t="n">
        <f aca="false">IF(Pool_Schedule!E9=0,0,E8/Pool_Schedule!E9)</f>
        <v>0.350383745799427</v>
      </c>
      <c r="F13" s="9" t="n">
        <f aca="false">IF(Pool_Schedule!F9=0,0,F8/Pool_Schedule!F9)</f>
        <v>0.0731117721117313</v>
      </c>
      <c r="G13" s="9" t="n">
        <f aca="false">IF(Pool_Schedule!G9=0,0,G8/Pool_Schedule!G9)</f>
        <v>0</v>
      </c>
      <c r="H13" s="9" t="n">
        <f aca="false">IF(Pool_Schedule!H9=0,0,H8/Pool_Schedule!H9)</f>
        <v>0</v>
      </c>
      <c r="I13" s="9" t="n">
        <f aca="false">IF(Pool_Schedule!I9=0,0,I8/Pool_Schedule!I9)</f>
        <v>0</v>
      </c>
    </row>
    <row r="14" customFormat="false" ht="15" hidden="false" customHeight="false" outlineLevel="0" collapsed="false">
      <c r="A14" s="5"/>
      <c r="B14" s="6" t="s">
        <v>150</v>
      </c>
      <c r="C14" s="10" t="n">
        <f aca="false">IF(C8=0,"N/A",Pool_Schedule!C9/C8)</f>
        <v>1.58178410904736</v>
      </c>
      <c r="D14" s="10" t="n">
        <f aca="false">IF(D8=0,"N/A",Pool_Schedule!D9/D8)</f>
        <v>1.90922842205837</v>
      </c>
      <c r="E14" s="10" t="n">
        <f aca="false">IF(E8=0,"N/A",Pool_Schedule!E9/E8)</f>
        <v>2.85401366926546</v>
      </c>
      <c r="F14" s="10" t="n">
        <f aca="false">IF(F8=0,"N/A",Pool_Schedule!F9/F8)</f>
        <v>13.6776878896024</v>
      </c>
      <c r="G14" s="10" t="str">
        <f aca="false">IF(G8=0,"N/A",Pool_Schedule!G9/G8)</f>
        <v>N/A</v>
      </c>
      <c r="H14" s="10" t="str">
        <f aca="false">IF(H8=0,"N/A",Pool_Schedule!H9/H8)</f>
        <v>N/A</v>
      </c>
      <c r="I14" s="10" t="str">
        <f aca="false">IF(I8=0,"N/A",Pool_Schedule!I9/I8)</f>
        <v>N/A</v>
      </c>
    </row>
    <row r="15" customFormat="false" ht="15" hidden="false" customHeight="false" outlineLevel="0" collapsed="false">
      <c r="A15" s="5"/>
      <c r="B15" s="6" t="s">
        <v>151</v>
      </c>
      <c r="C15" s="10" t="n">
        <f aca="false">IF(Equity_Contribution=0,0,C8/Equity_Contribution)</f>
        <v>1.31778550624568</v>
      </c>
      <c r="D15" s="10" t="n">
        <f aca="false">IF(Equity_Contribution=0,0,D8/Equity_Contribution)</f>
        <v>0.682727243784899</v>
      </c>
      <c r="E15" s="10" t="n">
        <f aca="false">IF(Equity_Contribution=0,0,E8/Equity_Contribution)</f>
        <v>0.285602671251205</v>
      </c>
      <c r="F15" s="10" t="n">
        <f aca="false">IF(Equity_Contribution=0,0,F8/Equity_Contribution)</f>
        <v>0.0372665178107806</v>
      </c>
      <c r="G15" s="10" t="n">
        <f aca="false">IF(Equity_Contribution=0,0,G8/Equity_Contribution)</f>
        <v>0</v>
      </c>
      <c r="H15" s="10" t="n">
        <f aca="false">IF(Equity_Contribution=0,0,H8/Equity_Contribution)</f>
        <v>0</v>
      </c>
      <c r="I15" s="10" t="n">
        <f aca="false">IF(Equity_Contribution=0,0,I8/Equity_Contribution)</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I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16" t="s">
        <v>152</v>
      </c>
      <c r="C2" s="5"/>
      <c r="D2" s="5"/>
      <c r="E2" s="5"/>
      <c r="F2" s="5"/>
      <c r="G2" s="5"/>
      <c r="H2" s="5"/>
      <c r="I2" s="5"/>
    </row>
    <row r="3" customFormat="false" ht="15" hidden="false" customHeight="false" outlineLevel="0" collapsed="false">
      <c r="A3" s="5"/>
      <c r="B3" s="24" t="s">
        <v>153</v>
      </c>
      <c r="C3" s="5"/>
      <c r="D3" s="5"/>
      <c r="E3" s="5"/>
      <c r="F3" s="5"/>
      <c r="G3" s="5"/>
      <c r="H3" s="5"/>
      <c r="I3" s="5"/>
    </row>
    <row r="4" customFormat="false" ht="15" hidden="false" customHeight="false" outlineLevel="0" collapsed="false">
      <c r="A4" s="5"/>
      <c r="B4" s="25"/>
      <c r="C4" s="37" t="s">
        <v>98</v>
      </c>
      <c r="D4" s="37" t="s">
        <v>99</v>
      </c>
      <c r="E4" s="37" t="s">
        <v>100</v>
      </c>
      <c r="F4" s="37" t="s">
        <v>101</v>
      </c>
      <c r="G4" s="37" t="s">
        <v>102</v>
      </c>
      <c r="H4" s="37" t="s">
        <v>103</v>
      </c>
      <c r="I4" s="37" t="s">
        <v>104</v>
      </c>
    </row>
    <row r="5" customFormat="false" ht="15" hidden="false" customHeight="false" outlineLevel="0" collapsed="false">
      <c r="A5" s="5"/>
      <c r="B5" s="6" t="s">
        <v>118</v>
      </c>
      <c r="C5" s="8" t="n">
        <f aca="false">Credit_Performance!C7</f>
        <v>113773495.631159</v>
      </c>
      <c r="D5" s="8" t="n">
        <f aca="false">Credit_Performance!D7</f>
        <v>71146623.056461</v>
      </c>
      <c r="E5" s="8" t="n">
        <f aca="false">Credit_Performance!E7</f>
        <v>44490519.9076248</v>
      </c>
      <c r="F5" s="8" t="n">
        <f aca="false">Credit_Performance!F7</f>
        <v>27821508.2686345</v>
      </c>
      <c r="G5" s="8" t="n">
        <f aca="false">Credit_Performance!G7</f>
        <v>17397781.0092762</v>
      </c>
      <c r="H5" s="8" t="n">
        <f aca="false">Credit_Performance!H7</f>
        <v>10879452.7285917</v>
      </c>
      <c r="I5" s="8" t="n">
        <f aca="false">Credit_Performance!I7</f>
        <v>6803309.66406304</v>
      </c>
    </row>
    <row r="6" customFormat="false" ht="15" hidden="false" customHeight="false" outlineLevel="0" collapsed="false">
      <c r="A6" s="5"/>
      <c r="B6" s="6" t="s">
        <v>154</v>
      </c>
      <c r="C6" s="8" t="n">
        <f aca="false">-C5*Servicer_Fee_Rate</f>
        <v>-1706602.43446739</v>
      </c>
      <c r="D6" s="8" t="n">
        <f aca="false">-D5*Servicer_Fee_Rate</f>
        <v>-1067199.34584692</v>
      </c>
      <c r="E6" s="8" t="n">
        <f aca="false">-E5*Servicer_Fee_Rate</f>
        <v>-667357.798614371</v>
      </c>
      <c r="F6" s="8" t="n">
        <f aca="false">-F5*Servicer_Fee_Rate</f>
        <v>-417322.624029518</v>
      </c>
      <c r="G6" s="8" t="n">
        <f aca="false">-G5*Servicer_Fee_Rate</f>
        <v>-260966.715139143</v>
      </c>
      <c r="H6" s="8" t="n">
        <f aca="false">-H5*Servicer_Fee_Rate</f>
        <v>-163191.790928875</v>
      </c>
      <c r="I6" s="8" t="n">
        <f aca="false">-I5*Servicer_Fee_Rate</f>
        <v>-102049.644960946</v>
      </c>
    </row>
    <row r="7" customFormat="false" ht="15" hidden="false" customHeight="false" outlineLevel="0" collapsed="false">
      <c r="A7" s="5"/>
      <c r="B7" s="6" t="s">
        <v>155</v>
      </c>
      <c r="C7" s="8" t="n">
        <f aca="false">-C5*Trustee_Fee_Rate</f>
        <v>-227546.991262319</v>
      </c>
      <c r="D7" s="8" t="n">
        <f aca="false">-D5*Trustee_Fee_Rate</f>
        <v>-142293.246112922</v>
      </c>
      <c r="E7" s="8" t="n">
        <f aca="false">-E5*Trustee_Fee_Rate</f>
        <v>-88981.0398152495</v>
      </c>
      <c r="F7" s="8" t="n">
        <f aca="false">-F5*Trustee_Fee_Rate</f>
        <v>-55643.0165372691</v>
      </c>
      <c r="G7" s="8" t="n">
        <f aca="false">-G5*Trustee_Fee_Rate</f>
        <v>-34795.5620185524</v>
      </c>
      <c r="H7" s="8" t="n">
        <f aca="false">-H5*Trustee_Fee_Rate</f>
        <v>-21758.9054571834</v>
      </c>
      <c r="I7" s="8" t="n">
        <f aca="false">-I5*Trustee_Fee_Rate</f>
        <v>-13606.6193281261</v>
      </c>
    </row>
    <row r="8" customFormat="false" ht="15" hidden="false" customHeight="false" outlineLevel="0" collapsed="false">
      <c r="A8" s="5"/>
      <c r="B8" s="6" t="s">
        <v>156</v>
      </c>
      <c r="C8" s="8" t="n">
        <f aca="false">-C5*GA_Fee_Rate</f>
        <v>-1706602.43446739</v>
      </c>
      <c r="D8" s="8" t="n">
        <f aca="false">-D5*GA_Fee_Rate</f>
        <v>-1067199.34584692</v>
      </c>
      <c r="E8" s="8" t="n">
        <f aca="false">-E5*GA_Fee_Rate</f>
        <v>-667357.798614371</v>
      </c>
      <c r="F8" s="8" t="n">
        <f aca="false">-F5*GA_Fee_Rate</f>
        <v>-417322.624029518</v>
      </c>
      <c r="G8" s="8" t="n">
        <f aca="false">-G5*GA_Fee_Rate</f>
        <v>-260966.715139143</v>
      </c>
      <c r="H8" s="8" t="n">
        <f aca="false">-H5*GA_Fee_Rate</f>
        <v>-163191.790928875</v>
      </c>
      <c r="I8" s="8" t="n">
        <f aca="false">-I5*GA_Fee_Rate</f>
        <v>-102049.644960946</v>
      </c>
    </row>
    <row r="9" customFormat="false" ht="15" hidden="false" customHeight="false" outlineLevel="0" collapsed="false">
      <c r="A9" s="5"/>
      <c r="B9" s="38" t="s">
        <v>157</v>
      </c>
      <c r="C9" s="39" t="n">
        <f aca="false">SUM(C6:C8)</f>
        <v>-3640751.8601971</v>
      </c>
      <c r="D9" s="39" t="n">
        <f aca="false">SUM(D6:D8)</f>
        <v>-2276691.93780675</v>
      </c>
      <c r="E9" s="39" t="n">
        <f aca="false">SUM(E6:E8)</f>
        <v>-1423696.63704399</v>
      </c>
      <c r="F9" s="39" t="n">
        <f aca="false">SUM(F6:F8)</f>
        <v>-890288.264596305</v>
      </c>
      <c r="G9" s="39" t="n">
        <f aca="false">SUM(G6:G8)</f>
        <v>-556728.992296839</v>
      </c>
      <c r="H9" s="39" t="n">
        <f aca="false">SUM(H6:H8)</f>
        <v>-348142.487314934</v>
      </c>
      <c r="I9" s="39" t="n">
        <f aca="false">SUM(I6:I8)</f>
        <v>-217705.909250017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I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16" t="s">
        <v>158</v>
      </c>
      <c r="C2" s="5"/>
      <c r="D2" s="5"/>
      <c r="E2" s="5"/>
      <c r="F2" s="5"/>
      <c r="G2" s="5"/>
      <c r="H2" s="5"/>
      <c r="I2" s="5"/>
    </row>
    <row r="3" customFormat="false" ht="15" hidden="false" customHeight="false" outlineLevel="0" collapsed="false">
      <c r="A3" s="5"/>
      <c r="B3" s="24" t="s">
        <v>159</v>
      </c>
      <c r="C3" s="5"/>
      <c r="D3" s="5"/>
      <c r="E3" s="5"/>
      <c r="F3" s="5"/>
      <c r="G3" s="5"/>
      <c r="H3" s="5"/>
      <c r="I3" s="5"/>
    </row>
    <row r="4" customFormat="false" ht="15" hidden="false" customHeight="false" outlineLevel="0" collapsed="false">
      <c r="A4" s="5"/>
      <c r="B4" s="25"/>
      <c r="C4" s="37" t="s">
        <v>98</v>
      </c>
      <c r="D4" s="37" t="s">
        <v>99</v>
      </c>
      <c r="E4" s="37" t="s">
        <v>100</v>
      </c>
      <c r="F4" s="37" t="s">
        <v>101</v>
      </c>
      <c r="G4" s="37" t="s">
        <v>102</v>
      </c>
      <c r="H4" s="37" t="s">
        <v>103</v>
      </c>
      <c r="I4" s="37" t="s">
        <v>104</v>
      </c>
    </row>
    <row r="5" customFormat="false" ht="15" hidden="false" customHeight="false" outlineLevel="0" collapsed="false">
      <c r="A5" s="5"/>
      <c r="B5" s="28" t="s">
        <v>160</v>
      </c>
      <c r="C5" s="29"/>
      <c r="D5" s="29"/>
      <c r="E5" s="29"/>
      <c r="F5" s="29"/>
      <c r="G5" s="29"/>
      <c r="H5" s="29"/>
      <c r="I5" s="29"/>
    </row>
    <row r="6" customFormat="false" ht="15" hidden="false" customHeight="false" outlineLevel="0" collapsed="false">
      <c r="A6" s="5"/>
      <c r="B6" s="6" t="s">
        <v>161</v>
      </c>
      <c r="C6" s="8" t="n">
        <f aca="false">Revenue!C5</f>
        <v>22754699.1262319</v>
      </c>
      <c r="D6" s="8" t="n">
        <f aca="false">Revenue!D5</f>
        <v>14229324.6112922</v>
      </c>
      <c r="E6" s="8" t="n">
        <f aca="false">Revenue!E5</f>
        <v>8898103.98152495</v>
      </c>
      <c r="F6" s="8" t="n">
        <f aca="false">Revenue!F5</f>
        <v>5564301.65372691</v>
      </c>
      <c r="G6" s="8" t="n">
        <f aca="false">Revenue!G5</f>
        <v>3479556.20185524</v>
      </c>
      <c r="H6" s="8" t="n">
        <f aca="false">Revenue!H5</f>
        <v>2175890.54571834</v>
      </c>
      <c r="I6" s="8" t="n">
        <f aca="false">Revenue!I5</f>
        <v>1360661.93281261</v>
      </c>
    </row>
    <row r="7" customFormat="false" ht="15" hidden="false" customHeight="false" outlineLevel="0" collapsed="false">
      <c r="A7" s="5"/>
      <c r="B7" s="6" t="s">
        <v>131</v>
      </c>
      <c r="C7" s="8" t="n">
        <f aca="false">Revenue!C6</f>
        <v>2800000</v>
      </c>
      <c r="D7" s="8" t="n">
        <f aca="false">Revenue!D6</f>
        <v>0</v>
      </c>
      <c r="E7" s="8" t="n">
        <f aca="false">Revenue!E6</f>
        <v>0</v>
      </c>
      <c r="F7" s="8" t="n">
        <f aca="false">Revenue!F6</f>
        <v>0</v>
      </c>
      <c r="G7" s="8" t="n">
        <f aca="false">Revenue!G6</f>
        <v>0</v>
      </c>
      <c r="H7" s="8" t="n">
        <f aca="false">Revenue!H6</f>
        <v>0</v>
      </c>
      <c r="I7" s="8" t="n">
        <f aca="false">Revenue!I6</f>
        <v>0</v>
      </c>
    </row>
    <row r="8" customFormat="false" ht="15" hidden="false" customHeight="false" outlineLevel="0" collapsed="false">
      <c r="A8" s="5"/>
      <c r="B8" s="6" t="s">
        <v>132</v>
      </c>
      <c r="C8" s="8" t="n">
        <f aca="false">Revenue!C7</f>
        <v>131320.486893478</v>
      </c>
      <c r="D8" s="8" t="n">
        <f aca="false">Revenue!D7</f>
        <v>82119.3822759052</v>
      </c>
      <c r="E8" s="8" t="n">
        <f aca="false">Revenue!E7</f>
        <v>51352.1774469691</v>
      </c>
      <c r="F8" s="8" t="n">
        <f aca="false">Revenue!F7</f>
        <v>32112.3473589345</v>
      </c>
      <c r="G8" s="8" t="n">
        <f aca="false">Revenue!G7</f>
        <v>20080.9956688941</v>
      </c>
      <c r="H8" s="8" t="n">
        <f aca="false">Revenue!H7</f>
        <v>12557.3625168809</v>
      </c>
      <c r="I8" s="8" t="n">
        <f aca="false">Revenue!I7</f>
        <v>7852.56647530816</v>
      </c>
    </row>
    <row r="9" customFormat="false" ht="15" hidden="false" customHeight="false" outlineLevel="0" collapsed="false">
      <c r="A9" s="5"/>
      <c r="B9" s="6" t="s">
        <v>133</v>
      </c>
      <c r="C9" s="8" t="n">
        <f aca="false">Revenue!C8</f>
        <v>195300</v>
      </c>
      <c r="D9" s="8" t="n">
        <f aca="false">Revenue!D8</f>
        <v>122128.052810934</v>
      </c>
      <c r="E9" s="8" t="n">
        <f aca="false">Revenue!E8</f>
        <v>76371.0255165918</v>
      </c>
      <c r="F9" s="8" t="n">
        <f aca="false">Revenue!F8</f>
        <v>47757.5250256812</v>
      </c>
      <c r="G9" s="8" t="n">
        <f aca="false">Revenue!G8</f>
        <v>29864.4830438091</v>
      </c>
      <c r="H9" s="8" t="n">
        <f aca="false">Revenue!H8</f>
        <v>18675.3259720716</v>
      </c>
      <c r="I9" s="8" t="n">
        <f aca="false">Revenue!I8</f>
        <v>11678.3471406993</v>
      </c>
    </row>
    <row r="10" customFormat="false" ht="15" hidden="false" customHeight="false" outlineLevel="0" collapsed="false">
      <c r="A10" s="5"/>
      <c r="B10" s="6" t="s">
        <v>162</v>
      </c>
      <c r="C10" s="8" t="n">
        <f aca="false">Credit_Performance!C11</f>
        <v>0</v>
      </c>
      <c r="D10" s="8" t="n">
        <f aca="false">Credit_Performance!D11</f>
        <v>882000</v>
      </c>
      <c r="E10" s="8" t="n">
        <f aca="false">Credit_Performance!E11</f>
        <v>551546.044952607</v>
      </c>
      <c r="F10" s="8" t="n">
        <f aca="false">Credit_Performance!F11</f>
        <v>344901.405558802</v>
      </c>
      <c r="G10" s="8" t="n">
        <f aca="false">Credit_Performance!G11</f>
        <v>215679.14527727</v>
      </c>
      <c r="H10" s="8" t="n">
        <f aca="false">Credit_Performance!H11</f>
        <v>134871.858907525</v>
      </c>
      <c r="I10" s="8" t="n">
        <f aca="false">Credit_Performance!I11</f>
        <v>84340.1818093554</v>
      </c>
    </row>
    <row r="11" customFormat="false" ht="15" hidden="false" customHeight="false" outlineLevel="0" collapsed="false">
      <c r="A11" s="5"/>
      <c r="B11" s="6" t="s">
        <v>163</v>
      </c>
      <c r="C11" s="8" t="n">
        <f aca="false">Operating_Costs!C9</f>
        <v>-3640751.8601971</v>
      </c>
      <c r="D11" s="8" t="n">
        <f aca="false">Operating_Costs!D9</f>
        <v>-2276691.93780675</v>
      </c>
      <c r="E11" s="8" t="n">
        <f aca="false">Operating_Costs!E9</f>
        <v>-1423696.63704399</v>
      </c>
      <c r="F11" s="8" t="n">
        <f aca="false">Operating_Costs!F9</f>
        <v>-890288.264596305</v>
      </c>
      <c r="G11" s="8" t="n">
        <f aca="false">Operating_Costs!G9</f>
        <v>-556728.992296839</v>
      </c>
      <c r="H11" s="8" t="n">
        <f aca="false">Operating_Costs!H9</f>
        <v>-348142.487314934</v>
      </c>
      <c r="I11" s="8" t="n">
        <f aca="false">Operating_Costs!I9</f>
        <v>-217705.909250017</v>
      </c>
    </row>
    <row r="12" customFormat="false" ht="15" hidden="false" customHeight="false" outlineLevel="0" collapsed="false">
      <c r="A12" s="5"/>
      <c r="B12" s="38" t="s">
        <v>164</v>
      </c>
      <c r="C12" s="39" t="n">
        <f aca="false">SUM(C6:C11)</f>
        <v>22240567.7529282</v>
      </c>
      <c r="D12" s="39" t="n">
        <f aca="false">SUM(D6:D11)</f>
        <v>13038880.1085723</v>
      </c>
      <c r="E12" s="39" t="n">
        <f aca="false">SUM(E6:E11)</f>
        <v>8153676.59239713</v>
      </c>
      <c r="F12" s="39" t="n">
        <f aca="false">SUM(F6:F11)</f>
        <v>5098784.66707402</v>
      </c>
      <c r="G12" s="39" t="n">
        <f aca="false">SUM(G6:G11)</f>
        <v>3188451.83354838</v>
      </c>
      <c r="H12" s="39" t="n">
        <f aca="false">SUM(H6:H11)</f>
        <v>1993852.60579988</v>
      </c>
      <c r="I12" s="39" t="n">
        <f aca="false">SUM(I6:I11)</f>
        <v>1246827.11898795</v>
      </c>
    </row>
    <row r="13" customFormat="false" ht="15" hidden="false" customHeight="false" outlineLevel="0" collapsed="false">
      <c r="A13" s="5"/>
      <c r="B13" s="28" t="s">
        <v>165</v>
      </c>
      <c r="C13" s="29"/>
      <c r="D13" s="29"/>
      <c r="E13" s="29"/>
      <c r="F13" s="29"/>
      <c r="G13" s="29"/>
      <c r="H13" s="29"/>
      <c r="I13" s="29"/>
    </row>
    <row r="14" customFormat="false" ht="15" hidden="false" customHeight="false" outlineLevel="0" collapsed="false">
      <c r="A14" s="5"/>
      <c r="B14" s="6" t="s">
        <v>166</v>
      </c>
      <c r="C14" s="8" t="n">
        <f aca="false">-Initial_Pool_Balance</f>
        <v>-140000000</v>
      </c>
      <c r="D14" s="8" t="n">
        <f aca="false">0</f>
        <v>0</v>
      </c>
      <c r="E14" s="8" t="n">
        <f aca="false">0</f>
        <v>0</v>
      </c>
      <c r="F14" s="8" t="n">
        <f aca="false">0</f>
        <v>0</v>
      </c>
      <c r="G14" s="8" t="n">
        <f aca="false">0</f>
        <v>0</v>
      </c>
      <c r="H14" s="8" t="n">
        <f aca="false">0</f>
        <v>0</v>
      </c>
      <c r="I14" s="8" t="n">
        <f aca="false">0</f>
        <v>0</v>
      </c>
    </row>
    <row r="15" customFormat="false" ht="15" hidden="false" customHeight="false" outlineLevel="0" collapsed="false">
      <c r="A15" s="5"/>
      <c r="B15" s="6" t="s">
        <v>167</v>
      </c>
      <c r="C15" s="8" t="n">
        <f aca="false">Pool_Schedule!C6</f>
        <v>23123008.7376814</v>
      </c>
      <c r="D15" s="8" t="n">
        <f aca="false">Pool_Schedule!D6</f>
        <v>14459641.7422594</v>
      </c>
      <c r="E15" s="8" t="n">
        <f aca="false">Pool_Schedule!E6</f>
        <v>9042129.49475599</v>
      </c>
      <c r="F15" s="8" t="n">
        <f aca="false">Pool_Schedule!F6</f>
        <v>5654365.94192968</v>
      </c>
      <c r="G15" s="8" t="n">
        <f aca="false">Pool_Schedule!G6</f>
        <v>3535876.61222907</v>
      </c>
      <c r="H15" s="8" t="n">
        <f aca="false">Pool_Schedule!H6</f>
        <v>2211109.70625325</v>
      </c>
      <c r="I15" s="8" t="n">
        <f aca="false">Pool_Schedule!I6</f>
        <v>1382685.72952415</v>
      </c>
    </row>
    <row r="16" customFormat="false" ht="15" hidden="false" customHeight="false" outlineLevel="0" collapsed="false">
      <c r="A16" s="5"/>
      <c r="B16" s="6" t="s">
        <v>168</v>
      </c>
      <c r="C16" s="8" t="n">
        <f aca="false">Pool_Schedule!C8</f>
        <v>19530000</v>
      </c>
      <c r="D16" s="8" t="n">
        <f aca="false">Pool_Schedule!D8</f>
        <v>12212805.2810934</v>
      </c>
      <c r="E16" s="8" t="n">
        <f aca="false">Pool_Schedule!E8</f>
        <v>7637102.55165918</v>
      </c>
      <c r="F16" s="8" t="n">
        <f aca="false">Pool_Schedule!F8</f>
        <v>4775752.50256812</v>
      </c>
      <c r="G16" s="8" t="n">
        <f aca="false">Pool_Schedule!G8</f>
        <v>2986448.30438091</v>
      </c>
      <c r="H16" s="8" t="n">
        <f aca="false">Pool_Schedule!H8</f>
        <v>1867532.59720716</v>
      </c>
      <c r="I16" s="8" t="n">
        <f aca="false">Pool_Schedule!I8</f>
        <v>1167834.71406993</v>
      </c>
    </row>
    <row r="17" customFormat="false" ht="15" hidden="false" customHeight="false" outlineLevel="0" collapsed="false">
      <c r="A17" s="5"/>
      <c r="B17" s="38" t="s">
        <v>169</v>
      </c>
      <c r="C17" s="39" t="n">
        <f aca="false">SUM(C14:C16)</f>
        <v>-97346991.2623186</v>
      </c>
      <c r="D17" s="39" t="n">
        <f aca="false">SUM(D14:D16)</f>
        <v>26672447.0233528</v>
      </c>
      <c r="E17" s="39" t="n">
        <f aca="false">SUM(E14:E16)</f>
        <v>16679232.0464152</v>
      </c>
      <c r="F17" s="39" t="n">
        <f aca="false">SUM(F14:F16)</f>
        <v>10430118.4444978</v>
      </c>
      <c r="G17" s="39" t="n">
        <f aca="false">SUM(G14:G16)</f>
        <v>6522324.91660998</v>
      </c>
      <c r="H17" s="39" t="n">
        <f aca="false">SUM(H14:H16)</f>
        <v>4078642.3034604</v>
      </c>
      <c r="I17" s="39" t="n">
        <f aca="false">SUM(I14:I16)</f>
        <v>2550520.44359408</v>
      </c>
    </row>
    <row r="18" customFormat="false" ht="15" hidden="false" customHeight="false" outlineLevel="0" collapsed="false">
      <c r="A18" s="5"/>
      <c r="B18" s="5"/>
      <c r="C18" s="5"/>
      <c r="D18" s="5"/>
      <c r="E18" s="5"/>
      <c r="F18" s="5"/>
      <c r="G18" s="5"/>
      <c r="H18" s="5"/>
      <c r="I18" s="5"/>
    </row>
    <row r="19" customFormat="false" ht="15" hidden="false" customHeight="false" outlineLevel="0" collapsed="false">
      <c r="A19" s="5"/>
      <c r="B19" s="28" t="s">
        <v>170</v>
      </c>
      <c r="C19" s="29"/>
      <c r="D19" s="29"/>
      <c r="E19" s="29"/>
      <c r="F19" s="29"/>
      <c r="G19" s="29"/>
      <c r="H19" s="29"/>
      <c r="I19" s="29"/>
    </row>
    <row r="20" customFormat="false" ht="15" hidden="false" customHeight="false" outlineLevel="0" collapsed="false">
      <c r="A20" s="5"/>
      <c r="B20" s="6" t="s">
        <v>171</v>
      </c>
      <c r="C20" s="8" t="n">
        <f aca="false">Equity_Contribution</f>
        <v>42000000</v>
      </c>
      <c r="D20" s="8" t="n">
        <f aca="false">0</f>
        <v>0</v>
      </c>
      <c r="E20" s="8" t="n">
        <f aca="false">0</f>
        <v>0</v>
      </c>
      <c r="F20" s="8" t="n">
        <f aca="false">0</f>
        <v>0</v>
      </c>
      <c r="G20" s="8" t="n">
        <f aca="false">0</f>
        <v>0</v>
      </c>
      <c r="H20" s="8" t="n">
        <f aca="false">0</f>
        <v>0</v>
      </c>
      <c r="I20" s="8" t="n">
        <f aca="false">0</f>
        <v>0</v>
      </c>
    </row>
    <row r="21" customFormat="false" ht="15" hidden="false" customHeight="false" outlineLevel="0" collapsed="false">
      <c r="A21" s="5"/>
      <c r="B21" s="6" t="s">
        <v>172</v>
      </c>
      <c r="C21" s="8" t="n">
        <f aca="false">Funding!C6</f>
        <v>98000000</v>
      </c>
      <c r="D21" s="8" t="n">
        <f aca="false">Funding!D6</f>
        <v>0</v>
      </c>
      <c r="E21" s="8" t="n">
        <f aca="false">Funding!E6</f>
        <v>0</v>
      </c>
      <c r="F21" s="8" t="n">
        <f aca="false">Funding!F6</f>
        <v>0</v>
      </c>
      <c r="G21" s="8" t="n">
        <f aca="false">Funding!G6</f>
        <v>0</v>
      </c>
      <c r="H21" s="8" t="n">
        <f aca="false">Funding!H6</f>
        <v>0</v>
      </c>
      <c r="I21" s="8" t="n">
        <f aca="false">Funding!I6</f>
        <v>0</v>
      </c>
    </row>
    <row r="22" customFormat="false" ht="15" hidden="false" customHeight="false" outlineLevel="0" collapsed="false">
      <c r="A22" s="5"/>
      <c r="B22" s="6" t="s">
        <v>173</v>
      </c>
      <c r="C22" s="8" t="n">
        <f aca="false">-Funding!C7</f>
        <v>-42653008.7376814</v>
      </c>
      <c r="D22" s="8" t="n">
        <f aca="false">-Funding!D7</f>
        <v>-26672447.0233528</v>
      </c>
      <c r="E22" s="8" t="n">
        <f aca="false">-Funding!E7</f>
        <v>-16679232.0464152</v>
      </c>
      <c r="F22" s="8" t="n">
        <f aca="false">-Funding!F7</f>
        <v>-10430118.4444978</v>
      </c>
      <c r="G22" s="8" t="n">
        <f aca="false">-Funding!G7</f>
        <v>-1565193.74805279</v>
      </c>
      <c r="H22" s="8" t="n">
        <f aca="false">-Funding!H7</f>
        <v>-0</v>
      </c>
      <c r="I22" s="8" t="n">
        <f aca="false">-Funding!I7</f>
        <v>-0</v>
      </c>
    </row>
    <row r="23" customFormat="false" ht="15" hidden="false" customHeight="false" outlineLevel="0" collapsed="false">
      <c r="A23" s="5"/>
      <c r="B23" s="6" t="s">
        <v>174</v>
      </c>
      <c r="C23" s="8" t="n">
        <f aca="false">-Funding!C10</f>
        <v>-2352247.12864854</v>
      </c>
      <c r="D23" s="8" t="n">
        <f aca="false">-Funding!D10</f>
        <v>-3570915.25880458</v>
      </c>
      <c r="E23" s="8" t="n">
        <f aca="false">-Funding!E10</f>
        <v>-1728468.89833945</v>
      </c>
      <c r="F23" s="8" t="n">
        <f aca="false">-Funding!F10</f>
        <v>-576321.502475643</v>
      </c>
      <c r="G23" s="8" t="n">
        <f aca="false">-Funding!G10</f>
        <v>-66520.7342922434</v>
      </c>
      <c r="H23" s="8" t="n">
        <f aca="false">-Funding!H10</f>
        <v>-0</v>
      </c>
      <c r="I23" s="8" t="n">
        <f aca="false">-Funding!I10</f>
        <v>-0</v>
      </c>
    </row>
    <row r="24" customFormat="false" ht="15" hidden="false" customHeight="false" outlineLevel="0" collapsed="false">
      <c r="A24" s="5"/>
      <c r="B24" s="6" t="s">
        <v>175</v>
      </c>
      <c r="C24" s="8" t="n">
        <f aca="false">-Funding!C12</f>
        <v>-273265.043688407</v>
      </c>
      <c r="D24" s="8" t="n">
        <f aca="false">-Funding!D12</f>
        <v>-406627.278805171</v>
      </c>
      <c r="E24" s="8" t="n">
        <f aca="false">-Funding!E12</f>
        <v>-490023.439037247</v>
      </c>
      <c r="F24" s="8" t="n">
        <f aca="false">-Funding!F12</f>
        <v>-542174.031259736</v>
      </c>
      <c r="G24" s="8" t="n">
        <f aca="false">-Funding!G12</f>
        <v>-550000</v>
      </c>
      <c r="H24" s="8" t="n">
        <f aca="false">-Funding!H12</f>
        <v>-550000</v>
      </c>
      <c r="I24" s="8" t="n">
        <f aca="false">-Funding!I12</f>
        <v>-550000</v>
      </c>
    </row>
    <row r="25" customFormat="false" ht="15" hidden="false" customHeight="false" outlineLevel="0" collapsed="false">
      <c r="A25" s="5"/>
      <c r="B25" s="38" t="s">
        <v>176</v>
      </c>
      <c r="C25" s="39" t="n">
        <f aca="false">SUM(C20:C24)</f>
        <v>94721479.0899816</v>
      </c>
      <c r="D25" s="39" t="n">
        <f aca="false">SUM(D20:D24)</f>
        <v>-30649989.5609626</v>
      </c>
      <c r="E25" s="39" t="n">
        <f aca="false">SUM(E20:E24)</f>
        <v>-18897724.3837919</v>
      </c>
      <c r="F25" s="39" t="n">
        <f aca="false">SUM(F20:F24)</f>
        <v>-11548613.9782332</v>
      </c>
      <c r="G25" s="39" t="n">
        <f aca="false">SUM(G20:G24)</f>
        <v>-2181714.48234503</v>
      </c>
      <c r="H25" s="39" t="n">
        <f aca="false">SUM(H20:H24)</f>
        <v>-550000</v>
      </c>
      <c r="I25" s="39" t="n">
        <f aca="false">SUM(I20:I24)</f>
        <v>-550000</v>
      </c>
    </row>
    <row r="26" customFormat="false" ht="15" hidden="false" customHeight="false" outlineLevel="0" collapsed="false">
      <c r="A26" s="5"/>
      <c r="B26" s="28" t="s">
        <v>177</v>
      </c>
      <c r="C26" s="29"/>
      <c r="D26" s="29"/>
      <c r="E26" s="29"/>
      <c r="F26" s="29"/>
      <c r="G26" s="29"/>
      <c r="H26" s="29"/>
      <c r="I26" s="29"/>
    </row>
    <row r="27" customFormat="false" ht="15" hidden="false" customHeight="false" outlineLevel="0" collapsed="false">
      <c r="A27" s="5"/>
      <c r="B27" s="40" t="s">
        <v>178</v>
      </c>
      <c r="C27" s="41" t="n">
        <f aca="false">C12+C17+C25</f>
        <v>19615055.5805913</v>
      </c>
      <c r="D27" s="41" t="n">
        <f aca="false">D12+D17+D25</f>
        <v>9061337.57096253</v>
      </c>
      <c r="E27" s="41" t="n">
        <f aca="false">E12+E17+E25</f>
        <v>5935184.25502044</v>
      </c>
      <c r="F27" s="41" t="n">
        <f aca="false">F12+F17+F25</f>
        <v>3980289.13333864</v>
      </c>
      <c r="G27" s="41" t="n">
        <f aca="false">G12+G17+G25</f>
        <v>7529062.26781333</v>
      </c>
      <c r="H27" s="41" t="n">
        <f aca="false">H12+H17+H25</f>
        <v>5522494.90926029</v>
      </c>
      <c r="I27" s="41" t="n">
        <f aca="false">I12+I17+I25</f>
        <v>3247347.56258203</v>
      </c>
    </row>
    <row r="28" customFormat="false" ht="15" hidden="false" customHeight="false" outlineLevel="0" collapsed="false">
      <c r="A28" s="5"/>
      <c r="B28" s="6" t="s">
        <v>112</v>
      </c>
      <c r="C28" s="8" t="n">
        <f aca="false">C27-(C12+C17+C25)</f>
        <v>0</v>
      </c>
      <c r="D28" s="8" t="n">
        <f aca="false">D27-(D12+D17+D25)</f>
        <v>0</v>
      </c>
      <c r="E28" s="8" t="n">
        <f aca="false">E27-(E12+E17+E25)</f>
        <v>0</v>
      </c>
      <c r="F28" s="8" t="n">
        <f aca="false">F27-(F12+F17+F25)</f>
        <v>0</v>
      </c>
      <c r="G28" s="8" t="n">
        <f aca="false">G27-(G12+G17+G25)</f>
        <v>0</v>
      </c>
      <c r="H28" s="8" t="n">
        <f aca="false">H27-(H12+H17+H25)</f>
        <v>0</v>
      </c>
      <c r="I28" s="8" t="n">
        <f aca="false">I27-(I12+I17+I25)</f>
        <v>0</v>
      </c>
    </row>
    <row r="29" customFormat="false" ht="15" hidden="false" customHeight="false" outlineLevel="0" collapsed="false">
      <c r="A29" s="5"/>
      <c r="B29" s="6" t="s">
        <v>179</v>
      </c>
      <c r="C29" s="8" t="n">
        <f aca="false">C27-Equity_Contribution</f>
        <v>-22384944.4194087</v>
      </c>
      <c r="D29" s="8" t="n">
        <f aca="false">D27</f>
        <v>9061337.57096253</v>
      </c>
      <c r="E29" s="8" t="n">
        <f aca="false">E27</f>
        <v>5935184.25502044</v>
      </c>
      <c r="F29" s="8" t="n">
        <f aca="false">F27</f>
        <v>3980289.13333864</v>
      </c>
      <c r="G29" s="8" t="n">
        <f aca="false">G27</f>
        <v>7529062.26781333</v>
      </c>
      <c r="H29" s="8" t="n">
        <f aca="false">H27</f>
        <v>5522494.90926029</v>
      </c>
      <c r="I29" s="8" t="n">
        <f aca="false">I27</f>
        <v>3247347.56258203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2026-05-15T18:52:54Z</dcterms:created>
  <dc:creator>openpyxl</dc:creator>
  <dc:description/>
  <dc:language>en-GB</dc:language>
  <cp:lastModifiedBy/>
  <dcterms:modified xsi:type="dcterms:W3CDTF">2026-05-15T18:52:54Z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