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over" sheetId="1" state="visible" r:id="rId1"/>
    <sheet xmlns:r="http://schemas.openxmlformats.org/officeDocument/2006/relationships" name="Assumptions" sheetId="2" state="visible" r:id="rId2"/>
    <sheet xmlns:r="http://schemas.openxmlformats.org/officeDocument/2006/relationships" name="Volumes_Margins" sheetId="3" state="visible" r:id="rId3"/>
    <sheet xmlns:r="http://schemas.openxmlformats.org/officeDocument/2006/relationships" name="Opex_Staffing" sheetId="4" state="visible" r:id="rId4"/>
    <sheet xmlns:r="http://schemas.openxmlformats.org/officeDocument/2006/relationships" name="Working_Capital" sheetId="5" state="visible" r:id="rId5"/>
    <sheet xmlns:r="http://schemas.openxmlformats.org/officeDocument/2006/relationships" name="Capex_Depreciation" sheetId="6" state="visible" r:id="rId6"/>
    <sheet xmlns:r="http://schemas.openxmlformats.org/officeDocument/2006/relationships" name="Debt_Schedule" sheetId="7" state="visible" r:id="rId7"/>
    <sheet xmlns:r="http://schemas.openxmlformats.org/officeDocument/2006/relationships" name="Borrowing_Base" sheetId="8" state="visible" r:id="rId8"/>
    <sheet xmlns:r="http://schemas.openxmlformats.org/officeDocument/2006/relationships" name="Income_Statement" sheetId="9" state="visible" r:id="rId9"/>
    <sheet xmlns:r="http://schemas.openxmlformats.org/officeDocument/2006/relationships" name="Balance_Sheet" sheetId="10" state="visible" r:id="rId10"/>
    <sheet xmlns:r="http://schemas.openxmlformats.org/officeDocument/2006/relationships" name="Cash_Flow" sheetId="11" state="visible" r:id="rId11"/>
    <sheet xmlns:r="http://schemas.openxmlformats.org/officeDocument/2006/relationships" name="Ratios_Covenants" sheetId="12" state="visible" r:id="rId12"/>
    <sheet xmlns:r="http://schemas.openxmlformats.org/officeDocument/2006/relationships" name="Checks" sheetId="13" state="visible" r:id="rId13"/>
    <sheet xmlns:r="http://schemas.openxmlformats.org/officeDocument/2006/relationships" name="Disclaimer" sheetId="14" state="visible" r:id="rId14"/>
  </sheets>
  <definedNames>
    <definedName name="Model_Start_Year">Assumptions!$C$9</definedName>
    <definedName name="Energy_Vol_Y1">Assumptions!$C$12</definedName>
    <definedName name="Metals_Vol_Y1">Assumptions!$C$13</definedName>
    <definedName name="Agri_Vol_Y1">Assumptions!$C$14</definedName>
    <definedName name="Vol_Growth">Assumptions!$C$15</definedName>
    <definedName name="Energy_Price_Y1">Assumptions!$C$16</definedName>
    <definedName name="Metals_Price_Y1">Assumptions!$C$17</definedName>
    <definedName name="Agri_Price_Y1">Assumptions!$C$18</definedName>
    <definedName name="Price_Escalation">Assumptions!$C$19</definedName>
    <definedName name="Energy_Margin_Per_Tonne">Assumptions!$C$20</definedName>
    <definedName name="Metals_Margin_Per_Tonne">Assumptions!$C$21</definedName>
    <definedName name="Agri_Margin_Per_Tonne">Assumptions!$C$22</definedName>
    <definedName name="Margin_Stress_Pct">Assumptions!$C$23</definedName>
    <definedName name="Price_Shock_Pct">Assumptions!$C$24</definedName>
    <definedName name="Assumption_DSO">Assumptions!$C$27</definedName>
    <definedName name="Assumption_DIO">Assumptions!$C$28</definedName>
    <definedName name="Assumption_DPO">Assumptions!$C$29</definedName>
    <definedName name="RMI_Pct">Assumptions!$C$30</definedName>
    <definedName name="Recv_Advance_Rate">Assumptions!$C$33</definedName>
    <definedName name="Inv_Advance_Rate">Assumptions!$C$34</definedName>
    <definedName name="TF_Rate">Assumptions!$C$35</definedName>
    <definedName name="Commit_Fee_Rate">Assumptions!$C$36</definedName>
    <definedName name="Facility_Ceiling">Assumptions!$C$37</definedName>
    <definedName name="Opening_Corp_Debt">Assumptions!$C$40</definedName>
    <definedName name="Corp_Debt_Rate">Assumptions!$C$41</definedName>
    <definedName name="Corp_Debt_Tenor">Assumptions!$C$42</definedName>
    <definedName name="Headcount">Assumptions!$C$45</definedName>
    <definedName name="Avg_Salary">Assumptions!$C$46</definedName>
    <definedName name="IT_Cost_Y1">Assumptions!$C$47</definedName>
    <definedName name="Office_Rent_Y1">Assumptions!$C$48</definedName>
    <definedName name="Other_GA_Y1">Assumptions!$C$49</definedName>
    <definedName name="Bonus_Pct">Assumptions!$C$50</definedName>
    <definedName name="OpEx_Escalation">Assumptions!$C$51</definedName>
    <definedName name="Opening_Gross_PPE">Assumptions!$C$54</definedName>
    <definedName name="Opening_Accum_Depr">Assumptions!$C$55</definedName>
    <definedName name="Maint_Capex_Y1">Assumptions!$C$56</definedName>
    <definedName name="Growth_Capex_Y1">Assumptions!$C$57</definedName>
    <definedName name="PP_Useful_Life">Assumptions!$C$58</definedName>
    <definedName name="Tax_Rate">Assumptions!$C$61</definedName>
    <definedName name="Dividend_Payout">Assumptions!$C$62</definedName>
    <definedName name="Opening_NOL">Assumptions!$C$63</definedName>
    <definedName name="Opening_Cash">Assumptions!$C$66</definedName>
    <definedName name="Opening_RE">Assumptions!$C$67</definedName>
    <definedName name="Pct_Inventory_Hedged">Assumptions!$C$70</definedName>
    <definedName name="VaR_Factor">Assumptions!$C$71</definedName>
    <definedName name="LC_Pct_AP">Assumptions!$C$74</definedName>
    <definedName name="LC_Fee_Rate">Assumptions!$C$75</definedName>
    <definedName name="Opex_USD_Pct">Assumptions!$C$78</definedName>
    <definedName name="Storage_Capacity_MT">Assumptions!$C$81</definedName>
    <definedName name="Storage_Utilisation">Assumptions!$C$82</definedName>
    <definedName name="Storage_Spread">Assumptions!$C$83</definedName>
    <definedName name="Storage_Months_Per_Yr">Assumptions!$C$84</definedName>
    <definedName name="Demurrage_Income_Y1">Assumptions!$C$85</definedName>
    <definedName name="Opening_Net_PPE">=Assumptions!$C$54-Assumptions!$C$55</definedName>
    <definedName name="VM_Total_Revenue">'Volumes_Margins'!$C$24:$G$24</definedName>
    <definedName name="VM_Total_COGS">'Volumes_Margins'!$C$30:$G$30</definedName>
    <definedName name="VM_Total_GP">'Volumes_Margins'!$C$37:$G$37</definedName>
    <definedName name="VM_Total_Volume">'Volumes_Margins'!$C$13:$G$13</definedName>
    <definedName name="VM_Storage_GP">'Volumes_Margins'!$C$36:$G$36</definedName>
    <definedName name="VM_Energy_GP">'Volumes_Margins'!$C$33:$G$33</definedName>
    <definedName name="VM_Metals_GP">'Volumes_Margins'!$C$34:$G$34</definedName>
    <definedName name="VM_Agri_GP">'Volumes_Margins'!$C$35:$G$35</definedName>
    <definedName name="OX_Total_OpEx">'Opex_Staffing'!$C$20:$G$20</definedName>
    <definedName name="OX_Base_OpEx">'Opex_Staffing'!$C$14:$G$14</definedName>
    <definedName name="OX_Bonus">'Opex_Staffing'!$C$18:$G$18</definedName>
    <definedName name="OX_Staff_Cost">'Opex_Staffing'!$C$10:$G$10</definedName>
    <definedName name="OX_IT">'Opex_Staffing'!$C$11:$G$11</definedName>
    <definedName name="OX_Rent">'Opex_Staffing'!$C$12:$G$12</definedName>
    <definedName name="OX_Other_GA">'Opex_Staffing'!$C$13:$G$13</definedName>
    <definedName name="OX_FX">'Opex_Staffing'!$C$23:$G$23</definedName>
    <definedName name="WC_AR">'Working_Capital'!$C$10:$G$10</definedName>
    <definedName name="WC_Inventory">'Working_Capital'!$C$11:$G$11</definedName>
    <definedName name="WC_RMI_Inventory">'Working_Capital'!$C$12:$G$12</definedName>
    <definedName name="WC_Non_RMI_Inventory">'Working_Capital'!$C$13:$G$13</definedName>
    <definedName name="WC_AP">'Working_Capital'!$C$16:$G$16</definedName>
    <definedName name="WC_LC_Notional">'Working_Capital'!$C$17:$G$17</definedName>
    <definedName name="WC_Total_Change">'Working_Capital'!$C$31:$G$31</definedName>
    <definedName name="WC_Net_WC">'Working_Capital'!$C$20:$G$20</definedName>
    <definedName name="WC_VaR">'Working_Capital'!$C$25:$G$25</definedName>
    <definedName name="WC_Open_Position">'Working_Capital'!$C$24:$G$24</definedName>
    <definedName name="CD_Total_Capex">'Capex_Depreciation'!$C$13:$G$13</definedName>
    <definedName name="CD_Total_Depr">'Capex_Depreciation'!$C$20:$G$20</definedName>
    <definedName name="CD_Net_PPE">'Capex_Depreciation'!$C$23:$G$23</definedName>
    <definedName name="CD_Close_Gross">'Capex_Depreciation'!$C$14:$G$14</definedName>
    <definedName name="CD_Close_Accum">'Capex_Depreciation'!$C$21:$G$21</definedName>
    <definedName name="DS_Opening">'Debt_Schedule'!$C$10:$G$10</definedName>
    <definedName name="DS_Amort">'Debt_Schedule'!$C$11:$G$11</definedName>
    <definedName name="DS_Closing">'Debt_Schedule'!$C$12:$G$12</definedName>
    <definedName name="DS_Interest">'Debt_Schedule'!$C$14:$G$14</definedName>
    <definedName name="BB_Total_Eligible">'Borrowing_Base'!$C$12:$G$12</definedName>
    <definedName name="BB_Opening_TF">'Borrowing_Base'!$C$28:$G$28</definedName>
    <definedName name="BB_Drawdown">'Borrowing_Base'!$C$30:$G$30</definedName>
    <definedName name="BB_Repayment">'Borrowing_Base'!$C$31:$G$31</definedName>
    <definedName name="BB_Closing_TF">'Borrowing_Base'!$C$32:$G$32</definedName>
    <definedName name="BB_Avg_TF">'Borrowing_Base'!$C$33:$G$33</definedName>
    <definedName name="BB_Interest">'Borrowing_Base'!$C$36:$G$36</definedName>
    <definedName name="BB_Undrawn">'Borrowing_Base'!$C$37:$G$37</definedName>
    <definedName name="BB_Commit_Fee">'Borrowing_Base'!$C$38:$G$38</definedName>
    <definedName name="BB_LC_Fee">'Borrowing_Base'!$C$39:$G$39</definedName>
    <definedName name="BB_Total_Fin_Cost">'Borrowing_Base'!$C$40:$G$40</definedName>
    <definedName name="IS_Revenue">'Income_Statement'!$C$10:$G$10</definedName>
    <definedName name="IS_COGS">'Income_Statement'!$C$12:$G$12</definedName>
    <definedName name="IS_Gross_Profit">'Income_Statement'!$C$13:$G$13</definedName>
    <definedName name="IS_EBITDA">'Income_Statement'!$C$24:$G$24</definedName>
    <definedName name="IS_EBIT">'Income_Statement'!$C$30:$G$30</definedName>
    <definedName name="IS_DA">'Income_Statement'!$C$28:$G$28</definedName>
    <definedName name="IS_TF_Interest">'Income_Statement'!$C$33:$G$33</definedName>
    <definedName name="IS_Corp_Interest">'Income_Statement'!$C$34:$G$34</definedName>
    <definedName name="IS_Net_Fin_Cost">'Income_Statement'!$C$38:$G$38</definedName>
    <definedName name="IS_EBT">'Income_Statement'!$C$40:$G$40</definedName>
    <definedName name="IS_Tax">'Income_Statement'!$C$45:$G$45</definedName>
    <definedName name="IS_Net_Income">'Income_Statement'!$C$48:$G$48</definedName>
    <definedName name="IS_Dividends">'Income_Statement'!$C$51:$G$51</definedName>
    <definedName name="IS_NOL_Close">'Income_Statement'!$C$46:$G$46</definedName>
    <definedName name="BS_Cash">'Balance_Sheet'!$D$10:$H$10</definedName>
    <definedName name="BS_AR">'Balance_Sheet'!$D$11:$H$11</definedName>
    <definedName name="BS_Inventory">'Balance_Sheet'!$D$12:$H$12</definedName>
    <definedName name="BS_Total_CA">'Balance_Sheet'!$D$13:$H$13</definedName>
    <definedName name="BS_Net_PPE">'Balance_Sheet'!$D$16:$H$16</definedName>
    <definedName name="BS_Total_Assets">'Balance_Sheet'!$D$19:$H$19</definedName>
    <definedName name="BS_AP">'Balance_Sheet'!$D$23:$H$23</definedName>
    <definedName name="BS_TF_Debt">'Balance_Sheet'!$D$24:$H$24</definedName>
    <definedName name="BS_Total_CL">'Balance_Sheet'!$D$25:$H$25</definedName>
    <definedName name="BS_Corp_Debt">'Balance_Sheet'!$D$28:$H$28</definedName>
    <definedName name="BS_Total_Liabilities">'Balance_Sheet'!$D$31:$H$31</definedName>
    <definedName name="BS_Share_Capital">'Balance_Sheet'!$D$34:$H$34</definedName>
    <definedName name="BS_Retained_Earnings">'Balance_Sheet'!$D$35:$H$35</definedName>
    <definedName name="BS_Total_Equity">'Balance_Sheet'!$D$36:$H$36</definedName>
    <definedName name="BS_Total_LE">'Balance_Sheet'!$D$38:$H$38</definedName>
    <definedName name="BS_Check">'Balance_Sheet'!$D$40:$H$40</definedName>
    <definedName name="BS_D0_Total_Assets">Balance_Sheet!$C$19</definedName>
    <definedName name="BS_D0_Total_LE">Balance_Sheet!$C$38</definedName>
    <definedName name="BS_D0_Share_Cap">Balance_Sheet!$C$34</definedName>
    <definedName name="BS_D0_Check">Balance_Sheet!$C$40</definedName>
    <definedName name="CF_CFO">'Cash_Flow'!$C$15:$G$15</definedName>
    <definedName name="CF_CFI">'Cash_Flow'!$C$19:$G$19</definedName>
    <definedName name="CF_CFF">'Cash_Flow'!$C$26:$G$26</definedName>
    <definedName name="CF_Opening_Cash">'Cash_Flow'!$C$30:$G$30</definedName>
    <definedName name="CF_Closing_Cash">'Cash_Flow'!$C$31:$G$31</definedName>
    <definedName name="CF_Net_Change">'Cash_Flow'!$C$28:$G$28</definedName>
  </definedNames>
  <calcPr calcId="191029" calcMode="auto" fullCalcOnLoad="1"/>
</workbook>
</file>

<file path=xl/styles.xml><?xml version="1.0" encoding="utf-8"?>
<styleSheet xmlns="http://schemas.openxmlformats.org/spreadsheetml/2006/main">
  <numFmts count="2">
    <numFmt numFmtId="164" formatCode="$#,##0.00"/>
    <numFmt numFmtId="165" formatCode="0.00&quot;x&quot;"/>
  </numFmts>
  <fonts count="23">
    <font>
      <name val="Calibri"/>
      <family val="2"/>
      <color theme="1"/>
      <sz val="11"/>
      <scheme val="minor"/>
    </font>
    <font>
      <name val="Arial"/>
      <b val="1"/>
      <sz val="11"/>
    </font>
    <font>
      <name val="Arial"/>
      <sz val="11"/>
    </font>
    <font>
      <name val="Arial"/>
      <b val="1"/>
      <color rgb="00000000"/>
      <sz val="11"/>
    </font>
    <font>
      <name val="Arial"/>
      <b val="1"/>
      <color rgb="00FFFFFF"/>
      <sz val="11"/>
    </font>
    <font>
      <name val="Arial"/>
      <color rgb="000000CC"/>
      <sz val="11"/>
    </font>
    <font>
      <name val="Arial"/>
      <i val="1"/>
      <color rgb="00808080"/>
      <sz val="11"/>
    </font>
    <font>
      <name val="Arial"/>
      <color rgb="00000000"/>
      <sz val="11"/>
    </font>
    <font>
      <name val="Arial"/>
      <b val="1"/>
      <color rgb="00FF0000"/>
      <sz val="11"/>
    </font>
    <font>
      <name val="Arial"/>
      <color theme="1"/>
      <sz val="11"/>
    </font>
    <font>
      <name val="Arial"/>
      <color theme="0"/>
      <sz val="11"/>
    </font>
    <font>
      <name val="Calibri"/>
      <color theme="0"/>
      <sz val="11"/>
    </font>
    <font>
      <name val="Arial"/>
      <b val="1"/>
      <color theme="0"/>
      <sz val="11"/>
    </font>
    <font>
      <name val="Arial"/>
      <b val="1"/>
      <color theme="0"/>
      <sz val="11"/>
      <u val="single"/>
    </font>
    <font>
      <name val="Arial"/>
      <b val="1"/>
      <color rgb="001F4E79"/>
      <sz val="11"/>
    </font>
    <font>
      <name val="Arial"/>
      <color rgb="00262626"/>
      <sz val="11"/>
    </font>
    <font>
      <name val="Arial"/>
      <i val="1"/>
      <color rgb="00595959"/>
      <sz val="11"/>
    </font>
    <font>
      <name val="Arial"/>
      <b val="1"/>
      <i val="1"/>
      <color rgb="001F4E79"/>
      <sz val="11"/>
    </font>
    <font>
      <name val="Arial"/>
      <b val="1"/>
      <color rgb="001F4E79"/>
      <sz val="18"/>
    </font>
    <font>
      <name val="Arial"/>
      <color rgb="00262626"/>
      <sz val="10"/>
    </font>
    <font>
      <name val="Arial"/>
      <b val="1"/>
      <color rgb="001F4E79"/>
      <sz val="10"/>
    </font>
    <font>
      <name val="Arial"/>
      <color rgb="00404040"/>
      <sz val="9"/>
    </font>
    <font>
      <name val="Arial"/>
      <i val="1"/>
      <color rgb="00808080"/>
      <sz val="10"/>
    </font>
  </fonts>
  <fills count="12">
    <fill>
      <patternFill/>
    </fill>
    <fill>
      <patternFill patternType="gray125"/>
    </fill>
    <fill>
      <patternFill patternType="solid">
        <fgColor rgb="00F2F2F2"/>
        <bgColor rgb="00F2F2F2"/>
      </patternFill>
    </fill>
    <fill>
      <patternFill patternType="solid">
        <fgColor rgb="001F4E79"/>
        <bgColor rgb="001F4E79"/>
      </patternFill>
    </fill>
    <fill>
      <patternFill patternType="solid">
        <fgColor rgb="005B9BD5"/>
        <bgColor rgb="005B9BD5"/>
      </patternFill>
    </fill>
    <fill>
      <patternFill patternType="solid">
        <fgColor rgb="0070AD47"/>
        <bgColor rgb="0070AD47"/>
      </patternFill>
    </fill>
    <fill>
      <patternFill patternType="solid">
        <fgColor rgb="00ED7D31"/>
        <bgColor rgb="00ED7D31"/>
      </patternFill>
    </fill>
    <fill>
      <patternFill patternType="solid">
        <fgColor rgb="00A5A5A5"/>
        <bgColor rgb="00A5A5A5"/>
      </patternFill>
    </fill>
    <fill>
      <patternFill patternType="solid">
        <fgColor rgb="00C00000"/>
        <bgColor rgb="00C00000"/>
      </patternFill>
    </fill>
    <fill>
      <patternFill patternType="solid">
        <fgColor theme="3"/>
        <bgColor theme="3"/>
      </patternFill>
    </fill>
    <fill>
      <patternFill patternType="solid">
        <fgColor rgb="00E8F0FE"/>
        <bgColor rgb="00E8F0FE"/>
      </patternFill>
    </fill>
    <fill>
      <patternFill patternType="solid">
        <fgColor rgb="00D6E4F0"/>
        <bgColor rgb="00D6E4F0"/>
      </patternFill>
    </fill>
  </fills>
  <borders count="4">
    <border>
      <left/>
      <right/>
      <top/>
      <bottom/>
      <diagonal/>
    </border>
    <border>
      <top style="double"/>
    </border>
    <border>
      <top style="thin"/>
    </border>
    <border>
      <bottom style="thin">
        <color rgb="001F4E79"/>
      </bottom>
    </border>
  </borders>
  <cellStyleXfs count="1">
    <xf numFmtId="0" fontId="2" fillId="0" borderId="0"/>
  </cellStyleXfs>
  <cellXfs count="53">
    <xf numFmtId="0" fontId="0" fillId="0" borderId="0" pivotButton="0" quotePrefix="0" xfId="0"/>
    <xf numFmtId="0" fontId="10" fillId="9" borderId="0" pivotButton="0" quotePrefix="0" xfId="0"/>
    <xf numFmtId="0" fontId="11" fillId="9" borderId="0" pivotButton="0" quotePrefix="0" xfId="0"/>
    <xf numFmtId="0" fontId="13" fillId="9" borderId="0" applyAlignment="1" pivotButton="0" quotePrefix="0" xfId="0">
      <alignment horizontal="left" vertical="center"/>
    </xf>
    <xf numFmtId="0" fontId="9" fillId="0" borderId="0" pivotButton="0" quotePrefix="0" xfId="0"/>
    <xf numFmtId="0" fontId="1" fillId="0" borderId="0" applyAlignment="1" pivotButton="0" quotePrefix="0" xfId="0">
      <alignment horizontal="left"/>
    </xf>
    <xf numFmtId="0" fontId="2" fillId="0" borderId="0" applyAlignment="1" pivotButton="0" quotePrefix="0" xfId="0">
      <alignment horizontal="left"/>
    </xf>
    <xf numFmtId="0" fontId="3" fillId="2" borderId="0" pivotButton="0" quotePrefix="0" xfId="0"/>
    <xf numFmtId="0" fontId="9" fillId="2" borderId="0" pivotButton="0" quotePrefix="0" xfId="0"/>
    <xf numFmtId="0" fontId="9" fillId="9" borderId="0" pivotButton="0" quotePrefix="0" xfId="0"/>
    <xf numFmtId="0" fontId="9" fillId="4" borderId="0" pivotButton="0" quotePrefix="0" xfId="0"/>
    <xf numFmtId="0" fontId="9" fillId="5" borderId="0" pivotButton="0" quotePrefix="0" xfId="0"/>
    <xf numFmtId="0" fontId="9" fillId="6" borderId="0" pivotButton="0" quotePrefix="0" xfId="0"/>
    <xf numFmtId="0" fontId="9" fillId="7" borderId="0" pivotButton="0" quotePrefix="0" xfId="0"/>
    <xf numFmtId="0" fontId="9" fillId="8" borderId="0" pivotButton="0" quotePrefix="0" xfId="0"/>
    <xf numFmtId="0" fontId="14" fillId="11" borderId="0" applyAlignment="1" pivotButton="0" quotePrefix="0" xfId="0">
      <alignment horizontal="left" vertical="center"/>
    </xf>
    <xf numFmtId="0" fontId="0" fillId="11" borderId="0" pivotButton="0" quotePrefix="0" xfId="0"/>
    <xf numFmtId="0" fontId="15" fillId="0" borderId="0" applyAlignment="1" pivotButton="0" quotePrefix="0" xfId="0">
      <alignment horizontal="left" vertical="top" wrapText="1"/>
    </xf>
    <xf numFmtId="0" fontId="16" fillId="0" borderId="0" applyAlignment="1" pivotButton="0" quotePrefix="0" xfId="0">
      <alignment horizontal="left" vertical="center"/>
    </xf>
    <xf numFmtId="0" fontId="17" fillId="0" borderId="0" applyAlignment="1" pivotButton="0" quotePrefix="0" xfId="0">
      <alignment horizontal="left" vertical="center"/>
    </xf>
    <xf numFmtId="0" fontId="12" fillId="9" borderId="0" applyAlignment="1" pivotButton="0" quotePrefix="0" xfId="0">
      <alignment horizontal="center"/>
    </xf>
    <xf numFmtId="3" fontId="5" fillId="10" borderId="0" applyAlignment="1" pivotButton="0" quotePrefix="0" xfId="0">
      <alignment horizontal="right"/>
    </xf>
    <xf numFmtId="0" fontId="6" fillId="0" borderId="0" applyAlignment="1" pivotButton="0" quotePrefix="0" xfId="0">
      <alignment horizontal="left"/>
    </xf>
    <xf numFmtId="10" fontId="5" fillId="10" borderId="0" applyAlignment="1" pivotButton="0" quotePrefix="0" xfId="0">
      <alignment horizontal="right"/>
    </xf>
    <xf numFmtId="0" fontId="12" fillId="9" borderId="0" pivotButton="0" quotePrefix="0" xfId="0"/>
    <xf numFmtId="1" fontId="12" fillId="9" borderId="0" applyAlignment="1" pivotButton="0" quotePrefix="0" xfId="0">
      <alignment horizontal="center"/>
    </xf>
    <xf numFmtId="0" fontId="6" fillId="0" borderId="0" pivotButton="0" quotePrefix="0" xfId="0"/>
    <xf numFmtId="1" fontId="6" fillId="0" borderId="0" applyAlignment="1" pivotButton="0" quotePrefix="0" xfId="0">
      <alignment horizontal="right"/>
    </xf>
    <xf numFmtId="0" fontId="2" fillId="0" borderId="0" applyAlignment="1" pivotButton="0" quotePrefix="0" xfId="0">
      <alignment horizontal="left" indent="1"/>
    </xf>
    <xf numFmtId="3" fontId="7" fillId="0" borderId="0" applyAlignment="1" pivotButton="0" quotePrefix="0" xfId="0">
      <alignment horizontal="right"/>
    </xf>
    <xf numFmtId="3" fontId="1" fillId="0" borderId="1" applyAlignment="1" pivotButton="0" quotePrefix="0" xfId="0">
      <alignment horizontal="right"/>
    </xf>
    <xf numFmtId="164" fontId="7" fillId="0" borderId="0" applyAlignment="1" pivotButton="0" quotePrefix="0" xfId="0">
      <alignment horizontal="right"/>
    </xf>
    <xf numFmtId="10" fontId="6" fillId="0" borderId="0" applyAlignment="1" pivotButton="0" quotePrefix="0" xfId="0">
      <alignment horizontal="right"/>
    </xf>
    <xf numFmtId="0" fontId="6" fillId="0" borderId="0" applyAlignment="1" pivotButton="0" quotePrefix="0" xfId="0">
      <alignment horizontal="left" indent="1"/>
    </xf>
    <xf numFmtId="3" fontId="6" fillId="0" borderId="0" applyAlignment="1" pivotButton="0" quotePrefix="0" xfId="0">
      <alignment horizontal="right"/>
    </xf>
    <xf numFmtId="3" fontId="1" fillId="0" borderId="2" applyAlignment="1" pivotButton="0" quotePrefix="0" xfId="0">
      <alignment horizontal="right"/>
    </xf>
    <xf numFmtId="0" fontId="2" fillId="0" borderId="0" applyAlignment="1" pivotButton="0" quotePrefix="0" xfId="0">
      <alignment horizontal="left" indent="2"/>
    </xf>
    <xf numFmtId="0" fontId="1" fillId="0" borderId="0" applyAlignment="1" pivotButton="0" quotePrefix="0" xfId="0">
      <alignment horizontal="left" indent="1"/>
    </xf>
    <xf numFmtId="3" fontId="8" fillId="0" borderId="0" applyAlignment="1" pivotButton="0" quotePrefix="0" xfId="0">
      <alignment horizontal="right"/>
    </xf>
    <xf numFmtId="2" fontId="7" fillId="0" borderId="0" applyAlignment="1" pivotButton="0" quotePrefix="0" xfId="0">
      <alignment horizontal="right"/>
    </xf>
    <xf numFmtId="10" fontId="7" fillId="0" borderId="0" applyAlignment="1" pivotButton="0" quotePrefix="0" xfId="0">
      <alignment horizontal="right"/>
    </xf>
    <xf numFmtId="165" fontId="7" fillId="0" borderId="0" applyAlignment="1" pivotButton="0" quotePrefix="0" xfId="0">
      <alignment horizontal="right"/>
    </xf>
    <xf numFmtId="49" fontId="7" fillId="0" borderId="0" applyAlignment="1" pivotButton="0" quotePrefix="0" xfId="0">
      <alignment horizontal="right"/>
    </xf>
    <xf numFmtId="49" fontId="7" fillId="0" borderId="0" applyAlignment="1" pivotButton="0" quotePrefix="0" xfId="0">
      <alignment horizontal="center"/>
    </xf>
    <xf numFmtId="49" fontId="1" fillId="0" borderId="1" applyAlignment="1" pivotButton="0" quotePrefix="0" xfId="0">
      <alignment horizontal="center"/>
    </xf>
    <xf numFmtId="0" fontId="18" fillId="0" borderId="0" applyAlignment="1" pivotButton="0" quotePrefix="0" xfId="0">
      <alignment horizontal="left" vertical="center"/>
    </xf>
    <xf numFmtId="0" fontId="0" fillId="0" borderId="3" pivotButton="0" quotePrefix="0" xfId="0"/>
    <xf numFmtId="0" fontId="4" fillId="3" borderId="0" applyAlignment="1" pivotButton="0" quotePrefix="0" xfId="0">
      <alignment horizontal="left" vertical="center" indent="1"/>
    </xf>
    <xf numFmtId="0" fontId="19" fillId="0" borderId="0" applyAlignment="1" pivotButton="0" quotePrefix="0" xfId="0">
      <alignment horizontal="left" vertical="top" wrapText="1" indent="1"/>
    </xf>
    <xf numFmtId="0" fontId="20" fillId="0" borderId="0" applyAlignment="1" pivotButton="0" quotePrefix="0" xfId="0">
      <alignment horizontal="left" vertical="center" indent="1"/>
    </xf>
    <xf numFmtId="0" fontId="14" fillId="0" borderId="0" applyAlignment="1" pivotButton="0" quotePrefix="0" xfId="0">
      <alignment horizontal="left" vertical="center" indent="1"/>
    </xf>
    <xf numFmtId="0" fontId="21" fillId="2" borderId="0" applyAlignment="1" pivotButton="0" quotePrefix="0" xfId="0">
      <alignment horizontal="left" vertical="top" wrapText="1" indent="1"/>
    </xf>
    <xf numFmtId="0" fontId="22" fillId="0" borderId="0" applyAlignment="1" pivotButton="0" quotePrefix="0" xfId="0">
      <alignment horizontal="left" vertical="center" inden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worksheet" Target="/xl/worksheets/sheet11.xml" Id="rId11"/><Relationship Type="http://schemas.openxmlformats.org/officeDocument/2006/relationships/worksheet" Target="/xl/worksheets/sheet12.xml" Id="rId12"/><Relationship Type="http://schemas.openxmlformats.org/officeDocument/2006/relationships/worksheet" Target="/xl/worksheets/sheet13.xml" Id="rId13"/><Relationship Type="http://schemas.openxmlformats.org/officeDocument/2006/relationships/worksheet" Target="/xl/worksheets/sheet14.xml" Id="rId14"/><Relationship Type="http://schemas.openxmlformats.org/officeDocument/2006/relationships/styles" Target="styles.xml" Id="rId15"/><Relationship Type="http://schemas.openxmlformats.org/officeDocument/2006/relationships/theme" Target="theme/theme1.xml" Id="rId1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www.finamodel.com/" TargetMode="External" Id="rId1"/></Relationships>
</file>

<file path=xl/worksheets/sheet1.xml><?xml version="1.0" encoding="utf-8"?>
<worksheet xmlns="http://schemas.openxmlformats.org/spreadsheetml/2006/main">
  <sheetPr>
    <tabColor rgb="001F4E79"/>
    <outlinePr summaryBelow="1" summaryRight="1"/>
    <pageSetUpPr/>
  </sheetPr>
  <dimension ref="A1:AD41"/>
  <sheetViews>
    <sheetView showGridLines="0" workbookViewId="0">
      <selection activeCell="A1" sqref="A1"/>
    </sheetView>
  </sheetViews>
  <sheetFormatPr baseColWidth="8" defaultRowHeight="15"/>
  <cols>
    <col width="3" customWidth="1" min="1" max="1"/>
    <col width="40" customWidth="1" min="2" max="2"/>
    <col width="30" customWidth="1" min="3" max="3"/>
    <col width="20" customWidth="1" min="4" max="4"/>
  </cols>
  <sheetData>
    <row r="1">
      <c r="A1" s="1" t="n"/>
      <c r="B1" s="1" t="n"/>
      <c r="C1" s="1" t="n"/>
      <c r="D1" s="1" t="n"/>
      <c r="E1" s="2" t="n"/>
      <c r="F1" s="2" t="n"/>
      <c r="G1" s="2" t="n"/>
      <c r="H1" s="2" t="n"/>
      <c r="I1" s="2" t="n"/>
      <c r="J1" s="2" t="n"/>
      <c r="K1" s="2" t="n"/>
      <c r="L1" s="2" t="n"/>
      <c r="M1" s="2" t="n"/>
      <c r="N1" s="2" t="n"/>
      <c r="O1" s="2" t="n"/>
      <c r="P1" s="2" t="n"/>
      <c r="Q1" s="2" t="n"/>
      <c r="R1" s="2" t="n"/>
      <c r="S1" s="2" t="n"/>
      <c r="T1" s="2" t="n"/>
      <c r="U1" s="2" t="n"/>
      <c r="V1" s="2" t="n"/>
      <c r="W1" s="2" t="n"/>
      <c r="X1" s="2" t="n"/>
      <c r="Y1" s="2" t="n"/>
      <c r="Z1" s="2" t="n"/>
      <c r="AA1" s="2" t="n"/>
      <c r="AB1" s="2" t="n"/>
      <c r="AC1" s="2" t="n"/>
      <c r="AD1" s="2" t="n"/>
    </row>
    <row r="2" ht="21.75" customHeight="1">
      <c r="A2" s="1" t="n"/>
      <c r="B2" s="1" t="n"/>
      <c r="C2" s="1" t="n"/>
      <c r="D2" s="3" t="inlineStr">
        <is>
          <t>FINAMODEL.com</t>
        </is>
      </c>
      <c r="E2" s="2" t="n"/>
      <c r="F2" s="2" t="n"/>
      <c r="G2" s="2" t="n"/>
      <c r="H2" s="2" t="n"/>
      <c r="I2" s="2" t="n"/>
      <c r="J2" s="2" t="n"/>
      <c r="K2" s="2" t="n"/>
      <c r="L2" s="2" t="n"/>
      <c r="M2" s="2" t="n"/>
      <c r="N2" s="2" t="n"/>
      <c r="O2" s="2" t="n"/>
      <c r="P2" s="2" t="n"/>
      <c r="Q2" s="2" t="n"/>
      <c r="R2" s="2" t="n"/>
      <c r="S2" s="2" t="n"/>
      <c r="T2" s="2" t="n"/>
      <c r="U2" s="2" t="n"/>
      <c r="V2" s="2" t="n"/>
      <c r="W2" s="2" t="n"/>
      <c r="X2" s="2" t="n"/>
      <c r="Y2" s="2" t="n"/>
      <c r="Z2" s="2" t="n"/>
      <c r="AA2" s="2" t="n"/>
      <c r="AB2" s="2" t="n"/>
      <c r="AC2" s="2" t="n"/>
      <c r="AD2" s="2" t="n"/>
    </row>
    <row r="3">
      <c r="A3" s="1" t="n"/>
      <c r="B3" s="1" t="n"/>
      <c r="C3" s="1" t="n"/>
      <c r="D3" s="1" t="n"/>
      <c r="E3" s="2" t="n"/>
      <c r="F3" s="2" t="n"/>
      <c r="G3" s="2" t="n"/>
      <c r="H3" s="2" t="n"/>
      <c r="I3" s="2" t="n"/>
      <c r="J3" s="2" t="n"/>
      <c r="K3" s="2" t="n"/>
      <c r="L3" s="2" t="n"/>
      <c r="M3" s="2" t="n"/>
      <c r="N3" s="2" t="n"/>
      <c r="O3" s="2" t="n"/>
      <c r="P3" s="2" t="n"/>
      <c r="Q3" s="2" t="n"/>
      <c r="R3" s="2" t="n"/>
      <c r="S3" s="2" t="n"/>
      <c r="T3" s="2" t="n"/>
      <c r="U3" s="2" t="n"/>
      <c r="V3" s="2" t="n"/>
      <c r="W3" s="2" t="n"/>
      <c r="X3" s="2" t="n"/>
      <c r="Y3" s="2" t="n"/>
      <c r="Z3" s="2" t="n"/>
      <c r="AA3" s="2" t="n"/>
      <c r="AB3" s="2" t="n"/>
      <c r="AC3" s="2" t="n"/>
      <c r="AD3" s="2" t="n"/>
    </row>
    <row r="4">
      <c r="A4" s="4" t="n"/>
      <c r="B4" s="4" t="n"/>
      <c r="C4" s="4" t="n"/>
      <c r="D4" s="4" t="n"/>
    </row>
    <row r="5">
      <c r="A5" s="4" t="n"/>
      <c r="B5" s="4" t="n"/>
      <c r="C5" s="4" t="n"/>
      <c r="D5" s="4" t="n"/>
    </row>
    <row r="6">
      <c r="A6" s="4" t="n"/>
      <c r="B6" s="5" t="inlineStr">
        <is>
          <t>Company Name</t>
        </is>
      </c>
      <c r="C6" s="6" t="inlineStr">
        <is>
          <t>[Company Name]</t>
        </is>
      </c>
      <c r="D6" s="4" t="n"/>
    </row>
    <row r="7">
      <c r="A7" s="4" t="n"/>
      <c r="B7" s="5" t="inlineStr">
        <is>
          <t>Currency</t>
        </is>
      </c>
      <c r="C7" s="6" t="inlineStr">
        <is>
          <t>USD ($)</t>
        </is>
      </c>
      <c r="D7" s="4" t="n"/>
    </row>
    <row r="8">
      <c r="A8" s="4" t="n"/>
      <c r="B8" s="5" t="inlineStr">
        <is>
          <t>Projection Period</t>
        </is>
      </c>
      <c r="C8" s="6" t="inlineStr">
        <is>
          <t>5 Years</t>
        </is>
      </c>
      <c r="D8" s="4" t="n"/>
    </row>
    <row r="9">
      <c r="A9" s="4" t="n"/>
      <c r="B9" s="5" t="inlineStr">
        <is>
          <t>Date Prepared</t>
        </is>
      </c>
      <c r="C9" s="6" t="inlineStr">
        <is>
          <t>April 2026</t>
        </is>
      </c>
      <c r="D9" s="4" t="n"/>
    </row>
    <row r="10">
      <c r="A10" s="4" t="n"/>
      <c r="B10" s="4" t="n"/>
      <c r="C10" s="4" t="n"/>
      <c r="D10" s="4" t="n"/>
    </row>
    <row r="11">
      <c r="A11" s="4" t="n"/>
      <c r="B11" s="4" t="n"/>
      <c r="C11" s="4" t="n"/>
      <c r="D11" s="4" t="n"/>
    </row>
    <row r="12">
      <c r="A12" s="4" t="n"/>
      <c r="B12" s="7" t="inlineStr">
        <is>
          <t>Sheet Navigation</t>
        </is>
      </c>
      <c r="C12" s="8" t="n"/>
      <c r="D12" s="8" t="n"/>
    </row>
    <row r="13">
      <c r="A13" s="4" t="n"/>
      <c r="B13" s="5" t="inlineStr">
        <is>
          <t>Assumptions</t>
        </is>
      </c>
      <c r="C13" s="6" t="inlineStr">
        <is>
          <t>All model inputs and drivers</t>
        </is>
      </c>
      <c r="D13" s="4" t="n"/>
    </row>
    <row r="14">
      <c r="A14" s="4" t="n"/>
      <c r="B14" s="5" t="inlineStr">
        <is>
          <t>Volumes_Margins</t>
        </is>
      </c>
      <c r="C14" s="6" t="inlineStr">
        <is>
          <t>Traded volumes, pricing, gross profit</t>
        </is>
      </c>
      <c r="D14" s="4" t="n"/>
    </row>
    <row r="15">
      <c r="A15" s="4" t="n"/>
      <c r="B15" s="5" t="inlineStr">
        <is>
          <t>Opex_Staffing</t>
        </is>
      </c>
      <c r="C15" s="6" t="inlineStr">
        <is>
          <t>Operating expenses and bonus pool</t>
        </is>
      </c>
      <c r="D15" s="4" t="n"/>
    </row>
    <row r="16">
      <c r="A16" s="4" t="n"/>
      <c r="B16" s="5" t="inlineStr">
        <is>
          <t>Working_Capital</t>
        </is>
      </c>
      <c r="C16" s="6" t="inlineStr">
        <is>
          <t>AR, Inventory (RMI split), AP, LCs, VaR</t>
        </is>
      </c>
      <c r="D16" s="4" t="n"/>
    </row>
    <row r="17">
      <c r="A17" s="4" t="n"/>
      <c r="B17" s="5" t="inlineStr">
        <is>
          <t>Capex_Depreciation</t>
        </is>
      </c>
      <c r="C17" s="6" t="inlineStr">
        <is>
          <t>Fixed assets and depreciation</t>
        </is>
      </c>
      <c r="D17" s="4" t="n"/>
    </row>
    <row r="18">
      <c r="A18" s="4" t="n"/>
      <c r="B18" s="5" t="inlineStr">
        <is>
          <t>Debt_Schedule</t>
        </is>
      </c>
      <c r="C18" s="6" t="inlineStr">
        <is>
          <t>Corporate term loan amortisation</t>
        </is>
      </c>
      <c r="D18" s="4" t="n"/>
    </row>
    <row r="19">
      <c r="A19" s="4" t="n"/>
      <c r="B19" s="5" t="inlineStr">
        <is>
          <t>Borrowing_Base</t>
        </is>
      </c>
      <c r="C19" s="6" t="inlineStr">
        <is>
          <t>Trade finance facility cash waterfall</t>
        </is>
      </c>
      <c r="D19" s="4" t="n"/>
    </row>
    <row r="20">
      <c r="A20" s="4" t="n"/>
      <c r="B20" s="5" t="inlineStr">
        <is>
          <t>Income_Statement</t>
        </is>
      </c>
      <c r="C20" s="6" t="inlineStr">
        <is>
          <t>Revenue to Net Income</t>
        </is>
      </c>
      <c r="D20" s="4" t="n"/>
    </row>
    <row r="21">
      <c r="A21" s="4" t="n"/>
      <c r="B21" s="5" t="inlineStr">
        <is>
          <t>Balance_Sheet</t>
        </is>
      </c>
      <c r="C21" s="6" t="inlineStr">
        <is>
          <t>Day 0 + 5 years</t>
        </is>
      </c>
      <c r="D21" s="4" t="n"/>
    </row>
    <row r="22">
      <c r="A22" s="4" t="n"/>
      <c r="B22" s="5" t="inlineStr">
        <is>
          <t>Cash_Flow</t>
        </is>
      </c>
      <c r="C22" s="6" t="inlineStr">
        <is>
          <t>Operating, Investing, Financing</t>
        </is>
      </c>
      <c r="D22" s="4" t="n"/>
    </row>
    <row r="23">
      <c r="A23" s="4" t="n"/>
      <c r="B23" s="5" t="inlineStr">
        <is>
          <t>Ratios_Covenants</t>
        </is>
      </c>
      <c r="C23" s="6" t="inlineStr">
        <is>
          <t>Key ratios and covenant tests</t>
        </is>
      </c>
      <c r="D23" s="4" t="n"/>
    </row>
    <row r="24">
      <c r="A24" s="4" t="n"/>
      <c r="B24" s="5" t="inlineStr">
        <is>
          <t>Checks</t>
        </is>
      </c>
      <c r="C24" s="6" t="inlineStr">
        <is>
          <t>Validation checks</t>
        </is>
      </c>
      <c r="D24" s="4" t="n"/>
    </row>
    <row r="25">
      <c r="A25" s="4" t="n"/>
      <c r="B25" s="4" t="n"/>
      <c r="C25" s="4" t="n"/>
      <c r="D25" s="4" t="n"/>
    </row>
    <row r="26">
      <c r="A26" s="4" t="n"/>
      <c r="B26" s="7" t="inlineStr">
        <is>
          <t>Tab Colour Legend</t>
        </is>
      </c>
      <c r="C26" s="8" t="n"/>
      <c r="D26" s="8" t="n"/>
    </row>
    <row r="27">
      <c r="A27" s="4" t="n"/>
      <c r="B27" s="5" t="inlineStr">
        <is>
          <t>Dark Blue</t>
        </is>
      </c>
      <c r="C27" s="6" t="inlineStr">
        <is>
          <t>Cover</t>
        </is>
      </c>
      <c r="D27" s="9" t="n"/>
    </row>
    <row r="28">
      <c r="A28" s="4" t="n"/>
      <c r="B28" s="5" t="inlineStr">
        <is>
          <t>Light Blue</t>
        </is>
      </c>
      <c r="C28" s="6" t="inlineStr">
        <is>
          <t>Assumptions / Inputs</t>
        </is>
      </c>
      <c r="D28" s="10" t="n"/>
    </row>
    <row r="29">
      <c r="A29" s="4" t="n"/>
      <c r="B29" s="5" t="inlineStr">
        <is>
          <t>Green</t>
        </is>
      </c>
      <c r="C29" s="6" t="inlineStr">
        <is>
          <t>Revenue and Volume Drivers</t>
        </is>
      </c>
      <c r="D29" s="11" t="n"/>
    </row>
    <row r="30">
      <c r="A30" s="4" t="n"/>
      <c r="B30" s="5" t="inlineStr">
        <is>
          <t>Orange</t>
        </is>
      </c>
      <c r="C30" s="6" t="inlineStr">
        <is>
          <t>Cost, Capex and Debt Schedules</t>
        </is>
      </c>
      <c r="D30" s="12" t="n"/>
    </row>
    <row r="31">
      <c r="A31" s="4" t="n"/>
      <c r="B31" s="5" t="inlineStr">
        <is>
          <t>Grey</t>
        </is>
      </c>
      <c r="C31" s="6" t="inlineStr">
        <is>
          <t>Financial Statements</t>
        </is>
      </c>
      <c r="D31" s="13" t="n"/>
    </row>
    <row r="32">
      <c r="A32" s="4" t="n"/>
      <c r="B32" s="5" t="inlineStr">
        <is>
          <t>Red</t>
        </is>
      </c>
      <c r="C32" s="6" t="inlineStr">
        <is>
          <t>Checks</t>
        </is>
      </c>
      <c r="D32" s="14" t="n"/>
    </row>
    <row r="35" ht="20" customHeight="1">
      <c r="B35" s="15" t="inlineStr">
        <is>
          <t>About this model</t>
        </is>
      </c>
      <c r="C35" s="16" t="n"/>
      <c r="D35" s="16" t="n"/>
      <c r="E35" s="16" t="n"/>
      <c r="F35" s="16" t="n"/>
      <c r="G35" s="16" t="n"/>
    </row>
    <row r="36" ht="259" customHeight="1">
      <c r="B36" s="17" t="inlineStr">
        <is>
          <t>This commodities trading model forecasts a physical trading house's revenue, working capital needs, and leverage for three commodity segments (energy, metals, agriculture) operating with thin margins per tonne. Revenue scales from trading volumes (tonnes) multiplied by spot prices and stable gross margin per tonne â not margin percentage â because commodity prices fluctuate widely while margin per tonne is the stable metric traders track. The model projects 50 million tonnes annually across three segments, with $14/tonne energy margin, $12/tonne metals margin, and $10/tonne agriculture margin, yielding ~2% gross margin percentage (stable across scenarios).
The model includes a demand-driven borrowing base facility where trade finance is drawn only as needed to fund working capital (receivables plus inventory minus payables). Opening balances and complete Day 0 balance sheet reconciliation are critical to prevent multi-billion-dollar imbalances. Capex and PP&amp;E tracking includes existing assets ($1,200M gross with $400M accumulated depreciation) and new growth capex, with explicit opening gross PP&amp;E and accumulated depreciation assumptions replacing magic-number scalars. The model separates RMI (ready-to-melt inventory) as a percentage of total inventory, using RMI only in eligible borrowing base and adjusted net debt calculations.
This model serves trading houses and their lenders (syndicated warehouse providers) managing borrowing base facilities and covenant compliance. Institutional investors evaluating acquisition or growth capital opportunities use it to model working capital dynamics, leverage profiles, and scenario sensitivity to commodity price volatility and credit cycles.</t>
        </is>
      </c>
    </row>
    <row r="38" ht="20" customHeight="1">
      <c r="B38" s="15" t="inlineStr">
        <is>
          <t>About Finamodel</t>
        </is>
      </c>
      <c r="C38" s="16" t="n"/>
      <c r="D38" s="16" t="n"/>
      <c r="E38" s="16" t="n"/>
      <c r="F38" s="16" t="n"/>
      <c r="G38" s="16" t="n"/>
    </row>
    <row r="39" ht="57.4" customHeight="1">
      <c r="B39" s="17" t="inlineStr">
        <is>
          <t>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is>
      </c>
    </row>
    <row r="40">
      <c r="B40" s="18" t="inlineStr">
        <is>
          <t>Thanks for downloading my templates! Feel free to check out other free templates on my site.</t>
        </is>
      </c>
    </row>
    <row r="41">
      <c r="B41" s="19" t="inlineStr">
        <is>
          <t>— Alex Tapio, Founder of Finamodel.com</t>
        </is>
      </c>
    </row>
  </sheetData>
  <mergeCells count="3">
    <mergeCell ref="B36:G36"/>
    <mergeCell ref="B40:G40"/>
    <mergeCell ref="B39:G39"/>
  </mergeCells>
  <hyperlinks>
    <hyperlink xmlns:r="http://schemas.openxmlformats.org/officeDocument/2006/relationships" ref="D2" r:id="rId1"/>
  </hyperlinks>
  <pageMargins left="0.75" right="0.75" top="1" bottom="1" header="0.5" footer="0.5"/>
</worksheet>
</file>

<file path=xl/worksheets/sheet10.xml><?xml version="1.0" encoding="utf-8"?>
<worksheet xmlns="http://schemas.openxmlformats.org/spreadsheetml/2006/main">
  <sheetPr>
    <tabColor rgb="00A5A5A5"/>
    <outlinePr summaryBelow="1" summaryRight="1"/>
    <pageSetUpPr/>
  </sheetPr>
  <dimension ref="A1:AD40"/>
  <sheetViews>
    <sheetView showGridLines="0" workbookViewId="0">
      <selection activeCell="A1" sqref="A1"/>
    </sheetView>
  </sheetViews>
  <sheetFormatPr baseColWidth="8" defaultRowHeight="15"/>
  <cols>
    <col width="3" customWidth="1" min="1" max="1"/>
    <col width="35" customWidth="1" min="2" max="2"/>
    <col width="18" customWidth="1" min="3" max="3"/>
    <col width="18" customWidth="1" min="4" max="4"/>
    <col width="18" customWidth="1" min="5" max="5"/>
    <col width="18" customWidth="1" min="6" max="6"/>
    <col width="18" customWidth="1" min="7" max="7"/>
    <col width="18" customWidth="1" min="8" max="8"/>
  </cols>
  <sheetData>
    <row r="1">
      <c r="A1" s="1" t="n"/>
      <c r="B1" s="1" t="n"/>
      <c r="C1" s="1" t="n"/>
      <c r="D1" s="1" t="n"/>
      <c r="E1" s="1" t="n"/>
      <c r="F1" s="1" t="n"/>
      <c r="G1" s="1" t="n"/>
      <c r="H1" s="1" t="n"/>
      <c r="I1" s="2" t="n"/>
      <c r="J1" s="2" t="n"/>
      <c r="K1" s="2" t="n"/>
      <c r="L1" s="2" t="n"/>
      <c r="M1" s="2" t="n"/>
      <c r="N1" s="2" t="n"/>
      <c r="O1" s="2" t="n"/>
      <c r="P1" s="2" t="n"/>
      <c r="Q1" s="2" t="n"/>
      <c r="R1" s="2" t="n"/>
      <c r="S1" s="2" t="n"/>
      <c r="T1" s="2" t="n"/>
      <c r="U1" s="2" t="n"/>
      <c r="V1" s="2" t="n"/>
      <c r="W1" s="2" t="n"/>
      <c r="X1" s="2" t="n"/>
      <c r="Y1" s="2" t="n"/>
      <c r="Z1" s="2" t="n"/>
      <c r="AA1" s="2" t="n"/>
      <c r="AB1" s="2" t="n"/>
      <c r="AC1" s="2" t="n"/>
      <c r="AD1" s="2" t="n"/>
    </row>
    <row r="2" ht="21.75" customHeight="1">
      <c r="A2" s="1" t="n"/>
      <c r="B2" s="1" t="n"/>
      <c r="C2" s="1" t="n"/>
      <c r="D2" s="1" t="n"/>
      <c r="E2" s="1" t="n"/>
      <c r="F2" s="1" t="n"/>
      <c r="G2" s="1" t="n"/>
      <c r="H2" s="1" t="n"/>
      <c r="I2" s="2" t="n"/>
      <c r="J2" s="2" t="n"/>
      <c r="K2" s="2" t="n"/>
      <c r="L2" s="2" t="n"/>
      <c r="M2" s="2" t="n"/>
      <c r="N2" s="2" t="n"/>
      <c r="O2" s="2" t="n"/>
      <c r="P2" s="2" t="n"/>
      <c r="Q2" s="2" t="n"/>
      <c r="R2" s="2" t="n"/>
      <c r="S2" s="2" t="n"/>
      <c r="T2" s="2" t="n"/>
      <c r="U2" s="2" t="n"/>
      <c r="V2" s="2" t="n"/>
      <c r="W2" s="2" t="n"/>
      <c r="X2" s="2" t="n"/>
      <c r="Y2" s="2" t="n"/>
      <c r="Z2" s="2" t="n"/>
      <c r="AA2" s="2" t="n"/>
      <c r="AB2" s="2" t="n"/>
      <c r="AC2" s="2" t="n"/>
      <c r="AD2" s="2" t="n"/>
    </row>
    <row r="3">
      <c r="A3" s="1" t="n"/>
      <c r="B3" s="1" t="n"/>
      <c r="C3" s="1" t="n"/>
      <c r="D3" s="1" t="n"/>
      <c r="E3" s="1" t="n"/>
      <c r="F3" s="1" t="n"/>
      <c r="G3" s="1" t="n"/>
      <c r="H3" s="1" t="n"/>
      <c r="I3" s="2" t="n"/>
      <c r="J3" s="2" t="n"/>
      <c r="K3" s="2" t="n"/>
      <c r="L3" s="2" t="n"/>
      <c r="M3" s="2" t="n"/>
      <c r="N3" s="2" t="n"/>
      <c r="O3" s="2" t="n"/>
      <c r="P3" s="2" t="n"/>
      <c r="Q3" s="2" t="n"/>
      <c r="R3" s="2" t="n"/>
      <c r="S3" s="2" t="n"/>
      <c r="T3" s="2" t="n"/>
      <c r="U3" s="2" t="n"/>
      <c r="V3" s="2" t="n"/>
      <c r="W3" s="2" t="n"/>
      <c r="X3" s="2" t="n"/>
      <c r="Y3" s="2" t="n"/>
      <c r="Z3" s="2" t="n"/>
      <c r="AA3" s="2" t="n"/>
      <c r="AB3" s="2" t="n"/>
      <c r="AC3" s="2" t="n"/>
      <c r="AD3" s="2" t="n"/>
    </row>
    <row r="4">
      <c r="A4" s="4" t="n"/>
      <c r="B4" s="4" t="n"/>
      <c r="C4" s="4" t="n"/>
      <c r="D4" s="4" t="n"/>
      <c r="E4" s="4" t="n"/>
      <c r="F4" s="4" t="n"/>
      <c r="G4" s="4" t="n"/>
      <c r="H4" s="4" t="n"/>
    </row>
    <row r="5">
      <c r="A5" s="4" t="n"/>
      <c r="B5" s="4" t="n"/>
      <c r="C5" s="4" t="n"/>
      <c r="D5" s="4" t="n"/>
      <c r="E5" s="4" t="n"/>
      <c r="F5" s="4" t="n"/>
      <c r="G5" s="4" t="n"/>
      <c r="H5" s="4" t="n"/>
    </row>
    <row r="6">
      <c r="A6" s="4" t="n"/>
      <c r="B6" s="24" t="n"/>
      <c r="C6" s="20" t="inlineStr">
        <is>
          <t>Day 0</t>
        </is>
      </c>
      <c r="D6" s="25">
        <f>Model_Start_Year+0</f>
        <v/>
      </c>
      <c r="E6" s="25">
        <f>Model_Start_Year+1</f>
        <v/>
      </c>
      <c r="F6" s="25">
        <f>Model_Start_Year+2</f>
        <v/>
      </c>
      <c r="G6" s="25">
        <f>Model_Start_Year+3</f>
        <v/>
      </c>
      <c r="H6" s="25">
        <f>Model_Start_Year+4</f>
        <v/>
      </c>
    </row>
    <row r="7">
      <c r="A7" s="4" t="n"/>
      <c r="B7" s="4" t="n"/>
      <c r="C7" s="4" t="n"/>
      <c r="D7" s="4" t="n"/>
      <c r="E7" s="4" t="n"/>
      <c r="F7" s="4" t="n"/>
      <c r="G7" s="4" t="n"/>
      <c r="H7" s="4" t="n"/>
    </row>
    <row r="8">
      <c r="A8" s="4" t="n"/>
      <c r="B8" s="4" t="n"/>
      <c r="C8" s="4" t="n"/>
      <c r="D8" s="4" t="n"/>
      <c r="E8" s="4" t="n"/>
      <c r="F8" s="4" t="n"/>
      <c r="G8" s="4" t="n"/>
      <c r="H8" s="4" t="n"/>
    </row>
    <row r="9">
      <c r="A9" s="4" t="n"/>
      <c r="B9" s="7" t="inlineStr">
        <is>
          <t>Current Assets</t>
        </is>
      </c>
      <c r="C9" s="7" t="n"/>
      <c r="D9" s="7" t="n"/>
      <c r="E9" s="7" t="n"/>
      <c r="F9" s="7" t="n"/>
      <c r="G9" s="7" t="n"/>
      <c r="H9" s="7" t="n"/>
    </row>
    <row r="10">
      <c r="A10" s="4" t="n"/>
      <c r="B10" s="28" t="inlineStr">
        <is>
          <t>Cash</t>
        </is>
      </c>
      <c r="C10" s="29">
        <f>Opening_Cash</f>
        <v/>
      </c>
      <c r="D10" s="29">
        <f>INDEX(CF_Closing_Cash,1,1)</f>
        <v/>
      </c>
      <c r="E10" s="29">
        <f>INDEX(CF_Closing_Cash,1,2)</f>
        <v/>
      </c>
      <c r="F10" s="29">
        <f>INDEX(CF_Closing_Cash,1,3)</f>
        <v/>
      </c>
      <c r="G10" s="29">
        <f>INDEX(CF_Closing_Cash,1,4)</f>
        <v/>
      </c>
      <c r="H10" s="29">
        <f>INDEX(CF_Closing_Cash,1,5)</f>
        <v/>
      </c>
    </row>
    <row r="11">
      <c r="A11" s="4" t="n"/>
      <c r="B11" s="28" t="inlineStr">
        <is>
          <t>Trade Receivables</t>
        </is>
      </c>
      <c r="C11" s="29">
        <f>0</f>
        <v/>
      </c>
      <c r="D11" s="29">
        <f>INDEX(WC_AR,1,1)</f>
        <v/>
      </c>
      <c r="E11" s="29">
        <f>INDEX(WC_AR,1,2)</f>
        <v/>
      </c>
      <c r="F11" s="29">
        <f>INDEX(WC_AR,1,3)</f>
        <v/>
      </c>
      <c r="G11" s="29">
        <f>INDEX(WC_AR,1,4)</f>
        <v/>
      </c>
      <c r="H11" s="29">
        <f>INDEX(WC_AR,1,5)</f>
        <v/>
      </c>
    </row>
    <row r="12">
      <c r="A12" s="4" t="n"/>
      <c r="B12" s="28" t="inlineStr">
        <is>
          <t>Inventory</t>
        </is>
      </c>
      <c r="C12" s="29">
        <f>0</f>
        <v/>
      </c>
      <c r="D12" s="29">
        <f>INDEX(WC_Inventory,1,1)</f>
        <v/>
      </c>
      <c r="E12" s="29">
        <f>INDEX(WC_Inventory,1,2)</f>
        <v/>
      </c>
      <c r="F12" s="29">
        <f>INDEX(WC_Inventory,1,3)</f>
        <v/>
      </c>
      <c r="G12" s="29">
        <f>INDEX(WC_Inventory,1,4)</f>
        <v/>
      </c>
      <c r="H12" s="29">
        <f>INDEX(WC_Inventory,1,5)</f>
        <v/>
      </c>
    </row>
    <row r="13">
      <c r="A13" s="4" t="n"/>
      <c r="B13" s="5" t="inlineStr">
        <is>
          <t>Total Current Assets</t>
        </is>
      </c>
      <c r="C13" s="35">
        <f>SUM(C10:C12)</f>
        <v/>
      </c>
      <c r="D13" s="35">
        <f>SUM(D10:D12)</f>
        <v/>
      </c>
      <c r="E13" s="35">
        <f>SUM(E10:E12)</f>
        <v/>
      </c>
      <c r="F13" s="35">
        <f>SUM(F10:F12)</f>
        <v/>
      </c>
      <c r="G13" s="35">
        <f>SUM(G10:G12)</f>
        <v/>
      </c>
      <c r="H13" s="35">
        <f>SUM(H10:H12)</f>
        <v/>
      </c>
    </row>
    <row r="14">
      <c r="A14" s="4" t="n"/>
      <c r="B14" s="4" t="n"/>
      <c r="C14" s="4" t="n"/>
      <c r="D14" s="4" t="n"/>
      <c r="E14" s="4" t="n"/>
      <c r="F14" s="4" t="n"/>
      <c r="G14" s="4" t="n"/>
      <c r="H14" s="4" t="n"/>
    </row>
    <row r="15">
      <c r="A15" s="4" t="n"/>
      <c r="B15" s="7" t="inlineStr">
        <is>
          <t>Non-Current Assets</t>
        </is>
      </c>
      <c r="C15" s="7" t="n"/>
      <c r="D15" s="7" t="n"/>
      <c r="E15" s="7" t="n"/>
      <c r="F15" s="7" t="n"/>
      <c r="G15" s="7" t="n"/>
      <c r="H15" s="7" t="n"/>
    </row>
    <row r="16">
      <c r="A16" s="4" t="n"/>
      <c r="B16" s="28" t="inlineStr">
        <is>
          <t>Net PP&amp;E</t>
        </is>
      </c>
      <c r="C16" s="29">
        <f>Opening_Net_PPE</f>
        <v/>
      </c>
      <c r="D16" s="29">
        <f>INDEX(CD_Net_PPE,1,1)</f>
        <v/>
      </c>
      <c r="E16" s="29">
        <f>INDEX(CD_Net_PPE,1,2)</f>
        <v/>
      </c>
      <c r="F16" s="29">
        <f>INDEX(CD_Net_PPE,1,3)</f>
        <v/>
      </c>
      <c r="G16" s="29">
        <f>INDEX(CD_Net_PPE,1,4)</f>
        <v/>
      </c>
      <c r="H16" s="29">
        <f>INDEX(CD_Net_PPE,1,5)</f>
        <v/>
      </c>
    </row>
    <row r="17">
      <c r="A17" s="4" t="n"/>
      <c r="B17" s="5" t="inlineStr">
        <is>
          <t>Total Non-Current Assets</t>
        </is>
      </c>
      <c r="C17" s="35">
        <f>C16</f>
        <v/>
      </c>
      <c r="D17" s="35">
        <f>D16</f>
        <v/>
      </c>
      <c r="E17" s="35">
        <f>E16</f>
        <v/>
      </c>
      <c r="F17" s="35">
        <f>F16</f>
        <v/>
      </c>
      <c r="G17" s="35">
        <f>G16</f>
        <v/>
      </c>
      <c r="H17" s="35">
        <f>H16</f>
        <v/>
      </c>
    </row>
    <row r="18">
      <c r="A18" s="4" t="n"/>
      <c r="B18" s="4" t="n"/>
      <c r="C18" s="4" t="n"/>
      <c r="D18" s="4" t="n"/>
      <c r="E18" s="4" t="n"/>
      <c r="F18" s="4" t="n"/>
      <c r="G18" s="4" t="n"/>
      <c r="H18" s="4" t="n"/>
    </row>
    <row r="19">
      <c r="A19" s="4" t="n"/>
      <c r="B19" s="5" t="inlineStr">
        <is>
          <t>TOTAL ASSETS</t>
        </is>
      </c>
      <c r="C19" s="30">
        <f>C13+C17</f>
        <v/>
      </c>
      <c r="D19" s="30">
        <f>D13+D17</f>
        <v/>
      </c>
      <c r="E19" s="30">
        <f>E13+E17</f>
        <v/>
      </c>
      <c r="F19" s="30">
        <f>F13+F17</f>
        <v/>
      </c>
      <c r="G19" s="30">
        <f>G13+G17</f>
        <v/>
      </c>
      <c r="H19" s="30">
        <f>H13+H17</f>
        <v/>
      </c>
    </row>
    <row r="20">
      <c r="A20" s="4" t="n"/>
      <c r="B20" s="4" t="n"/>
      <c r="C20" s="4" t="n"/>
      <c r="D20" s="4" t="n"/>
      <c r="E20" s="4" t="n"/>
      <c r="F20" s="4" t="n"/>
      <c r="G20" s="4" t="n"/>
      <c r="H20" s="4" t="n"/>
    </row>
    <row r="21">
      <c r="A21" s="4" t="n"/>
      <c r="B21" s="4" t="n"/>
      <c r="C21" s="4" t="n"/>
      <c r="D21" s="4" t="n"/>
      <c r="E21" s="4" t="n"/>
      <c r="F21" s="4" t="n"/>
      <c r="G21" s="4" t="n"/>
      <c r="H21" s="4" t="n"/>
    </row>
    <row r="22">
      <c r="A22" s="4" t="n"/>
      <c r="B22" s="7" t="inlineStr">
        <is>
          <t>Current Liabilities</t>
        </is>
      </c>
      <c r="C22" s="7" t="n"/>
      <c r="D22" s="7" t="n"/>
      <c r="E22" s="7" t="n"/>
      <c r="F22" s="7" t="n"/>
      <c r="G22" s="7" t="n"/>
      <c r="H22" s="7" t="n"/>
    </row>
    <row r="23">
      <c r="A23" s="4" t="n"/>
      <c r="B23" s="28" t="inlineStr">
        <is>
          <t>Trade Payables</t>
        </is>
      </c>
      <c r="C23" s="29">
        <f>0</f>
        <v/>
      </c>
      <c r="D23" s="29">
        <f>INDEX(WC_AP,1,1)</f>
        <v/>
      </c>
      <c r="E23" s="29">
        <f>INDEX(WC_AP,1,2)</f>
        <v/>
      </c>
      <c r="F23" s="29">
        <f>INDEX(WC_AP,1,3)</f>
        <v/>
      </c>
      <c r="G23" s="29">
        <f>INDEX(WC_AP,1,4)</f>
        <v/>
      </c>
      <c r="H23" s="29">
        <f>INDEX(WC_AP,1,5)</f>
        <v/>
      </c>
    </row>
    <row r="24">
      <c r="A24" s="4" t="n"/>
      <c r="B24" s="28" t="inlineStr">
        <is>
          <t>Trade Finance Facility</t>
        </is>
      </c>
      <c r="C24" s="29">
        <f>0</f>
        <v/>
      </c>
      <c r="D24" s="29">
        <f>INDEX(BB_Closing_TF,1,1)</f>
        <v/>
      </c>
      <c r="E24" s="29">
        <f>INDEX(BB_Closing_TF,1,2)</f>
        <v/>
      </c>
      <c r="F24" s="29">
        <f>INDEX(BB_Closing_TF,1,3)</f>
        <v/>
      </c>
      <c r="G24" s="29">
        <f>INDEX(BB_Closing_TF,1,4)</f>
        <v/>
      </c>
      <c r="H24" s="29">
        <f>INDEX(BB_Closing_TF,1,5)</f>
        <v/>
      </c>
    </row>
    <row r="25">
      <c r="A25" s="4" t="n"/>
      <c r="B25" s="5" t="inlineStr">
        <is>
          <t>Total Current Liabilities</t>
        </is>
      </c>
      <c r="C25" s="35">
        <f>SUM(C23:C24)</f>
        <v/>
      </c>
      <c r="D25" s="35">
        <f>SUM(D23:D24)</f>
        <v/>
      </c>
      <c r="E25" s="35">
        <f>SUM(E23:E24)</f>
        <v/>
      </c>
      <c r="F25" s="35">
        <f>SUM(F23:F24)</f>
        <v/>
      </c>
      <c r="G25" s="35">
        <f>SUM(G23:G24)</f>
        <v/>
      </c>
      <c r="H25" s="35">
        <f>SUM(H23:H24)</f>
        <v/>
      </c>
    </row>
    <row r="26">
      <c r="A26" s="4" t="n"/>
      <c r="B26" s="4" t="n"/>
      <c r="C26" s="4" t="n"/>
      <c r="D26" s="4" t="n"/>
      <c r="E26" s="4" t="n"/>
      <c r="F26" s="4" t="n"/>
      <c r="G26" s="4" t="n"/>
      <c r="H26" s="4" t="n"/>
    </row>
    <row r="27">
      <c r="A27" s="4" t="n"/>
      <c r="B27" s="7" t="inlineStr">
        <is>
          <t>Non-Current Liabilities</t>
        </is>
      </c>
      <c r="C27" s="7" t="n"/>
      <c r="D27" s="7" t="n"/>
      <c r="E27" s="7" t="n"/>
      <c r="F27" s="7" t="n"/>
      <c r="G27" s="7" t="n"/>
      <c r="H27" s="7" t="n"/>
    </row>
    <row r="28">
      <c r="A28" s="4" t="n"/>
      <c r="B28" s="28" t="inlineStr">
        <is>
          <t>Corporate Term Loan</t>
        </is>
      </c>
      <c r="C28" s="29">
        <f>Opening_Corp_Debt</f>
        <v/>
      </c>
      <c r="D28" s="29">
        <f>INDEX(DS_Closing,1,1)</f>
        <v/>
      </c>
      <c r="E28" s="29">
        <f>INDEX(DS_Closing,1,2)</f>
        <v/>
      </c>
      <c r="F28" s="29">
        <f>INDEX(DS_Closing,1,3)</f>
        <v/>
      </c>
      <c r="G28" s="29">
        <f>INDEX(DS_Closing,1,4)</f>
        <v/>
      </c>
      <c r="H28" s="29">
        <f>INDEX(DS_Closing,1,5)</f>
        <v/>
      </c>
    </row>
    <row r="29">
      <c r="A29" s="4" t="n"/>
      <c r="B29" s="5" t="inlineStr">
        <is>
          <t>Total Non-Current Liabilities</t>
        </is>
      </c>
      <c r="C29" s="35">
        <f>C28</f>
        <v/>
      </c>
      <c r="D29" s="35">
        <f>D28</f>
        <v/>
      </c>
      <c r="E29" s="35">
        <f>E28</f>
        <v/>
      </c>
      <c r="F29" s="35">
        <f>F28</f>
        <v/>
      </c>
      <c r="G29" s="35">
        <f>G28</f>
        <v/>
      </c>
      <c r="H29" s="35">
        <f>H28</f>
        <v/>
      </c>
    </row>
    <row r="30">
      <c r="A30" s="4" t="n"/>
      <c r="B30" s="4" t="n"/>
      <c r="C30" s="4" t="n"/>
      <c r="D30" s="4" t="n"/>
      <c r="E30" s="4" t="n"/>
      <c r="F30" s="4" t="n"/>
      <c r="G30" s="4" t="n"/>
      <c r="H30" s="4" t="n"/>
    </row>
    <row r="31">
      <c r="A31" s="4" t="n"/>
      <c r="B31" s="5" t="inlineStr">
        <is>
          <t>TOTAL LIABILITIES</t>
        </is>
      </c>
      <c r="C31" s="30">
        <f>C25+C29</f>
        <v/>
      </c>
      <c r="D31" s="30">
        <f>D25+D29</f>
        <v/>
      </c>
      <c r="E31" s="30">
        <f>E25+E29</f>
        <v/>
      </c>
      <c r="F31" s="30">
        <f>F25+F29</f>
        <v/>
      </c>
      <c r="G31" s="30">
        <f>G25+G29</f>
        <v/>
      </c>
      <c r="H31" s="30">
        <f>H25+H29</f>
        <v/>
      </c>
    </row>
    <row r="32">
      <c r="A32" s="4" t="n"/>
      <c r="B32" s="4" t="n"/>
      <c r="C32" s="4" t="n"/>
      <c r="D32" s="4" t="n"/>
      <c r="E32" s="4" t="n"/>
      <c r="F32" s="4" t="n"/>
      <c r="G32" s="4" t="n"/>
      <c r="H32" s="4" t="n"/>
    </row>
    <row r="33">
      <c r="A33" s="4" t="n"/>
      <c r="B33" s="7" t="inlineStr">
        <is>
          <t>Equity</t>
        </is>
      </c>
      <c r="C33" s="7" t="n"/>
      <c r="D33" s="7" t="n"/>
      <c r="E33" s="7" t="n"/>
      <c r="F33" s="7" t="n"/>
      <c r="G33" s="7" t="n"/>
      <c r="H33" s="7" t="n"/>
    </row>
    <row r="34">
      <c r="A34" s="4" t="n"/>
      <c r="B34" s="28" t="inlineStr">
        <is>
          <t>Share Capital (derived)</t>
        </is>
      </c>
      <c r="C34" s="29">
        <f>C19-C31-C35</f>
        <v/>
      </c>
      <c r="D34" s="29">
        <f>C34</f>
        <v/>
      </c>
      <c r="E34" s="29">
        <f>C34</f>
        <v/>
      </c>
      <c r="F34" s="29">
        <f>C34</f>
        <v/>
      </c>
      <c r="G34" s="29">
        <f>C34</f>
        <v/>
      </c>
      <c r="H34" s="29">
        <f>C34</f>
        <v/>
      </c>
    </row>
    <row r="35">
      <c r="A35" s="4" t="n"/>
      <c r="B35" s="28" t="inlineStr">
        <is>
          <t>Retained Earnings</t>
        </is>
      </c>
      <c r="C35" s="29">
        <f>Opening_RE</f>
        <v/>
      </c>
      <c r="D35" s="29">
        <f>C35+INDEX(IS_Net_Income,1,1)-INDEX(IS_Dividends,1,1)</f>
        <v/>
      </c>
      <c r="E35" s="29">
        <f>D35+INDEX(IS_Net_Income,1,2)-INDEX(IS_Dividends,1,2)</f>
        <v/>
      </c>
      <c r="F35" s="29">
        <f>E35+INDEX(IS_Net_Income,1,3)-INDEX(IS_Dividends,1,3)</f>
        <v/>
      </c>
      <c r="G35" s="29">
        <f>F35+INDEX(IS_Net_Income,1,4)-INDEX(IS_Dividends,1,4)</f>
        <v/>
      </c>
      <c r="H35" s="29">
        <f>G35+INDEX(IS_Net_Income,1,5)-INDEX(IS_Dividends,1,5)</f>
        <v/>
      </c>
    </row>
    <row r="36">
      <c r="A36" s="4" t="n"/>
      <c r="B36" s="5" t="inlineStr">
        <is>
          <t>Total Equity</t>
        </is>
      </c>
      <c r="C36" s="35">
        <f>C34+C35</f>
        <v/>
      </c>
      <c r="D36" s="35">
        <f>D34+D35</f>
        <v/>
      </c>
      <c r="E36" s="35">
        <f>E34+E35</f>
        <v/>
      </c>
      <c r="F36" s="35">
        <f>F34+F35</f>
        <v/>
      </c>
      <c r="G36" s="35">
        <f>G34+G35</f>
        <v/>
      </c>
      <c r="H36" s="35">
        <f>H34+H35</f>
        <v/>
      </c>
    </row>
    <row r="37">
      <c r="A37" s="4" t="n"/>
      <c r="B37" s="4" t="n"/>
      <c r="C37" s="4" t="n"/>
      <c r="D37" s="4" t="n"/>
      <c r="E37" s="4" t="n"/>
      <c r="F37" s="4" t="n"/>
      <c r="G37" s="4" t="n"/>
      <c r="H37" s="4" t="n"/>
    </row>
    <row r="38">
      <c r="A38" s="4" t="n"/>
      <c r="B38" s="5" t="inlineStr">
        <is>
          <t>TOTAL LIABILITIES &amp; EQUITY</t>
        </is>
      </c>
      <c r="C38" s="30">
        <f>C31+C36</f>
        <v/>
      </c>
      <c r="D38" s="30">
        <f>D31+D36</f>
        <v/>
      </c>
      <c r="E38" s="30">
        <f>E31+E36</f>
        <v/>
      </c>
      <c r="F38" s="30">
        <f>F31+F36</f>
        <v/>
      </c>
      <c r="G38" s="30">
        <f>G31+G36</f>
        <v/>
      </c>
      <c r="H38" s="30">
        <f>H31+H36</f>
        <v/>
      </c>
    </row>
    <row r="39">
      <c r="A39" s="4" t="n"/>
      <c r="B39" s="4" t="n"/>
      <c r="C39" s="4" t="n"/>
      <c r="D39" s="4" t="n"/>
      <c r="E39" s="4" t="n"/>
      <c r="F39" s="4" t="n"/>
      <c r="G39" s="4" t="n"/>
      <c r="H39" s="4" t="n"/>
    </row>
    <row r="40">
      <c r="A40" s="4" t="n"/>
      <c r="B40" s="6" t="inlineStr">
        <is>
          <t>Balance Check (A - L&amp;E)</t>
        </is>
      </c>
      <c r="C40" s="38">
        <f>C19-C38</f>
        <v/>
      </c>
      <c r="D40" s="38">
        <f>D19-D38</f>
        <v/>
      </c>
      <c r="E40" s="38">
        <f>E19-E38</f>
        <v/>
      </c>
      <c r="F40" s="38">
        <f>F19-F38</f>
        <v/>
      </c>
      <c r="G40" s="38">
        <f>G19-G38</f>
        <v/>
      </c>
      <c r="H40" s="38">
        <f>H19-H38</f>
        <v/>
      </c>
    </row>
  </sheetData>
  <pageMargins left="0.75" right="0.75" top="1" bottom="1" header="0.5" footer="0.5"/>
</worksheet>
</file>

<file path=xl/worksheets/sheet11.xml><?xml version="1.0" encoding="utf-8"?>
<worksheet xmlns="http://schemas.openxmlformats.org/spreadsheetml/2006/main">
  <sheetPr>
    <tabColor rgb="00A5A5A5"/>
    <outlinePr summaryBelow="1" summaryRight="1"/>
    <pageSetUpPr/>
  </sheetPr>
  <dimension ref="A1:AD31"/>
  <sheetViews>
    <sheetView showGridLines="0" workbookViewId="0">
      <selection activeCell="A1" sqref="A1"/>
    </sheetView>
  </sheetViews>
  <sheetFormatPr baseColWidth="8" defaultRowHeight="15"/>
  <cols>
    <col width="3" customWidth="1" min="1" max="1"/>
    <col width="35" customWidth="1" min="2" max="2"/>
    <col width="18" customWidth="1" min="3" max="3"/>
    <col width="18" customWidth="1" min="4" max="4"/>
    <col width="18" customWidth="1" min="5" max="5"/>
    <col width="18" customWidth="1" min="6" max="6"/>
    <col width="18" customWidth="1" min="7" max="7"/>
  </cols>
  <sheetData>
    <row r="1">
      <c r="A1" s="1" t="n"/>
      <c r="B1" s="1" t="n"/>
      <c r="C1" s="1" t="n"/>
      <c r="D1" s="1" t="n"/>
      <c r="E1" s="1" t="n"/>
      <c r="F1" s="1" t="n"/>
      <c r="G1" s="1" t="n"/>
      <c r="H1" s="2" t="n"/>
      <c r="I1" s="2" t="n"/>
      <c r="J1" s="2" t="n"/>
      <c r="K1" s="2" t="n"/>
      <c r="L1" s="2" t="n"/>
      <c r="M1" s="2" t="n"/>
      <c r="N1" s="2" t="n"/>
      <c r="O1" s="2" t="n"/>
      <c r="P1" s="2" t="n"/>
      <c r="Q1" s="2" t="n"/>
      <c r="R1" s="2" t="n"/>
      <c r="S1" s="2" t="n"/>
      <c r="T1" s="2" t="n"/>
      <c r="U1" s="2" t="n"/>
      <c r="V1" s="2" t="n"/>
      <c r="W1" s="2" t="n"/>
      <c r="X1" s="2" t="n"/>
      <c r="Y1" s="2" t="n"/>
      <c r="Z1" s="2" t="n"/>
      <c r="AA1" s="2" t="n"/>
      <c r="AB1" s="2" t="n"/>
      <c r="AC1" s="2" t="n"/>
      <c r="AD1" s="2" t="n"/>
    </row>
    <row r="2" ht="21.75" customHeight="1">
      <c r="A2" s="1" t="n"/>
      <c r="B2" s="1" t="n"/>
      <c r="C2" s="1" t="n"/>
      <c r="D2" s="1" t="n"/>
      <c r="E2" s="1" t="n"/>
      <c r="F2" s="1" t="n"/>
      <c r="G2" s="1" t="n"/>
      <c r="H2" s="2" t="n"/>
      <c r="I2" s="2" t="n"/>
      <c r="J2" s="2" t="n"/>
      <c r="K2" s="2" t="n"/>
      <c r="L2" s="2" t="n"/>
      <c r="M2" s="2" t="n"/>
      <c r="N2" s="2" t="n"/>
      <c r="O2" s="2" t="n"/>
      <c r="P2" s="2" t="n"/>
      <c r="Q2" s="2" t="n"/>
      <c r="R2" s="2" t="n"/>
      <c r="S2" s="2" t="n"/>
      <c r="T2" s="2" t="n"/>
      <c r="U2" s="2" t="n"/>
      <c r="V2" s="2" t="n"/>
      <c r="W2" s="2" t="n"/>
      <c r="X2" s="2" t="n"/>
      <c r="Y2" s="2" t="n"/>
      <c r="Z2" s="2" t="n"/>
      <c r="AA2" s="2" t="n"/>
      <c r="AB2" s="2" t="n"/>
      <c r="AC2" s="2" t="n"/>
      <c r="AD2" s="2" t="n"/>
    </row>
    <row r="3">
      <c r="A3" s="1" t="n"/>
      <c r="B3" s="1" t="n"/>
      <c r="C3" s="1" t="n"/>
      <c r="D3" s="1" t="n"/>
      <c r="E3" s="1" t="n"/>
      <c r="F3" s="1" t="n"/>
      <c r="G3" s="1" t="n"/>
      <c r="H3" s="2" t="n"/>
      <c r="I3" s="2" t="n"/>
      <c r="J3" s="2" t="n"/>
      <c r="K3" s="2" t="n"/>
      <c r="L3" s="2" t="n"/>
      <c r="M3" s="2" t="n"/>
      <c r="N3" s="2" t="n"/>
      <c r="O3" s="2" t="n"/>
      <c r="P3" s="2" t="n"/>
      <c r="Q3" s="2" t="n"/>
      <c r="R3" s="2" t="n"/>
      <c r="S3" s="2" t="n"/>
      <c r="T3" s="2" t="n"/>
      <c r="U3" s="2" t="n"/>
      <c r="V3" s="2" t="n"/>
      <c r="W3" s="2" t="n"/>
      <c r="X3" s="2" t="n"/>
      <c r="Y3" s="2" t="n"/>
      <c r="Z3" s="2" t="n"/>
      <c r="AA3" s="2" t="n"/>
      <c r="AB3" s="2" t="n"/>
      <c r="AC3" s="2" t="n"/>
      <c r="AD3" s="2" t="n"/>
    </row>
    <row r="4">
      <c r="A4" s="4" t="n"/>
      <c r="B4" s="4" t="n"/>
      <c r="C4" s="4" t="n"/>
      <c r="D4" s="4" t="n"/>
      <c r="E4" s="4" t="n"/>
      <c r="F4" s="4" t="n"/>
      <c r="G4" s="4" t="n"/>
    </row>
    <row r="5">
      <c r="A5" s="4" t="n"/>
      <c r="B5" s="4" t="n"/>
      <c r="C5" s="4" t="n"/>
      <c r="D5" s="4" t="n"/>
      <c r="E5" s="4" t="n"/>
      <c r="F5" s="4" t="n"/>
      <c r="G5" s="4" t="n"/>
    </row>
    <row r="6">
      <c r="A6" s="4" t="n"/>
      <c r="B6" s="24" t="inlineStr"/>
      <c r="C6" s="25">
        <f>Model_Start_Year+0</f>
        <v/>
      </c>
      <c r="D6" s="25">
        <f>Model_Start_Year+1</f>
        <v/>
      </c>
      <c r="E6" s="25">
        <f>Model_Start_Year+2</f>
        <v/>
      </c>
      <c r="F6" s="25">
        <f>Model_Start_Year+3</f>
        <v/>
      </c>
      <c r="G6" s="25">
        <f>Model_Start_Year+4</f>
        <v/>
      </c>
    </row>
    <row r="7">
      <c r="A7" s="4" t="n"/>
      <c r="B7" s="26" t="inlineStr">
        <is>
          <t>Year #</t>
        </is>
      </c>
      <c r="C7" s="27" t="n">
        <v>1</v>
      </c>
      <c r="D7" s="27" t="n">
        <v>2</v>
      </c>
      <c r="E7" s="27" t="n">
        <v>3</v>
      </c>
      <c r="F7" s="27" t="n">
        <v>4</v>
      </c>
      <c r="G7" s="27" t="n">
        <v>5</v>
      </c>
    </row>
    <row r="8">
      <c r="A8" s="4" t="n"/>
      <c r="B8" s="4" t="n"/>
      <c r="C8" s="4" t="n"/>
      <c r="D8" s="4" t="n"/>
      <c r="E8" s="4" t="n"/>
      <c r="F8" s="4" t="n"/>
      <c r="G8" s="4" t="n"/>
    </row>
    <row r="9">
      <c r="A9" s="4" t="n"/>
      <c r="B9" s="7" t="inlineStr">
        <is>
          <t>Cash from Operations</t>
        </is>
      </c>
      <c r="C9" s="7" t="n"/>
      <c r="D9" s="7" t="n"/>
      <c r="E9" s="7" t="n"/>
      <c r="F9" s="7" t="n"/>
      <c r="G9" s="7" t="n"/>
    </row>
    <row r="10">
      <c r="A10" s="4" t="n"/>
      <c r="B10" s="28" t="inlineStr">
        <is>
          <t>Net Income</t>
        </is>
      </c>
      <c r="C10" s="29">
        <f>IS_Net_Income</f>
        <v/>
      </c>
      <c r="D10" s="29">
        <f>IS_Net_Income</f>
        <v/>
      </c>
      <c r="E10" s="29">
        <f>IS_Net_Income</f>
        <v/>
      </c>
      <c r="F10" s="29">
        <f>IS_Net_Income</f>
        <v/>
      </c>
      <c r="G10" s="29">
        <f>IS_Net_Income</f>
        <v/>
      </c>
    </row>
    <row r="11">
      <c r="A11" s="4" t="n"/>
      <c r="B11" s="28" t="inlineStr">
        <is>
          <t>Depreciation (add-back)</t>
        </is>
      </c>
      <c r="C11" s="29">
        <f>IS_DA</f>
        <v/>
      </c>
      <c r="D11" s="29">
        <f>IS_DA</f>
        <v/>
      </c>
      <c r="E11" s="29">
        <f>IS_DA</f>
        <v/>
      </c>
      <c r="F11" s="29">
        <f>IS_DA</f>
        <v/>
      </c>
      <c r="G11" s="29">
        <f>IS_DA</f>
        <v/>
      </c>
    </row>
    <row r="12">
      <c r="A12" s="4" t="n"/>
      <c r="B12" s="4" t="n"/>
      <c r="C12" s="4" t="n"/>
      <c r="D12" s="4" t="n"/>
      <c r="E12" s="4" t="n"/>
      <c r="F12" s="4" t="n"/>
      <c r="G12" s="4" t="n"/>
    </row>
    <row r="13">
      <c r="A13" s="4" t="n"/>
      <c r="B13" s="28" t="inlineStr">
        <is>
          <t>WC Changes</t>
        </is>
      </c>
      <c r="C13" s="29">
        <f>WC_Total_Change</f>
        <v/>
      </c>
      <c r="D13" s="29">
        <f>WC_Total_Change</f>
        <v/>
      </c>
      <c r="E13" s="29">
        <f>WC_Total_Change</f>
        <v/>
      </c>
      <c r="F13" s="29">
        <f>WC_Total_Change</f>
        <v/>
      </c>
      <c r="G13" s="29">
        <f>WC_Total_Change</f>
        <v/>
      </c>
    </row>
    <row r="14">
      <c r="A14" s="4" t="n"/>
      <c r="B14" s="4" t="n"/>
      <c r="C14" s="4" t="n"/>
      <c r="D14" s="4" t="n"/>
      <c r="E14" s="4" t="n"/>
      <c r="F14" s="4" t="n"/>
      <c r="G14" s="4" t="n"/>
    </row>
    <row r="15">
      <c r="A15" s="4" t="n"/>
      <c r="B15" s="5" t="inlineStr">
        <is>
          <t>Cash from Operations</t>
        </is>
      </c>
      <c r="C15" s="30">
        <f>C10+C11+C13</f>
        <v/>
      </c>
      <c r="D15" s="30">
        <f>D10+D11+D13</f>
        <v/>
      </c>
      <c r="E15" s="30">
        <f>E10+E11+E13</f>
        <v/>
      </c>
      <c r="F15" s="30">
        <f>F10+F11+F13</f>
        <v/>
      </c>
      <c r="G15" s="30">
        <f>G10+G11+G13</f>
        <v/>
      </c>
    </row>
    <row r="16">
      <c r="A16" s="4" t="n"/>
      <c r="B16" s="4" t="n"/>
      <c r="C16" s="4" t="n"/>
      <c r="D16" s="4" t="n"/>
      <c r="E16" s="4" t="n"/>
      <c r="F16" s="4" t="n"/>
      <c r="G16" s="4" t="n"/>
    </row>
    <row r="17">
      <c r="A17" s="4" t="n"/>
      <c r="B17" s="7" t="inlineStr">
        <is>
          <t>Cash from Investing</t>
        </is>
      </c>
      <c r="C17" s="7" t="n"/>
      <c r="D17" s="7" t="n"/>
      <c r="E17" s="7" t="n"/>
      <c r="F17" s="7" t="n"/>
      <c r="G17" s="7" t="n"/>
    </row>
    <row r="18">
      <c r="A18" s="4" t="n"/>
      <c r="B18" s="28" t="inlineStr">
        <is>
          <t>Capital Expenditure</t>
        </is>
      </c>
      <c r="C18" s="29">
        <f>-CD_Total_Capex</f>
        <v/>
      </c>
      <c r="D18" s="29">
        <f>-CD_Total_Capex</f>
        <v/>
      </c>
      <c r="E18" s="29">
        <f>-CD_Total_Capex</f>
        <v/>
      </c>
      <c r="F18" s="29">
        <f>-CD_Total_Capex</f>
        <v/>
      </c>
      <c r="G18" s="29">
        <f>-CD_Total_Capex</f>
        <v/>
      </c>
    </row>
    <row r="19">
      <c r="A19" s="4" t="n"/>
      <c r="B19" s="5" t="inlineStr">
        <is>
          <t>Cash from Investing</t>
        </is>
      </c>
      <c r="C19" s="30">
        <f>C18</f>
        <v/>
      </c>
      <c r="D19" s="30">
        <f>D18</f>
        <v/>
      </c>
      <c r="E19" s="30">
        <f>E18</f>
        <v/>
      </c>
      <c r="F19" s="30">
        <f>F18</f>
        <v/>
      </c>
      <c r="G19" s="30">
        <f>G18</f>
        <v/>
      </c>
    </row>
    <row r="20">
      <c r="A20" s="4" t="n"/>
      <c r="B20" s="4" t="n"/>
      <c r="C20" s="4" t="n"/>
      <c r="D20" s="4" t="n"/>
      <c r="E20" s="4" t="n"/>
      <c r="F20" s="4" t="n"/>
      <c r="G20" s="4" t="n"/>
    </row>
    <row r="21">
      <c r="A21" s="4" t="n"/>
      <c r="B21" s="7" t="inlineStr">
        <is>
          <t>Cash from Financing</t>
        </is>
      </c>
      <c r="C21" s="7" t="n"/>
      <c r="D21" s="7" t="n"/>
      <c r="E21" s="7" t="n"/>
      <c r="F21" s="7" t="n"/>
      <c r="G21" s="7" t="n"/>
    </row>
    <row r="22">
      <c r="A22" s="4" t="n"/>
      <c r="B22" s="28" t="inlineStr">
        <is>
          <t>TF Drawdowns</t>
        </is>
      </c>
      <c r="C22" s="29">
        <f>BB_Drawdown</f>
        <v/>
      </c>
      <c r="D22" s="29">
        <f>BB_Drawdown</f>
        <v/>
      </c>
      <c r="E22" s="29">
        <f>BB_Drawdown</f>
        <v/>
      </c>
      <c r="F22" s="29">
        <f>BB_Drawdown</f>
        <v/>
      </c>
      <c r="G22" s="29">
        <f>BB_Drawdown</f>
        <v/>
      </c>
    </row>
    <row r="23">
      <c r="A23" s="4" t="n"/>
      <c r="B23" s="28" t="inlineStr">
        <is>
          <t>TF Repayments</t>
        </is>
      </c>
      <c r="C23" s="29">
        <f>-BB_Repayment</f>
        <v/>
      </c>
      <c r="D23" s="29">
        <f>-BB_Repayment</f>
        <v/>
      </c>
      <c r="E23" s="29">
        <f>-BB_Repayment</f>
        <v/>
      </c>
      <c r="F23" s="29">
        <f>-BB_Repayment</f>
        <v/>
      </c>
      <c r="G23" s="29">
        <f>-BB_Repayment</f>
        <v/>
      </c>
    </row>
    <row r="24">
      <c r="A24" s="4" t="n"/>
      <c r="B24" s="28" t="inlineStr">
        <is>
          <t>Corp Debt Amortisation</t>
        </is>
      </c>
      <c r="C24" s="29">
        <f>-DS_Amort</f>
        <v/>
      </c>
      <c r="D24" s="29">
        <f>-DS_Amort</f>
        <v/>
      </c>
      <c r="E24" s="29">
        <f>-DS_Amort</f>
        <v/>
      </c>
      <c r="F24" s="29">
        <f>-DS_Amort</f>
        <v/>
      </c>
      <c r="G24" s="29">
        <f>-DS_Amort</f>
        <v/>
      </c>
    </row>
    <row r="25">
      <c r="A25" s="4" t="n"/>
      <c r="B25" s="28" t="inlineStr">
        <is>
          <t>Dividends Paid</t>
        </is>
      </c>
      <c r="C25" s="29">
        <f>-IS_Dividends</f>
        <v/>
      </c>
      <c r="D25" s="29">
        <f>-IS_Dividends</f>
        <v/>
      </c>
      <c r="E25" s="29">
        <f>-IS_Dividends</f>
        <v/>
      </c>
      <c r="F25" s="29">
        <f>-IS_Dividends</f>
        <v/>
      </c>
      <c r="G25" s="29">
        <f>-IS_Dividends</f>
        <v/>
      </c>
    </row>
    <row r="26">
      <c r="A26" s="4" t="n"/>
      <c r="B26" s="5" t="inlineStr">
        <is>
          <t>Cash from Financing</t>
        </is>
      </c>
      <c r="C26" s="30">
        <f>SUM(C22:C25)</f>
        <v/>
      </c>
      <c r="D26" s="30">
        <f>SUM(D22:D25)</f>
        <v/>
      </c>
      <c r="E26" s="30">
        <f>SUM(E22:E25)</f>
        <v/>
      </c>
      <c r="F26" s="30">
        <f>SUM(F22:F25)</f>
        <v/>
      </c>
      <c r="G26" s="30">
        <f>SUM(G22:G25)</f>
        <v/>
      </c>
    </row>
    <row r="27">
      <c r="A27" s="4" t="n"/>
      <c r="B27" s="4" t="n"/>
      <c r="C27" s="4" t="n"/>
      <c r="D27" s="4" t="n"/>
      <c r="E27" s="4" t="n"/>
      <c r="F27" s="4" t="n"/>
      <c r="G27" s="4" t="n"/>
    </row>
    <row r="28">
      <c r="A28" s="4" t="n"/>
      <c r="B28" s="5" t="inlineStr">
        <is>
          <t>Net Change in Cash</t>
        </is>
      </c>
      <c r="C28" s="35">
        <f>C15+C19+C26</f>
        <v/>
      </c>
      <c r="D28" s="35">
        <f>D15+D19+D26</f>
        <v/>
      </c>
      <c r="E28" s="35">
        <f>E15+E19+E26</f>
        <v/>
      </c>
      <c r="F28" s="35">
        <f>F15+F19+F26</f>
        <v/>
      </c>
      <c r="G28" s="35">
        <f>G15+G19+G26</f>
        <v/>
      </c>
    </row>
    <row r="29">
      <c r="A29" s="4" t="n"/>
      <c r="B29" s="4" t="n"/>
      <c r="C29" s="4" t="n"/>
      <c r="D29" s="4" t="n"/>
      <c r="E29" s="4" t="n"/>
      <c r="F29" s="4" t="n"/>
      <c r="G29" s="4" t="n"/>
    </row>
    <row r="30">
      <c r="A30" s="4" t="n"/>
      <c r="B30" s="28" t="inlineStr">
        <is>
          <t>Opening Cash</t>
        </is>
      </c>
      <c r="C30" s="29">
        <f>Opening_Cash</f>
        <v/>
      </c>
      <c r="D30" s="29">
        <f>C31</f>
        <v/>
      </c>
      <c r="E30" s="29">
        <f>D31</f>
        <v/>
      </c>
      <c r="F30" s="29">
        <f>E31</f>
        <v/>
      </c>
      <c r="G30" s="29">
        <f>F31</f>
        <v/>
      </c>
    </row>
    <row r="31">
      <c r="A31" s="4" t="n"/>
      <c r="B31" s="5" t="inlineStr">
        <is>
          <t>Closing Cash</t>
        </is>
      </c>
      <c r="C31" s="30">
        <f>C30+C28</f>
        <v/>
      </c>
      <c r="D31" s="30">
        <f>D30+D28</f>
        <v/>
      </c>
      <c r="E31" s="30">
        <f>E30+E28</f>
        <v/>
      </c>
      <c r="F31" s="30">
        <f>F30+F28</f>
        <v/>
      </c>
      <c r="G31" s="30">
        <f>G30+G28</f>
        <v/>
      </c>
    </row>
  </sheetData>
  <pageMargins left="0.75" right="0.75" top="1" bottom="1" header="0.5" footer="0.5"/>
</worksheet>
</file>

<file path=xl/worksheets/sheet12.xml><?xml version="1.0" encoding="utf-8"?>
<worksheet xmlns="http://schemas.openxmlformats.org/spreadsheetml/2006/main">
  <sheetPr>
    <tabColor rgb="00ED7D31"/>
    <outlinePr summaryBelow="1" summaryRight="1"/>
    <pageSetUpPr/>
  </sheetPr>
  <dimension ref="A1:AD33"/>
  <sheetViews>
    <sheetView showGridLines="0" workbookViewId="0">
      <selection activeCell="A1" sqref="A1"/>
    </sheetView>
  </sheetViews>
  <sheetFormatPr baseColWidth="8" defaultRowHeight="15"/>
  <cols>
    <col width="3" customWidth="1" min="1" max="1"/>
    <col width="35" customWidth="1" min="2" max="2"/>
    <col width="18" customWidth="1" min="3" max="3"/>
    <col width="18" customWidth="1" min="4" max="4"/>
    <col width="18" customWidth="1" min="5" max="5"/>
    <col width="18" customWidth="1" min="6" max="6"/>
    <col width="18" customWidth="1" min="7" max="7"/>
  </cols>
  <sheetData>
    <row r="1">
      <c r="A1" s="1" t="n"/>
      <c r="B1" s="1" t="n"/>
      <c r="C1" s="1" t="n"/>
      <c r="D1" s="1" t="n"/>
      <c r="E1" s="1" t="n"/>
      <c r="F1" s="1" t="n"/>
      <c r="G1" s="1" t="n"/>
      <c r="H1" s="2" t="n"/>
      <c r="I1" s="2" t="n"/>
      <c r="J1" s="2" t="n"/>
      <c r="K1" s="2" t="n"/>
      <c r="L1" s="2" t="n"/>
      <c r="M1" s="2" t="n"/>
      <c r="N1" s="2" t="n"/>
      <c r="O1" s="2" t="n"/>
      <c r="P1" s="2" t="n"/>
      <c r="Q1" s="2" t="n"/>
      <c r="R1" s="2" t="n"/>
      <c r="S1" s="2" t="n"/>
      <c r="T1" s="2" t="n"/>
      <c r="U1" s="2" t="n"/>
      <c r="V1" s="2" t="n"/>
      <c r="W1" s="2" t="n"/>
      <c r="X1" s="2" t="n"/>
      <c r="Y1" s="2" t="n"/>
      <c r="Z1" s="2" t="n"/>
      <c r="AA1" s="2" t="n"/>
      <c r="AB1" s="2" t="n"/>
      <c r="AC1" s="2" t="n"/>
      <c r="AD1" s="2" t="n"/>
    </row>
    <row r="2" ht="21.75" customHeight="1">
      <c r="A2" s="1" t="n"/>
      <c r="B2" s="1" t="n"/>
      <c r="C2" s="1" t="n"/>
      <c r="D2" s="1" t="n"/>
      <c r="E2" s="1" t="n"/>
      <c r="F2" s="1" t="n"/>
      <c r="G2" s="1" t="n"/>
      <c r="H2" s="2" t="n"/>
      <c r="I2" s="2" t="n"/>
      <c r="J2" s="2" t="n"/>
      <c r="K2" s="2" t="n"/>
      <c r="L2" s="2" t="n"/>
      <c r="M2" s="2" t="n"/>
      <c r="N2" s="2" t="n"/>
      <c r="O2" s="2" t="n"/>
      <c r="P2" s="2" t="n"/>
      <c r="Q2" s="2" t="n"/>
      <c r="R2" s="2" t="n"/>
      <c r="S2" s="2" t="n"/>
      <c r="T2" s="2" t="n"/>
      <c r="U2" s="2" t="n"/>
      <c r="V2" s="2" t="n"/>
      <c r="W2" s="2" t="n"/>
      <c r="X2" s="2" t="n"/>
      <c r="Y2" s="2" t="n"/>
      <c r="Z2" s="2" t="n"/>
      <c r="AA2" s="2" t="n"/>
      <c r="AB2" s="2" t="n"/>
      <c r="AC2" s="2" t="n"/>
      <c r="AD2" s="2" t="n"/>
    </row>
    <row r="3">
      <c r="A3" s="1" t="n"/>
      <c r="B3" s="1" t="n"/>
      <c r="C3" s="1" t="n"/>
      <c r="D3" s="1" t="n"/>
      <c r="E3" s="1" t="n"/>
      <c r="F3" s="1" t="n"/>
      <c r="G3" s="1" t="n"/>
      <c r="H3" s="2" t="n"/>
      <c r="I3" s="2" t="n"/>
      <c r="J3" s="2" t="n"/>
      <c r="K3" s="2" t="n"/>
      <c r="L3" s="2" t="n"/>
      <c r="M3" s="2" t="n"/>
      <c r="N3" s="2" t="n"/>
      <c r="O3" s="2" t="n"/>
      <c r="P3" s="2" t="n"/>
      <c r="Q3" s="2" t="n"/>
      <c r="R3" s="2" t="n"/>
      <c r="S3" s="2" t="n"/>
      <c r="T3" s="2" t="n"/>
      <c r="U3" s="2" t="n"/>
      <c r="V3" s="2" t="n"/>
      <c r="W3" s="2" t="n"/>
      <c r="X3" s="2" t="n"/>
      <c r="Y3" s="2" t="n"/>
      <c r="Z3" s="2" t="n"/>
      <c r="AA3" s="2" t="n"/>
      <c r="AB3" s="2" t="n"/>
      <c r="AC3" s="2" t="n"/>
      <c r="AD3" s="2" t="n"/>
    </row>
    <row r="4">
      <c r="A4" s="4" t="n"/>
      <c r="B4" s="4" t="n"/>
      <c r="C4" s="4" t="n"/>
      <c r="D4" s="4" t="n"/>
      <c r="E4" s="4" t="n"/>
      <c r="F4" s="4" t="n"/>
      <c r="G4" s="4" t="n"/>
    </row>
    <row r="5">
      <c r="A5" s="4" t="n"/>
      <c r="B5" s="4" t="n"/>
      <c r="C5" s="4" t="n"/>
      <c r="D5" s="4" t="n"/>
      <c r="E5" s="4" t="n"/>
      <c r="F5" s="4" t="n"/>
      <c r="G5" s="4" t="n"/>
    </row>
    <row r="6">
      <c r="A6" s="4" t="n"/>
      <c r="B6" s="24" t="inlineStr"/>
      <c r="C6" s="25">
        <f>Model_Start_Year+0</f>
        <v/>
      </c>
      <c r="D6" s="25">
        <f>Model_Start_Year+1</f>
        <v/>
      </c>
      <c r="E6" s="25">
        <f>Model_Start_Year+2</f>
        <v/>
      </c>
      <c r="F6" s="25">
        <f>Model_Start_Year+3</f>
        <v/>
      </c>
      <c r="G6" s="25">
        <f>Model_Start_Year+4</f>
        <v/>
      </c>
    </row>
    <row r="7">
      <c r="A7" s="4" t="n"/>
      <c r="B7" s="26" t="inlineStr">
        <is>
          <t>Year #</t>
        </is>
      </c>
      <c r="C7" s="27" t="n">
        <v>1</v>
      </c>
      <c r="D7" s="27" t="n">
        <v>2</v>
      </c>
      <c r="E7" s="27" t="n">
        <v>3</v>
      </c>
      <c r="F7" s="27" t="n">
        <v>4</v>
      </c>
      <c r="G7" s="27" t="n">
        <v>5</v>
      </c>
    </row>
    <row r="8">
      <c r="A8" s="4" t="n"/>
      <c r="B8" s="4" t="n"/>
      <c r="C8" s="4" t="n"/>
      <c r="D8" s="4" t="n"/>
      <c r="E8" s="4" t="n"/>
      <c r="F8" s="4" t="n"/>
      <c r="G8" s="4" t="n"/>
    </row>
    <row r="9">
      <c r="A9" s="4" t="n"/>
      <c r="B9" s="7" t="inlineStr">
        <is>
          <t>Profitability</t>
        </is>
      </c>
      <c r="C9" s="7" t="n"/>
      <c r="D9" s="7" t="n"/>
      <c r="E9" s="7" t="n"/>
      <c r="F9" s="7" t="n"/>
      <c r="G9" s="7" t="n"/>
    </row>
    <row r="10">
      <c r="A10" s="4" t="n"/>
      <c r="B10" s="6" t="inlineStr">
        <is>
          <t>Current Ratio</t>
        </is>
      </c>
      <c r="C10" s="39">
        <f>IFERROR(INDEX(BS_Total_CA,1,1)/INDEX(BS_Total_CL,1,1),0)</f>
        <v/>
      </c>
      <c r="D10" s="39">
        <f>IFERROR(INDEX(BS_Total_CA,1,2)/INDEX(BS_Total_CL,1,2),0)</f>
        <v/>
      </c>
      <c r="E10" s="39">
        <f>IFERROR(INDEX(BS_Total_CA,1,3)/INDEX(BS_Total_CL,1,3),0)</f>
        <v/>
      </c>
      <c r="F10" s="39">
        <f>IFERROR(INDEX(BS_Total_CA,1,4)/INDEX(BS_Total_CL,1,4),0)</f>
        <v/>
      </c>
      <c r="G10" s="39">
        <f>IFERROR(INDEX(BS_Total_CA,1,5)/INDEX(BS_Total_CL,1,5),0)</f>
        <v/>
      </c>
    </row>
    <row r="11">
      <c r="A11" s="4" t="n"/>
      <c r="B11" s="6" t="inlineStr">
        <is>
          <t>Gross Margin %</t>
        </is>
      </c>
      <c r="C11" s="40">
        <f>IFERROR(INDEX(IS_Gross_Profit,1,1)/INDEX(IS_Revenue,1,1),0)</f>
        <v/>
      </c>
      <c r="D11" s="40">
        <f>IFERROR(INDEX(IS_Gross_Profit,1,2)/INDEX(IS_Revenue,1,2),0)</f>
        <v/>
      </c>
      <c r="E11" s="40">
        <f>IFERROR(INDEX(IS_Gross_Profit,1,3)/INDEX(IS_Revenue,1,3),0)</f>
        <v/>
      </c>
      <c r="F11" s="40">
        <f>IFERROR(INDEX(IS_Gross_Profit,1,4)/INDEX(IS_Revenue,1,4),0)</f>
        <v/>
      </c>
      <c r="G11" s="40">
        <f>IFERROR(INDEX(IS_Gross_Profit,1,5)/INDEX(IS_Revenue,1,5),0)</f>
        <v/>
      </c>
    </row>
    <row r="12">
      <c r="A12" s="4" t="n"/>
      <c r="B12" s="6" t="inlineStr">
        <is>
          <t>EBITDA Margin %</t>
        </is>
      </c>
      <c r="C12" s="40">
        <f>IFERROR(INDEX(IS_EBITDA,1,1)/INDEX(IS_Revenue,1,1),0)</f>
        <v/>
      </c>
      <c r="D12" s="40">
        <f>IFERROR(INDEX(IS_EBITDA,1,2)/INDEX(IS_Revenue,1,2),0)</f>
        <v/>
      </c>
      <c r="E12" s="40">
        <f>IFERROR(INDEX(IS_EBITDA,1,3)/INDEX(IS_Revenue,1,3),0)</f>
        <v/>
      </c>
      <c r="F12" s="40">
        <f>IFERROR(INDEX(IS_EBITDA,1,4)/INDEX(IS_Revenue,1,4),0)</f>
        <v/>
      </c>
      <c r="G12" s="40">
        <f>IFERROR(INDEX(IS_EBITDA,1,5)/INDEX(IS_Revenue,1,5),0)</f>
        <v/>
      </c>
    </row>
    <row r="13">
      <c r="A13" s="4" t="n"/>
      <c r="B13" s="6" t="inlineStr">
        <is>
          <t>Net Margin %</t>
        </is>
      </c>
      <c r="C13" s="40">
        <f>IFERROR(INDEX(IS_Net_Income,1,1)/INDEX(IS_Revenue,1,1),0)</f>
        <v/>
      </c>
      <c r="D13" s="40">
        <f>IFERROR(INDEX(IS_Net_Income,1,2)/INDEX(IS_Revenue,1,2),0)</f>
        <v/>
      </c>
      <c r="E13" s="40">
        <f>IFERROR(INDEX(IS_Net_Income,1,3)/INDEX(IS_Revenue,1,3),0)</f>
        <v/>
      </c>
      <c r="F13" s="40">
        <f>IFERROR(INDEX(IS_Net_Income,1,4)/INDEX(IS_Revenue,1,4),0)</f>
        <v/>
      </c>
      <c r="G13" s="40">
        <f>IFERROR(INDEX(IS_Net_Income,1,5)/INDEX(IS_Revenue,1,5),0)</f>
        <v/>
      </c>
    </row>
    <row r="14">
      <c r="A14" s="4" t="n"/>
      <c r="B14" s="4" t="n"/>
      <c r="C14" s="4" t="n"/>
      <c r="D14" s="4" t="n"/>
      <c r="E14" s="4" t="n"/>
      <c r="F14" s="4" t="n"/>
      <c r="G14" s="4" t="n"/>
    </row>
    <row r="15">
      <c r="A15" s="4" t="n"/>
      <c r="B15" s="7" t="inlineStr">
        <is>
          <t>Leverage</t>
        </is>
      </c>
      <c r="C15" s="7" t="n"/>
      <c r="D15" s="7" t="n"/>
      <c r="E15" s="7" t="n"/>
      <c r="F15" s="7" t="n"/>
      <c r="G15" s="7" t="n"/>
    </row>
    <row r="16">
      <c r="A16" s="4" t="n"/>
      <c r="B16" s="28" t="inlineStr">
        <is>
          <t>Total Debt (TF + Corp)</t>
        </is>
      </c>
      <c r="C16" s="29">
        <f>INDEX(BS_TF_Debt,1,1)+INDEX(BS_Corp_Debt,1,1)</f>
        <v/>
      </c>
      <c r="D16" s="29">
        <f>INDEX(BS_TF_Debt,1,2)+INDEX(BS_Corp_Debt,1,2)</f>
        <v/>
      </c>
      <c r="E16" s="29">
        <f>INDEX(BS_TF_Debt,1,3)+INDEX(BS_Corp_Debt,1,3)</f>
        <v/>
      </c>
      <c r="F16" s="29">
        <f>INDEX(BS_TF_Debt,1,4)+INDEX(BS_Corp_Debt,1,4)</f>
        <v/>
      </c>
      <c r="G16" s="29">
        <f>INDEX(BS_TF_Debt,1,5)+INDEX(BS_Corp_Debt,1,5)</f>
        <v/>
      </c>
    </row>
    <row r="17">
      <c r="A17" s="4" t="n"/>
      <c r="B17" s="28" t="inlineStr">
        <is>
          <t>Less: Cash</t>
        </is>
      </c>
      <c r="C17" s="29">
        <f>INDEX(BS_Cash,1,1)</f>
        <v/>
      </c>
      <c r="D17" s="29">
        <f>INDEX(BS_Cash,1,2)</f>
        <v/>
      </c>
      <c r="E17" s="29">
        <f>INDEX(BS_Cash,1,3)</f>
        <v/>
      </c>
      <c r="F17" s="29">
        <f>INDEX(BS_Cash,1,4)</f>
        <v/>
      </c>
      <c r="G17" s="29">
        <f>INDEX(BS_Cash,1,5)</f>
        <v/>
      </c>
    </row>
    <row r="18">
      <c r="A18" s="4" t="n"/>
      <c r="B18" s="28" t="inlineStr">
        <is>
          <t>Less: RMI Inventory only</t>
        </is>
      </c>
      <c r="C18" s="29">
        <f>INDEX(WC_RMI_Inventory,1,1)</f>
        <v/>
      </c>
      <c r="D18" s="29">
        <f>INDEX(WC_RMI_Inventory,1,2)</f>
        <v/>
      </c>
      <c r="E18" s="29">
        <f>INDEX(WC_RMI_Inventory,1,3)</f>
        <v/>
      </c>
      <c r="F18" s="29">
        <f>INDEX(WC_RMI_Inventory,1,4)</f>
        <v/>
      </c>
      <c r="G18" s="29">
        <f>INDEX(WC_RMI_Inventory,1,5)</f>
        <v/>
      </c>
    </row>
    <row r="19">
      <c r="A19" s="4" t="n"/>
      <c r="B19" s="5" t="inlineStr">
        <is>
          <t>Adjusted Net Debt</t>
        </is>
      </c>
      <c r="C19" s="35">
        <f>C16-C17-C18</f>
        <v/>
      </c>
      <c r="D19" s="35">
        <f>D16-D17-D18</f>
        <v/>
      </c>
      <c r="E19" s="35">
        <f>E16-E17-E18</f>
        <v/>
      </c>
      <c r="F19" s="35">
        <f>F16-F17-F18</f>
        <v/>
      </c>
      <c r="G19" s="35">
        <f>G16-G17-G18</f>
        <v/>
      </c>
    </row>
    <row r="20">
      <c r="A20" s="4" t="n"/>
      <c r="B20" s="28" t="inlineStr">
        <is>
          <t>EBITDA</t>
        </is>
      </c>
      <c r="C20" s="29">
        <f>INDEX(IS_EBITDA,1,1)</f>
        <v/>
      </c>
      <c r="D20" s="29">
        <f>INDEX(IS_EBITDA,1,2)</f>
        <v/>
      </c>
      <c r="E20" s="29">
        <f>INDEX(IS_EBITDA,1,3)</f>
        <v/>
      </c>
      <c r="F20" s="29">
        <f>INDEX(IS_EBITDA,1,4)</f>
        <v/>
      </c>
      <c r="G20" s="29">
        <f>INDEX(IS_EBITDA,1,5)</f>
        <v/>
      </c>
    </row>
    <row r="21">
      <c r="A21" s="4" t="n"/>
      <c r="B21" s="6" t="inlineStr">
        <is>
          <t>Adj Net Debt / EBITDA</t>
        </is>
      </c>
      <c r="C21" s="41">
        <f>IFERROR(C19/C20,0)</f>
        <v/>
      </c>
      <c r="D21" s="41">
        <f>IFERROR(D19/D20,0)</f>
        <v/>
      </c>
      <c r="E21" s="41">
        <f>IFERROR(E19/E20,0)</f>
        <v/>
      </c>
      <c r="F21" s="41">
        <f>IFERROR(F19/F20,0)</f>
        <v/>
      </c>
      <c r="G21" s="41">
        <f>IFERROR(G19/G20,0)</f>
        <v/>
      </c>
    </row>
    <row r="22">
      <c r="A22" s="4" t="n"/>
      <c r="B22" s="28" t="inlineStr">
        <is>
          <t>Tangible Net Worth</t>
        </is>
      </c>
      <c r="C22" s="29">
        <f>INDEX(BS_Total_Equity,1,1)</f>
        <v/>
      </c>
      <c r="D22" s="29">
        <f>INDEX(BS_Total_Equity,1,2)</f>
        <v/>
      </c>
      <c r="E22" s="29">
        <f>INDEX(BS_Total_Equity,1,3)</f>
        <v/>
      </c>
      <c r="F22" s="29">
        <f>INDEX(BS_Total_Equity,1,4)</f>
        <v/>
      </c>
      <c r="G22" s="29">
        <f>INDEX(BS_Total_Equity,1,5)</f>
        <v/>
      </c>
    </row>
    <row r="23">
      <c r="A23" s="4" t="n"/>
      <c r="B23" s="4" t="n"/>
      <c r="C23" s="4" t="n"/>
      <c r="D23" s="4" t="n"/>
      <c r="E23" s="4" t="n"/>
      <c r="F23" s="4" t="n"/>
      <c r="G23" s="4" t="n"/>
    </row>
    <row r="24">
      <c r="A24" s="4" t="n"/>
      <c r="B24" s="7" t="inlineStr">
        <is>
          <t>Coverage</t>
        </is>
      </c>
      <c r="C24" s="7" t="n"/>
      <c r="D24" s="7" t="n"/>
      <c r="E24" s="7" t="n"/>
      <c r="F24" s="7" t="n"/>
      <c r="G24" s="7" t="n"/>
    </row>
    <row r="25">
      <c r="A25" s="4" t="n"/>
      <c r="B25" s="6" t="inlineStr">
        <is>
          <t>Interest Coverage (EBIT / Net Fin Cost)</t>
        </is>
      </c>
      <c r="C25" s="41">
        <f>IFERROR(INDEX(IS_EBIT,1,1)/INDEX(IS_Net_Fin_Cost,1,1),0)</f>
        <v/>
      </c>
      <c r="D25" s="41">
        <f>IFERROR(INDEX(IS_EBIT,1,2)/INDEX(IS_Net_Fin_Cost,1,2),0)</f>
        <v/>
      </c>
      <c r="E25" s="41">
        <f>IFERROR(INDEX(IS_EBIT,1,3)/INDEX(IS_Net_Fin_Cost,1,3),0)</f>
        <v/>
      </c>
      <c r="F25" s="41">
        <f>IFERROR(INDEX(IS_EBIT,1,4)/INDEX(IS_Net_Fin_Cost,1,4),0)</f>
        <v/>
      </c>
      <c r="G25" s="41">
        <f>IFERROR(INDEX(IS_EBIT,1,5)/INDEX(IS_Net_Fin_Cost,1,5),0)</f>
        <v/>
      </c>
    </row>
    <row r="26">
      <c r="A26" s="4" t="n"/>
      <c r="B26" s="6" t="inlineStr">
        <is>
          <t>BB Utilisation % (vs Eligible Base)</t>
        </is>
      </c>
      <c r="C26" s="40">
        <f>IFERROR(INDEX(BB_Closing_TF,1,1)/INDEX(BB_Total_Eligible,1,1),0)</f>
        <v/>
      </c>
      <c r="D26" s="40">
        <f>IFERROR(INDEX(BB_Closing_TF,1,2)/INDEX(BB_Total_Eligible,1,2),0)</f>
        <v/>
      </c>
      <c r="E26" s="40">
        <f>IFERROR(INDEX(BB_Closing_TF,1,3)/INDEX(BB_Total_Eligible,1,3),0)</f>
        <v/>
      </c>
      <c r="F26" s="40">
        <f>IFERROR(INDEX(BB_Closing_TF,1,4)/INDEX(BB_Total_Eligible,1,4),0)</f>
        <v/>
      </c>
      <c r="G26" s="40">
        <f>IFERROR(INDEX(BB_Closing_TF,1,5)/INDEX(BB_Total_Eligible,1,5),0)</f>
        <v/>
      </c>
    </row>
    <row r="27">
      <c r="A27" s="4" t="n"/>
      <c r="B27" s="28" t="inlineStr">
        <is>
          <t>BB Headroom (Facility - Closing)</t>
        </is>
      </c>
      <c r="C27" s="29">
        <f>Facility_Ceiling-INDEX(BB_Closing_TF,1,1)</f>
        <v/>
      </c>
      <c r="D27" s="29">
        <f>Facility_Ceiling-INDEX(BB_Closing_TF,1,2)</f>
        <v/>
      </c>
      <c r="E27" s="29">
        <f>Facility_Ceiling-INDEX(BB_Closing_TF,1,3)</f>
        <v/>
      </c>
      <c r="F27" s="29">
        <f>Facility_Ceiling-INDEX(BB_Closing_TF,1,4)</f>
        <v/>
      </c>
      <c r="G27" s="29">
        <f>Facility_Ceiling-INDEX(BB_Closing_TF,1,5)</f>
        <v/>
      </c>
    </row>
    <row r="28">
      <c r="A28" s="4" t="n"/>
      <c r="B28" s="4" t="n"/>
      <c r="C28" s="4" t="n"/>
      <c r="D28" s="4" t="n"/>
      <c r="E28" s="4" t="n"/>
      <c r="F28" s="4" t="n"/>
      <c r="G28" s="4" t="n"/>
    </row>
    <row r="29">
      <c r="A29" s="4" t="n"/>
      <c r="B29" s="7" t="inlineStr">
        <is>
          <t>Covenant Tests</t>
        </is>
      </c>
      <c r="C29" s="7" t="n"/>
      <c r="D29" s="7" t="n"/>
      <c r="E29" s="7" t="n"/>
      <c r="F29" s="7" t="n"/>
      <c r="G29" s="7" t="n"/>
    </row>
    <row r="30">
      <c r="A30" s="4" t="n"/>
      <c r="B30" s="6" t="inlineStr">
        <is>
          <t>Current Ratio &gt; 1.10x</t>
        </is>
      </c>
      <c r="C30" s="42">
        <f>IF(C10&gt;1.1,"PASS","FAIL")</f>
        <v/>
      </c>
      <c r="D30" s="42">
        <f>IF(D10&gt;1.1,"PASS","FAIL")</f>
        <v/>
      </c>
      <c r="E30" s="42">
        <f>IF(E10&gt;1.1,"PASS","FAIL")</f>
        <v/>
      </c>
      <c r="F30" s="42">
        <f>IF(F10&gt;1.1,"PASS","FAIL")</f>
        <v/>
      </c>
      <c r="G30" s="42">
        <f>IF(G10&gt;1.1,"PASS","FAIL")</f>
        <v/>
      </c>
    </row>
    <row r="31">
      <c r="A31" s="4" t="n"/>
      <c r="B31" s="6" t="inlineStr">
        <is>
          <t>Adj ND / EBITDA &lt; 3.0x</t>
        </is>
      </c>
      <c r="C31" s="42">
        <f>IF(C21&lt;3,"PASS","FAIL")</f>
        <v/>
      </c>
      <c r="D31" s="42">
        <f>IF(D21&lt;3,"PASS","FAIL")</f>
        <v/>
      </c>
      <c r="E31" s="42">
        <f>IF(E21&lt;3,"PASS","FAIL")</f>
        <v/>
      </c>
      <c r="F31" s="42">
        <f>IF(F21&lt;3,"PASS","FAIL")</f>
        <v/>
      </c>
      <c r="G31" s="42">
        <f>IF(G21&lt;3,"PASS","FAIL")</f>
        <v/>
      </c>
    </row>
    <row r="32">
      <c r="A32" s="4" t="n"/>
      <c r="B32" s="6" t="inlineStr">
        <is>
          <t>Interest Coverage &gt; 3.0x</t>
        </is>
      </c>
      <c r="C32" s="42">
        <f>IF(C25&gt;3,"PASS","FAIL")</f>
        <v/>
      </c>
      <c r="D32" s="42">
        <f>IF(D25&gt;3,"PASS","FAIL")</f>
        <v/>
      </c>
      <c r="E32" s="42">
        <f>IF(E25&gt;3,"PASS","FAIL")</f>
        <v/>
      </c>
      <c r="F32" s="42">
        <f>IF(F25&gt;3,"PASS","FAIL")</f>
        <v/>
      </c>
      <c r="G32" s="42">
        <f>IF(G25&gt;3,"PASS","FAIL")</f>
        <v/>
      </c>
    </row>
    <row r="33">
      <c r="A33" s="4" t="n"/>
      <c r="B33" s="6" t="inlineStr">
        <is>
          <t>BB Closing &lt;= Facility Ceiling</t>
        </is>
      </c>
      <c r="C33" s="42">
        <f>IF(BB_Closing_TF&lt;=Facility_Ceiling,"PASS","FAIL")</f>
        <v/>
      </c>
      <c r="D33" s="42">
        <f>IF(BB_Closing_TF&lt;=Facility_Ceiling,"PASS","FAIL")</f>
        <v/>
      </c>
      <c r="E33" s="42">
        <f>IF(BB_Closing_TF&lt;=Facility_Ceiling,"PASS","FAIL")</f>
        <v/>
      </c>
      <c r="F33" s="42">
        <f>IF(BB_Closing_TF&lt;=Facility_Ceiling,"PASS","FAIL")</f>
        <v/>
      </c>
      <c r="G33" s="42">
        <f>IF(BB_Closing_TF&lt;=Facility_Ceiling,"PASS","FAIL")</f>
        <v/>
      </c>
    </row>
  </sheetData>
  <pageMargins left="0.75" right="0.75" top="1" bottom="1" header="0.5" footer="0.5"/>
</worksheet>
</file>

<file path=xl/worksheets/sheet13.xml><?xml version="1.0" encoding="utf-8"?>
<worksheet xmlns="http://schemas.openxmlformats.org/spreadsheetml/2006/main">
  <sheetPr>
    <tabColor rgb="00C00000"/>
    <outlinePr summaryBelow="1" summaryRight="1"/>
    <pageSetUpPr/>
  </sheetPr>
  <dimension ref="A1:AD21"/>
  <sheetViews>
    <sheetView showGridLines="0" workbookViewId="0">
      <selection activeCell="A1" sqref="A1"/>
    </sheetView>
  </sheetViews>
  <sheetFormatPr baseColWidth="8" defaultRowHeight="15"/>
  <cols>
    <col width="3" customWidth="1" min="1" max="1"/>
    <col width="40" customWidth="1" min="2" max="2"/>
    <col width="18" customWidth="1" min="3" max="3"/>
    <col width="18" customWidth="1" min="4" max="4"/>
    <col width="18" customWidth="1" min="5" max="5"/>
    <col width="18" customWidth="1" min="6" max="6"/>
    <col width="18" customWidth="1" min="7" max="7"/>
    <col width="18" customWidth="1" min="8" max="8"/>
  </cols>
  <sheetData>
    <row r="1">
      <c r="A1" s="1" t="n"/>
      <c r="B1" s="1" t="n"/>
      <c r="C1" s="1" t="n"/>
      <c r="D1" s="1" t="n"/>
      <c r="E1" s="1" t="n"/>
      <c r="F1" s="1" t="n"/>
      <c r="G1" s="1" t="n"/>
      <c r="H1" s="1" t="n"/>
      <c r="I1" s="2" t="n"/>
      <c r="J1" s="2" t="n"/>
      <c r="K1" s="2" t="n"/>
      <c r="L1" s="2" t="n"/>
      <c r="M1" s="2" t="n"/>
      <c r="N1" s="2" t="n"/>
      <c r="O1" s="2" t="n"/>
      <c r="P1" s="2" t="n"/>
      <c r="Q1" s="2" t="n"/>
      <c r="R1" s="2" t="n"/>
      <c r="S1" s="2" t="n"/>
      <c r="T1" s="2" t="n"/>
      <c r="U1" s="2" t="n"/>
      <c r="V1" s="2" t="n"/>
      <c r="W1" s="2" t="n"/>
      <c r="X1" s="2" t="n"/>
      <c r="Y1" s="2" t="n"/>
      <c r="Z1" s="2" t="n"/>
      <c r="AA1" s="2" t="n"/>
      <c r="AB1" s="2" t="n"/>
      <c r="AC1" s="2" t="n"/>
      <c r="AD1" s="2" t="n"/>
    </row>
    <row r="2" ht="21.75" customHeight="1">
      <c r="A2" s="1" t="n"/>
      <c r="B2" s="1" t="n"/>
      <c r="C2" s="1" t="n"/>
      <c r="D2" s="1" t="n"/>
      <c r="E2" s="1" t="n"/>
      <c r="F2" s="1" t="n"/>
      <c r="G2" s="1" t="n"/>
      <c r="H2" s="1" t="n"/>
      <c r="I2" s="2" t="n"/>
      <c r="J2" s="2" t="n"/>
      <c r="K2" s="2" t="n"/>
      <c r="L2" s="2" t="n"/>
      <c r="M2" s="2" t="n"/>
      <c r="N2" s="2" t="n"/>
      <c r="O2" s="2" t="n"/>
      <c r="P2" s="2" t="n"/>
      <c r="Q2" s="2" t="n"/>
      <c r="R2" s="2" t="n"/>
      <c r="S2" s="2" t="n"/>
      <c r="T2" s="2" t="n"/>
      <c r="U2" s="2" t="n"/>
      <c r="V2" s="2" t="n"/>
      <c r="W2" s="2" t="n"/>
      <c r="X2" s="2" t="n"/>
      <c r="Y2" s="2" t="n"/>
      <c r="Z2" s="2" t="n"/>
      <c r="AA2" s="2" t="n"/>
      <c r="AB2" s="2" t="n"/>
      <c r="AC2" s="2" t="n"/>
      <c r="AD2" s="2" t="n"/>
    </row>
    <row r="3">
      <c r="A3" s="1" t="n"/>
      <c r="B3" s="1" t="n"/>
      <c r="C3" s="1" t="n"/>
      <c r="D3" s="1" t="n"/>
      <c r="E3" s="1" t="n"/>
      <c r="F3" s="1" t="n"/>
      <c r="G3" s="1" t="n"/>
      <c r="H3" s="1" t="n"/>
      <c r="I3" s="2" t="n"/>
      <c r="J3" s="2" t="n"/>
      <c r="K3" s="2" t="n"/>
      <c r="L3" s="2" t="n"/>
      <c r="M3" s="2" t="n"/>
      <c r="N3" s="2" t="n"/>
      <c r="O3" s="2" t="n"/>
      <c r="P3" s="2" t="n"/>
      <c r="Q3" s="2" t="n"/>
      <c r="R3" s="2" t="n"/>
      <c r="S3" s="2" t="n"/>
      <c r="T3" s="2" t="n"/>
      <c r="U3" s="2" t="n"/>
      <c r="V3" s="2" t="n"/>
      <c r="W3" s="2" t="n"/>
      <c r="X3" s="2" t="n"/>
      <c r="Y3" s="2" t="n"/>
      <c r="Z3" s="2" t="n"/>
      <c r="AA3" s="2" t="n"/>
      <c r="AB3" s="2" t="n"/>
      <c r="AC3" s="2" t="n"/>
      <c r="AD3" s="2" t="n"/>
    </row>
    <row r="4">
      <c r="A4" s="4" t="n"/>
      <c r="B4" s="4" t="n"/>
      <c r="C4" s="4" t="n"/>
      <c r="D4" s="4" t="n"/>
      <c r="E4" s="4" t="n"/>
      <c r="F4" s="4" t="n"/>
      <c r="G4" s="4" t="n"/>
      <c r="H4" s="4" t="n"/>
    </row>
    <row r="5">
      <c r="A5" s="4" t="n"/>
      <c r="B5" s="4" t="n"/>
      <c r="C5" s="4" t="n"/>
      <c r="D5" s="4" t="n"/>
      <c r="E5" s="4" t="n"/>
      <c r="F5" s="4" t="n"/>
      <c r="G5" s="4" t="n"/>
      <c r="H5" s="4" t="n"/>
    </row>
    <row r="6">
      <c r="A6" s="4" t="n"/>
      <c r="B6" s="24" t="n"/>
      <c r="C6" s="20" t="inlineStr">
        <is>
          <t>Day 0</t>
        </is>
      </c>
      <c r="D6" s="25">
        <f>Model_Start_Year+0</f>
        <v/>
      </c>
      <c r="E6" s="25">
        <f>Model_Start_Year+1</f>
        <v/>
      </c>
      <c r="F6" s="25">
        <f>Model_Start_Year+2</f>
        <v/>
      </c>
      <c r="G6" s="25">
        <f>Model_Start_Year+3</f>
        <v/>
      </c>
      <c r="H6" s="25">
        <f>Model_Start_Year+4</f>
        <v/>
      </c>
    </row>
    <row r="7">
      <c r="A7" s="4" t="n"/>
      <c r="B7" s="4" t="n"/>
      <c r="C7" s="4" t="n"/>
      <c r="D7" s="4" t="n"/>
      <c r="E7" s="4" t="n"/>
      <c r="F7" s="4" t="n"/>
      <c r="G7" s="4" t="n"/>
      <c r="H7" s="4" t="n"/>
    </row>
    <row r="8">
      <c r="A8" s="4" t="n"/>
      <c r="B8" s="7" t="inlineStr">
        <is>
          <t>Validation Checks</t>
        </is>
      </c>
      <c r="C8" s="7" t="n"/>
      <c r="D8" s="7" t="n"/>
      <c r="E8" s="7" t="n"/>
      <c r="F8" s="7" t="n"/>
      <c r="G8" s="7" t="n"/>
      <c r="H8" s="7" t="n"/>
    </row>
    <row r="9">
      <c r="A9" s="4" t="n"/>
      <c r="B9" s="6" t="inlineStr">
        <is>
          <t>BS balances</t>
        </is>
      </c>
      <c r="C9" s="43">
        <f>IF(ABS(Balance_Sheet!C19-Balance_Sheet!C38)&lt;1,"PASS","FAIL")</f>
        <v/>
      </c>
      <c r="D9" s="43">
        <f>IF(ABS(Balance_Sheet!D19-Balance_Sheet!D38)&lt;1,"PASS","FAIL")</f>
        <v/>
      </c>
      <c r="E9" s="43">
        <f>IF(ABS(Balance_Sheet!E19-Balance_Sheet!E38)&lt;1,"PASS","FAIL")</f>
        <v/>
      </c>
      <c r="F9" s="43">
        <f>IF(ABS(Balance_Sheet!F19-Balance_Sheet!F38)&lt;1,"PASS","FAIL")</f>
        <v/>
      </c>
      <c r="G9" s="43">
        <f>IF(ABS(Balance_Sheet!G19-Balance_Sheet!G38)&lt;1,"PASS","FAIL")</f>
        <v/>
      </c>
      <c r="H9" s="43">
        <f>IF(ABS(Balance_Sheet!H19-Balance_Sheet!H38)&lt;1,"PASS","FAIL")</f>
        <v/>
      </c>
    </row>
    <row r="10">
      <c r="A10" s="4" t="n"/>
      <c r="B10" s="6" t="inlineStr">
        <is>
          <t>Day-0 Recon: TA = TL + SC + RE</t>
        </is>
      </c>
      <c r="C10" s="43">
        <f>IF(ABS(Balance_Sheet!C19-(Balance_Sheet!C31+Balance_Sheet!C34+Balance_Sheet!C35))&lt;1,"PASS","FAIL")</f>
        <v/>
      </c>
      <c r="D10" s="43">
        <f>""</f>
        <v/>
      </c>
      <c r="E10" s="43">
        <f>""</f>
        <v/>
      </c>
      <c r="F10" s="43">
        <f>""</f>
        <v/>
      </c>
      <c r="G10" s="43">
        <f>""</f>
        <v/>
      </c>
      <c r="H10" s="43">
        <f>""</f>
        <v/>
      </c>
    </row>
    <row r="11">
      <c r="A11" s="4" t="n"/>
      <c r="B11" s="6" t="inlineStr">
        <is>
          <t>BB Closing &lt;= Eligible Base</t>
        </is>
      </c>
      <c r="C11" s="43">
        <f>""</f>
        <v/>
      </c>
      <c r="D11" s="43">
        <f>IF(INDEX(BB_Closing_TF,1,1)&lt;=INDEX(BB_Total_Eligible,1,1)+1,"PASS","FAIL")</f>
        <v/>
      </c>
      <c r="E11" s="43">
        <f>IF(INDEX(BB_Closing_TF,1,2)&lt;=INDEX(BB_Total_Eligible,1,2)+1,"PASS","FAIL")</f>
        <v/>
      </c>
      <c r="F11" s="43">
        <f>IF(INDEX(BB_Closing_TF,1,3)&lt;=INDEX(BB_Total_Eligible,1,3)+1,"PASS","FAIL")</f>
        <v/>
      </c>
      <c r="G11" s="43">
        <f>IF(INDEX(BB_Closing_TF,1,4)&lt;=INDEX(BB_Total_Eligible,1,4)+1,"PASS","FAIL")</f>
        <v/>
      </c>
      <c r="H11" s="43">
        <f>IF(INDEX(BB_Closing_TF,1,5)&lt;=INDEX(BB_Total_Eligible,1,5)+1,"PASS","FAIL")</f>
        <v/>
      </c>
    </row>
    <row r="12">
      <c r="A12" s="4" t="n"/>
      <c r="B12" s="6" t="inlineStr">
        <is>
          <t>BB Closing &lt;= Facility Ceiling</t>
        </is>
      </c>
      <c r="C12" s="43">
        <f>""</f>
        <v/>
      </c>
      <c r="D12" s="43">
        <f>IF(INDEX(BB_Closing_TF,1,1)&lt;=Facility_Ceiling+1,"PASS","FAIL")</f>
        <v/>
      </c>
      <c r="E12" s="43">
        <f>IF(INDEX(BB_Closing_TF,1,2)&lt;=Facility_Ceiling+1,"PASS","FAIL")</f>
        <v/>
      </c>
      <c r="F12" s="43">
        <f>IF(INDEX(BB_Closing_TF,1,3)&lt;=Facility_Ceiling+1,"PASS","FAIL")</f>
        <v/>
      </c>
      <c r="G12" s="43">
        <f>IF(INDEX(BB_Closing_TF,1,4)&lt;=Facility_Ceiling+1,"PASS","FAIL")</f>
        <v/>
      </c>
      <c r="H12" s="43">
        <f>IF(INDEX(BB_Closing_TF,1,5)&lt;=Facility_Ceiling+1,"PASS","FAIL")</f>
        <v/>
      </c>
    </row>
    <row r="13">
      <c r="A13" s="4" t="n"/>
      <c r="B13" s="6" t="inlineStr">
        <is>
          <t>Commitment Fee &gt; 0 (headroom exists)</t>
        </is>
      </c>
      <c r="C13" s="43">
        <f>""</f>
        <v/>
      </c>
      <c r="D13" s="43">
        <f>IF(INDEX(BB_Commit_Fee,1,1)&gt;0,"PASS","FAIL")</f>
        <v/>
      </c>
      <c r="E13" s="43">
        <f>IF(INDEX(BB_Commit_Fee,1,2)&gt;0,"PASS","FAIL")</f>
        <v/>
      </c>
      <c r="F13" s="43">
        <f>IF(INDEX(BB_Commit_Fee,1,3)&gt;0,"PASS","FAIL")</f>
        <v/>
      </c>
      <c r="G13" s="43">
        <f>IF(INDEX(BB_Commit_Fee,1,4)&gt;0,"PASS","FAIL")</f>
        <v/>
      </c>
      <c r="H13" s="43">
        <f>IF(INDEX(BB_Commit_Fee,1,5)&gt;0,"PASS","FAIL")</f>
        <v/>
      </c>
    </row>
    <row r="14">
      <c r="A14" s="4" t="n"/>
      <c r="B14" s="6" t="inlineStr">
        <is>
          <t>Current Ratio &gt; 1.10x</t>
        </is>
      </c>
      <c r="C14" s="43">
        <f>""</f>
        <v/>
      </c>
      <c r="D14" s="43">
        <f>IF(IFERROR(INDEX(BS_Total_CA,1,1)/INDEX(BS_Total_CL,1,1),0)&gt;1.1,"PASS","FAIL")</f>
        <v/>
      </c>
      <c r="E14" s="43">
        <f>IF(IFERROR(INDEX(BS_Total_CA,1,2)/INDEX(BS_Total_CL,1,2),0)&gt;1.1,"PASS","FAIL")</f>
        <v/>
      </c>
      <c r="F14" s="43">
        <f>IF(IFERROR(INDEX(BS_Total_CA,1,3)/INDEX(BS_Total_CL,1,3),0)&gt;1.1,"PASS","FAIL")</f>
        <v/>
      </c>
      <c r="G14" s="43">
        <f>IF(IFERROR(INDEX(BS_Total_CA,1,4)/INDEX(BS_Total_CL,1,4),0)&gt;1.1,"PASS","FAIL")</f>
        <v/>
      </c>
      <c r="H14" s="43">
        <f>IF(IFERROR(INDEX(BS_Total_CA,1,5)/INDEX(BS_Total_CL,1,5),0)&gt;1.1,"PASS","FAIL")</f>
        <v/>
      </c>
    </row>
    <row r="15">
      <c r="A15" s="4" t="n"/>
      <c r="B15" s="6" t="inlineStr">
        <is>
          <t>Interest Coverage &gt; 3.0x</t>
        </is>
      </c>
      <c r="C15" s="43">
        <f>""</f>
        <v/>
      </c>
      <c r="D15" s="43">
        <f>IF(IFERROR(INDEX(IS_EBIT,1,1)/INDEX(IS_Net_Fin_Cost,1,1),0)&gt;3,"PASS","FAIL")</f>
        <v/>
      </c>
      <c r="E15" s="43">
        <f>IF(IFERROR(INDEX(IS_EBIT,1,2)/INDEX(IS_Net_Fin_Cost,1,2),0)&gt;3,"PASS","FAIL")</f>
        <v/>
      </c>
      <c r="F15" s="43">
        <f>IF(IFERROR(INDEX(IS_EBIT,1,3)/INDEX(IS_Net_Fin_Cost,1,3),0)&gt;3,"PASS","FAIL")</f>
        <v/>
      </c>
      <c r="G15" s="43">
        <f>IF(IFERROR(INDEX(IS_EBIT,1,4)/INDEX(IS_Net_Fin_Cost,1,4),0)&gt;3,"PASS","FAIL")</f>
        <v/>
      </c>
      <c r="H15" s="43">
        <f>IF(IFERROR(INDEX(IS_EBIT,1,5)/INDEX(IS_Net_Fin_Cost,1,5),0)&gt;3,"PASS","FAIL")</f>
        <v/>
      </c>
    </row>
    <row r="16">
      <c r="A16" s="4" t="n"/>
      <c r="B16" s="6" t="inlineStr">
        <is>
          <t>Adj ND / EBITDA &lt; 3.0x</t>
        </is>
      </c>
      <c r="C16" s="43">
        <f>""</f>
        <v/>
      </c>
      <c r="D16" s="43">
        <f>IF(IFERROR((INDEX(BS_TF_Debt,1,1)+INDEX(BS_Corp_Debt,1,1)-INDEX(BS_Cash,1,1)-INDEX(WC_RMI_Inventory,1,1))/INDEX(IS_EBITDA,1,1),0)&lt;3,"PASS","FAIL")</f>
        <v/>
      </c>
      <c r="E16" s="43">
        <f>IF(IFERROR((INDEX(BS_TF_Debt,1,2)+INDEX(BS_Corp_Debt,1,2)-INDEX(BS_Cash,1,2)-INDEX(WC_RMI_Inventory,1,2))/INDEX(IS_EBITDA,1,2),0)&lt;3,"PASS","FAIL")</f>
        <v/>
      </c>
      <c r="F16" s="43">
        <f>IF(IFERROR((INDEX(BS_TF_Debt,1,3)+INDEX(BS_Corp_Debt,1,3)-INDEX(BS_Cash,1,3)-INDEX(WC_RMI_Inventory,1,3))/INDEX(IS_EBITDA,1,3),0)&lt;3,"PASS","FAIL")</f>
        <v/>
      </c>
      <c r="G16" s="43">
        <f>IF(IFERROR((INDEX(BS_TF_Debt,1,4)+INDEX(BS_Corp_Debt,1,4)-INDEX(BS_Cash,1,4)-INDEX(WC_RMI_Inventory,1,4))/INDEX(IS_EBITDA,1,4),0)&lt;3,"PASS","FAIL")</f>
        <v/>
      </c>
      <c r="H16" s="43">
        <f>IF(IFERROR((INDEX(BS_TF_Debt,1,5)+INDEX(BS_Corp_Debt,1,5)-INDEX(BS_Cash,1,5)-INDEX(WC_RMI_Inventory,1,5))/INDEX(IS_EBITDA,1,5),0)&lt;3,"PASS","FAIL")</f>
        <v/>
      </c>
    </row>
    <row r="17">
      <c r="A17" s="4" t="n"/>
      <c r="B17" s="6" t="inlineStr">
        <is>
          <t>RMI &lt;= Total Inventory</t>
        </is>
      </c>
      <c r="C17" s="43">
        <f>""</f>
        <v/>
      </c>
      <c r="D17" s="43">
        <f>IF(INDEX(WC_RMI_Inventory,1,1)&lt;=INDEX(WC_Inventory,1,1)+1,"PASS","FAIL")</f>
        <v/>
      </c>
      <c r="E17" s="43">
        <f>IF(INDEX(WC_RMI_Inventory,1,2)&lt;=INDEX(WC_Inventory,1,2)+1,"PASS","FAIL")</f>
        <v/>
      </c>
      <c r="F17" s="43">
        <f>IF(INDEX(WC_RMI_Inventory,1,3)&lt;=INDEX(WC_Inventory,1,3)+1,"PASS","FAIL")</f>
        <v/>
      </c>
      <c r="G17" s="43">
        <f>IF(INDEX(WC_RMI_Inventory,1,4)&lt;=INDEX(WC_Inventory,1,4)+1,"PASS","FAIL")</f>
        <v/>
      </c>
      <c r="H17" s="43">
        <f>IF(INDEX(WC_RMI_Inventory,1,5)&lt;=INDEX(WC_Inventory,1,5)+1,"PASS","FAIL")</f>
        <v/>
      </c>
    </row>
    <row r="18">
      <c r="A18" s="4" t="n"/>
      <c r="B18" s="6" t="inlineStr">
        <is>
          <t>Gross Margin in 1-5%</t>
        </is>
      </c>
      <c r="C18" s="43">
        <f>""</f>
        <v/>
      </c>
      <c r="D18" s="43">
        <f>IF(AND(IFERROR(INDEX(IS_Gross_Profit,1,1)/INDEX(IS_Revenue,1,1),0)&gt;=0.01,IFERROR(INDEX(IS_Gross_Profit,1,1)/INDEX(IS_Revenue,1,1),0)&lt;=0.05),"PASS","FAIL")</f>
        <v/>
      </c>
      <c r="E18" s="43">
        <f>IF(AND(IFERROR(INDEX(IS_Gross_Profit,1,2)/INDEX(IS_Revenue,1,2),0)&gt;=0.01,IFERROR(INDEX(IS_Gross_Profit,1,2)/INDEX(IS_Revenue,1,2),0)&lt;=0.05),"PASS","FAIL")</f>
        <v/>
      </c>
      <c r="F18" s="43">
        <f>IF(AND(IFERROR(INDEX(IS_Gross_Profit,1,3)/INDEX(IS_Revenue,1,3),0)&gt;=0.01,IFERROR(INDEX(IS_Gross_Profit,1,3)/INDEX(IS_Revenue,1,3),0)&lt;=0.05),"PASS","FAIL")</f>
        <v/>
      </c>
      <c r="G18" s="43">
        <f>IF(AND(IFERROR(INDEX(IS_Gross_Profit,1,4)/INDEX(IS_Revenue,1,4),0)&gt;=0.01,IFERROR(INDEX(IS_Gross_Profit,1,4)/INDEX(IS_Revenue,1,4),0)&lt;=0.05),"PASS","FAIL")</f>
        <v/>
      </c>
      <c r="H18" s="43">
        <f>IF(AND(IFERROR(INDEX(IS_Gross_Profit,1,5)/INDEX(IS_Revenue,1,5),0)&gt;=0.01,IFERROR(INDEX(IS_Gross_Profit,1,5)/INDEX(IS_Revenue,1,5),0)&lt;=0.05),"PASS","FAIL")</f>
        <v/>
      </c>
    </row>
    <row r="19">
      <c r="A19" s="4" t="n"/>
      <c r="B19" s="6" t="inlineStr">
        <is>
          <t>Cash &gt;= 0</t>
        </is>
      </c>
      <c r="C19" s="43">
        <f>""</f>
        <v/>
      </c>
      <c r="D19" s="43">
        <f>IF(INDEX(CF_Closing_Cash,1,1)&gt;=0,"PASS","FAIL")</f>
        <v/>
      </c>
      <c r="E19" s="43">
        <f>IF(INDEX(CF_Closing_Cash,1,2)&gt;=0,"PASS","FAIL")</f>
        <v/>
      </c>
      <c r="F19" s="43">
        <f>IF(INDEX(CF_Closing_Cash,1,3)&gt;=0,"PASS","FAIL")</f>
        <v/>
      </c>
      <c r="G19" s="43">
        <f>IF(INDEX(CF_Closing_Cash,1,4)&gt;=0,"PASS","FAIL")</f>
        <v/>
      </c>
      <c r="H19" s="43">
        <f>IF(INDEX(CF_Closing_Cash,1,5)&gt;=0,"PASS","FAIL")</f>
        <v/>
      </c>
    </row>
    <row r="20">
      <c r="A20" s="4" t="n"/>
      <c r="B20" s="4" t="n"/>
      <c r="C20" s="4" t="n"/>
      <c r="D20" s="4" t="n"/>
      <c r="E20" s="4" t="n"/>
      <c r="F20" s="4" t="n"/>
      <c r="G20" s="4" t="n"/>
      <c r="H20" s="4" t="n"/>
    </row>
    <row r="21">
      <c r="A21" s="4" t="n"/>
      <c r="B21" s="5" t="inlineStr">
        <is>
          <t>ALL CHECKS PASS</t>
        </is>
      </c>
      <c r="C21" s="44">
        <f>IF(AND(C9="PASS",C10="PASS"),"PASS","FAIL")</f>
        <v/>
      </c>
      <c r="D21" s="44">
        <f>IF(AND(D9="PASS",D11="PASS",D12="PASS",D13="PASS",D14="PASS",D15="PASS",D16="PASS",D17="PASS",D18="PASS",D19="PASS"),"PASS","FAIL")</f>
        <v/>
      </c>
      <c r="E21" s="44">
        <f>IF(AND(E9="PASS",E11="PASS",E12="PASS",E13="PASS",E14="PASS",E15="PASS",E16="PASS",E17="PASS",E18="PASS",E19="PASS"),"PASS","FAIL")</f>
        <v/>
      </c>
      <c r="F21" s="44">
        <f>IF(AND(F9="PASS",F11="PASS",F12="PASS",F13="PASS",F14="PASS",F15="PASS",F16="PASS",F17="PASS",F18="PASS",F19="PASS"),"PASS","FAIL")</f>
        <v/>
      </c>
      <c r="G21" s="44">
        <f>IF(AND(G9="PASS",G11="PASS",G12="PASS",G13="PASS",G14="PASS",G15="PASS",G16="PASS",G17="PASS",G18="PASS",G19="PASS"),"PASS","FAIL")</f>
        <v/>
      </c>
      <c r="H21" s="44">
        <f>IF(AND(H9="PASS",H11="PASS",H12="PASS",H13="PASS",H14="PASS",H15="PASS",H16="PASS",H17="PASS",H18="PASS",H19="PASS"),"PASS","FAIL")</f>
        <v/>
      </c>
    </row>
  </sheetData>
  <pageMargins left="0.75" right="0.75" top="1" bottom="1" header="0.5" footer="0.5"/>
</worksheet>
</file>

<file path=xl/worksheets/sheet14.xml><?xml version="1.0" encoding="utf-8"?>
<worksheet xmlns="http://schemas.openxmlformats.org/spreadsheetml/2006/main">
  <sheetPr>
    <outlinePr summaryBelow="1" summaryRight="1"/>
    <pageSetUpPr/>
  </sheetPr>
  <dimension ref="B2:B28"/>
  <sheetViews>
    <sheetView showGridLines="0" workbookViewId="0">
      <selection activeCell="A1" sqref="A1"/>
    </sheetView>
  </sheetViews>
  <sheetFormatPr baseColWidth="8" defaultRowHeight="15"/>
  <cols>
    <col width="2" customWidth="1" min="1" max="1"/>
    <col width="90" customWidth="1" min="2" max="2"/>
    <col width="2" customWidth="1" min="3" max="3"/>
  </cols>
  <sheetData>
    <row r="2" ht="32" customHeight="1">
      <c r="B2" s="45" t="inlineStr">
        <is>
          <t>Disclaimer, Copyright &amp; License</t>
        </is>
      </c>
    </row>
    <row r="3" ht="4" customHeight="1">
      <c r="B3" s="46" t="n"/>
    </row>
    <row r="5" ht="20" customHeight="1">
      <c r="B5" s="47" t="inlineStr">
        <is>
          <t>Disclaimer</t>
        </is>
      </c>
    </row>
    <row r="6" ht="48" customHeight="1">
      <c r="B6" s="48" t="inlineStr">
        <is>
          <t>This financial model ("the Model") is provided by Finamodel for illustrative and educational purposes only. It is a template — not a finished analysis, valuation, recommendation, or solicitation to buy, sell, or hold any security, asset, or financial instrument.</t>
        </is>
      </c>
    </row>
    <row r="8" ht="20" customHeight="1">
      <c r="B8" s="47" t="inlineStr">
        <is>
          <t>No investment advice</t>
        </is>
      </c>
    </row>
    <row r="9" ht="62" customHeight="1">
      <c r="B9" s="48" t="inlineStr">
        <is>
          <t>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is>
      </c>
    </row>
    <row r="11" ht="20" customHeight="1">
      <c r="B11" s="47" t="inlineStr">
        <is>
          <t>No warranty</t>
        </is>
      </c>
    </row>
    <row r="12" ht="76" customHeight="1">
      <c r="B12" s="48" t="inlineStr">
        <is>
          <t>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is>
      </c>
    </row>
    <row r="14" ht="20" customHeight="1">
      <c r="B14" s="47" t="inlineStr">
        <is>
          <t>Limitation of liability</t>
        </is>
      </c>
    </row>
    <row r="15" ht="62" customHeight="1">
      <c r="B15" s="48" t="inlineStr">
        <is>
          <t>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is>
      </c>
    </row>
    <row r="17" ht="20" customHeight="1">
      <c r="B17" s="47" t="inlineStr">
        <is>
          <t>Forward-looking statements</t>
        </is>
      </c>
    </row>
    <row r="18" ht="34" customHeight="1">
      <c r="B18" s="48" t="inlineStr">
        <is>
          <t>Any projections, forecasts, or scenarios are hypothetical, based on assumptions that may not materialize, and do not represent guaranteed outcomes.</t>
        </is>
      </c>
    </row>
    <row r="20" ht="20" customHeight="1">
      <c r="B20" s="47" t="inlineStr">
        <is>
          <t>Third-party data</t>
        </is>
      </c>
    </row>
    <row r="21" ht="34" customHeight="1">
      <c r="B21" s="48" t="inlineStr">
        <is>
          <t>Where the Model references market data, comparables, or macro indicators, such data is sourced from third parties believed to be reliable but is not independently verified.</t>
        </is>
      </c>
    </row>
    <row r="23" ht="22" customHeight="1">
      <c r="B23" s="49" t="inlineStr">
        <is>
          <t>Copyright © 2026 Finamodel. All rights reserved.</t>
        </is>
      </c>
    </row>
    <row r="25" ht="18" customHeight="1">
      <c r="B25" s="50" t="inlineStr">
        <is>
          <t>License — MIT</t>
        </is>
      </c>
    </row>
    <row r="26" ht="202" customHeight="1">
      <c r="B26" s="51" t="inlineStr">
        <is>
          <t>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is>
      </c>
    </row>
    <row r="28" ht="18" customHeight="1">
      <c r="B28" s="52" t="inlineStr">
        <is>
          <t>Finamodel — github.com/alextapio/finamodel</t>
        </is>
      </c>
    </row>
  </sheetData>
  <printOptions horizontalCentered="1"/>
  <pageMargins left="0.4" right="0.4" top="1" bottom="1" header="0.5" footer="0.5"/>
  <pageSetup orientation="portrait" fitToHeight="1" fitToWidth="1"/>
</worksheet>
</file>

<file path=xl/worksheets/sheet2.xml><?xml version="1.0" encoding="utf-8"?>
<worksheet xmlns="http://schemas.openxmlformats.org/spreadsheetml/2006/main">
  <sheetPr>
    <tabColor rgb="005B9BD5"/>
    <outlinePr summaryBelow="1" summaryRight="1"/>
    <pageSetUpPr/>
  </sheetPr>
  <dimension ref="A1:AD85"/>
  <sheetViews>
    <sheetView showGridLines="0" workbookViewId="0">
      <selection activeCell="A1" sqref="A1"/>
    </sheetView>
  </sheetViews>
  <sheetFormatPr baseColWidth="8" defaultRowHeight="15"/>
  <cols>
    <col width="3" customWidth="1" min="1" max="1"/>
    <col width="35" customWidth="1" min="2" max="2"/>
    <col width="18" customWidth="1" min="3" max="3"/>
    <col width="12" customWidth="1" min="4" max="4"/>
    <col width="45" customWidth="1" min="5" max="5"/>
  </cols>
  <sheetData>
    <row r="1">
      <c r="A1" s="1" t="n"/>
      <c r="B1" s="1" t="n"/>
      <c r="C1" s="1" t="n"/>
      <c r="D1" s="1" t="n"/>
      <c r="E1" s="1" t="n"/>
      <c r="F1" s="2" t="n"/>
      <c r="G1" s="2" t="n"/>
      <c r="H1" s="2" t="n"/>
      <c r="I1" s="2" t="n"/>
      <c r="J1" s="2" t="n"/>
      <c r="K1" s="2" t="n"/>
      <c r="L1" s="2" t="n"/>
      <c r="M1" s="2" t="n"/>
      <c r="N1" s="2" t="n"/>
      <c r="O1" s="2" t="n"/>
      <c r="P1" s="2" t="n"/>
      <c r="Q1" s="2" t="n"/>
      <c r="R1" s="2" t="n"/>
      <c r="S1" s="2" t="n"/>
      <c r="T1" s="2" t="n"/>
      <c r="U1" s="2" t="n"/>
      <c r="V1" s="2" t="n"/>
      <c r="W1" s="2" t="n"/>
      <c r="X1" s="2" t="n"/>
      <c r="Y1" s="2" t="n"/>
      <c r="Z1" s="2" t="n"/>
      <c r="AA1" s="2" t="n"/>
      <c r="AB1" s="2" t="n"/>
      <c r="AC1" s="2" t="n"/>
      <c r="AD1" s="2" t="n"/>
    </row>
    <row r="2" ht="21.75" customHeight="1">
      <c r="A2" s="1" t="n"/>
      <c r="B2" s="1" t="n"/>
      <c r="C2" s="1" t="n"/>
      <c r="D2" s="1" t="n"/>
      <c r="E2" s="1" t="n"/>
      <c r="F2" s="2" t="n"/>
      <c r="G2" s="2" t="n"/>
      <c r="H2" s="2" t="n"/>
      <c r="I2" s="2" t="n"/>
      <c r="J2" s="2" t="n"/>
      <c r="K2" s="2" t="n"/>
      <c r="L2" s="2" t="n"/>
      <c r="M2" s="2" t="n"/>
      <c r="N2" s="2" t="n"/>
      <c r="O2" s="2" t="n"/>
      <c r="P2" s="2" t="n"/>
      <c r="Q2" s="2" t="n"/>
      <c r="R2" s="2" t="n"/>
      <c r="S2" s="2" t="n"/>
      <c r="T2" s="2" t="n"/>
      <c r="U2" s="2" t="n"/>
      <c r="V2" s="2" t="n"/>
      <c r="W2" s="2" t="n"/>
      <c r="X2" s="2" t="n"/>
      <c r="Y2" s="2" t="n"/>
      <c r="Z2" s="2" t="n"/>
      <c r="AA2" s="2" t="n"/>
      <c r="AB2" s="2" t="n"/>
      <c r="AC2" s="2" t="n"/>
      <c r="AD2" s="2" t="n"/>
    </row>
    <row r="3">
      <c r="A3" s="1" t="n"/>
      <c r="B3" s="1" t="n"/>
      <c r="C3" s="1" t="n"/>
      <c r="D3" s="1" t="n"/>
      <c r="E3" s="1" t="n"/>
      <c r="F3" s="2" t="n"/>
      <c r="G3" s="2" t="n"/>
      <c r="H3" s="2" t="n"/>
      <c r="I3" s="2" t="n"/>
      <c r="J3" s="2" t="n"/>
      <c r="K3" s="2" t="n"/>
      <c r="L3" s="2" t="n"/>
      <c r="M3" s="2" t="n"/>
      <c r="N3" s="2" t="n"/>
      <c r="O3" s="2" t="n"/>
      <c r="P3" s="2" t="n"/>
      <c r="Q3" s="2" t="n"/>
      <c r="R3" s="2" t="n"/>
      <c r="S3" s="2" t="n"/>
      <c r="T3" s="2" t="n"/>
      <c r="U3" s="2" t="n"/>
      <c r="V3" s="2" t="n"/>
      <c r="W3" s="2" t="n"/>
      <c r="X3" s="2" t="n"/>
      <c r="Y3" s="2" t="n"/>
      <c r="Z3" s="2" t="n"/>
      <c r="AA3" s="2" t="n"/>
      <c r="AB3" s="2" t="n"/>
      <c r="AC3" s="2" t="n"/>
      <c r="AD3" s="2" t="n"/>
    </row>
    <row r="4">
      <c r="A4" s="4" t="n"/>
      <c r="B4" s="4" t="n"/>
      <c r="C4" s="4" t="n"/>
      <c r="D4" s="4" t="n"/>
      <c r="E4" s="4" t="n"/>
    </row>
    <row r="5">
      <c r="A5" s="4" t="n"/>
      <c r="B5" s="4" t="n"/>
      <c r="C5" s="4" t="n"/>
      <c r="D5" s="4" t="n"/>
      <c r="E5" s="4" t="n"/>
    </row>
    <row r="6">
      <c r="A6" s="4" t="n"/>
      <c r="B6" s="20" t="inlineStr">
        <is>
          <t>Parameter</t>
        </is>
      </c>
      <c r="C6" s="20" t="inlineStr">
        <is>
          <t>Value</t>
        </is>
      </c>
      <c r="D6" s="20" t="inlineStr">
        <is>
          <t>Unit</t>
        </is>
      </c>
      <c r="E6" s="20" t="inlineStr">
        <is>
          <t>Notes</t>
        </is>
      </c>
    </row>
    <row r="7">
      <c r="A7" s="4" t="n"/>
      <c r="B7" s="4" t="n"/>
      <c r="C7" s="4" t="n"/>
      <c r="D7" s="4" t="n"/>
      <c r="E7" s="4" t="n"/>
    </row>
    <row r="8">
      <c r="A8" s="4" t="n"/>
      <c r="B8" s="7" t="inlineStr">
        <is>
          <t>General</t>
        </is>
      </c>
      <c r="C8" s="7" t="n"/>
      <c r="D8" s="7" t="n"/>
      <c r="E8" s="7" t="n"/>
    </row>
    <row r="9">
      <c r="A9" s="4" t="n"/>
      <c r="B9" s="6" t="inlineStr">
        <is>
          <t>Model Start Year</t>
        </is>
      </c>
      <c r="C9" s="21" t="n">
        <v>2026</v>
      </c>
      <c r="D9" s="22" t="inlineStr"/>
      <c r="E9" s="22" t="inlineStr">
        <is>
          <t>First projection year</t>
        </is>
      </c>
    </row>
    <row r="10">
      <c r="A10" s="4" t="n"/>
      <c r="B10" s="4" t="n"/>
      <c r="C10" s="4" t="n"/>
      <c r="D10" s="4" t="n"/>
      <c r="E10" s="4" t="n"/>
    </row>
    <row r="11">
      <c r="A11" s="4" t="n"/>
      <c r="B11" s="7" t="inlineStr">
        <is>
          <t>Volume &amp; Pricing — by segment</t>
        </is>
      </c>
      <c r="C11" s="7" t="n"/>
      <c r="D11" s="7" t="n"/>
      <c r="E11" s="7" t="n"/>
    </row>
    <row r="12">
      <c r="A12" s="4" t="n"/>
      <c r="B12" s="6" t="inlineStr">
        <is>
          <t>Energy Volume (Y1)</t>
        </is>
      </c>
      <c r="C12" s="21" t="n">
        <v>25000000</v>
      </c>
      <c r="D12" s="22" t="inlineStr">
        <is>
          <t>MT</t>
        </is>
      </c>
      <c r="E12" s="22" t="inlineStr">
        <is>
          <t>Crude, refined, LNG blend</t>
        </is>
      </c>
    </row>
    <row r="13">
      <c r="A13" s="4" t="n"/>
      <c r="B13" s="6" t="inlineStr">
        <is>
          <t>Metals Volume (Y1)</t>
        </is>
      </c>
      <c r="C13" s="21" t="n">
        <v>15000000</v>
      </c>
      <c r="D13" s="22" t="inlineStr">
        <is>
          <t>MT</t>
        </is>
      </c>
      <c r="E13" s="22" t="inlineStr">
        <is>
          <t>Base + transition metals</t>
        </is>
      </c>
    </row>
    <row r="14">
      <c r="A14" s="4" t="n"/>
      <c r="B14" s="6" t="inlineStr">
        <is>
          <t>Agriculture Volume (Y1)</t>
        </is>
      </c>
      <c r="C14" s="21" t="n">
        <v>10000000</v>
      </c>
      <c r="D14" s="22" t="inlineStr">
        <is>
          <t>MT</t>
        </is>
      </c>
      <c r="E14" s="22" t="inlineStr">
        <is>
          <t>Grains, oilseeds, softs</t>
        </is>
      </c>
    </row>
    <row r="15">
      <c r="A15" s="4" t="n"/>
      <c r="B15" s="6" t="inlineStr">
        <is>
          <t>Volume Growth Rate</t>
        </is>
      </c>
      <c r="C15" s="23" t="n">
        <v>0.03</v>
      </c>
      <c r="D15" s="22" t="inlineStr">
        <is>
          <t>%/yr</t>
        </is>
      </c>
      <c r="E15" s="22" t="inlineStr">
        <is>
          <t>Blended growth</t>
        </is>
      </c>
    </row>
    <row r="16">
      <c r="A16" s="4" t="n"/>
      <c r="B16" s="6" t="inlineStr">
        <is>
          <t>Energy Price (Y1)</t>
        </is>
      </c>
      <c r="C16" s="21" t="n">
        <v>750</v>
      </c>
      <c r="D16" s="22" t="inlineStr">
        <is>
          <t>$/MT</t>
        </is>
      </c>
      <c r="E16" s="22" t="inlineStr">
        <is>
          <t>Blended Brent/LNG benchmark</t>
        </is>
      </c>
    </row>
    <row r="17">
      <c r="A17" s="4" t="n"/>
      <c r="B17" s="6" t="inlineStr">
        <is>
          <t>Metals Price (Y1)</t>
        </is>
      </c>
      <c r="C17" s="21" t="n">
        <v>500</v>
      </c>
      <c r="D17" s="22" t="inlineStr">
        <is>
          <t>$/MT</t>
        </is>
      </c>
      <c r="E17" s="22" t="inlineStr">
        <is>
          <t>LME blended</t>
        </is>
      </c>
    </row>
    <row r="18">
      <c r="A18" s="4" t="n"/>
      <c r="B18" s="6" t="inlineStr">
        <is>
          <t>Agriculture Price (Y1)</t>
        </is>
      </c>
      <c r="C18" s="21" t="n">
        <v>400</v>
      </c>
      <c r="D18" s="22" t="inlineStr">
        <is>
          <t>$/MT</t>
        </is>
      </c>
      <c r="E18" s="22" t="inlineStr">
        <is>
          <t>CBOT blended</t>
        </is>
      </c>
    </row>
    <row r="19">
      <c r="A19" s="4" t="n"/>
      <c r="B19" s="6" t="inlineStr">
        <is>
          <t>Price Escalation</t>
        </is>
      </c>
      <c r="C19" s="23" t="n">
        <v>0.02</v>
      </c>
      <c r="D19" s="22" t="inlineStr">
        <is>
          <t>%/yr</t>
        </is>
      </c>
      <c r="E19" s="22" t="inlineStr">
        <is>
          <t>Inflation-linked</t>
        </is>
      </c>
    </row>
    <row r="20">
      <c r="A20" s="4" t="n"/>
      <c r="B20" s="6" t="inlineStr">
        <is>
          <t>Energy Margin / Tonne</t>
        </is>
      </c>
      <c r="C20" s="21" t="n">
        <v>14</v>
      </c>
      <c r="D20" s="22" t="inlineStr">
        <is>
          <t>$/MT</t>
        </is>
      </c>
      <c r="E20" s="22" t="inlineStr">
        <is>
          <t>Widest arb in energy</t>
        </is>
      </c>
    </row>
    <row r="21">
      <c r="A21" s="4" t="n"/>
      <c r="B21" s="6" t="inlineStr">
        <is>
          <t>Metals Margin / Tonne</t>
        </is>
      </c>
      <c r="C21" s="21" t="n">
        <v>12</v>
      </c>
      <c r="D21" s="22" t="inlineStr">
        <is>
          <t>$/MT</t>
        </is>
      </c>
      <c r="E21" s="22" t="inlineStr">
        <is>
          <t>Base metals + transition</t>
        </is>
      </c>
    </row>
    <row r="22">
      <c r="A22" s="4" t="n"/>
      <c r="B22" s="6" t="inlineStr">
        <is>
          <t>Agri Margin / Tonne</t>
        </is>
      </c>
      <c r="C22" s="21" t="n">
        <v>10</v>
      </c>
      <c r="D22" s="22" t="inlineStr">
        <is>
          <t>$/MT</t>
        </is>
      </c>
      <c r="E22" s="22" t="inlineStr">
        <is>
          <t>Competitive grain markets</t>
        </is>
      </c>
    </row>
    <row r="23">
      <c r="A23" s="4" t="n"/>
      <c r="B23" s="6" t="inlineStr">
        <is>
          <t>Margin Stress Band</t>
        </is>
      </c>
      <c r="C23" s="23" t="n">
        <v>0.3</v>
      </c>
      <c r="D23" s="22" t="inlineStr">
        <is>
          <t>%</t>
        </is>
      </c>
      <c r="E23" s="22" t="inlineStr">
        <is>
          <t>Downside/upside applied to margin/MT</t>
        </is>
      </c>
    </row>
    <row r="24">
      <c r="A24" s="4" t="n"/>
      <c r="B24" s="6" t="inlineStr">
        <is>
          <t>Price Shock (Stress)</t>
        </is>
      </c>
      <c r="C24" s="23" t="n">
        <v>-0.2</v>
      </c>
      <c r="D24" s="22" t="inlineStr">
        <is>
          <t>%</t>
        </is>
      </c>
      <c r="E24" s="22" t="inlineStr">
        <is>
          <t>Stress price applied to revenue only</t>
        </is>
      </c>
    </row>
    <row r="25">
      <c r="A25" s="4" t="n"/>
      <c r="B25" s="4" t="n"/>
      <c r="C25" s="4" t="n"/>
      <c r="D25" s="4" t="n"/>
      <c r="E25" s="4" t="n"/>
    </row>
    <row r="26">
      <c r="A26" s="4" t="n"/>
      <c r="B26" s="7" t="inlineStr">
        <is>
          <t>Working Capital</t>
        </is>
      </c>
      <c r="C26" s="7" t="n"/>
      <c r="D26" s="7" t="n"/>
      <c r="E26" s="7" t="n"/>
    </row>
    <row r="27">
      <c r="A27" s="4" t="n"/>
      <c r="B27" s="6" t="inlineStr">
        <is>
          <t>Days Sales Outstanding</t>
        </is>
      </c>
      <c r="C27" s="21" t="n">
        <v>30</v>
      </c>
      <c r="D27" s="22" t="inlineStr">
        <is>
          <t>Days</t>
        </is>
      </c>
      <c r="E27" s="22" t="inlineStr">
        <is>
          <t>AR/Revenue × 365</t>
        </is>
      </c>
    </row>
    <row r="28">
      <c r="A28" s="4" t="n"/>
      <c r="B28" s="6" t="inlineStr">
        <is>
          <t>Days Inventory Outstanding</t>
        </is>
      </c>
      <c r="C28" s="21" t="n">
        <v>25</v>
      </c>
      <c r="D28" s="22" t="inlineStr">
        <is>
          <t>Days</t>
        </is>
      </c>
      <c r="E28" s="22" t="inlineStr">
        <is>
          <t>Inv/COGS × 365</t>
        </is>
      </c>
    </row>
    <row r="29">
      <c r="A29" s="4" t="n"/>
      <c r="B29" s="6" t="inlineStr">
        <is>
          <t>Days Payable Outstanding</t>
        </is>
      </c>
      <c r="C29" s="21" t="n">
        <v>20</v>
      </c>
      <c r="D29" s="22" t="inlineStr">
        <is>
          <t>Days</t>
        </is>
      </c>
      <c r="E29" s="22" t="inlineStr">
        <is>
          <t>AP/COGS × 365</t>
        </is>
      </c>
    </row>
    <row r="30">
      <c r="A30" s="4" t="n"/>
      <c r="B30" s="6" t="inlineStr">
        <is>
          <t>RMI % of Inventory</t>
        </is>
      </c>
      <c r="C30" s="23" t="n">
        <v>0.6</v>
      </c>
      <c r="D30" s="22" t="inlineStr">
        <is>
          <t>%</t>
        </is>
      </c>
      <c r="E30" s="22" t="inlineStr">
        <is>
          <t>Readily marketable; only RMI in BB</t>
        </is>
      </c>
    </row>
    <row r="31">
      <c r="A31" s="4" t="n"/>
      <c r="B31" s="4" t="n"/>
      <c r="C31" s="4" t="n"/>
      <c r="D31" s="4" t="n"/>
      <c r="E31" s="4" t="n"/>
    </row>
    <row r="32">
      <c r="A32" s="4" t="n"/>
      <c r="B32" s="7" t="inlineStr">
        <is>
          <t>Borrowing Base &amp; Trade Finance</t>
        </is>
      </c>
      <c r="C32" s="7" t="n"/>
      <c r="D32" s="7" t="n"/>
      <c r="E32" s="7" t="n"/>
    </row>
    <row r="33">
      <c r="A33" s="4" t="n"/>
      <c r="B33" s="6" t="inlineStr">
        <is>
          <t>Receivables Advance Rate</t>
        </is>
      </c>
      <c r="C33" s="23" t="n">
        <v>0.85</v>
      </c>
      <c r="D33" s="22" t="inlineStr">
        <is>
          <t>%</t>
        </is>
      </c>
      <c r="E33" s="22" t="inlineStr">
        <is>
          <t>Banking haircut</t>
        </is>
      </c>
    </row>
    <row r="34">
      <c r="A34" s="4" t="n"/>
      <c r="B34" s="6" t="inlineStr">
        <is>
          <t>RMI Inventory Advance Rate</t>
        </is>
      </c>
      <c r="C34" s="23" t="n">
        <v>0.8</v>
      </c>
      <c r="D34" s="22" t="inlineStr">
        <is>
          <t>%</t>
        </is>
      </c>
      <c r="E34" s="22" t="inlineStr">
        <is>
          <t>Hedged RMI only</t>
        </is>
      </c>
    </row>
    <row r="35">
      <c r="A35" s="4" t="n"/>
      <c r="B35" s="6" t="inlineStr">
        <is>
          <t>Trade Finance Rate</t>
        </is>
      </c>
      <c r="C35" s="23" t="n">
        <v>0.065</v>
      </c>
      <c r="D35" s="22" t="inlineStr">
        <is>
          <t>%</t>
        </is>
      </c>
      <c r="E35" s="22" t="inlineStr">
        <is>
          <t>SOFR + 150 bps</t>
        </is>
      </c>
    </row>
    <row r="36">
      <c r="A36" s="4" t="n"/>
      <c r="B36" s="6" t="inlineStr">
        <is>
          <t>Commitment Fee Rate</t>
        </is>
      </c>
      <c r="C36" s="23" t="n">
        <v>0.005</v>
      </c>
      <c r="D36" s="22" t="inlineStr">
        <is>
          <t>%</t>
        </is>
      </c>
      <c r="E36" s="22" t="inlineStr">
        <is>
          <t>On undrawn facility</t>
        </is>
      </c>
    </row>
    <row r="37">
      <c r="A37" s="4" t="n"/>
      <c r="B37" s="6" t="inlineStr">
        <is>
          <t>Facility Ceiling</t>
        </is>
      </c>
      <c r="C37" s="21" t="n">
        <v>5000000000</v>
      </c>
      <c r="D37" s="22" t="inlineStr">
        <is>
          <t>$</t>
        </is>
      </c>
      <c r="E37" s="22" t="inlineStr">
        <is>
          <t>Hard cap on TF drawn</t>
        </is>
      </c>
    </row>
    <row r="38">
      <c r="A38" s="4" t="n"/>
      <c r="B38" s="4" t="n"/>
      <c r="C38" s="4" t="n"/>
      <c r="D38" s="4" t="n"/>
      <c r="E38" s="4" t="n"/>
    </row>
    <row r="39">
      <c r="A39" s="4" t="n"/>
      <c r="B39" s="7" t="inlineStr">
        <is>
          <t>Corporate Term Loan</t>
        </is>
      </c>
      <c r="C39" s="7" t="n"/>
      <c r="D39" s="7" t="n"/>
      <c r="E39" s="7" t="n"/>
    </row>
    <row r="40">
      <c r="A40" s="4" t="n"/>
      <c r="B40" s="6" t="inlineStr">
        <is>
          <t>Opening Corporate Debt</t>
        </is>
      </c>
      <c r="C40" s="21" t="n">
        <v>200000000</v>
      </c>
      <c r="D40" s="22" t="inlineStr">
        <is>
          <t>$</t>
        </is>
      </c>
      <c r="E40" s="22" t="inlineStr">
        <is>
          <t>Drawn at Day 0</t>
        </is>
      </c>
    </row>
    <row r="41">
      <c r="A41" s="4" t="n"/>
      <c r="B41" s="6" t="inlineStr">
        <is>
          <t>Corporate Debt Rate</t>
        </is>
      </c>
      <c r="C41" s="23" t="n">
        <v>0.0775</v>
      </c>
      <c r="D41" s="22" t="inlineStr">
        <is>
          <t>%</t>
        </is>
      </c>
      <c r="E41" s="22" t="inlineStr">
        <is>
          <t>SOFR + 250 bps</t>
        </is>
      </c>
    </row>
    <row r="42">
      <c r="A42" s="4" t="n"/>
      <c r="B42" s="6" t="inlineStr">
        <is>
          <t>Corporate Debt Tenor</t>
        </is>
      </c>
      <c r="C42" s="21" t="n">
        <v>7</v>
      </c>
      <c r="D42" s="22" t="inlineStr">
        <is>
          <t>Years</t>
        </is>
      </c>
      <c r="E42" s="22" t="inlineStr">
        <is>
          <t>Straight-line amortisation</t>
        </is>
      </c>
    </row>
    <row r="43">
      <c r="A43" s="4" t="n"/>
      <c r="B43" s="4" t="n"/>
      <c r="C43" s="4" t="n"/>
      <c r="D43" s="4" t="n"/>
      <c r="E43" s="4" t="n"/>
    </row>
    <row r="44">
      <c r="A44" s="4" t="n"/>
      <c r="B44" s="7" t="inlineStr">
        <is>
          <t>Opex &amp; Staffing</t>
        </is>
      </c>
      <c r="C44" s="7" t="n"/>
      <c r="D44" s="7" t="n"/>
      <c r="E44" s="7" t="n"/>
    </row>
    <row r="45">
      <c r="A45" s="4" t="n"/>
      <c r="B45" s="6" t="inlineStr">
        <is>
          <t>Headcount</t>
        </is>
      </c>
      <c r="C45" s="21" t="n">
        <v>500</v>
      </c>
      <c r="D45" s="22" t="inlineStr">
        <is>
          <t>FTEs</t>
        </is>
      </c>
      <c r="E45" s="22" t="inlineStr"/>
    </row>
    <row r="46">
      <c r="A46" s="4" t="n"/>
      <c r="B46" s="6" t="inlineStr">
        <is>
          <t>Average Salary</t>
        </is>
      </c>
      <c r="C46" s="21" t="n">
        <v>180000</v>
      </c>
      <c r="D46" s="22" t="inlineStr">
        <is>
          <t>$/FTE/yr</t>
        </is>
      </c>
      <c r="E46" s="22" t="inlineStr">
        <is>
          <t>Including benefits</t>
        </is>
      </c>
    </row>
    <row r="47">
      <c r="A47" s="4" t="n"/>
      <c r="B47" s="6" t="inlineStr">
        <is>
          <t>IT &amp; Systems (Y1)</t>
        </is>
      </c>
      <c r="C47" s="21" t="n">
        <v>50000000</v>
      </c>
      <c r="D47" s="22" t="inlineStr">
        <is>
          <t>$</t>
        </is>
      </c>
      <c r="E47" s="22" t="inlineStr">
        <is>
          <t>ETRM platforms</t>
        </is>
      </c>
    </row>
    <row r="48">
      <c r="A48" s="4" t="n"/>
      <c r="B48" s="6" t="inlineStr">
        <is>
          <t>Office &amp; Rent (Y1)</t>
        </is>
      </c>
      <c r="C48" s="21" t="n">
        <v>25000000</v>
      </c>
      <c r="D48" s="22" t="inlineStr">
        <is>
          <t>$</t>
        </is>
      </c>
      <c r="E48" s="22" t="inlineStr">
        <is>
          <t>Global offices</t>
        </is>
      </c>
    </row>
    <row r="49">
      <c r="A49" s="4" t="n"/>
      <c r="B49" s="6" t="inlineStr">
        <is>
          <t>Other G&amp;A (Y1)</t>
        </is>
      </c>
      <c r="C49" s="21" t="n">
        <v>35000000</v>
      </c>
      <c r="D49" s="22" t="inlineStr">
        <is>
          <t>$</t>
        </is>
      </c>
      <c r="E49" s="22" t="inlineStr">
        <is>
          <t>Travel, compliance, audit</t>
        </is>
      </c>
    </row>
    <row r="50">
      <c r="A50" s="4" t="n"/>
      <c r="B50" s="6" t="inlineStr">
        <is>
          <t>Bonus Pool %</t>
        </is>
      </c>
      <c r="C50" s="23" t="n">
        <v>0.2</v>
      </c>
      <c r="D50" s="22" t="inlineStr">
        <is>
          <t>% of pre-bonus OP</t>
        </is>
      </c>
      <c r="E50" s="22" t="inlineStr">
        <is>
          <t>Trading bonus accrual</t>
        </is>
      </c>
    </row>
    <row r="51">
      <c r="A51" s="4" t="n"/>
      <c r="B51" s="6" t="inlineStr">
        <is>
          <t>OpEx Escalation</t>
        </is>
      </c>
      <c r="C51" s="23" t="n">
        <v>0.03</v>
      </c>
      <c r="D51" s="22" t="inlineStr">
        <is>
          <t>%/yr</t>
        </is>
      </c>
      <c r="E51" s="22" t="inlineStr">
        <is>
          <t>Salary and cost inflation</t>
        </is>
      </c>
    </row>
    <row r="52">
      <c r="A52" s="4" t="n"/>
      <c r="B52" s="4" t="n"/>
      <c r="C52" s="4" t="n"/>
      <c r="D52" s="4" t="n"/>
      <c r="E52" s="4" t="n"/>
    </row>
    <row r="53">
      <c r="A53" s="4" t="n"/>
      <c r="B53" s="7" t="inlineStr">
        <is>
          <t>Capital Expenditure &amp; PP&amp;E</t>
        </is>
      </c>
      <c r="C53" s="7" t="n"/>
      <c r="D53" s="7" t="n"/>
      <c r="E53" s="7" t="n"/>
    </row>
    <row r="54">
      <c r="A54" s="4" t="n"/>
      <c r="B54" s="6" t="inlineStr">
        <is>
          <t>Opening Gross PP&amp;E</t>
        </is>
      </c>
      <c r="C54" s="21" t="n">
        <v>1200000000</v>
      </c>
      <c r="D54" s="22" t="inlineStr">
        <is>
          <t>$</t>
        </is>
      </c>
      <c r="E54" s="22" t="inlineStr">
        <is>
          <t>Terminals + vessels + IT</t>
        </is>
      </c>
    </row>
    <row r="55">
      <c r="A55" s="4" t="n"/>
      <c r="B55" s="6" t="inlineStr">
        <is>
          <t>Opening Accum Depreciation</t>
        </is>
      </c>
      <c r="C55" s="21" t="n">
        <v>400000000</v>
      </c>
      <c r="D55" s="22" t="inlineStr">
        <is>
          <t>$</t>
        </is>
      </c>
      <c r="E55" s="22" t="inlineStr">
        <is>
          <t>Net PP&amp;E = Gross - Accum</t>
        </is>
      </c>
    </row>
    <row r="56">
      <c r="A56" s="4" t="n"/>
      <c r="B56" s="6" t="inlineStr">
        <is>
          <t>Maintenance Capex (Y1)</t>
        </is>
      </c>
      <c r="C56" s="21" t="n">
        <v>30000000</v>
      </c>
      <c r="D56" s="22" t="inlineStr">
        <is>
          <t>$</t>
        </is>
      </c>
      <c r="E56" s="22" t="inlineStr">
        <is>
          <t>IT refresh, office</t>
        </is>
      </c>
    </row>
    <row r="57">
      <c r="A57" s="4" t="n"/>
      <c r="B57" s="6" t="inlineStr">
        <is>
          <t>Growth Capex (Y1 only)</t>
        </is>
      </c>
      <c r="C57" s="21" t="n">
        <v>100000000</v>
      </c>
      <c r="D57" s="22" t="inlineStr">
        <is>
          <t>$</t>
        </is>
      </c>
      <c r="E57" s="22" t="inlineStr">
        <is>
          <t>Terminal acquisition</t>
        </is>
      </c>
    </row>
    <row r="58">
      <c r="A58" s="4" t="n"/>
      <c r="B58" s="6" t="inlineStr">
        <is>
          <t>PP&amp;E Useful Life</t>
        </is>
      </c>
      <c r="C58" s="21" t="n">
        <v>20</v>
      </c>
      <c r="D58" s="22" t="inlineStr">
        <is>
          <t>Years</t>
        </is>
      </c>
      <c r="E58" s="22" t="inlineStr">
        <is>
          <t>Straight-line on new assets</t>
        </is>
      </c>
    </row>
    <row r="59">
      <c r="A59" s="4" t="n"/>
      <c r="B59" s="4" t="n"/>
      <c r="C59" s="4" t="n"/>
      <c r="D59" s="4" t="n"/>
      <c r="E59" s="4" t="n"/>
    </row>
    <row r="60">
      <c r="A60" s="4" t="n"/>
      <c r="B60" s="7" t="inlineStr">
        <is>
          <t>Tax &amp; Distributions</t>
        </is>
      </c>
      <c r="C60" s="7" t="n"/>
      <c r="D60" s="7" t="n"/>
      <c r="E60" s="7" t="n"/>
    </row>
    <row r="61">
      <c r="A61" s="4" t="n"/>
      <c r="B61" s="6" t="inlineStr">
        <is>
          <t>Corporate Tax Rate</t>
        </is>
      </c>
      <c r="C61" s="23" t="n">
        <v>0.15</v>
      </c>
      <c r="D61" s="22" t="inlineStr">
        <is>
          <t>%</t>
        </is>
      </c>
      <c r="E61" s="22" t="inlineStr">
        <is>
          <t>Switzerland/Singapore domicile</t>
        </is>
      </c>
    </row>
    <row r="62">
      <c r="A62" s="4" t="n"/>
      <c r="B62" s="6" t="inlineStr">
        <is>
          <t>Dividend Payout Ratio</t>
        </is>
      </c>
      <c r="C62" s="23" t="n">
        <v>0.4</v>
      </c>
      <c r="D62" s="22" t="inlineStr">
        <is>
          <t>% of NI</t>
        </is>
      </c>
      <c r="E62" s="22" t="inlineStr">
        <is>
          <t>Partner distributions</t>
        </is>
      </c>
    </row>
    <row r="63">
      <c r="A63" s="4" t="n"/>
      <c r="B63" s="6" t="inlineStr">
        <is>
          <t>Opening NOL Pool</t>
        </is>
      </c>
      <c r="C63" s="21" t="n">
        <v>0</v>
      </c>
      <c r="D63" s="22" t="inlineStr">
        <is>
          <t>$</t>
        </is>
      </c>
      <c r="E63" s="22" t="inlineStr">
        <is>
          <t>Tax loss carry-forward Day 0</t>
        </is>
      </c>
    </row>
    <row r="64">
      <c r="A64" s="4" t="n"/>
      <c r="B64" s="4" t="n"/>
      <c r="C64" s="4" t="n"/>
      <c r="D64" s="4" t="n"/>
      <c r="E64" s="4" t="n"/>
    </row>
    <row r="65">
      <c r="A65" s="4" t="n"/>
      <c r="B65" s="7" t="inlineStr">
        <is>
          <t>Opening Balances</t>
        </is>
      </c>
      <c r="C65" s="7" t="n"/>
      <c r="D65" s="7" t="n"/>
      <c r="E65" s="7" t="n"/>
    </row>
    <row r="66">
      <c r="A66" s="4" t="n"/>
      <c r="B66" s="6" t="inlineStr">
        <is>
          <t>Opening Cash</t>
        </is>
      </c>
      <c r="C66" s="21" t="n">
        <v>500000000</v>
      </c>
      <c r="D66" s="22" t="inlineStr">
        <is>
          <t>$</t>
        </is>
      </c>
      <c r="E66" s="22" t="inlineStr">
        <is>
          <t>Day 0 cash on balance sheet</t>
        </is>
      </c>
    </row>
    <row r="67">
      <c r="A67" s="4" t="n"/>
      <c r="B67" s="6" t="inlineStr">
        <is>
          <t>Opening Retained Earnings</t>
        </is>
      </c>
      <c r="C67" s="21" t="n">
        <v>0</v>
      </c>
      <c r="D67" s="22" t="inlineStr">
        <is>
          <t>$</t>
        </is>
      </c>
      <c r="E67" s="22" t="inlineStr">
        <is>
          <t>Nil at inception</t>
        </is>
      </c>
    </row>
    <row r="68">
      <c r="A68" s="4" t="n"/>
      <c r="B68" s="4" t="n"/>
      <c r="C68" s="4" t="n"/>
      <c r="D68" s="4" t="n"/>
      <c r="E68" s="4" t="n"/>
    </row>
    <row r="69">
      <c r="A69" s="4" t="n"/>
      <c r="B69" s="7" t="inlineStr">
        <is>
          <t>Hedging &amp; VaR</t>
        </is>
      </c>
      <c r="C69" s="7" t="n"/>
      <c r="D69" s="7" t="n"/>
      <c r="E69" s="7" t="n"/>
    </row>
    <row r="70">
      <c r="A70" s="4" t="n"/>
      <c r="B70" s="6" t="inlineStr">
        <is>
          <t>% Inventory Hedged</t>
        </is>
      </c>
      <c r="C70" s="23" t="n">
        <v>0.95</v>
      </c>
      <c r="D70" s="22" t="inlineStr">
        <is>
          <t>%</t>
        </is>
      </c>
      <c r="E70" s="22" t="inlineStr">
        <is>
          <t>Industry target</t>
        </is>
      </c>
    </row>
    <row r="71">
      <c r="A71" s="4" t="n"/>
      <c r="B71" s="6" t="inlineStr">
        <is>
          <t>1-Day VaR Factor</t>
        </is>
      </c>
      <c r="C71" s="23" t="n">
        <v>0.02</v>
      </c>
      <c r="D71" s="22" t="inlineStr">
        <is>
          <t>%</t>
        </is>
      </c>
      <c r="E71" s="22" t="inlineStr">
        <is>
          <t>Applied to open position</t>
        </is>
      </c>
    </row>
    <row r="72">
      <c r="A72" s="4" t="n"/>
      <c r="B72" s="4" t="n"/>
      <c r="C72" s="4" t="n"/>
      <c r="D72" s="4" t="n"/>
      <c r="E72" s="4" t="n"/>
    </row>
    <row r="73">
      <c r="A73" s="4" t="n"/>
      <c r="B73" s="7" t="inlineStr">
        <is>
          <t>Letters of Credit</t>
        </is>
      </c>
      <c r="C73" s="7" t="n"/>
      <c r="D73" s="7" t="n"/>
      <c r="E73" s="7" t="n"/>
    </row>
    <row r="74">
      <c r="A74" s="4" t="n"/>
      <c r="B74" s="6" t="inlineStr">
        <is>
          <t>LCs as % of AP</t>
        </is>
      </c>
      <c r="C74" s="23" t="n">
        <v>0.4</v>
      </c>
      <c r="D74" s="22" t="inlineStr">
        <is>
          <t>%</t>
        </is>
      </c>
      <c r="E74" s="22" t="inlineStr">
        <is>
          <t>Bank-issued LCs against payables</t>
        </is>
      </c>
    </row>
    <row r="75">
      <c r="A75" s="4" t="n"/>
      <c r="B75" s="6" t="inlineStr">
        <is>
          <t>LC Confirmation Fee</t>
        </is>
      </c>
      <c r="C75" s="23" t="n">
        <v>0.005</v>
      </c>
      <c r="D75" s="22" t="inlineStr">
        <is>
          <t>%</t>
        </is>
      </c>
      <c r="E75" s="22" t="inlineStr">
        <is>
          <t>Per annum on LC notional</t>
        </is>
      </c>
    </row>
    <row r="76">
      <c r="A76" s="4" t="n"/>
      <c r="B76" s="4" t="n"/>
      <c r="C76" s="4" t="n"/>
      <c r="D76" s="4" t="n"/>
      <c r="E76" s="4" t="n"/>
    </row>
    <row r="77">
      <c r="A77" s="4" t="n"/>
      <c r="B77" s="7" t="inlineStr">
        <is>
          <t>FX Exposure</t>
        </is>
      </c>
      <c r="C77" s="7" t="n"/>
      <c r="D77" s="7" t="n"/>
      <c r="E77" s="7" t="n"/>
    </row>
    <row r="78">
      <c r="A78" s="4" t="n"/>
      <c r="B78" s="6" t="inlineStr">
        <is>
          <t>Opex in USD %</t>
        </is>
      </c>
      <c r="C78" s="23" t="n">
        <v>0.55</v>
      </c>
      <c r="D78" s="22" t="inlineStr">
        <is>
          <t>%</t>
        </is>
      </c>
      <c r="E78" s="22" t="inlineStr">
        <is>
          <t>Remainder in EUR/CHF/SGD</t>
        </is>
      </c>
    </row>
    <row r="79">
      <c r="A79" s="4" t="n"/>
      <c r="B79" s="4" t="n"/>
      <c r="C79" s="4" t="n"/>
      <c r="D79" s="4" t="n"/>
      <c r="E79" s="4" t="n"/>
    </row>
    <row r="80">
      <c r="A80" s="4" t="n"/>
      <c r="B80" s="7" t="inlineStr">
        <is>
          <t>Asset-Backed Trading (Storage)</t>
        </is>
      </c>
      <c r="C80" s="7" t="n"/>
      <c r="D80" s="7" t="n"/>
      <c r="E80" s="7" t="n"/>
    </row>
    <row r="81">
      <c r="A81" s="4" t="n"/>
      <c r="B81" s="6" t="inlineStr">
        <is>
          <t>Storage Capacity</t>
        </is>
      </c>
      <c r="C81" s="21" t="n">
        <v>3500000</v>
      </c>
      <c r="D81" s="22" t="inlineStr">
        <is>
          <t>MT</t>
        </is>
      </c>
      <c r="E81" s="22" t="inlineStr">
        <is>
          <t>Owned terminal capacity</t>
        </is>
      </c>
    </row>
    <row r="82">
      <c r="A82" s="4" t="n"/>
      <c r="B82" s="6" t="inlineStr">
        <is>
          <t>Avg Storage Utilisation</t>
        </is>
      </c>
      <c r="C82" s="23" t="n">
        <v>0.75</v>
      </c>
      <c r="D82" s="22" t="inlineStr">
        <is>
          <t>%</t>
        </is>
      </c>
      <c r="E82" s="22" t="inlineStr"/>
    </row>
    <row r="83">
      <c r="A83" s="4" t="n"/>
      <c r="B83" s="6" t="inlineStr">
        <is>
          <t>Storage Spread</t>
        </is>
      </c>
      <c r="C83" s="21" t="n">
        <v>3</v>
      </c>
      <c r="D83" s="22" t="inlineStr">
        <is>
          <t>$/MT/month</t>
        </is>
      </c>
      <c r="E83" s="22" t="inlineStr">
        <is>
          <t>Contango carry capture</t>
        </is>
      </c>
    </row>
    <row r="84">
      <c r="A84" s="4" t="n"/>
      <c r="B84" s="6" t="inlineStr">
        <is>
          <t>Storage Months / Yr</t>
        </is>
      </c>
      <c r="C84" s="21" t="n">
        <v>12</v>
      </c>
      <c r="D84" s="22" t="inlineStr">
        <is>
          <t>Months</t>
        </is>
      </c>
      <c r="E84" s="22" t="inlineStr"/>
    </row>
    <row r="85">
      <c r="A85" s="4" t="n"/>
      <c r="B85" s="6" t="inlineStr">
        <is>
          <t>Demurrage Income (Y1)</t>
        </is>
      </c>
      <c r="C85" s="21" t="n">
        <v>25000000</v>
      </c>
      <c r="D85" s="22" t="inlineStr">
        <is>
          <t>$</t>
        </is>
      </c>
      <c r="E85" s="22" t="inlineStr">
        <is>
          <t>Vessel/terminal demurrage</t>
        </is>
      </c>
    </row>
  </sheetData>
  <pageMargins left="0.75" right="0.75" top="1" bottom="1" header="0.5" footer="0.5"/>
</worksheet>
</file>

<file path=xl/worksheets/sheet3.xml><?xml version="1.0" encoding="utf-8"?>
<worksheet xmlns="http://schemas.openxmlformats.org/spreadsheetml/2006/main">
  <sheetPr>
    <tabColor rgb="0070AD47"/>
    <outlinePr summaryBelow="1" summaryRight="1"/>
    <pageSetUpPr/>
  </sheetPr>
  <dimension ref="A1:AD43"/>
  <sheetViews>
    <sheetView showGridLines="0" workbookViewId="0">
      <selection activeCell="A1" sqref="A1"/>
    </sheetView>
  </sheetViews>
  <sheetFormatPr baseColWidth="8" defaultRowHeight="15"/>
  <cols>
    <col width="3" customWidth="1" min="1" max="1"/>
    <col width="35" customWidth="1" min="2" max="2"/>
    <col width="18" customWidth="1" min="3" max="3"/>
    <col width="18" customWidth="1" min="4" max="4"/>
    <col width="18" customWidth="1" min="5" max="5"/>
    <col width="18" customWidth="1" min="6" max="6"/>
    <col width="18" customWidth="1" min="7" max="7"/>
  </cols>
  <sheetData>
    <row r="1">
      <c r="A1" s="1" t="n"/>
      <c r="B1" s="1" t="n"/>
      <c r="C1" s="1" t="n"/>
      <c r="D1" s="1" t="n"/>
      <c r="E1" s="1" t="n"/>
      <c r="F1" s="1" t="n"/>
      <c r="G1" s="1" t="n"/>
      <c r="H1" s="2" t="n"/>
      <c r="I1" s="2" t="n"/>
      <c r="J1" s="2" t="n"/>
      <c r="K1" s="2" t="n"/>
      <c r="L1" s="2" t="n"/>
      <c r="M1" s="2" t="n"/>
      <c r="N1" s="2" t="n"/>
      <c r="O1" s="2" t="n"/>
      <c r="P1" s="2" t="n"/>
      <c r="Q1" s="2" t="n"/>
      <c r="R1" s="2" t="n"/>
      <c r="S1" s="2" t="n"/>
      <c r="T1" s="2" t="n"/>
      <c r="U1" s="2" t="n"/>
      <c r="V1" s="2" t="n"/>
      <c r="W1" s="2" t="n"/>
      <c r="X1" s="2" t="n"/>
      <c r="Y1" s="2" t="n"/>
      <c r="Z1" s="2" t="n"/>
      <c r="AA1" s="2" t="n"/>
      <c r="AB1" s="2" t="n"/>
      <c r="AC1" s="2" t="n"/>
      <c r="AD1" s="2" t="n"/>
    </row>
    <row r="2" ht="21.75" customHeight="1">
      <c r="A2" s="1" t="n"/>
      <c r="B2" s="1" t="n"/>
      <c r="C2" s="1" t="n"/>
      <c r="D2" s="1" t="n"/>
      <c r="E2" s="1" t="n"/>
      <c r="F2" s="1" t="n"/>
      <c r="G2" s="1" t="n"/>
      <c r="H2" s="2" t="n"/>
      <c r="I2" s="2" t="n"/>
      <c r="J2" s="2" t="n"/>
      <c r="K2" s="2" t="n"/>
      <c r="L2" s="2" t="n"/>
      <c r="M2" s="2" t="n"/>
      <c r="N2" s="2" t="n"/>
      <c r="O2" s="2" t="n"/>
      <c r="P2" s="2" t="n"/>
      <c r="Q2" s="2" t="n"/>
      <c r="R2" s="2" t="n"/>
      <c r="S2" s="2" t="n"/>
      <c r="T2" s="2" t="n"/>
      <c r="U2" s="2" t="n"/>
      <c r="V2" s="2" t="n"/>
      <c r="W2" s="2" t="n"/>
      <c r="X2" s="2" t="n"/>
      <c r="Y2" s="2" t="n"/>
      <c r="Z2" s="2" t="n"/>
      <c r="AA2" s="2" t="n"/>
      <c r="AB2" s="2" t="n"/>
      <c r="AC2" s="2" t="n"/>
      <c r="AD2" s="2" t="n"/>
    </row>
    <row r="3">
      <c r="A3" s="1" t="n"/>
      <c r="B3" s="1" t="n"/>
      <c r="C3" s="1" t="n"/>
      <c r="D3" s="1" t="n"/>
      <c r="E3" s="1" t="n"/>
      <c r="F3" s="1" t="n"/>
      <c r="G3" s="1" t="n"/>
      <c r="H3" s="2" t="n"/>
      <c r="I3" s="2" t="n"/>
      <c r="J3" s="2" t="n"/>
      <c r="K3" s="2" t="n"/>
      <c r="L3" s="2" t="n"/>
      <c r="M3" s="2" t="n"/>
      <c r="N3" s="2" t="n"/>
      <c r="O3" s="2" t="n"/>
      <c r="P3" s="2" t="n"/>
      <c r="Q3" s="2" t="n"/>
      <c r="R3" s="2" t="n"/>
      <c r="S3" s="2" t="n"/>
      <c r="T3" s="2" t="n"/>
      <c r="U3" s="2" t="n"/>
      <c r="V3" s="2" t="n"/>
      <c r="W3" s="2" t="n"/>
      <c r="X3" s="2" t="n"/>
      <c r="Y3" s="2" t="n"/>
      <c r="Z3" s="2" t="n"/>
      <c r="AA3" s="2" t="n"/>
      <c r="AB3" s="2" t="n"/>
      <c r="AC3" s="2" t="n"/>
      <c r="AD3" s="2" t="n"/>
    </row>
    <row r="4">
      <c r="A4" s="4" t="n"/>
      <c r="B4" s="4" t="n"/>
      <c r="C4" s="4" t="n"/>
      <c r="D4" s="4" t="n"/>
      <c r="E4" s="4" t="n"/>
      <c r="F4" s="4" t="n"/>
      <c r="G4" s="4" t="n"/>
    </row>
    <row r="5">
      <c r="A5" s="4" t="n"/>
      <c r="B5" s="4" t="n"/>
      <c r="C5" s="4" t="n"/>
      <c r="D5" s="4" t="n"/>
      <c r="E5" s="4" t="n"/>
      <c r="F5" s="4" t="n"/>
      <c r="G5" s="4" t="n"/>
    </row>
    <row r="6">
      <c r="A6" s="4" t="n"/>
      <c r="B6" s="24" t="inlineStr"/>
      <c r="C6" s="25">
        <f>Model_Start_Year+0</f>
        <v/>
      </c>
      <c r="D6" s="25">
        <f>Model_Start_Year+1</f>
        <v/>
      </c>
      <c r="E6" s="25">
        <f>Model_Start_Year+2</f>
        <v/>
      </c>
      <c r="F6" s="25">
        <f>Model_Start_Year+3</f>
        <v/>
      </c>
      <c r="G6" s="25">
        <f>Model_Start_Year+4</f>
        <v/>
      </c>
    </row>
    <row r="7">
      <c r="A7" s="4" t="n"/>
      <c r="B7" s="26" t="inlineStr">
        <is>
          <t>Year #</t>
        </is>
      </c>
      <c r="C7" s="27" t="n">
        <v>1</v>
      </c>
      <c r="D7" s="27" t="n">
        <v>2</v>
      </c>
      <c r="E7" s="27" t="n">
        <v>3</v>
      </c>
      <c r="F7" s="27" t="n">
        <v>4</v>
      </c>
      <c r="G7" s="27" t="n">
        <v>5</v>
      </c>
    </row>
    <row r="8">
      <c r="A8" s="4" t="n"/>
      <c r="B8" s="4" t="n"/>
      <c r="C8" s="4" t="n"/>
      <c r="D8" s="4" t="n"/>
      <c r="E8" s="4" t="n"/>
      <c r="F8" s="4" t="n"/>
      <c r="G8" s="4" t="n"/>
    </row>
    <row r="9">
      <c r="A9" s="4" t="n"/>
      <c r="B9" s="7" t="inlineStr">
        <is>
          <t>Traded Volumes (MT)</t>
        </is>
      </c>
      <c r="C9" s="7" t="n"/>
      <c r="D9" s="7" t="n"/>
      <c r="E9" s="7" t="n"/>
      <c r="F9" s="7" t="n"/>
      <c r="G9" s="7" t="n"/>
    </row>
    <row r="10">
      <c r="A10" s="4" t="n"/>
      <c r="B10" s="28" t="inlineStr">
        <is>
          <t>Energy</t>
        </is>
      </c>
      <c r="C10" s="29">
        <f>Energy_Vol_Y1</f>
        <v/>
      </c>
      <c r="D10" s="29">
        <f>C10*(1+Vol_Growth)</f>
        <v/>
      </c>
      <c r="E10" s="29">
        <f>D10*(1+Vol_Growth)</f>
        <v/>
      </c>
      <c r="F10" s="29">
        <f>E10*(1+Vol_Growth)</f>
        <v/>
      </c>
      <c r="G10" s="29">
        <f>F10*(1+Vol_Growth)</f>
        <v/>
      </c>
    </row>
    <row r="11">
      <c r="A11" s="4" t="n"/>
      <c r="B11" s="28" t="inlineStr">
        <is>
          <t>Metals</t>
        </is>
      </c>
      <c r="C11" s="29">
        <f>Metals_Vol_Y1</f>
        <v/>
      </c>
      <c r="D11" s="29">
        <f>C11*(1+Vol_Growth)</f>
        <v/>
      </c>
      <c r="E11" s="29">
        <f>D11*(1+Vol_Growth)</f>
        <v/>
      </c>
      <c r="F11" s="29">
        <f>E11*(1+Vol_Growth)</f>
        <v/>
      </c>
      <c r="G11" s="29">
        <f>F11*(1+Vol_Growth)</f>
        <v/>
      </c>
    </row>
    <row r="12">
      <c r="A12" s="4" t="n"/>
      <c r="B12" s="28" t="inlineStr">
        <is>
          <t>Agriculture</t>
        </is>
      </c>
      <c r="C12" s="29">
        <f>Agri_Vol_Y1</f>
        <v/>
      </c>
      <c r="D12" s="29">
        <f>C12*(1+Vol_Growth)</f>
        <v/>
      </c>
      <c r="E12" s="29">
        <f>D12*(1+Vol_Growth)</f>
        <v/>
      </c>
      <c r="F12" s="29">
        <f>E12*(1+Vol_Growth)</f>
        <v/>
      </c>
      <c r="G12" s="29">
        <f>F12*(1+Vol_Growth)</f>
        <v/>
      </c>
    </row>
    <row r="13">
      <c r="A13" s="4" t="n"/>
      <c r="B13" s="5" t="inlineStr">
        <is>
          <t>Total Volume</t>
        </is>
      </c>
      <c r="C13" s="30">
        <f>SUM(C10:C12)</f>
        <v/>
      </c>
      <c r="D13" s="30">
        <f>SUM(D10:D12)</f>
        <v/>
      </c>
      <c r="E13" s="30">
        <f>SUM(E10:E12)</f>
        <v/>
      </c>
      <c r="F13" s="30">
        <f>SUM(F10:F12)</f>
        <v/>
      </c>
      <c r="G13" s="30">
        <f>SUM(G10:G12)</f>
        <v/>
      </c>
    </row>
    <row r="14">
      <c r="A14" s="4" t="n"/>
      <c r="B14" s="4" t="n"/>
      <c r="C14" s="4" t="n"/>
      <c r="D14" s="4" t="n"/>
      <c r="E14" s="4" t="n"/>
      <c r="F14" s="4" t="n"/>
      <c r="G14" s="4" t="n"/>
    </row>
    <row r="15">
      <c r="A15" s="4" t="n"/>
      <c r="B15" s="7" t="inlineStr">
        <is>
          <t>Average Prices ($/MT)</t>
        </is>
      </c>
      <c r="C15" s="7" t="n"/>
      <c r="D15" s="7" t="n"/>
      <c r="E15" s="7" t="n"/>
      <c r="F15" s="7" t="n"/>
      <c r="G15" s="7" t="n"/>
    </row>
    <row r="16">
      <c r="A16" s="4" t="n"/>
      <c r="B16" s="28" t="inlineStr">
        <is>
          <t>Energy</t>
        </is>
      </c>
      <c r="C16" s="31">
        <f>Energy_Price_Y1</f>
        <v/>
      </c>
      <c r="D16" s="31">
        <f>C16*(1+Price_Escalation)</f>
        <v/>
      </c>
      <c r="E16" s="31">
        <f>D16*(1+Price_Escalation)</f>
        <v/>
      </c>
      <c r="F16" s="31">
        <f>E16*(1+Price_Escalation)</f>
        <v/>
      </c>
      <c r="G16" s="31">
        <f>F16*(1+Price_Escalation)</f>
        <v/>
      </c>
    </row>
    <row r="17">
      <c r="A17" s="4" t="n"/>
      <c r="B17" s="28" t="inlineStr">
        <is>
          <t>Metals</t>
        </is>
      </c>
      <c r="C17" s="31">
        <f>Metals_Price_Y1</f>
        <v/>
      </c>
      <c r="D17" s="31">
        <f>C17*(1+Price_Escalation)</f>
        <v/>
      </c>
      <c r="E17" s="31">
        <f>D17*(1+Price_Escalation)</f>
        <v/>
      </c>
      <c r="F17" s="31">
        <f>E17*(1+Price_Escalation)</f>
        <v/>
      </c>
      <c r="G17" s="31">
        <f>F17*(1+Price_Escalation)</f>
        <v/>
      </c>
    </row>
    <row r="18">
      <c r="A18" s="4" t="n"/>
      <c r="B18" s="28" t="inlineStr">
        <is>
          <t>Agriculture</t>
        </is>
      </c>
      <c r="C18" s="31">
        <f>Agri_Price_Y1</f>
        <v/>
      </c>
      <c r="D18" s="31">
        <f>C18*(1+Price_Escalation)</f>
        <v/>
      </c>
      <c r="E18" s="31">
        <f>D18*(1+Price_Escalation)</f>
        <v/>
      </c>
      <c r="F18" s="31">
        <f>E18*(1+Price_Escalation)</f>
        <v/>
      </c>
      <c r="G18" s="31">
        <f>F18*(1+Price_Escalation)</f>
        <v/>
      </c>
    </row>
    <row r="19">
      <c r="A19" s="4" t="n"/>
      <c r="B19" s="4" t="n"/>
      <c r="C19" s="4" t="n"/>
      <c r="D19" s="4" t="n"/>
      <c r="E19" s="4" t="n"/>
      <c r="F19" s="4" t="n"/>
      <c r="G19" s="4" t="n"/>
    </row>
    <row r="20">
      <c r="A20" s="4" t="n"/>
      <c r="B20" s="7" t="inlineStr">
        <is>
          <t>Revenue ($)</t>
        </is>
      </c>
      <c r="C20" s="7" t="n"/>
      <c r="D20" s="7" t="n"/>
      <c r="E20" s="7" t="n"/>
      <c r="F20" s="7" t="n"/>
      <c r="G20" s="7" t="n"/>
    </row>
    <row r="21">
      <c r="A21" s="4" t="n"/>
      <c r="B21" s="28" t="inlineStr">
        <is>
          <t>Energy Revenue</t>
        </is>
      </c>
      <c r="C21" s="29">
        <f>C10*C16</f>
        <v/>
      </c>
      <c r="D21" s="29">
        <f>D10*D16</f>
        <v/>
      </c>
      <c r="E21" s="29">
        <f>E10*E16</f>
        <v/>
      </c>
      <c r="F21" s="29">
        <f>F10*F16</f>
        <v/>
      </c>
      <c r="G21" s="29">
        <f>G10*G16</f>
        <v/>
      </c>
    </row>
    <row r="22">
      <c r="A22" s="4" t="n"/>
      <c r="B22" s="28" t="inlineStr">
        <is>
          <t>Metals Revenue</t>
        </is>
      </c>
      <c r="C22" s="29">
        <f>C11*C17</f>
        <v/>
      </c>
      <c r="D22" s="29">
        <f>D11*D17</f>
        <v/>
      </c>
      <c r="E22" s="29">
        <f>E11*E17</f>
        <v/>
      </c>
      <c r="F22" s="29">
        <f>F11*F17</f>
        <v/>
      </c>
      <c r="G22" s="29">
        <f>G11*G17</f>
        <v/>
      </c>
    </row>
    <row r="23">
      <c r="A23" s="4" t="n"/>
      <c r="B23" s="28" t="inlineStr">
        <is>
          <t>Agriculture Revenue</t>
        </is>
      </c>
      <c r="C23" s="29">
        <f>C12*C18</f>
        <v/>
      </c>
      <c r="D23" s="29">
        <f>D12*D18</f>
        <v/>
      </c>
      <c r="E23" s="29">
        <f>E12*E18</f>
        <v/>
      </c>
      <c r="F23" s="29">
        <f>F12*F18</f>
        <v/>
      </c>
      <c r="G23" s="29">
        <f>G12*G18</f>
        <v/>
      </c>
    </row>
    <row r="24">
      <c r="A24" s="4" t="n"/>
      <c r="B24" s="5" t="inlineStr">
        <is>
          <t>Total Revenue</t>
        </is>
      </c>
      <c r="C24" s="30">
        <f>SUM(C21:C23)</f>
        <v/>
      </c>
      <c r="D24" s="30">
        <f>SUM(D21:D23)</f>
        <v/>
      </c>
      <c r="E24" s="30">
        <f>SUM(E21:E23)</f>
        <v/>
      </c>
      <c r="F24" s="30">
        <f>SUM(F21:F23)</f>
        <v/>
      </c>
      <c r="G24" s="30">
        <f>SUM(G21:G23)</f>
        <v/>
      </c>
    </row>
    <row r="25">
      <c r="A25" s="4" t="n"/>
      <c r="B25" s="4" t="n"/>
      <c r="C25" s="4" t="n"/>
      <c r="D25" s="4" t="n"/>
      <c r="E25" s="4" t="n"/>
      <c r="F25" s="4" t="n"/>
      <c r="G25" s="4" t="n"/>
    </row>
    <row r="26">
      <c r="A26" s="4" t="n"/>
      <c r="B26" s="7" t="inlineStr">
        <is>
          <t>Cost of Goods Sold ($)</t>
        </is>
      </c>
      <c r="C26" s="7" t="n"/>
      <c r="D26" s="7" t="n"/>
      <c r="E26" s="7" t="n"/>
      <c r="F26" s="7" t="n"/>
      <c r="G26" s="7" t="n"/>
    </row>
    <row r="27">
      <c r="A27" s="4" t="n"/>
      <c r="B27" s="28" t="inlineStr">
        <is>
          <t>Energy COGS</t>
        </is>
      </c>
      <c r="C27" s="29">
        <f>C21-C10*Energy_Margin_Per_Tonne</f>
        <v/>
      </c>
      <c r="D27" s="29">
        <f>D21-D10*Energy_Margin_Per_Tonne</f>
        <v/>
      </c>
      <c r="E27" s="29">
        <f>E21-E10*Energy_Margin_Per_Tonne</f>
        <v/>
      </c>
      <c r="F27" s="29">
        <f>F21-F10*Energy_Margin_Per_Tonne</f>
        <v/>
      </c>
      <c r="G27" s="29">
        <f>G21-G10*Energy_Margin_Per_Tonne</f>
        <v/>
      </c>
    </row>
    <row r="28">
      <c r="A28" s="4" t="n"/>
      <c r="B28" s="28" t="inlineStr">
        <is>
          <t>Metals COGS</t>
        </is>
      </c>
      <c r="C28" s="29">
        <f>C22-C11*Metals_Margin_Per_Tonne</f>
        <v/>
      </c>
      <c r="D28" s="29">
        <f>D22-D11*Metals_Margin_Per_Tonne</f>
        <v/>
      </c>
      <c r="E28" s="29">
        <f>E22-E11*Metals_Margin_Per_Tonne</f>
        <v/>
      </c>
      <c r="F28" s="29">
        <f>F22-F11*Metals_Margin_Per_Tonne</f>
        <v/>
      </c>
      <c r="G28" s="29">
        <f>G22-G11*Metals_Margin_Per_Tonne</f>
        <v/>
      </c>
    </row>
    <row r="29">
      <c r="A29" s="4" t="n"/>
      <c r="B29" s="28" t="inlineStr">
        <is>
          <t>Agriculture COGS</t>
        </is>
      </c>
      <c r="C29" s="29">
        <f>C23-C12*Agri_Margin_Per_Tonne</f>
        <v/>
      </c>
      <c r="D29" s="29">
        <f>D23-D12*Agri_Margin_Per_Tonne</f>
        <v/>
      </c>
      <c r="E29" s="29">
        <f>E23-E12*Agri_Margin_Per_Tonne</f>
        <v/>
      </c>
      <c r="F29" s="29">
        <f>F23-F12*Agri_Margin_Per_Tonne</f>
        <v/>
      </c>
      <c r="G29" s="29">
        <f>G23-G12*Agri_Margin_Per_Tonne</f>
        <v/>
      </c>
    </row>
    <row r="30">
      <c r="A30" s="4" t="n"/>
      <c r="B30" s="5" t="inlineStr">
        <is>
          <t>Total COGS</t>
        </is>
      </c>
      <c r="C30" s="30">
        <f>SUM(C27:C29)</f>
        <v/>
      </c>
      <c r="D30" s="30">
        <f>SUM(D27:D29)</f>
        <v/>
      </c>
      <c r="E30" s="30">
        <f>SUM(E27:E29)</f>
        <v/>
      </c>
      <c r="F30" s="30">
        <f>SUM(F27:F29)</f>
        <v/>
      </c>
      <c r="G30" s="30">
        <f>SUM(G27:G29)</f>
        <v/>
      </c>
    </row>
    <row r="31">
      <c r="A31" s="4" t="n"/>
      <c r="B31" s="4" t="n"/>
      <c r="C31" s="4" t="n"/>
      <c r="D31" s="4" t="n"/>
      <c r="E31" s="4" t="n"/>
      <c r="F31" s="4" t="n"/>
      <c r="G31" s="4" t="n"/>
    </row>
    <row r="32">
      <c r="A32" s="4" t="n"/>
      <c r="B32" s="7" t="inlineStr">
        <is>
          <t>Gross Profit ($)</t>
        </is>
      </c>
      <c r="C32" s="7" t="n"/>
      <c r="D32" s="7" t="n"/>
      <c r="E32" s="7" t="n"/>
      <c r="F32" s="7" t="n"/>
      <c r="G32" s="7" t="n"/>
    </row>
    <row r="33">
      <c r="A33" s="4" t="n"/>
      <c r="B33" s="28" t="inlineStr">
        <is>
          <t>Energy GP</t>
        </is>
      </c>
      <c r="C33" s="29">
        <f>C10*Energy_Margin_Per_Tonne</f>
        <v/>
      </c>
      <c r="D33" s="29">
        <f>D10*Energy_Margin_Per_Tonne</f>
        <v/>
      </c>
      <c r="E33" s="29">
        <f>E10*Energy_Margin_Per_Tonne</f>
        <v/>
      </c>
      <c r="F33" s="29">
        <f>F10*Energy_Margin_Per_Tonne</f>
        <v/>
      </c>
      <c r="G33" s="29">
        <f>G10*Energy_Margin_Per_Tonne</f>
        <v/>
      </c>
    </row>
    <row r="34">
      <c r="A34" s="4" t="n"/>
      <c r="B34" s="28" t="inlineStr">
        <is>
          <t>Metals GP</t>
        </is>
      </c>
      <c r="C34" s="29">
        <f>C11*Metals_Margin_Per_Tonne</f>
        <v/>
      </c>
      <c r="D34" s="29">
        <f>D11*Metals_Margin_Per_Tonne</f>
        <v/>
      </c>
      <c r="E34" s="29">
        <f>E11*Metals_Margin_Per_Tonne</f>
        <v/>
      </c>
      <c r="F34" s="29">
        <f>F11*Metals_Margin_Per_Tonne</f>
        <v/>
      </c>
      <c r="G34" s="29">
        <f>G11*Metals_Margin_Per_Tonne</f>
        <v/>
      </c>
    </row>
    <row r="35">
      <c r="A35" s="4" t="n"/>
      <c r="B35" s="28" t="inlineStr">
        <is>
          <t>Agriculture GP</t>
        </is>
      </c>
      <c r="C35" s="29">
        <f>C12*Agri_Margin_Per_Tonne</f>
        <v/>
      </c>
      <c r="D35" s="29">
        <f>D12*Agri_Margin_Per_Tonne</f>
        <v/>
      </c>
      <c r="E35" s="29">
        <f>E12*Agri_Margin_Per_Tonne</f>
        <v/>
      </c>
      <c r="F35" s="29">
        <f>F12*Agri_Margin_Per_Tonne</f>
        <v/>
      </c>
      <c r="G35" s="29">
        <f>G12*Agri_Margin_Per_Tonne</f>
        <v/>
      </c>
    </row>
    <row r="36">
      <c r="A36" s="4" t="n"/>
      <c r="B36" s="28" t="inlineStr">
        <is>
          <t>Storage &amp; Demurrage GP</t>
        </is>
      </c>
      <c r="C36" s="29">
        <f>Storage_Capacity_MT*Storage_Utilisation*Storage_Spread*Storage_Months_Per_Yr+Demurrage_Income_Y1*(1+OpEx_Escalation)^(C7-1)</f>
        <v/>
      </c>
      <c r="D36" s="29">
        <f>Storage_Capacity_MT*Storage_Utilisation*Storage_Spread*Storage_Months_Per_Yr+Demurrage_Income_Y1*(1+OpEx_Escalation)^(D7-1)</f>
        <v/>
      </c>
      <c r="E36" s="29">
        <f>Storage_Capacity_MT*Storage_Utilisation*Storage_Spread*Storage_Months_Per_Yr+Demurrage_Income_Y1*(1+OpEx_Escalation)^(E7-1)</f>
        <v/>
      </c>
      <c r="F36" s="29">
        <f>Storage_Capacity_MT*Storage_Utilisation*Storage_Spread*Storage_Months_Per_Yr+Demurrage_Income_Y1*(1+OpEx_Escalation)^(F7-1)</f>
        <v/>
      </c>
      <c r="G36" s="29">
        <f>Storage_Capacity_MT*Storage_Utilisation*Storage_Spread*Storage_Months_Per_Yr+Demurrage_Income_Y1*(1+OpEx_Escalation)^(G7-1)</f>
        <v/>
      </c>
    </row>
    <row r="37">
      <c r="A37" s="4" t="n"/>
      <c r="B37" s="5" t="inlineStr">
        <is>
          <t>Total Gross Profit</t>
        </is>
      </c>
      <c r="C37" s="30">
        <f>SUM(C33:C36)</f>
        <v/>
      </c>
      <c r="D37" s="30">
        <f>SUM(D33:D36)</f>
        <v/>
      </c>
      <c r="E37" s="30">
        <f>SUM(E33:E36)</f>
        <v/>
      </c>
      <c r="F37" s="30">
        <f>SUM(F33:F36)</f>
        <v/>
      </c>
      <c r="G37" s="30">
        <f>SUM(G33:G36)</f>
        <v/>
      </c>
    </row>
    <row r="38">
      <c r="A38" s="4" t="n"/>
      <c r="B38" s="22" t="inlineStr">
        <is>
          <t>Gross Margin %</t>
        </is>
      </c>
      <c r="C38" s="32">
        <f>IFERROR(C37/C24,0)</f>
        <v/>
      </c>
      <c r="D38" s="32">
        <f>IFERROR(D37/D24,0)</f>
        <v/>
      </c>
      <c r="E38" s="32">
        <f>IFERROR(E37/E24,0)</f>
        <v/>
      </c>
      <c r="F38" s="32">
        <f>IFERROR(F37/F24,0)</f>
        <v/>
      </c>
      <c r="G38" s="32">
        <f>IFERROR(G37/G24,0)</f>
        <v/>
      </c>
    </row>
    <row r="39">
      <c r="A39" s="4" t="n"/>
      <c r="B39" s="4" t="n"/>
      <c r="C39" s="4" t="n"/>
      <c r="D39" s="4" t="n"/>
      <c r="E39" s="4" t="n"/>
      <c r="F39" s="4" t="n"/>
      <c r="G39" s="4" t="n"/>
    </row>
    <row r="40">
      <c r="A40" s="4" t="n"/>
      <c r="B40" s="7" t="inlineStr">
        <is>
          <t>Sensitivity (per-segment stress on margin/MT)</t>
        </is>
      </c>
      <c r="C40" s="7" t="n"/>
      <c r="D40" s="7" t="n"/>
      <c r="E40" s="7" t="n"/>
      <c r="F40" s="7" t="n"/>
      <c r="G40" s="7" t="n"/>
    </row>
    <row r="41">
      <c r="A41" s="4" t="n"/>
      <c r="B41" s="33" t="inlineStr">
        <is>
          <t>GP — Downside (margin -stress)</t>
        </is>
      </c>
      <c r="C41" s="34">
        <f>(C10*Energy_Margin_Per_Tonne+C11*Metals_Margin_Per_Tonne+C12*Agri_Margin_Per_Tonne)*(1-Margin_Stress_Pct)</f>
        <v/>
      </c>
      <c r="D41" s="34">
        <f>(D10*Energy_Margin_Per_Tonne+D11*Metals_Margin_Per_Tonne+D12*Agri_Margin_Per_Tonne)*(1-Margin_Stress_Pct)</f>
        <v/>
      </c>
      <c r="E41" s="34">
        <f>(E10*Energy_Margin_Per_Tonne+E11*Metals_Margin_Per_Tonne+E12*Agri_Margin_Per_Tonne)*(1-Margin_Stress_Pct)</f>
        <v/>
      </c>
      <c r="F41" s="34">
        <f>(F10*Energy_Margin_Per_Tonne+F11*Metals_Margin_Per_Tonne+F12*Agri_Margin_Per_Tonne)*(1-Margin_Stress_Pct)</f>
        <v/>
      </c>
      <c r="G41" s="34">
        <f>(G10*Energy_Margin_Per_Tonne+G11*Metals_Margin_Per_Tonne+G12*Agri_Margin_Per_Tonne)*(1-Margin_Stress_Pct)</f>
        <v/>
      </c>
    </row>
    <row r="42">
      <c r="A42" s="4" t="n"/>
      <c r="B42" s="33" t="inlineStr">
        <is>
          <t>GP — Upside (margin +stress)</t>
        </is>
      </c>
      <c r="C42" s="34">
        <f>(C10*Energy_Margin_Per_Tonne+C11*Metals_Margin_Per_Tonne+C12*Agri_Margin_Per_Tonne)*(1+Margin_Stress_Pct)</f>
        <v/>
      </c>
      <c r="D42" s="34">
        <f>(D10*Energy_Margin_Per_Tonne+D11*Metals_Margin_Per_Tonne+D12*Agri_Margin_Per_Tonne)*(1+Margin_Stress_Pct)</f>
        <v/>
      </c>
      <c r="E42" s="34">
        <f>(E10*Energy_Margin_Per_Tonne+E11*Metals_Margin_Per_Tonne+E12*Agri_Margin_Per_Tonne)*(1+Margin_Stress_Pct)</f>
        <v/>
      </c>
      <c r="F42" s="34">
        <f>(F10*Energy_Margin_Per_Tonne+F11*Metals_Margin_Per_Tonne+F12*Agri_Margin_Per_Tonne)*(1+Margin_Stress_Pct)</f>
        <v/>
      </c>
      <c r="G42" s="34">
        <f>(G10*Energy_Margin_Per_Tonne+G11*Metals_Margin_Per_Tonne+G12*Agri_Margin_Per_Tonne)*(1+Margin_Stress_Pct)</f>
        <v/>
      </c>
    </row>
    <row r="43">
      <c r="A43" s="4" t="n"/>
      <c r="B43" s="33" t="inlineStr">
        <is>
          <t>Revenue — Price Shock Scenario</t>
        </is>
      </c>
      <c r="C43" s="34">
        <f>C24*(1+Price_Shock_Pct)</f>
        <v/>
      </c>
      <c r="D43" s="34">
        <f>D24*(1+Price_Shock_Pct)</f>
        <v/>
      </c>
      <c r="E43" s="34">
        <f>E24*(1+Price_Shock_Pct)</f>
        <v/>
      </c>
      <c r="F43" s="34">
        <f>F24*(1+Price_Shock_Pct)</f>
        <v/>
      </c>
      <c r="G43" s="34">
        <f>G24*(1+Price_Shock_Pct)</f>
        <v/>
      </c>
    </row>
  </sheetData>
  <pageMargins left="0.75" right="0.75" top="1" bottom="1" header="0.5" footer="0.5"/>
</worksheet>
</file>

<file path=xl/worksheets/sheet4.xml><?xml version="1.0" encoding="utf-8"?>
<worksheet xmlns="http://schemas.openxmlformats.org/spreadsheetml/2006/main">
  <sheetPr>
    <tabColor rgb="00ED7D31"/>
    <outlinePr summaryBelow="1" summaryRight="1"/>
    <pageSetUpPr/>
  </sheetPr>
  <dimension ref="A1:AD23"/>
  <sheetViews>
    <sheetView showGridLines="0" workbookViewId="0">
      <selection activeCell="A1" sqref="A1"/>
    </sheetView>
  </sheetViews>
  <sheetFormatPr baseColWidth="8" defaultRowHeight="15"/>
  <cols>
    <col width="3" customWidth="1" min="1" max="1"/>
    <col width="35" customWidth="1" min="2" max="2"/>
    <col width="18" customWidth="1" min="3" max="3"/>
    <col width="18" customWidth="1" min="4" max="4"/>
    <col width="18" customWidth="1" min="5" max="5"/>
    <col width="18" customWidth="1" min="6" max="6"/>
    <col width="18" customWidth="1" min="7" max="7"/>
  </cols>
  <sheetData>
    <row r="1">
      <c r="A1" s="1" t="n"/>
      <c r="B1" s="1" t="n"/>
      <c r="C1" s="1" t="n"/>
      <c r="D1" s="1" t="n"/>
      <c r="E1" s="1" t="n"/>
      <c r="F1" s="1" t="n"/>
      <c r="G1" s="1" t="n"/>
      <c r="H1" s="2" t="n"/>
      <c r="I1" s="2" t="n"/>
      <c r="J1" s="2" t="n"/>
      <c r="K1" s="2" t="n"/>
      <c r="L1" s="2" t="n"/>
      <c r="M1" s="2" t="n"/>
      <c r="N1" s="2" t="n"/>
      <c r="O1" s="2" t="n"/>
      <c r="P1" s="2" t="n"/>
      <c r="Q1" s="2" t="n"/>
      <c r="R1" s="2" t="n"/>
      <c r="S1" s="2" t="n"/>
      <c r="T1" s="2" t="n"/>
      <c r="U1" s="2" t="n"/>
      <c r="V1" s="2" t="n"/>
      <c r="W1" s="2" t="n"/>
      <c r="X1" s="2" t="n"/>
      <c r="Y1" s="2" t="n"/>
      <c r="Z1" s="2" t="n"/>
      <c r="AA1" s="2" t="n"/>
      <c r="AB1" s="2" t="n"/>
      <c r="AC1" s="2" t="n"/>
      <c r="AD1" s="2" t="n"/>
    </row>
    <row r="2" ht="21.75" customHeight="1">
      <c r="A2" s="1" t="n"/>
      <c r="B2" s="1" t="n"/>
      <c r="C2" s="1" t="n"/>
      <c r="D2" s="1" t="n"/>
      <c r="E2" s="1" t="n"/>
      <c r="F2" s="1" t="n"/>
      <c r="G2" s="1" t="n"/>
      <c r="H2" s="2" t="n"/>
      <c r="I2" s="2" t="n"/>
      <c r="J2" s="2" t="n"/>
      <c r="K2" s="2" t="n"/>
      <c r="L2" s="2" t="n"/>
      <c r="M2" s="2" t="n"/>
      <c r="N2" s="2" t="n"/>
      <c r="O2" s="2" t="n"/>
      <c r="P2" s="2" t="n"/>
      <c r="Q2" s="2" t="n"/>
      <c r="R2" s="2" t="n"/>
      <c r="S2" s="2" t="n"/>
      <c r="T2" s="2" t="n"/>
      <c r="U2" s="2" t="n"/>
      <c r="V2" s="2" t="n"/>
      <c r="W2" s="2" t="n"/>
      <c r="X2" s="2" t="n"/>
      <c r="Y2" s="2" t="n"/>
      <c r="Z2" s="2" t="n"/>
      <c r="AA2" s="2" t="n"/>
      <c r="AB2" s="2" t="n"/>
      <c r="AC2" s="2" t="n"/>
      <c r="AD2" s="2" t="n"/>
    </row>
    <row r="3">
      <c r="A3" s="1" t="n"/>
      <c r="B3" s="1" t="n"/>
      <c r="C3" s="1" t="n"/>
      <c r="D3" s="1" t="n"/>
      <c r="E3" s="1" t="n"/>
      <c r="F3" s="1" t="n"/>
      <c r="G3" s="1" t="n"/>
      <c r="H3" s="2" t="n"/>
      <c r="I3" s="2" t="n"/>
      <c r="J3" s="2" t="n"/>
      <c r="K3" s="2" t="n"/>
      <c r="L3" s="2" t="n"/>
      <c r="M3" s="2" t="n"/>
      <c r="N3" s="2" t="n"/>
      <c r="O3" s="2" t="n"/>
      <c r="P3" s="2" t="n"/>
      <c r="Q3" s="2" t="n"/>
      <c r="R3" s="2" t="n"/>
      <c r="S3" s="2" t="n"/>
      <c r="T3" s="2" t="n"/>
      <c r="U3" s="2" t="n"/>
      <c r="V3" s="2" t="n"/>
      <c r="W3" s="2" t="n"/>
      <c r="X3" s="2" t="n"/>
      <c r="Y3" s="2" t="n"/>
      <c r="Z3" s="2" t="n"/>
      <c r="AA3" s="2" t="n"/>
      <c r="AB3" s="2" t="n"/>
      <c r="AC3" s="2" t="n"/>
      <c r="AD3" s="2" t="n"/>
    </row>
    <row r="4">
      <c r="A4" s="4" t="n"/>
      <c r="B4" s="4" t="n"/>
      <c r="C4" s="4" t="n"/>
      <c r="D4" s="4" t="n"/>
      <c r="E4" s="4" t="n"/>
      <c r="F4" s="4" t="n"/>
      <c r="G4" s="4" t="n"/>
    </row>
    <row r="5">
      <c r="A5" s="4" t="n"/>
      <c r="B5" s="4" t="n"/>
      <c r="C5" s="4" t="n"/>
      <c r="D5" s="4" t="n"/>
      <c r="E5" s="4" t="n"/>
      <c r="F5" s="4" t="n"/>
      <c r="G5" s="4" t="n"/>
    </row>
    <row r="6">
      <c r="A6" s="4" t="n"/>
      <c r="B6" s="24" t="inlineStr"/>
      <c r="C6" s="25">
        <f>Model_Start_Year+0</f>
        <v/>
      </c>
      <c r="D6" s="25">
        <f>Model_Start_Year+1</f>
        <v/>
      </c>
      <c r="E6" s="25">
        <f>Model_Start_Year+2</f>
        <v/>
      </c>
      <c r="F6" s="25">
        <f>Model_Start_Year+3</f>
        <v/>
      </c>
      <c r="G6" s="25">
        <f>Model_Start_Year+4</f>
        <v/>
      </c>
    </row>
    <row r="7">
      <c r="A7" s="4" t="n"/>
      <c r="B7" s="26" t="inlineStr">
        <is>
          <t>Year #</t>
        </is>
      </c>
      <c r="C7" s="27" t="n">
        <v>1</v>
      </c>
      <c r="D7" s="27" t="n">
        <v>2</v>
      </c>
      <c r="E7" s="27" t="n">
        <v>3</v>
      </c>
      <c r="F7" s="27" t="n">
        <v>4</v>
      </c>
      <c r="G7" s="27" t="n">
        <v>5</v>
      </c>
    </row>
    <row r="8">
      <c r="A8" s="4" t="n"/>
      <c r="B8" s="4" t="n"/>
      <c r="C8" s="4" t="n"/>
      <c r="D8" s="4" t="n"/>
      <c r="E8" s="4" t="n"/>
      <c r="F8" s="4" t="n"/>
      <c r="G8" s="4" t="n"/>
    </row>
    <row r="9">
      <c r="A9" s="4" t="n"/>
      <c r="B9" s="7" t="inlineStr">
        <is>
          <t>Base Operating Costs</t>
        </is>
      </c>
      <c r="C9" s="7" t="n"/>
      <c r="D9" s="7" t="n"/>
      <c r="E9" s="7" t="n"/>
      <c r="F9" s="7" t="n"/>
      <c r="G9" s="7" t="n"/>
    </row>
    <row r="10">
      <c r="A10" s="4" t="n"/>
      <c r="B10" s="28" t="inlineStr">
        <is>
          <t>Staff Costs</t>
        </is>
      </c>
      <c r="C10" s="29">
        <f>Headcount*Avg_Salary*(1+OpEx_Escalation)^(C7-1)</f>
        <v/>
      </c>
      <c r="D10" s="29">
        <f>Headcount*Avg_Salary*(1+OpEx_Escalation)^(D7-1)</f>
        <v/>
      </c>
      <c r="E10" s="29">
        <f>Headcount*Avg_Salary*(1+OpEx_Escalation)^(E7-1)</f>
        <v/>
      </c>
      <c r="F10" s="29">
        <f>Headcount*Avg_Salary*(1+OpEx_Escalation)^(F7-1)</f>
        <v/>
      </c>
      <c r="G10" s="29">
        <f>Headcount*Avg_Salary*(1+OpEx_Escalation)^(G7-1)</f>
        <v/>
      </c>
    </row>
    <row r="11">
      <c r="A11" s="4" t="n"/>
      <c r="B11" s="28" t="inlineStr">
        <is>
          <t>IT &amp; Systems</t>
        </is>
      </c>
      <c r="C11" s="29">
        <f>IT_Cost_Y1*(1+OpEx_Escalation)^(C7-1)</f>
        <v/>
      </c>
      <c r="D11" s="29">
        <f>IT_Cost_Y1*(1+OpEx_Escalation)^(D7-1)</f>
        <v/>
      </c>
      <c r="E11" s="29">
        <f>IT_Cost_Y1*(1+OpEx_Escalation)^(E7-1)</f>
        <v/>
      </c>
      <c r="F11" s="29">
        <f>IT_Cost_Y1*(1+OpEx_Escalation)^(F7-1)</f>
        <v/>
      </c>
      <c r="G11" s="29">
        <f>IT_Cost_Y1*(1+OpEx_Escalation)^(G7-1)</f>
        <v/>
      </c>
    </row>
    <row r="12">
      <c r="A12" s="4" t="n"/>
      <c r="B12" s="28" t="inlineStr">
        <is>
          <t>Office &amp; Rent</t>
        </is>
      </c>
      <c r="C12" s="29">
        <f>Office_Rent_Y1*(1+OpEx_Escalation)^(C7-1)</f>
        <v/>
      </c>
      <c r="D12" s="29">
        <f>Office_Rent_Y1*(1+OpEx_Escalation)^(D7-1)</f>
        <v/>
      </c>
      <c r="E12" s="29">
        <f>Office_Rent_Y1*(1+OpEx_Escalation)^(E7-1)</f>
        <v/>
      </c>
      <c r="F12" s="29">
        <f>Office_Rent_Y1*(1+OpEx_Escalation)^(F7-1)</f>
        <v/>
      </c>
      <c r="G12" s="29">
        <f>Office_Rent_Y1*(1+OpEx_Escalation)^(G7-1)</f>
        <v/>
      </c>
    </row>
    <row r="13">
      <c r="A13" s="4" t="n"/>
      <c r="B13" s="28" t="inlineStr">
        <is>
          <t>Other G&amp;A</t>
        </is>
      </c>
      <c r="C13" s="29">
        <f>Other_GA_Y1*(1+OpEx_Escalation)^(C7-1)</f>
        <v/>
      </c>
      <c r="D13" s="29">
        <f>Other_GA_Y1*(1+OpEx_Escalation)^(D7-1)</f>
        <v/>
      </c>
      <c r="E13" s="29">
        <f>Other_GA_Y1*(1+OpEx_Escalation)^(E7-1)</f>
        <v/>
      </c>
      <c r="F13" s="29">
        <f>Other_GA_Y1*(1+OpEx_Escalation)^(F7-1)</f>
        <v/>
      </c>
      <c r="G13" s="29">
        <f>Other_GA_Y1*(1+OpEx_Escalation)^(G7-1)</f>
        <v/>
      </c>
    </row>
    <row r="14">
      <c r="A14" s="4" t="n"/>
      <c r="B14" s="5" t="inlineStr">
        <is>
          <t>Total Base OpEx</t>
        </is>
      </c>
      <c r="C14" s="35">
        <f>SUM(C10:C13)</f>
        <v/>
      </c>
      <c r="D14" s="35">
        <f>SUM(D10:D13)</f>
        <v/>
      </c>
      <c r="E14" s="35">
        <f>SUM(E10:E13)</f>
        <v/>
      </c>
      <c r="F14" s="35">
        <f>SUM(F10:F13)</f>
        <v/>
      </c>
      <c r="G14" s="35">
        <f>SUM(G10:G13)</f>
        <v/>
      </c>
    </row>
    <row r="15">
      <c r="A15" s="4" t="n"/>
      <c r="B15" s="4" t="n"/>
      <c r="C15" s="4" t="n"/>
      <c r="D15" s="4" t="n"/>
      <c r="E15" s="4" t="n"/>
      <c r="F15" s="4" t="n"/>
      <c r="G15" s="4" t="n"/>
    </row>
    <row r="16">
      <c r="A16" s="4" t="n"/>
      <c r="B16" s="7" t="inlineStr">
        <is>
          <t>Bonus Pool</t>
        </is>
      </c>
      <c r="C16" s="7" t="n"/>
      <c r="D16" s="7" t="n"/>
      <c r="E16" s="7" t="n"/>
      <c r="F16" s="7" t="n"/>
      <c r="G16" s="7" t="n"/>
    </row>
    <row r="17">
      <c r="A17" s="4" t="n"/>
      <c r="B17" s="6" t="inlineStr">
        <is>
          <t>Pre-Bonus Op Profit (GP - Base OpEx)</t>
        </is>
      </c>
      <c r="C17" s="29">
        <f>VM_Total_GP-C14</f>
        <v/>
      </c>
      <c r="D17" s="29">
        <f>VM_Total_GP-D14</f>
        <v/>
      </c>
      <c r="E17" s="29">
        <f>VM_Total_GP-E14</f>
        <v/>
      </c>
      <c r="F17" s="29">
        <f>VM_Total_GP-F14</f>
        <v/>
      </c>
      <c r="G17" s="29">
        <f>VM_Total_GP-G14</f>
        <v/>
      </c>
    </row>
    <row r="18">
      <c r="A18" s="4" t="n"/>
      <c r="B18" s="28" t="inlineStr">
        <is>
          <t>Bonus Pool</t>
        </is>
      </c>
      <c r="C18" s="29">
        <f>MAX(0,C17*Bonus_Pct)</f>
        <v/>
      </c>
      <c r="D18" s="29">
        <f>MAX(0,D17*Bonus_Pct)</f>
        <v/>
      </c>
      <c r="E18" s="29">
        <f>MAX(0,E17*Bonus_Pct)</f>
        <v/>
      </c>
      <c r="F18" s="29">
        <f>MAX(0,F17*Bonus_Pct)</f>
        <v/>
      </c>
      <c r="G18" s="29">
        <f>MAX(0,G17*Bonus_Pct)</f>
        <v/>
      </c>
    </row>
    <row r="19">
      <c r="A19" s="4" t="n"/>
      <c r="B19" s="4" t="n"/>
      <c r="C19" s="4" t="n"/>
      <c r="D19" s="4" t="n"/>
      <c r="E19" s="4" t="n"/>
      <c r="F19" s="4" t="n"/>
      <c r="G19" s="4" t="n"/>
    </row>
    <row r="20">
      <c r="A20" s="4" t="n"/>
      <c r="B20" s="5" t="inlineStr">
        <is>
          <t>TOTAL OPEX</t>
        </is>
      </c>
      <c r="C20" s="30">
        <f>C14+C18</f>
        <v/>
      </c>
      <c r="D20" s="30">
        <f>D14+D18</f>
        <v/>
      </c>
      <c r="E20" s="30">
        <f>E14+E18</f>
        <v/>
      </c>
      <c r="F20" s="30">
        <f>F14+F18</f>
        <v/>
      </c>
      <c r="G20" s="30">
        <f>G14+G18</f>
        <v/>
      </c>
    </row>
    <row r="21">
      <c r="A21" s="4" t="n"/>
      <c r="B21" s="4" t="n"/>
      <c r="C21" s="4" t="n"/>
      <c r="D21" s="4" t="n"/>
      <c r="E21" s="4" t="n"/>
      <c r="F21" s="4" t="n"/>
      <c r="G21" s="4" t="n"/>
    </row>
    <row r="22">
      <c r="A22" s="4" t="n"/>
      <c r="B22" s="7" t="inlineStr">
        <is>
          <t>FX Translation</t>
        </is>
      </c>
      <c r="C22" s="7" t="n"/>
      <c r="D22" s="7" t="n"/>
      <c r="E22" s="7" t="n"/>
      <c r="F22" s="7" t="n"/>
      <c r="G22" s="7" t="n"/>
    </row>
    <row r="23">
      <c r="A23" s="4" t="n"/>
      <c r="B23" s="33" t="inlineStr">
        <is>
          <t>FX Gain/(Loss) on Non-USD Opex</t>
        </is>
      </c>
      <c r="C23" s="34">
        <f>-C14*(1-Opex_USD_Pct)*0.01</f>
        <v/>
      </c>
      <c r="D23" s="34">
        <f>-D14*(1-Opex_USD_Pct)*0.01</f>
        <v/>
      </c>
      <c r="E23" s="34">
        <f>-E14*(1-Opex_USD_Pct)*0.01</f>
        <v/>
      </c>
      <c r="F23" s="34">
        <f>-F14*(1-Opex_USD_Pct)*0.01</f>
        <v/>
      </c>
      <c r="G23" s="34">
        <f>-G14*(1-Opex_USD_Pct)*0.01</f>
        <v/>
      </c>
    </row>
  </sheetData>
  <pageMargins left="0.75" right="0.75" top="1" bottom="1" header="0.5" footer="0.5"/>
</worksheet>
</file>

<file path=xl/worksheets/sheet5.xml><?xml version="1.0" encoding="utf-8"?>
<worksheet xmlns="http://schemas.openxmlformats.org/spreadsheetml/2006/main">
  <sheetPr>
    <tabColor rgb="00ED7D31"/>
    <outlinePr summaryBelow="1" summaryRight="1"/>
    <pageSetUpPr/>
  </sheetPr>
  <dimension ref="A1:AD31"/>
  <sheetViews>
    <sheetView showGridLines="0" workbookViewId="0">
      <selection activeCell="A1" sqref="A1"/>
    </sheetView>
  </sheetViews>
  <sheetFormatPr baseColWidth="8" defaultRowHeight="15"/>
  <cols>
    <col width="3" customWidth="1" min="1" max="1"/>
    <col width="35" customWidth="1" min="2" max="2"/>
    <col width="18" customWidth="1" min="3" max="3"/>
    <col width="18" customWidth="1" min="4" max="4"/>
    <col width="18" customWidth="1" min="5" max="5"/>
    <col width="18" customWidth="1" min="6" max="6"/>
    <col width="18" customWidth="1" min="7" max="7"/>
  </cols>
  <sheetData>
    <row r="1">
      <c r="A1" s="1" t="n"/>
      <c r="B1" s="1" t="n"/>
      <c r="C1" s="1" t="n"/>
      <c r="D1" s="1" t="n"/>
      <c r="E1" s="1" t="n"/>
      <c r="F1" s="1" t="n"/>
      <c r="G1" s="1" t="n"/>
      <c r="H1" s="2" t="n"/>
      <c r="I1" s="2" t="n"/>
      <c r="J1" s="2" t="n"/>
      <c r="K1" s="2" t="n"/>
      <c r="L1" s="2" t="n"/>
      <c r="M1" s="2" t="n"/>
      <c r="N1" s="2" t="n"/>
      <c r="O1" s="2" t="n"/>
      <c r="P1" s="2" t="n"/>
      <c r="Q1" s="2" t="n"/>
      <c r="R1" s="2" t="n"/>
      <c r="S1" s="2" t="n"/>
      <c r="T1" s="2" t="n"/>
      <c r="U1" s="2" t="n"/>
      <c r="V1" s="2" t="n"/>
      <c r="W1" s="2" t="n"/>
      <c r="X1" s="2" t="n"/>
      <c r="Y1" s="2" t="n"/>
      <c r="Z1" s="2" t="n"/>
      <c r="AA1" s="2" t="n"/>
      <c r="AB1" s="2" t="n"/>
      <c r="AC1" s="2" t="n"/>
      <c r="AD1" s="2" t="n"/>
    </row>
    <row r="2" ht="21.75" customHeight="1">
      <c r="A2" s="1" t="n"/>
      <c r="B2" s="1" t="n"/>
      <c r="C2" s="1" t="n"/>
      <c r="D2" s="1" t="n"/>
      <c r="E2" s="1" t="n"/>
      <c r="F2" s="1" t="n"/>
      <c r="G2" s="1" t="n"/>
      <c r="H2" s="2" t="n"/>
      <c r="I2" s="2" t="n"/>
      <c r="J2" s="2" t="n"/>
      <c r="K2" s="2" t="n"/>
      <c r="L2" s="2" t="n"/>
      <c r="M2" s="2" t="n"/>
      <c r="N2" s="2" t="n"/>
      <c r="O2" s="2" t="n"/>
      <c r="P2" s="2" t="n"/>
      <c r="Q2" s="2" t="n"/>
      <c r="R2" s="2" t="n"/>
      <c r="S2" s="2" t="n"/>
      <c r="T2" s="2" t="n"/>
      <c r="U2" s="2" t="n"/>
      <c r="V2" s="2" t="n"/>
      <c r="W2" s="2" t="n"/>
      <c r="X2" s="2" t="n"/>
      <c r="Y2" s="2" t="n"/>
      <c r="Z2" s="2" t="n"/>
      <c r="AA2" s="2" t="n"/>
      <c r="AB2" s="2" t="n"/>
      <c r="AC2" s="2" t="n"/>
      <c r="AD2" s="2" t="n"/>
    </row>
    <row r="3">
      <c r="A3" s="1" t="n"/>
      <c r="B3" s="1" t="n"/>
      <c r="C3" s="1" t="n"/>
      <c r="D3" s="1" t="n"/>
      <c r="E3" s="1" t="n"/>
      <c r="F3" s="1" t="n"/>
      <c r="G3" s="1" t="n"/>
      <c r="H3" s="2" t="n"/>
      <c r="I3" s="2" t="n"/>
      <c r="J3" s="2" t="n"/>
      <c r="K3" s="2" t="n"/>
      <c r="L3" s="2" t="n"/>
      <c r="M3" s="2" t="n"/>
      <c r="N3" s="2" t="n"/>
      <c r="O3" s="2" t="n"/>
      <c r="P3" s="2" t="n"/>
      <c r="Q3" s="2" t="n"/>
      <c r="R3" s="2" t="n"/>
      <c r="S3" s="2" t="n"/>
      <c r="T3" s="2" t="n"/>
      <c r="U3" s="2" t="n"/>
      <c r="V3" s="2" t="n"/>
      <c r="W3" s="2" t="n"/>
      <c r="X3" s="2" t="n"/>
      <c r="Y3" s="2" t="n"/>
      <c r="Z3" s="2" t="n"/>
      <c r="AA3" s="2" t="n"/>
      <c r="AB3" s="2" t="n"/>
      <c r="AC3" s="2" t="n"/>
      <c r="AD3" s="2" t="n"/>
    </row>
    <row r="4">
      <c r="A4" s="4" t="n"/>
      <c r="B4" s="4" t="n"/>
      <c r="C4" s="4" t="n"/>
      <c r="D4" s="4" t="n"/>
      <c r="E4" s="4" t="n"/>
      <c r="F4" s="4" t="n"/>
      <c r="G4" s="4" t="n"/>
    </row>
    <row r="5">
      <c r="A5" s="4" t="n"/>
      <c r="B5" s="4" t="n"/>
      <c r="C5" s="4" t="n"/>
      <c r="D5" s="4" t="n"/>
      <c r="E5" s="4" t="n"/>
      <c r="F5" s="4" t="n"/>
      <c r="G5" s="4" t="n"/>
    </row>
    <row r="6">
      <c r="A6" s="4" t="n"/>
      <c r="B6" s="24" t="inlineStr"/>
      <c r="C6" s="25">
        <f>Model_Start_Year+0</f>
        <v/>
      </c>
      <c r="D6" s="25">
        <f>Model_Start_Year+1</f>
        <v/>
      </c>
      <c r="E6" s="25">
        <f>Model_Start_Year+2</f>
        <v/>
      </c>
      <c r="F6" s="25">
        <f>Model_Start_Year+3</f>
        <v/>
      </c>
      <c r="G6" s="25">
        <f>Model_Start_Year+4</f>
        <v/>
      </c>
    </row>
    <row r="7">
      <c r="A7" s="4" t="n"/>
      <c r="B7" s="26" t="inlineStr">
        <is>
          <t>Year #</t>
        </is>
      </c>
      <c r="C7" s="27" t="n">
        <v>1</v>
      </c>
      <c r="D7" s="27" t="n">
        <v>2</v>
      </c>
      <c r="E7" s="27" t="n">
        <v>3</v>
      </c>
      <c r="F7" s="27" t="n">
        <v>4</v>
      </c>
      <c r="G7" s="27" t="n">
        <v>5</v>
      </c>
    </row>
    <row r="8">
      <c r="A8" s="4" t="n"/>
      <c r="B8" s="4" t="n"/>
      <c r="C8" s="4" t="n"/>
      <c r="D8" s="4" t="n"/>
      <c r="E8" s="4" t="n"/>
      <c r="F8" s="4" t="n"/>
      <c r="G8" s="4" t="n"/>
    </row>
    <row r="9">
      <c r="A9" s="4" t="n"/>
      <c r="B9" s="7" t="inlineStr">
        <is>
          <t>Working Capital Balances</t>
        </is>
      </c>
      <c r="C9" s="7" t="n"/>
      <c r="D9" s="7" t="n"/>
      <c r="E9" s="7" t="n"/>
      <c r="F9" s="7" t="n"/>
      <c r="G9" s="7" t="n"/>
    </row>
    <row r="10">
      <c r="A10" s="4" t="n"/>
      <c r="B10" s="28" t="inlineStr">
        <is>
          <t>Trade Receivables</t>
        </is>
      </c>
      <c r="C10" s="29">
        <f>VM_Total_Revenue/365*Assumption_DSO</f>
        <v/>
      </c>
      <c r="D10" s="29">
        <f>VM_Total_Revenue/365*Assumption_DSO</f>
        <v/>
      </c>
      <c r="E10" s="29">
        <f>VM_Total_Revenue/365*Assumption_DSO</f>
        <v/>
      </c>
      <c r="F10" s="29">
        <f>VM_Total_Revenue/365*Assumption_DSO</f>
        <v/>
      </c>
      <c r="G10" s="29">
        <f>VM_Total_Revenue/365*Assumption_DSO</f>
        <v/>
      </c>
    </row>
    <row r="11">
      <c r="A11" s="4" t="n"/>
      <c r="B11" s="28" t="inlineStr">
        <is>
          <t>Total Inventory</t>
        </is>
      </c>
      <c r="C11" s="29">
        <f>VM_Total_COGS/365*Assumption_DIO</f>
        <v/>
      </c>
      <c r="D11" s="29">
        <f>VM_Total_COGS/365*Assumption_DIO</f>
        <v/>
      </c>
      <c r="E11" s="29">
        <f>VM_Total_COGS/365*Assumption_DIO</f>
        <v/>
      </c>
      <c r="F11" s="29">
        <f>VM_Total_COGS/365*Assumption_DIO</f>
        <v/>
      </c>
      <c r="G11" s="29">
        <f>VM_Total_COGS/365*Assumption_DIO</f>
        <v/>
      </c>
    </row>
    <row r="12">
      <c r="A12" s="4" t="n"/>
      <c r="B12" s="36" t="inlineStr">
        <is>
          <t xml:space="preserve">  RMI Inventory</t>
        </is>
      </c>
      <c r="C12" s="29">
        <f>C11*RMI_Pct</f>
        <v/>
      </c>
      <c r="D12" s="29">
        <f>D11*RMI_Pct</f>
        <v/>
      </c>
      <c r="E12" s="29">
        <f>E11*RMI_Pct</f>
        <v/>
      </c>
      <c r="F12" s="29">
        <f>F11*RMI_Pct</f>
        <v/>
      </c>
      <c r="G12" s="29">
        <f>G11*RMI_Pct</f>
        <v/>
      </c>
    </row>
    <row r="13">
      <c r="A13" s="4" t="n"/>
      <c r="B13" s="36" t="inlineStr">
        <is>
          <t xml:space="preserve">  Non-RMI Inventory</t>
        </is>
      </c>
      <c r="C13" s="29">
        <f>C11*(1-RMI_Pct)</f>
        <v/>
      </c>
      <c r="D13" s="29">
        <f>D11*(1-RMI_Pct)</f>
        <v/>
      </c>
      <c r="E13" s="29">
        <f>E11*(1-RMI_Pct)</f>
        <v/>
      </c>
      <c r="F13" s="29">
        <f>F11*(1-RMI_Pct)</f>
        <v/>
      </c>
      <c r="G13" s="29">
        <f>G11*(1-RMI_Pct)</f>
        <v/>
      </c>
    </row>
    <row r="14">
      <c r="A14" s="4" t="n"/>
      <c r="B14" s="5" t="inlineStr">
        <is>
          <t>Total WC Assets</t>
        </is>
      </c>
      <c r="C14" s="35">
        <f>C10+C11</f>
        <v/>
      </c>
      <c r="D14" s="35">
        <f>D10+D11</f>
        <v/>
      </c>
      <c r="E14" s="35">
        <f>E10+E11</f>
        <v/>
      </c>
      <c r="F14" s="35">
        <f>F10+F11</f>
        <v/>
      </c>
      <c r="G14" s="35">
        <f>G10+G11</f>
        <v/>
      </c>
    </row>
    <row r="15">
      <c r="A15" s="4" t="n"/>
      <c r="B15" s="4" t="n"/>
      <c r="C15" s="4" t="n"/>
      <c r="D15" s="4" t="n"/>
      <c r="E15" s="4" t="n"/>
      <c r="F15" s="4" t="n"/>
      <c r="G15" s="4" t="n"/>
    </row>
    <row r="16">
      <c r="A16" s="4" t="n"/>
      <c r="B16" s="28" t="inlineStr">
        <is>
          <t>Trade Payables</t>
        </is>
      </c>
      <c r="C16" s="29">
        <f>VM_Total_COGS/365*Assumption_DPO</f>
        <v/>
      </c>
      <c r="D16" s="29">
        <f>VM_Total_COGS/365*Assumption_DPO</f>
        <v/>
      </c>
      <c r="E16" s="29">
        <f>VM_Total_COGS/365*Assumption_DPO</f>
        <v/>
      </c>
      <c r="F16" s="29">
        <f>VM_Total_COGS/365*Assumption_DPO</f>
        <v/>
      </c>
      <c r="G16" s="29">
        <f>VM_Total_COGS/365*Assumption_DPO</f>
        <v/>
      </c>
    </row>
    <row r="17">
      <c r="A17" s="4" t="n"/>
      <c r="B17" s="33" t="inlineStr">
        <is>
          <t>LCs Issued (memo)</t>
        </is>
      </c>
      <c r="C17" s="34">
        <f>C16*LC_Pct_AP</f>
        <v/>
      </c>
      <c r="D17" s="34">
        <f>D16*LC_Pct_AP</f>
        <v/>
      </c>
      <c r="E17" s="34">
        <f>E16*LC_Pct_AP</f>
        <v/>
      </c>
      <c r="F17" s="34">
        <f>F16*LC_Pct_AP</f>
        <v/>
      </c>
      <c r="G17" s="34">
        <f>G16*LC_Pct_AP</f>
        <v/>
      </c>
    </row>
    <row r="18">
      <c r="A18" s="4" t="n"/>
      <c r="B18" s="5" t="inlineStr">
        <is>
          <t>Total WC Liabilities</t>
        </is>
      </c>
      <c r="C18" s="35">
        <f>C16</f>
        <v/>
      </c>
      <c r="D18" s="35">
        <f>D16</f>
        <v/>
      </c>
      <c r="E18" s="35">
        <f>E16</f>
        <v/>
      </c>
      <c r="F18" s="35">
        <f>F16</f>
        <v/>
      </c>
      <c r="G18" s="35">
        <f>G16</f>
        <v/>
      </c>
    </row>
    <row r="19">
      <c r="A19" s="4" t="n"/>
      <c r="B19" s="4" t="n"/>
      <c r="C19" s="4" t="n"/>
      <c r="D19" s="4" t="n"/>
      <c r="E19" s="4" t="n"/>
      <c r="F19" s="4" t="n"/>
      <c r="G19" s="4" t="n"/>
    </row>
    <row r="20">
      <c r="A20" s="4" t="n"/>
      <c r="B20" s="5" t="inlineStr">
        <is>
          <t>NET WORKING CAPITAL</t>
        </is>
      </c>
      <c r="C20" s="30">
        <f>C14-C18</f>
        <v/>
      </c>
      <c r="D20" s="30">
        <f>D14-D18</f>
        <v/>
      </c>
      <c r="E20" s="30">
        <f>E14-E18</f>
        <v/>
      </c>
      <c r="F20" s="30">
        <f>F14-F18</f>
        <v/>
      </c>
      <c r="G20" s="30">
        <f>G14-G18</f>
        <v/>
      </c>
    </row>
    <row r="21">
      <c r="A21" s="4" t="n"/>
      <c r="B21" s="4" t="n"/>
      <c r="C21" s="4" t="n"/>
      <c r="D21" s="4" t="n"/>
      <c r="E21" s="4" t="n"/>
      <c r="F21" s="4" t="n"/>
      <c r="G21" s="4" t="n"/>
    </row>
    <row r="22">
      <c r="A22" s="4" t="n"/>
      <c r="B22" s="7" t="inlineStr">
        <is>
          <t>Hedging &amp; VaR (memo)</t>
        </is>
      </c>
      <c r="C22" s="7" t="n"/>
      <c r="D22" s="7" t="n"/>
      <c r="E22" s="7" t="n"/>
      <c r="F22" s="7" t="n"/>
      <c r="G22" s="7" t="n"/>
    </row>
    <row r="23">
      <c r="A23" s="4" t="n"/>
      <c r="B23" s="33" t="inlineStr">
        <is>
          <t>Hedged Inventory</t>
        </is>
      </c>
      <c r="C23" s="34">
        <f>C11*Pct_Inventory_Hedged</f>
        <v/>
      </c>
      <c r="D23" s="34">
        <f>D11*Pct_Inventory_Hedged</f>
        <v/>
      </c>
      <c r="E23" s="34">
        <f>E11*Pct_Inventory_Hedged</f>
        <v/>
      </c>
      <c r="F23" s="34">
        <f>F11*Pct_Inventory_Hedged</f>
        <v/>
      </c>
      <c r="G23" s="34">
        <f>G11*Pct_Inventory_Hedged</f>
        <v/>
      </c>
    </row>
    <row r="24">
      <c r="A24" s="4" t="n"/>
      <c r="B24" s="33" t="inlineStr">
        <is>
          <t>Open Position (Unhedged)</t>
        </is>
      </c>
      <c r="C24" s="34">
        <f>C11*(1-Pct_Inventory_Hedged)</f>
        <v/>
      </c>
      <c r="D24" s="34">
        <f>D11*(1-Pct_Inventory_Hedged)</f>
        <v/>
      </c>
      <c r="E24" s="34">
        <f>E11*(1-Pct_Inventory_Hedged)</f>
        <v/>
      </c>
      <c r="F24" s="34">
        <f>F11*(1-Pct_Inventory_Hedged)</f>
        <v/>
      </c>
      <c r="G24" s="34">
        <f>G11*(1-Pct_Inventory_Hedged)</f>
        <v/>
      </c>
    </row>
    <row r="25">
      <c r="A25" s="4" t="n"/>
      <c r="B25" s="33" t="inlineStr">
        <is>
          <t>1-Day VaR</t>
        </is>
      </c>
      <c r="C25" s="34">
        <f>C24*VaR_Factor</f>
        <v/>
      </c>
      <c r="D25" s="34">
        <f>D24*VaR_Factor</f>
        <v/>
      </c>
      <c r="E25" s="34">
        <f>E24*VaR_Factor</f>
        <v/>
      </c>
      <c r="F25" s="34">
        <f>F24*VaR_Factor</f>
        <v/>
      </c>
      <c r="G25" s="34">
        <f>G24*VaR_Factor</f>
        <v/>
      </c>
    </row>
    <row r="26">
      <c r="A26" s="4" t="n"/>
      <c r="B26" s="4" t="n"/>
      <c r="C26" s="4" t="n"/>
      <c r="D26" s="4" t="n"/>
      <c r="E26" s="4" t="n"/>
      <c r="F26" s="4" t="n"/>
      <c r="G26" s="4" t="n"/>
    </row>
    <row r="27">
      <c r="A27" s="4" t="n"/>
      <c r="B27" s="7" t="inlineStr">
        <is>
          <t>Working Capital Changes (for CFS)</t>
        </is>
      </c>
      <c r="C27" s="7" t="n"/>
      <c r="D27" s="7" t="n"/>
      <c r="E27" s="7" t="n"/>
      <c r="F27" s="7" t="n"/>
      <c r="G27" s="7" t="n"/>
    </row>
    <row r="28">
      <c r="A28" s="4" t="n"/>
      <c r="B28" s="28" t="inlineStr">
        <is>
          <t>Change in Receivables</t>
        </is>
      </c>
      <c r="C28" s="29">
        <f>-C10</f>
        <v/>
      </c>
      <c r="D28" s="29">
        <f>-(D10-C10)</f>
        <v/>
      </c>
      <c r="E28" s="29">
        <f>-(E10-D10)</f>
        <v/>
      </c>
      <c r="F28" s="29">
        <f>-(F10-E10)</f>
        <v/>
      </c>
      <c r="G28" s="29">
        <f>-(G10-F10)</f>
        <v/>
      </c>
    </row>
    <row r="29">
      <c r="A29" s="4" t="n"/>
      <c r="B29" s="28" t="inlineStr">
        <is>
          <t>Change in Inventory</t>
        </is>
      </c>
      <c r="C29" s="29">
        <f>-C11</f>
        <v/>
      </c>
      <c r="D29" s="29">
        <f>-(D11-C11)</f>
        <v/>
      </c>
      <c r="E29" s="29">
        <f>-(E11-D11)</f>
        <v/>
      </c>
      <c r="F29" s="29">
        <f>-(F11-E11)</f>
        <v/>
      </c>
      <c r="G29" s="29">
        <f>-(G11-F11)</f>
        <v/>
      </c>
    </row>
    <row r="30">
      <c r="A30" s="4" t="n"/>
      <c r="B30" s="28" t="inlineStr">
        <is>
          <t>Change in Payables</t>
        </is>
      </c>
      <c r="C30" s="29">
        <f>C16</f>
        <v/>
      </c>
      <c r="D30" s="29">
        <f>D16-C16</f>
        <v/>
      </c>
      <c r="E30" s="29">
        <f>E16-D16</f>
        <v/>
      </c>
      <c r="F30" s="29">
        <f>F16-E16</f>
        <v/>
      </c>
      <c r="G30" s="29">
        <f>G16-F16</f>
        <v/>
      </c>
    </row>
    <row r="31">
      <c r="A31" s="4" t="n"/>
      <c r="B31" s="5" t="inlineStr">
        <is>
          <t>Total WC Change</t>
        </is>
      </c>
      <c r="C31" s="30">
        <f>SUM(C28:C30)</f>
        <v/>
      </c>
      <c r="D31" s="30">
        <f>SUM(D28:D30)</f>
        <v/>
      </c>
      <c r="E31" s="30">
        <f>SUM(E28:E30)</f>
        <v/>
      </c>
      <c r="F31" s="30">
        <f>SUM(F28:F30)</f>
        <v/>
      </c>
      <c r="G31" s="30">
        <f>SUM(G28:G30)</f>
        <v/>
      </c>
    </row>
  </sheetData>
  <pageMargins left="0.75" right="0.75" top="1" bottom="1" header="0.5" footer="0.5"/>
</worksheet>
</file>

<file path=xl/worksheets/sheet6.xml><?xml version="1.0" encoding="utf-8"?>
<worksheet xmlns="http://schemas.openxmlformats.org/spreadsheetml/2006/main">
  <sheetPr>
    <tabColor rgb="00ED7D31"/>
    <outlinePr summaryBelow="1" summaryRight="1"/>
    <pageSetUpPr/>
  </sheetPr>
  <dimension ref="A1:AD23"/>
  <sheetViews>
    <sheetView showGridLines="0" workbookViewId="0">
      <selection activeCell="A1" sqref="A1"/>
    </sheetView>
  </sheetViews>
  <sheetFormatPr baseColWidth="8" defaultRowHeight="15"/>
  <cols>
    <col width="3" customWidth="1" min="1" max="1"/>
    <col width="35" customWidth="1" min="2" max="2"/>
    <col width="18" customWidth="1" min="3" max="3"/>
    <col width="18" customWidth="1" min="4" max="4"/>
    <col width="18" customWidth="1" min="5" max="5"/>
    <col width="18" customWidth="1" min="6" max="6"/>
    <col width="18" customWidth="1" min="7" max="7"/>
  </cols>
  <sheetData>
    <row r="1">
      <c r="A1" s="1" t="n"/>
      <c r="B1" s="1" t="n"/>
      <c r="C1" s="1" t="n"/>
      <c r="D1" s="1" t="n"/>
      <c r="E1" s="1" t="n"/>
      <c r="F1" s="1" t="n"/>
      <c r="G1" s="1" t="n"/>
      <c r="H1" s="2" t="n"/>
      <c r="I1" s="2" t="n"/>
      <c r="J1" s="2" t="n"/>
      <c r="K1" s="2" t="n"/>
      <c r="L1" s="2" t="n"/>
      <c r="M1" s="2" t="n"/>
      <c r="N1" s="2" t="n"/>
      <c r="O1" s="2" t="n"/>
      <c r="P1" s="2" t="n"/>
      <c r="Q1" s="2" t="n"/>
      <c r="R1" s="2" t="n"/>
      <c r="S1" s="2" t="n"/>
      <c r="T1" s="2" t="n"/>
      <c r="U1" s="2" t="n"/>
      <c r="V1" s="2" t="n"/>
      <c r="W1" s="2" t="n"/>
      <c r="X1" s="2" t="n"/>
      <c r="Y1" s="2" t="n"/>
      <c r="Z1" s="2" t="n"/>
      <c r="AA1" s="2" t="n"/>
      <c r="AB1" s="2" t="n"/>
      <c r="AC1" s="2" t="n"/>
      <c r="AD1" s="2" t="n"/>
    </row>
    <row r="2" ht="21.75" customHeight="1">
      <c r="A2" s="1" t="n"/>
      <c r="B2" s="1" t="n"/>
      <c r="C2" s="1" t="n"/>
      <c r="D2" s="1" t="n"/>
      <c r="E2" s="1" t="n"/>
      <c r="F2" s="1" t="n"/>
      <c r="G2" s="1" t="n"/>
      <c r="H2" s="2" t="n"/>
      <c r="I2" s="2" t="n"/>
      <c r="J2" s="2" t="n"/>
      <c r="K2" s="2" t="n"/>
      <c r="L2" s="2" t="n"/>
      <c r="M2" s="2" t="n"/>
      <c r="N2" s="2" t="n"/>
      <c r="O2" s="2" t="n"/>
      <c r="P2" s="2" t="n"/>
      <c r="Q2" s="2" t="n"/>
      <c r="R2" s="2" t="n"/>
      <c r="S2" s="2" t="n"/>
      <c r="T2" s="2" t="n"/>
      <c r="U2" s="2" t="n"/>
      <c r="V2" s="2" t="n"/>
      <c r="W2" s="2" t="n"/>
      <c r="X2" s="2" t="n"/>
      <c r="Y2" s="2" t="n"/>
      <c r="Z2" s="2" t="n"/>
      <c r="AA2" s="2" t="n"/>
      <c r="AB2" s="2" t="n"/>
      <c r="AC2" s="2" t="n"/>
      <c r="AD2" s="2" t="n"/>
    </row>
    <row r="3">
      <c r="A3" s="1" t="n"/>
      <c r="B3" s="1" t="n"/>
      <c r="C3" s="1" t="n"/>
      <c r="D3" s="1" t="n"/>
      <c r="E3" s="1" t="n"/>
      <c r="F3" s="1" t="n"/>
      <c r="G3" s="1" t="n"/>
      <c r="H3" s="2" t="n"/>
      <c r="I3" s="2" t="n"/>
      <c r="J3" s="2" t="n"/>
      <c r="K3" s="2" t="n"/>
      <c r="L3" s="2" t="n"/>
      <c r="M3" s="2" t="n"/>
      <c r="N3" s="2" t="n"/>
      <c r="O3" s="2" t="n"/>
      <c r="P3" s="2" t="n"/>
      <c r="Q3" s="2" t="n"/>
      <c r="R3" s="2" t="n"/>
      <c r="S3" s="2" t="n"/>
      <c r="T3" s="2" t="n"/>
      <c r="U3" s="2" t="n"/>
      <c r="V3" s="2" t="n"/>
      <c r="W3" s="2" t="n"/>
      <c r="X3" s="2" t="n"/>
      <c r="Y3" s="2" t="n"/>
      <c r="Z3" s="2" t="n"/>
      <c r="AA3" s="2" t="n"/>
      <c r="AB3" s="2" t="n"/>
      <c r="AC3" s="2" t="n"/>
      <c r="AD3" s="2" t="n"/>
    </row>
    <row r="4">
      <c r="A4" s="4" t="n"/>
      <c r="B4" s="4" t="n"/>
      <c r="C4" s="4" t="n"/>
      <c r="D4" s="4" t="n"/>
      <c r="E4" s="4" t="n"/>
      <c r="F4" s="4" t="n"/>
      <c r="G4" s="4" t="n"/>
    </row>
    <row r="5">
      <c r="A5" s="4" t="n"/>
      <c r="B5" s="4" t="n"/>
      <c r="C5" s="4" t="n"/>
      <c r="D5" s="4" t="n"/>
      <c r="E5" s="4" t="n"/>
      <c r="F5" s="4" t="n"/>
      <c r="G5" s="4" t="n"/>
    </row>
    <row r="6">
      <c r="A6" s="4" t="n"/>
      <c r="B6" s="24" t="inlineStr"/>
      <c r="C6" s="25">
        <f>Model_Start_Year+0</f>
        <v/>
      </c>
      <c r="D6" s="25">
        <f>Model_Start_Year+1</f>
        <v/>
      </c>
      <c r="E6" s="25">
        <f>Model_Start_Year+2</f>
        <v/>
      </c>
      <c r="F6" s="25">
        <f>Model_Start_Year+3</f>
        <v/>
      </c>
      <c r="G6" s="25">
        <f>Model_Start_Year+4</f>
        <v/>
      </c>
    </row>
    <row r="7">
      <c r="A7" s="4" t="n"/>
      <c r="B7" s="26" t="inlineStr">
        <is>
          <t>Year #</t>
        </is>
      </c>
      <c r="C7" s="27" t="n">
        <v>1</v>
      </c>
      <c r="D7" s="27" t="n">
        <v>2</v>
      </c>
      <c r="E7" s="27" t="n">
        <v>3</v>
      </c>
      <c r="F7" s="27" t="n">
        <v>4</v>
      </c>
      <c r="G7" s="27" t="n">
        <v>5</v>
      </c>
    </row>
    <row r="8">
      <c r="A8" s="4" t="n"/>
      <c r="B8" s="4" t="n"/>
      <c r="C8" s="4" t="n"/>
      <c r="D8" s="4" t="n"/>
      <c r="E8" s="4" t="n"/>
      <c r="F8" s="4" t="n"/>
      <c r="G8" s="4" t="n"/>
    </row>
    <row r="9">
      <c r="A9" s="4" t="n"/>
      <c r="B9" s="7" t="inlineStr">
        <is>
          <t>PP&amp;E Roll-Forward (Gross)</t>
        </is>
      </c>
      <c r="C9" s="7" t="n"/>
      <c r="D9" s="7" t="n"/>
      <c r="E9" s="7" t="n"/>
      <c r="F9" s="7" t="n"/>
      <c r="G9" s="7" t="n"/>
    </row>
    <row r="10">
      <c r="A10" s="4" t="n"/>
      <c r="B10" s="28" t="inlineStr">
        <is>
          <t>Opening Gross PP&amp;E</t>
        </is>
      </c>
      <c r="C10" s="29">
        <f>Opening_Gross_PPE</f>
        <v/>
      </c>
      <c r="D10" s="29">
        <f>C14</f>
        <v/>
      </c>
      <c r="E10" s="29">
        <f>D14</f>
        <v/>
      </c>
      <c r="F10" s="29">
        <f>E14</f>
        <v/>
      </c>
      <c r="G10" s="29">
        <f>F14</f>
        <v/>
      </c>
    </row>
    <row r="11">
      <c r="A11" s="4" t="n"/>
      <c r="B11" s="28" t="inlineStr">
        <is>
          <t>Maintenance Capex</t>
        </is>
      </c>
      <c r="C11" s="29">
        <f>Maint_Capex_Y1*(1+OpEx_Escalation)^(C7-1)</f>
        <v/>
      </c>
      <c r="D11" s="29">
        <f>Maint_Capex_Y1*(1+OpEx_Escalation)^(D7-1)</f>
        <v/>
      </c>
      <c r="E11" s="29">
        <f>Maint_Capex_Y1*(1+OpEx_Escalation)^(E7-1)</f>
        <v/>
      </c>
      <c r="F11" s="29">
        <f>Maint_Capex_Y1*(1+OpEx_Escalation)^(F7-1)</f>
        <v/>
      </c>
      <c r="G11" s="29">
        <f>Maint_Capex_Y1*(1+OpEx_Escalation)^(G7-1)</f>
        <v/>
      </c>
    </row>
    <row r="12">
      <c r="A12" s="4" t="n"/>
      <c r="B12" s="28" t="inlineStr">
        <is>
          <t>Growth Capex</t>
        </is>
      </c>
      <c r="C12" s="29">
        <f>Growth_Capex_Y1</f>
        <v/>
      </c>
      <c r="D12" s="29">
        <f>0</f>
        <v/>
      </c>
      <c r="E12" s="29">
        <f>0</f>
        <v/>
      </c>
      <c r="F12" s="29">
        <f>0</f>
        <v/>
      </c>
      <c r="G12" s="29">
        <f>0</f>
        <v/>
      </c>
    </row>
    <row r="13">
      <c r="A13" s="4" t="n"/>
      <c r="B13" s="5" t="inlineStr">
        <is>
          <t>Total Capex</t>
        </is>
      </c>
      <c r="C13" s="35">
        <f>C11+C12</f>
        <v/>
      </c>
      <c r="D13" s="35">
        <f>D11+D12</f>
        <v/>
      </c>
      <c r="E13" s="35">
        <f>E11+E12</f>
        <v/>
      </c>
      <c r="F13" s="35">
        <f>F11+F12</f>
        <v/>
      </c>
      <c r="G13" s="35">
        <f>G11+G12</f>
        <v/>
      </c>
    </row>
    <row r="14">
      <c r="A14" s="4" t="n"/>
      <c r="B14" s="5" t="inlineStr">
        <is>
          <t>Closing Gross PP&amp;E</t>
        </is>
      </c>
      <c r="C14" s="30">
        <f>C10+C13</f>
        <v/>
      </c>
      <c r="D14" s="30">
        <f>D10+D13</f>
        <v/>
      </c>
      <c r="E14" s="30">
        <f>E10+E13</f>
        <v/>
      </c>
      <c r="F14" s="30">
        <f>F10+F13</f>
        <v/>
      </c>
      <c r="G14" s="30">
        <f>G10+G13</f>
        <v/>
      </c>
    </row>
    <row r="15">
      <c r="A15" s="4" t="n"/>
      <c r="B15" s="4" t="n"/>
      <c r="C15" s="4" t="n"/>
      <c r="D15" s="4" t="n"/>
      <c r="E15" s="4" t="n"/>
      <c r="F15" s="4" t="n"/>
      <c r="G15" s="4" t="n"/>
    </row>
    <row r="16">
      <c r="A16" s="4" t="n"/>
      <c r="B16" s="7" t="inlineStr">
        <is>
          <t>Accumulated Depreciation</t>
        </is>
      </c>
      <c r="C16" s="7" t="n"/>
      <c r="D16" s="7" t="n"/>
      <c r="E16" s="7" t="n"/>
      <c r="F16" s="7" t="n"/>
      <c r="G16" s="7" t="n"/>
    </row>
    <row r="17">
      <c r="A17" s="4" t="n"/>
      <c r="B17" s="28" t="inlineStr">
        <is>
          <t>Opening Accum Depr</t>
        </is>
      </c>
      <c r="C17" s="29">
        <f>Opening_Accum_Depr</f>
        <v/>
      </c>
      <c r="D17" s="29">
        <f>C21</f>
        <v/>
      </c>
      <c r="E17" s="29">
        <f>D21</f>
        <v/>
      </c>
      <c r="F17" s="29">
        <f>E21</f>
        <v/>
      </c>
      <c r="G17" s="29">
        <f>F21</f>
        <v/>
      </c>
    </row>
    <row r="18">
      <c r="A18" s="4" t="n"/>
      <c r="B18" s="28" t="inlineStr">
        <is>
          <t>Depr (Existing)</t>
        </is>
      </c>
      <c r="C18" s="29">
        <f>MIN(Opening_Net_PPE/PP_Useful_Life,MAX(0,C10-C17))</f>
        <v/>
      </c>
      <c r="D18" s="29">
        <f>MIN(Opening_Net_PPE/PP_Useful_Life,MAX(0,D10-D17))</f>
        <v/>
      </c>
      <c r="E18" s="29">
        <f>MIN(Opening_Net_PPE/PP_Useful_Life,MAX(0,E10-E17))</f>
        <v/>
      </c>
      <c r="F18" s="29">
        <f>MIN(Opening_Net_PPE/PP_Useful_Life,MAX(0,F10-F17))</f>
        <v/>
      </c>
      <c r="G18" s="29">
        <f>MIN(Opening_Net_PPE/PP_Useful_Life,MAX(0,G10-G17))</f>
        <v/>
      </c>
    </row>
    <row r="19">
      <c r="A19" s="4" t="n"/>
      <c r="B19" s="28" t="inlineStr">
        <is>
          <t>Depr (New Capex)</t>
        </is>
      </c>
      <c r="C19" s="29">
        <f>C13/PP_Useful_Life</f>
        <v/>
      </c>
      <c r="D19" s="29">
        <f>D13/PP_Useful_Life</f>
        <v/>
      </c>
      <c r="E19" s="29">
        <f>E13/PP_Useful_Life</f>
        <v/>
      </c>
      <c r="F19" s="29">
        <f>F13/PP_Useful_Life</f>
        <v/>
      </c>
      <c r="G19" s="29">
        <f>G13/PP_Useful_Life</f>
        <v/>
      </c>
    </row>
    <row r="20">
      <c r="A20" s="4" t="n"/>
      <c r="B20" s="5" t="inlineStr">
        <is>
          <t>Total Depreciation</t>
        </is>
      </c>
      <c r="C20" s="35">
        <f>C18+C19</f>
        <v/>
      </c>
      <c r="D20" s="35">
        <f>D18+D19</f>
        <v/>
      </c>
      <c r="E20" s="35">
        <f>E18+E19</f>
        <v/>
      </c>
      <c r="F20" s="35">
        <f>F18+F19</f>
        <v/>
      </c>
      <c r="G20" s="35">
        <f>G18+G19</f>
        <v/>
      </c>
    </row>
    <row r="21">
      <c r="A21" s="4" t="n"/>
      <c r="B21" s="5" t="inlineStr">
        <is>
          <t>Closing Accum Depr</t>
        </is>
      </c>
      <c r="C21" s="30">
        <f>C17+C20</f>
        <v/>
      </c>
      <c r="D21" s="30">
        <f>D17+D20</f>
        <v/>
      </c>
      <c r="E21" s="30">
        <f>E17+E20</f>
        <v/>
      </c>
      <c r="F21" s="30">
        <f>F17+F20</f>
        <v/>
      </c>
      <c r="G21" s="30">
        <f>G17+G20</f>
        <v/>
      </c>
    </row>
    <row r="22">
      <c r="A22" s="4" t="n"/>
      <c r="B22" s="4" t="n"/>
      <c r="C22" s="4" t="n"/>
      <c r="D22" s="4" t="n"/>
      <c r="E22" s="4" t="n"/>
      <c r="F22" s="4" t="n"/>
      <c r="G22" s="4" t="n"/>
    </row>
    <row r="23">
      <c r="A23" s="4" t="n"/>
      <c r="B23" s="5" t="inlineStr">
        <is>
          <t>NET PP&amp;E</t>
        </is>
      </c>
      <c r="C23" s="30">
        <f>C14-C21</f>
        <v/>
      </c>
      <c r="D23" s="30">
        <f>D14-D21</f>
        <v/>
      </c>
      <c r="E23" s="30">
        <f>E14-E21</f>
        <v/>
      </c>
      <c r="F23" s="30">
        <f>F14-F21</f>
        <v/>
      </c>
      <c r="G23" s="30">
        <f>G14-G21</f>
        <v/>
      </c>
    </row>
  </sheetData>
  <pageMargins left="0.75" right="0.75" top="1" bottom="1" header="0.5" footer="0.5"/>
</worksheet>
</file>

<file path=xl/worksheets/sheet7.xml><?xml version="1.0" encoding="utf-8"?>
<worksheet xmlns="http://schemas.openxmlformats.org/spreadsheetml/2006/main">
  <sheetPr>
    <tabColor rgb="00ED7D31"/>
    <outlinePr summaryBelow="1" summaryRight="1"/>
    <pageSetUpPr/>
  </sheetPr>
  <dimension ref="A1:AD14"/>
  <sheetViews>
    <sheetView showGridLines="0" workbookViewId="0">
      <selection activeCell="A1" sqref="A1"/>
    </sheetView>
  </sheetViews>
  <sheetFormatPr baseColWidth="8" defaultRowHeight="15"/>
  <cols>
    <col width="3" customWidth="1" min="1" max="1"/>
    <col width="35" customWidth="1" min="2" max="2"/>
    <col width="18" customWidth="1" min="3" max="3"/>
    <col width="18" customWidth="1" min="4" max="4"/>
    <col width="18" customWidth="1" min="5" max="5"/>
    <col width="18" customWidth="1" min="6" max="6"/>
    <col width="18" customWidth="1" min="7" max="7"/>
  </cols>
  <sheetData>
    <row r="1">
      <c r="A1" s="1" t="n"/>
      <c r="B1" s="1" t="n"/>
      <c r="C1" s="1" t="n"/>
      <c r="D1" s="1" t="n"/>
      <c r="E1" s="1" t="n"/>
      <c r="F1" s="1" t="n"/>
      <c r="G1" s="1" t="n"/>
      <c r="H1" s="2" t="n"/>
      <c r="I1" s="2" t="n"/>
      <c r="J1" s="2" t="n"/>
      <c r="K1" s="2" t="n"/>
      <c r="L1" s="2" t="n"/>
      <c r="M1" s="2" t="n"/>
      <c r="N1" s="2" t="n"/>
      <c r="O1" s="2" t="n"/>
      <c r="P1" s="2" t="n"/>
      <c r="Q1" s="2" t="n"/>
      <c r="R1" s="2" t="n"/>
      <c r="S1" s="2" t="n"/>
      <c r="T1" s="2" t="n"/>
      <c r="U1" s="2" t="n"/>
      <c r="V1" s="2" t="n"/>
      <c r="W1" s="2" t="n"/>
      <c r="X1" s="2" t="n"/>
      <c r="Y1" s="2" t="n"/>
      <c r="Z1" s="2" t="n"/>
      <c r="AA1" s="2" t="n"/>
      <c r="AB1" s="2" t="n"/>
      <c r="AC1" s="2" t="n"/>
      <c r="AD1" s="2" t="n"/>
    </row>
    <row r="2" ht="21.75" customHeight="1">
      <c r="A2" s="1" t="n"/>
      <c r="B2" s="1" t="n"/>
      <c r="C2" s="1" t="n"/>
      <c r="D2" s="1" t="n"/>
      <c r="E2" s="1" t="n"/>
      <c r="F2" s="1" t="n"/>
      <c r="G2" s="1" t="n"/>
      <c r="H2" s="2" t="n"/>
      <c r="I2" s="2" t="n"/>
      <c r="J2" s="2" t="n"/>
      <c r="K2" s="2" t="n"/>
      <c r="L2" s="2" t="n"/>
      <c r="M2" s="2" t="n"/>
      <c r="N2" s="2" t="n"/>
      <c r="O2" s="2" t="n"/>
      <c r="P2" s="2" t="n"/>
      <c r="Q2" s="2" t="n"/>
      <c r="R2" s="2" t="n"/>
      <c r="S2" s="2" t="n"/>
      <c r="T2" s="2" t="n"/>
      <c r="U2" s="2" t="n"/>
      <c r="V2" s="2" t="n"/>
      <c r="W2" s="2" t="n"/>
      <c r="X2" s="2" t="n"/>
      <c r="Y2" s="2" t="n"/>
      <c r="Z2" s="2" t="n"/>
      <c r="AA2" s="2" t="n"/>
      <c r="AB2" s="2" t="n"/>
      <c r="AC2" s="2" t="n"/>
      <c r="AD2" s="2" t="n"/>
    </row>
    <row r="3">
      <c r="A3" s="1" t="n"/>
      <c r="B3" s="1" t="n"/>
      <c r="C3" s="1" t="n"/>
      <c r="D3" s="1" t="n"/>
      <c r="E3" s="1" t="n"/>
      <c r="F3" s="1" t="n"/>
      <c r="G3" s="1" t="n"/>
      <c r="H3" s="2" t="n"/>
      <c r="I3" s="2" t="n"/>
      <c r="J3" s="2" t="n"/>
      <c r="K3" s="2" t="n"/>
      <c r="L3" s="2" t="n"/>
      <c r="M3" s="2" t="n"/>
      <c r="N3" s="2" t="n"/>
      <c r="O3" s="2" t="n"/>
      <c r="P3" s="2" t="n"/>
      <c r="Q3" s="2" t="n"/>
      <c r="R3" s="2" t="n"/>
      <c r="S3" s="2" t="n"/>
      <c r="T3" s="2" t="n"/>
      <c r="U3" s="2" t="n"/>
      <c r="V3" s="2" t="n"/>
      <c r="W3" s="2" t="n"/>
      <c r="X3" s="2" t="n"/>
      <c r="Y3" s="2" t="n"/>
      <c r="Z3" s="2" t="n"/>
      <c r="AA3" s="2" t="n"/>
      <c r="AB3" s="2" t="n"/>
      <c r="AC3" s="2" t="n"/>
      <c r="AD3" s="2" t="n"/>
    </row>
    <row r="4">
      <c r="A4" s="4" t="n"/>
      <c r="B4" s="4" t="n"/>
      <c r="C4" s="4" t="n"/>
      <c r="D4" s="4" t="n"/>
      <c r="E4" s="4" t="n"/>
      <c r="F4" s="4" t="n"/>
      <c r="G4" s="4" t="n"/>
    </row>
    <row r="5">
      <c r="A5" s="4" t="n"/>
      <c r="B5" s="4" t="n"/>
      <c r="C5" s="4" t="n"/>
      <c r="D5" s="4" t="n"/>
      <c r="E5" s="4" t="n"/>
      <c r="F5" s="4" t="n"/>
      <c r="G5" s="4" t="n"/>
    </row>
    <row r="6">
      <c r="A6" s="4" t="n"/>
      <c r="B6" s="24" t="inlineStr"/>
      <c r="C6" s="25">
        <f>Model_Start_Year+0</f>
        <v/>
      </c>
      <c r="D6" s="25">
        <f>Model_Start_Year+1</f>
        <v/>
      </c>
      <c r="E6" s="25">
        <f>Model_Start_Year+2</f>
        <v/>
      </c>
      <c r="F6" s="25">
        <f>Model_Start_Year+3</f>
        <v/>
      </c>
      <c r="G6" s="25">
        <f>Model_Start_Year+4</f>
        <v/>
      </c>
    </row>
    <row r="7">
      <c r="A7" s="4" t="n"/>
      <c r="B7" s="26" t="inlineStr">
        <is>
          <t>Year #</t>
        </is>
      </c>
      <c r="C7" s="27" t="n">
        <v>1</v>
      </c>
      <c r="D7" s="27" t="n">
        <v>2</v>
      </c>
      <c r="E7" s="27" t="n">
        <v>3</v>
      </c>
      <c r="F7" s="27" t="n">
        <v>4</v>
      </c>
      <c r="G7" s="27" t="n">
        <v>5</v>
      </c>
    </row>
    <row r="8">
      <c r="A8" s="4" t="n"/>
      <c r="B8" s="4" t="n"/>
      <c r="C8" s="4" t="n"/>
      <c r="D8" s="4" t="n"/>
      <c r="E8" s="4" t="n"/>
      <c r="F8" s="4" t="n"/>
      <c r="G8" s="4" t="n"/>
    </row>
    <row r="9">
      <c r="A9" s="4" t="n"/>
      <c r="B9" s="7" t="inlineStr">
        <is>
          <t>Corporate Term Loan ($200m, straight-line)</t>
        </is>
      </c>
      <c r="C9" s="7" t="n"/>
      <c r="D9" s="7" t="n"/>
      <c r="E9" s="7" t="n"/>
      <c r="F9" s="7" t="n"/>
      <c r="G9" s="7" t="n"/>
    </row>
    <row r="10">
      <c r="A10" s="4" t="n"/>
      <c r="B10" s="28" t="inlineStr">
        <is>
          <t>Opening Balance</t>
        </is>
      </c>
      <c r="C10" s="29">
        <f>Opening_Corp_Debt</f>
        <v/>
      </c>
      <c r="D10" s="29">
        <f>C12</f>
        <v/>
      </c>
      <c r="E10" s="29">
        <f>D12</f>
        <v/>
      </c>
      <c r="F10" s="29">
        <f>E12</f>
        <v/>
      </c>
      <c r="G10" s="29">
        <f>F12</f>
        <v/>
      </c>
    </row>
    <row r="11">
      <c r="A11" s="4" t="n"/>
      <c r="B11" s="28" t="inlineStr">
        <is>
          <t>Mandatory Amortisation</t>
        </is>
      </c>
      <c r="C11" s="29">
        <f>MIN(C10,Opening_Corp_Debt/Corp_Debt_Tenor)</f>
        <v/>
      </c>
      <c r="D11" s="29">
        <f>MIN(D10,Opening_Corp_Debt/Corp_Debt_Tenor)</f>
        <v/>
      </c>
      <c r="E11" s="29">
        <f>MIN(E10,Opening_Corp_Debt/Corp_Debt_Tenor)</f>
        <v/>
      </c>
      <c r="F11" s="29">
        <f>MIN(F10,Opening_Corp_Debt/Corp_Debt_Tenor)</f>
        <v/>
      </c>
      <c r="G11" s="29">
        <f>MIN(G10,Opening_Corp_Debt/Corp_Debt_Tenor)</f>
        <v/>
      </c>
    </row>
    <row r="12">
      <c r="A12" s="4" t="n"/>
      <c r="B12" s="5" t="inlineStr">
        <is>
          <t>Closing Balance</t>
        </is>
      </c>
      <c r="C12" s="30">
        <f>C10-C11</f>
        <v/>
      </c>
      <c r="D12" s="30">
        <f>D10-D11</f>
        <v/>
      </c>
      <c r="E12" s="30">
        <f>E10-E11</f>
        <v/>
      </c>
      <c r="F12" s="30">
        <f>F10-F11</f>
        <v/>
      </c>
      <c r="G12" s="30">
        <f>G10-G11</f>
        <v/>
      </c>
    </row>
    <row r="13">
      <c r="A13" s="4" t="n"/>
      <c r="B13" s="4" t="n"/>
      <c r="C13" s="4" t="n"/>
      <c r="D13" s="4" t="n"/>
      <c r="E13" s="4" t="n"/>
      <c r="F13" s="4" t="n"/>
      <c r="G13" s="4" t="n"/>
    </row>
    <row r="14">
      <c r="A14" s="4" t="n"/>
      <c r="B14" s="37" t="inlineStr">
        <is>
          <t>Interest Expense (on opening)</t>
        </is>
      </c>
      <c r="C14" s="35">
        <f>C10*Corp_Debt_Rate</f>
        <v/>
      </c>
      <c r="D14" s="35">
        <f>D10*Corp_Debt_Rate</f>
        <v/>
      </c>
      <c r="E14" s="35">
        <f>E10*Corp_Debt_Rate</f>
        <v/>
      </c>
      <c r="F14" s="35">
        <f>F10*Corp_Debt_Rate</f>
        <v/>
      </c>
      <c r="G14" s="35">
        <f>G10*Corp_Debt_Rate</f>
        <v/>
      </c>
    </row>
  </sheetData>
  <pageMargins left="0.75" right="0.75" top="1" bottom="1" header="0.5" footer="0.5"/>
</worksheet>
</file>

<file path=xl/worksheets/sheet8.xml><?xml version="1.0" encoding="utf-8"?>
<worksheet xmlns="http://schemas.openxmlformats.org/spreadsheetml/2006/main">
  <sheetPr>
    <tabColor rgb="00ED7D31"/>
    <outlinePr summaryBelow="1" summaryRight="1"/>
    <pageSetUpPr/>
  </sheetPr>
  <dimension ref="A1:AD40"/>
  <sheetViews>
    <sheetView showGridLines="0" workbookViewId="0">
      <selection activeCell="A1" sqref="A1"/>
    </sheetView>
  </sheetViews>
  <sheetFormatPr baseColWidth="8" defaultRowHeight="15"/>
  <cols>
    <col width="3" customWidth="1" min="1" max="1"/>
    <col width="35" customWidth="1" min="2" max="2"/>
    <col width="18" customWidth="1" min="3" max="3"/>
    <col width="18" customWidth="1" min="4" max="4"/>
    <col width="18" customWidth="1" min="5" max="5"/>
    <col width="18" customWidth="1" min="6" max="6"/>
    <col width="18" customWidth="1" min="7" max="7"/>
  </cols>
  <sheetData>
    <row r="1">
      <c r="A1" s="1" t="n"/>
      <c r="B1" s="1" t="n"/>
      <c r="C1" s="1" t="n"/>
      <c r="D1" s="1" t="n"/>
      <c r="E1" s="1" t="n"/>
      <c r="F1" s="1" t="n"/>
      <c r="G1" s="1" t="n"/>
      <c r="H1" s="2" t="n"/>
      <c r="I1" s="2" t="n"/>
      <c r="J1" s="2" t="n"/>
      <c r="K1" s="2" t="n"/>
      <c r="L1" s="2" t="n"/>
      <c r="M1" s="2" t="n"/>
      <c r="N1" s="2" t="n"/>
      <c r="O1" s="2" t="n"/>
      <c r="P1" s="2" t="n"/>
      <c r="Q1" s="2" t="n"/>
      <c r="R1" s="2" t="n"/>
      <c r="S1" s="2" t="n"/>
      <c r="T1" s="2" t="n"/>
      <c r="U1" s="2" t="n"/>
      <c r="V1" s="2" t="n"/>
      <c r="W1" s="2" t="n"/>
      <c r="X1" s="2" t="n"/>
      <c r="Y1" s="2" t="n"/>
      <c r="Z1" s="2" t="n"/>
      <c r="AA1" s="2" t="n"/>
      <c r="AB1" s="2" t="n"/>
      <c r="AC1" s="2" t="n"/>
      <c r="AD1" s="2" t="n"/>
    </row>
    <row r="2" ht="21.75" customHeight="1">
      <c r="A2" s="1" t="n"/>
      <c r="B2" s="1" t="n"/>
      <c r="C2" s="1" t="n"/>
      <c r="D2" s="1" t="n"/>
      <c r="E2" s="1" t="n"/>
      <c r="F2" s="1" t="n"/>
      <c r="G2" s="1" t="n"/>
      <c r="H2" s="2" t="n"/>
      <c r="I2" s="2" t="n"/>
      <c r="J2" s="2" t="n"/>
      <c r="K2" s="2" t="n"/>
      <c r="L2" s="2" t="n"/>
      <c r="M2" s="2" t="n"/>
      <c r="N2" s="2" t="n"/>
      <c r="O2" s="2" t="n"/>
      <c r="P2" s="2" t="n"/>
      <c r="Q2" s="2" t="n"/>
      <c r="R2" s="2" t="n"/>
      <c r="S2" s="2" t="n"/>
      <c r="T2" s="2" t="n"/>
      <c r="U2" s="2" t="n"/>
      <c r="V2" s="2" t="n"/>
      <c r="W2" s="2" t="n"/>
      <c r="X2" s="2" t="n"/>
      <c r="Y2" s="2" t="n"/>
      <c r="Z2" s="2" t="n"/>
      <c r="AA2" s="2" t="n"/>
      <c r="AB2" s="2" t="n"/>
      <c r="AC2" s="2" t="n"/>
      <c r="AD2" s="2" t="n"/>
    </row>
    <row r="3">
      <c r="A3" s="1" t="n"/>
      <c r="B3" s="1" t="n"/>
      <c r="C3" s="1" t="n"/>
      <c r="D3" s="1" t="n"/>
      <c r="E3" s="1" t="n"/>
      <c r="F3" s="1" t="n"/>
      <c r="G3" s="1" t="n"/>
      <c r="H3" s="2" t="n"/>
      <c r="I3" s="2" t="n"/>
      <c r="J3" s="2" t="n"/>
      <c r="K3" s="2" t="n"/>
      <c r="L3" s="2" t="n"/>
      <c r="M3" s="2" t="n"/>
      <c r="N3" s="2" t="n"/>
      <c r="O3" s="2" t="n"/>
      <c r="P3" s="2" t="n"/>
      <c r="Q3" s="2" t="n"/>
      <c r="R3" s="2" t="n"/>
      <c r="S3" s="2" t="n"/>
      <c r="T3" s="2" t="n"/>
      <c r="U3" s="2" t="n"/>
      <c r="V3" s="2" t="n"/>
      <c r="W3" s="2" t="n"/>
      <c r="X3" s="2" t="n"/>
      <c r="Y3" s="2" t="n"/>
      <c r="Z3" s="2" t="n"/>
      <c r="AA3" s="2" t="n"/>
      <c r="AB3" s="2" t="n"/>
      <c r="AC3" s="2" t="n"/>
      <c r="AD3" s="2" t="n"/>
    </row>
    <row r="4">
      <c r="A4" s="4" t="n"/>
      <c r="B4" s="4" t="n"/>
      <c r="C4" s="4" t="n"/>
      <c r="D4" s="4" t="n"/>
      <c r="E4" s="4" t="n"/>
      <c r="F4" s="4" t="n"/>
      <c r="G4" s="4" t="n"/>
    </row>
    <row r="5">
      <c r="A5" s="4" t="n"/>
      <c r="B5" s="4" t="n"/>
      <c r="C5" s="4" t="n"/>
      <c r="D5" s="4" t="n"/>
      <c r="E5" s="4" t="n"/>
      <c r="F5" s="4" t="n"/>
      <c r="G5" s="4" t="n"/>
    </row>
    <row r="6">
      <c r="A6" s="4" t="n"/>
      <c r="B6" s="24" t="inlineStr"/>
      <c r="C6" s="25">
        <f>Model_Start_Year+0</f>
        <v/>
      </c>
      <c r="D6" s="25">
        <f>Model_Start_Year+1</f>
        <v/>
      </c>
      <c r="E6" s="25">
        <f>Model_Start_Year+2</f>
        <v/>
      </c>
      <c r="F6" s="25">
        <f>Model_Start_Year+3</f>
        <v/>
      </c>
      <c r="G6" s="25">
        <f>Model_Start_Year+4</f>
        <v/>
      </c>
    </row>
    <row r="7">
      <c r="A7" s="4" t="n"/>
      <c r="B7" s="26" t="inlineStr">
        <is>
          <t>Year #</t>
        </is>
      </c>
      <c r="C7" s="27" t="n">
        <v>1</v>
      </c>
      <c r="D7" s="27" t="n">
        <v>2</v>
      </c>
      <c r="E7" s="27" t="n">
        <v>3</v>
      </c>
      <c r="F7" s="27" t="n">
        <v>4</v>
      </c>
      <c r="G7" s="27" t="n">
        <v>5</v>
      </c>
    </row>
    <row r="8">
      <c r="A8" s="4" t="n"/>
      <c r="B8" s="4" t="n"/>
      <c r="C8" s="4" t="n"/>
      <c r="D8" s="4" t="n"/>
      <c r="E8" s="4" t="n"/>
      <c r="F8" s="4" t="n"/>
      <c r="G8" s="4" t="n"/>
    </row>
    <row r="9">
      <c r="A9" s="4" t="n"/>
      <c r="B9" s="7" t="inlineStr">
        <is>
          <t>Eligible Collateral</t>
        </is>
      </c>
      <c r="C9" s="7" t="n"/>
      <c r="D9" s="7" t="n"/>
      <c r="E9" s="7" t="n"/>
      <c r="F9" s="7" t="n"/>
      <c r="G9" s="7" t="n"/>
    </row>
    <row r="10">
      <c r="A10" s="4" t="n"/>
      <c r="B10" s="28" t="inlineStr">
        <is>
          <t>Eligible Receivables</t>
        </is>
      </c>
      <c r="C10" s="29">
        <f>WC_AR*Recv_Advance_Rate</f>
        <v/>
      </c>
      <c r="D10" s="29">
        <f>WC_AR*Recv_Advance_Rate</f>
        <v/>
      </c>
      <c r="E10" s="29">
        <f>WC_AR*Recv_Advance_Rate</f>
        <v/>
      </c>
      <c r="F10" s="29">
        <f>WC_AR*Recv_Advance_Rate</f>
        <v/>
      </c>
      <c r="G10" s="29">
        <f>WC_AR*Recv_Advance_Rate</f>
        <v/>
      </c>
    </row>
    <row r="11">
      <c r="A11" s="4" t="n"/>
      <c r="B11" s="28" t="inlineStr">
        <is>
          <t>Eligible Inventory (RMI only)</t>
        </is>
      </c>
      <c r="C11" s="29">
        <f>WC_RMI_Inventory*Inv_Advance_Rate</f>
        <v/>
      </c>
      <c r="D11" s="29">
        <f>WC_RMI_Inventory*Inv_Advance_Rate</f>
        <v/>
      </c>
      <c r="E11" s="29">
        <f>WC_RMI_Inventory*Inv_Advance_Rate</f>
        <v/>
      </c>
      <c r="F11" s="29">
        <f>WC_RMI_Inventory*Inv_Advance_Rate</f>
        <v/>
      </c>
      <c r="G11" s="29">
        <f>WC_RMI_Inventory*Inv_Advance_Rate</f>
        <v/>
      </c>
    </row>
    <row r="12">
      <c r="A12" s="4" t="n"/>
      <c r="B12" s="5" t="inlineStr">
        <is>
          <t>Total Eligible Base</t>
        </is>
      </c>
      <c r="C12" s="30">
        <f>C10+C11</f>
        <v/>
      </c>
      <c r="D12" s="30">
        <f>D10+D11</f>
        <v/>
      </c>
      <c r="E12" s="30">
        <f>E10+E11</f>
        <v/>
      </c>
      <c r="F12" s="30">
        <f>F10+F11</f>
        <v/>
      </c>
      <c r="G12" s="30">
        <f>G10+G11</f>
        <v/>
      </c>
    </row>
    <row r="13">
      <c r="A13" s="4" t="n"/>
      <c r="B13" s="4" t="n"/>
      <c r="C13" s="4" t="n"/>
      <c r="D13" s="4" t="n"/>
      <c r="E13" s="4" t="n"/>
      <c r="F13" s="4" t="n"/>
      <c r="G13" s="4" t="n"/>
    </row>
    <row r="14">
      <c r="A14" s="4" t="n"/>
      <c r="B14" s="7" t="inlineStr">
        <is>
          <t>Pre-Financing Cash Waterfall (proxy)</t>
        </is>
      </c>
      <c r="C14" s="7" t="n"/>
      <c r="D14" s="7" t="n"/>
      <c r="E14" s="7" t="n"/>
      <c r="F14" s="7" t="n"/>
      <c r="G14" s="7" t="n"/>
    </row>
    <row r="15">
      <c r="A15" s="4" t="n"/>
      <c r="B15" s="28" t="inlineStr">
        <is>
          <t>Opening Cash</t>
        </is>
      </c>
      <c r="C15" s="29">
        <f>Opening_Cash</f>
        <v/>
      </c>
      <c r="D15" s="29">
        <f>INDEX(CF_Closing_Cash,1,1)</f>
        <v/>
      </c>
      <c r="E15" s="29">
        <f>INDEX(CF_Closing_Cash,1,2)</f>
        <v/>
      </c>
      <c r="F15" s="29">
        <f>INDEX(CF_Closing_Cash,1,3)</f>
        <v/>
      </c>
      <c r="G15" s="29">
        <f>INDEX(CF_Closing_Cash,1,4)</f>
        <v/>
      </c>
    </row>
    <row r="16">
      <c r="A16" s="4" t="n"/>
      <c r="B16" s="36" t="inlineStr">
        <is>
          <t xml:space="preserve">  + EBITDA</t>
        </is>
      </c>
      <c r="C16" s="29">
        <f>IS_EBITDA</f>
        <v/>
      </c>
      <c r="D16" s="29">
        <f>IS_EBITDA</f>
        <v/>
      </c>
      <c r="E16" s="29">
        <f>IS_EBITDA</f>
        <v/>
      </c>
      <c r="F16" s="29">
        <f>IS_EBITDA</f>
        <v/>
      </c>
      <c r="G16" s="29">
        <f>IS_EBITDA</f>
        <v/>
      </c>
    </row>
    <row r="17">
      <c r="A17" s="4" t="n"/>
      <c r="B17" s="36" t="inlineStr">
        <is>
          <t xml:space="preserve">  +/- WC Changes</t>
        </is>
      </c>
      <c r="C17" s="29">
        <f>WC_Total_Change</f>
        <v/>
      </c>
      <c r="D17" s="29">
        <f>WC_Total_Change</f>
        <v/>
      </c>
      <c r="E17" s="29">
        <f>WC_Total_Change</f>
        <v/>
      </c>
      <c r="F17" s="29">
        <f>WC_Total_Change</f>
        <v/>
      </c>
      <c r="G17" s="29">
        <f>WC_Total_Change</f>
        <v/>
      </c>
    </row>
    <row r="18">
      <c r="A18" s="4" t="n"/>
      <c r="B18" s="36" t="inlineStr">
        <is>
          <t xml:space="preserve">  - Capex</t>
        </is>
      </c>
      <c r="C18" s="29">
        <f>-CD_Total_Capex</f>
        <v/>
      </c>
      <c r="D18" s="29">
        <f>-CD_Total_Capex</f>
        <v/>
      </c>
      <c r="E18" s="29">
        <f>-CD_Total_Capex</f>
        <v/>
      </c>
      <c r="F18" s="29">
        <f>-CD_Total_Capex</f>
        <v/>
      </c>
      <c r="G18" s="29">
        <f>-CD_Total_Capex</f>
        <v/>
      </c>
    </row>
    <row r="19">
      <c r="A19" s="4" t="n"/>
      <c r="B19" s="36" t="inlineStr">
        <is>
          <t xml:space="preserve">  - Corp Debt Amortisation</t>
        </is>
      </c>
      <c r="C19" s="29">
        <f>-DS_Amort</f>
        <v/>
      </c>
      <c r="D19" s="29">
        <f>-DS_Amort</f>
        <v/>
      </c>
      <c r="E19" s="29">
        <f>-DS_Amort</f>
        <v/>
      </c>
      <c r="F19" s="29">
        <f>-DS_Amort</f>
        <v/>
      </c>
      <c r="G19" s="29">
        <f>-DS_Amort</f>
        <v/>
      </c>
    </row>
    <row r="20">
      <c r="A20" s="4" t="n"/>
      <c r="B20" s="36" t="inlineStr">
        <is>
          <t xml:space="preserve">  - Cash Tax (proxy)</t>
        </is>
      </c>
      <c r="C20" s="29">
        <f>-MAX(0,(IS_EBITDA-IS_DA-DS_Interest-C28*TF_Rate-(Facility_Ceiling-C28)*Commit_Fee_Rate-WC_LC_Notional*LC_Fee_Rate)*Tax_Rate)</f>
        <v/>
      </c>
      <c r="D20" s="29">
        <f>-MAX(0,(IS_EBITDA-IS_DA-DS_Interest-D28*TF_Rate-(Facility_Ceiling-D28)*Commit_Fee_Rate-WC_LC_Notional*LC_Fee_Rate)*Tax_Rate)</f>
        <v/>
      </c>
      <c r="E20" s="29">
        <f>-MAX(0,(IS_EBITDA-IS_DA-DS_Interest-E28*TF_Rate-(Facility_Ceiling-E28)*Commit_Fee_Rate-WC_LC_Notional*LC_Fee_Rate)*Tax_Rate)</f>
        <v/>
      </c>
      <c r="F20" s="29">
        <f>-MAX(0,(IS_EBITDA-IS_DA-DS_Interest-F28*TF_Rate-(Facility_Ceiling-F28)*Commit_Fee_Rate-WC_LC_Notional*LC_Fee_Rate)*Tax_Rate)</f>
        <v/>
      </c>
      <c r="G20" s="29">
        <f>-MAX(0,(IS_EBITDA-IS_DA-DS_Interest-G28*TF_Rate-(Facility_Ceiling-G28)*Commit_Fee_Rate-WC_LC_Notional*LC_Fee_Rate)*Tax_Rate)</f>
        <v/>
      </c>
    </row>
    <row r="21">
      <c r="A21" s="4" t="n"/>
      <c r="B21" s="36" t="inlineStr">
        <is>
          <t xml:space="preserve">  - Dividends (proxy)</t>
        </is>
      </c>
      <c r="C21" s="29">
        <f>-MAX(0,(IS_EBITDA-IS_DA-DS_Interest-C28*TF_Rate-(Facility_Ceiling-C28)*Commit_Fee_Rate-WC_LC_Notional*LC_Fee_Rate)*(1-Tax_Rate)*Dividend_Payout)</f>
        <v/>
      </c>
      <c r="D21" s="29">
        <f>-MAX(0,(IS_EBITDA-IS_DA-DS_Interest-D28*TF_Rate-(Facility_Ceiling-D28)*Commit_Fee_Rate-WC_LC_Notional*LC_Fee_Rate)*(1-Tax_Rate)*Dividend_Payout)</f>
        <v/>
      </c>
      <c r="E21" s="29">
        <f>-MAX(0,(IS_EBITDA-IS_DA-DS_Interest-E28*TF_Rate-(Facility_Ceiling-E28)*Commit_Fee_Rate-WC_LC_Notional*LC_Fee_Rate)*(1-Tax_Rate)*Dividend_Payout)</f>
        <v/>
      </c>
      <c r="F21" s="29">
        <f>-MAX(0,(IS_EBITDA-IS_DA-DS_Interest-F28*TF_Rate-(Facility_Ceiling-F28)*Commit_Fee_Rate-WC_LC_Notional*LC_Fee_Rate)*(1-Tax_Rate)*Dividend_Payout)</f>
        <v/>
      </c>
      <c r="G21" s="29">
        <f>-MAX(0,(IS_EBITDA-IS_DA-DS_Interest-G28*TF_Rate-(Facility_Ceiling-G28)*Commit_Fee_Rate-WC_LC_Notional*LC_Fee_Rate)*(1-Tax_Rate)*Dividend_Payout)</f>
        <v/>
      </c>
    </row>
    <row r="22">
      <c r="A22" s="4" t="n"/>
      <c r="B22" s="36" t="inlineStr">
        <is>
          <t xml:space="preserve">  - Fin Costs (Corp+TF+Commit+LC)</t>
        </is>
      </c>
      <c r="C22" s="29">
        <f>-DS_Interest-C28*TF_Rate-(Facility_Ceiling-C28)*Commit_Fee_Rate-WC_LC_Notional*LC_Fee_Rate</f>
        <v/>
      </c>
      <c r="D22" s="29">
        <f>-DS_Interest-D28*TF_Rate-(Facility_Ceiling-D28)*Commit_Fee_Rate-WC_LC_Notional*LC_Fee_Rate</f>
        <v/>
      </c>
      <c r="E22" s="29">
        <f>-DS_Interest-E28*TF_Rate-(Facility_Ceiling-E28)*Commit_Fee_Rate-WC_LC_Notional*LC_Fee_Rate</f>
        <v/>
      </c>
      <c r="F22" s="29">
        <f>-DS_Interest-F28*TF_Rate-(Facility_Ceiling-F28)*Commit_Fee_Rate-WC_LC_Notional*LC_Fee_Rate</f>
        <v/>
      </c>
      <c r="G22" s="29">
        <f>-DS_Interest-G28*TF_Rate-(Facility_Ceiling-G28)*Commit_Fee_Rate-WC_LC_Notional*LC_Fee_Rate</f>
        <v/>
      </c>
    </row>
    <row r="23">
      <c r="A23" s="4" t="n"/>
      <c r="B23" s="5" t="inlineStr">
        <is>
          <t>Pre-Financing Cash</t>
        </is>
      </c>
      <c r="C23" s="35">
        <f>SUM(C15:C22)</f>
        <v/>
      </c>
      <c r="D23" s="35">
        <f>SUM(D15:D22)</f>
        <v/>
      </c>
      <c r="E23" s="35">
        <f>SUM(E15:E22)</f>
        <v/>
      </c>
      <c r="F23" s="35">
        <f>SUM(F15:F22)</f>
        <v/>
      </c>
      <c r="G23" s="35">
        <f>SUM(G15:G22)</f>
        <v/>
      </c>
    </row>
    <row r="24">
      <c r="A24" s="4" t="n"/>
      <c r="B24" s="33" t="inlineStr">
        <is>
          <t>Cash Deficit (with proxy buffer)</t>
        </is>
      </c>
      <c r="C24" s="34">
        <f>MAX(0,-C23+IS_Revenue*0.0001)</f>
        <v/>
      </c>
      <c r="D24" s="34">
        <f>MAX(0,-D23+IS_Revenue*0.0001)</f>
        <v/>
      </c>
      <c r="E24" s="34">
        <f>MAX(0,-E23+IS_Revenue*0.0001)</f>
        <v/>
      </c>
      <c r="F24" s="34">
        <f>MAX(0,-F23+IS_Revenue*0.0001)</f>
        <v/>
      </c>
      <c r="G24" s="34">
        <f>MAX(0,-G23+IS_Revenue*0.0001)</f>
        <v/>
      </c>
    </row>
    <row r="25">
      <c r="A25" s="4" t="n"/>
      <c r="B25" s="33" t="inlineStr">
        <is>
          <t>Cash Surplus</t>
        </is>
      </c>
      <c r="C25" s="34">
        <f>MAX(0,C23-IS_Revenue*0.0001)</f>
        <v/>
      </c>
      <c r="D25" s="34">
        <f>MAX(0,D23-IS_Revenue*0.0001)</f>
        <v/>
      </c>
      <c r="E25" s="34">
        <f>MAX(0,E23-IS_Revenue*0.0001)</f>
        <v/>
      </c>
      <c r="F25" s="34">
        <f>MAX(0,F23-IS_Revenue*0.0001)</f>
        <v/>
      </c>
      <c r="G25" s="34">
        <f>MAX(0,G23-IS_Revenue*0.0001)</f>
        <v/>
      </c>
    </row>
    <row r="26">
      <c r="A26" s="4" t="n"/>
      <c r="B26" s="4" t="n"/>
      <c r="C26" s="4" t="n"/>
      <c r="D26" s="4" t="n"/>
      <c r="E26" s="4" t="n"/>
      <c r="F26" s="4" t="n"/>
      <c r="G26" s="4" t="n"/>
    </row>
    <row r="27">
      <c r="A27" s="4" t="n"/>
      <c r="B27" s="7" t="inlineStr">
        <is>
          <t>Trade Finance Facility Roll-Forward</t>
        </is>
      </c>
      <c r="C27" s="7" t="n"/>
      <c r="D27" s="7" t="n"/>
      <c r="E27" s="7" t="n"/>
      <c r="F27" s="7" t="n"/>
      <c r="G27" s="7" t="n"/>
    </row>
    <row r="28">
      <c r="A28" s="4" t="n"/>
      <c r="B28" s="28" t="inlineStr">
        <is>
          <t>Opening Balance</t>
        </is>
      </c>
      <c r="C28" s="29">
        <f>0</f>
        <v/>
      </c>
      <c r="D28" s="29">
        <f>C32</f>
        <v/>
      </c>
      <c r="E28" s="29">
        <f>D32</f>
        <v/>
      </c>
      <c r="F28" s="29">
        <f>E32</f>
        <v/>
      </c>
      <c r="G28" s="29">
        <f>F32</f>
        <v/>
      </c>
    </row>
    <row r="29">
      <c r="A29" s="4" t="n"/>
      <c r="B29" s="33" t="inlineStr">
        <is>
          <t>Drawdown Headroom</t>
        </is>
      </c>
      <c r="C29" s="34">
        <f>MAX(0,MIN(C12,Facility_Ceiling)-C28)</f>
        <v/>
      </c>
      <c r="D29" s="34">
        <f>MAX(0,MIN(D12,Facility_Ceiling)-D28)</f>
        <v/>
      </c>
      <c r="E29" s="34">
        <f>MAX(0,MIN(E12,Facility_Ceiling)-E28)</f>
        <v/>
      </c>
      <c r="F29" s="34">
        <f>MAX(0,MIN(F12,Facility_Ceiling)-F28)</f>
        <v/>
      </c>
      <c r="G29" s="34">
        <f>MAX(0,MIN(G12,Facility_Ceiling)-G28)</f>
        <v/>
      </c>
    </row>
    <row r="30">
      <c r="A30" s="4" t="n"/>
      <c r="B30" s="28" t="inlineStr">
        <is>
          <t>Drawdowns</t>
        </is>
      </c>
      <c r="C30" s="29">
        <f>MAX(0,MIN(C24,C29))</f>
        <v/>
      </c>
      <c r="D30" s="29">
        <f>MAX(0,MIN(D24,D29))</f>
        <v/>
      </c>
      <c r="E30" s="29">
        <f>MAX(0,MIN(E24,E29))</f>
        <v/>
      </c>
      <c r="F30" s="29">
        <f>MAX(0,MIN(F24,F29))</f>
        <v/>
      </c>
      <c r="G30" s="29">
        <f>MAX(0,MIN(G24,G29))</f>
        <v/>
      </c>
    </row>
    <row r="31">
      <c r="A31" s="4" t="n"/>
      <c r="B31" s="28" t="inlineStr">
        <is>
          <t>Repayments</t>
        </is>
      </c>
      <c r="C31" s="29">
        <f>MAX(0,MIN(C28,C25))</f>
        <v/>
      </c>
      <c r="D31" s="29">
        <f>MAX(0,MIN(D28,D25))</f>
        <v/>
      </c>
      <c r="E31" s="29">
        <f>MAX(0,MIN(E28,E25))</f>
        <v/>
      </c>
      <c r="F31" s="29">
        <f>MAX(0,MIN(F28,F25))</f>
        <v/>
      </c>
      <c r="G31" s="29">
        <f>MAX(0,MIN(G28,G25))</f>
        <v/>
      </c>
    </row>
    <row r="32">
      <c r="A32" s="4" t="n"/>
      <c r="B32" s="5" t="inlineStr">
        <is>
          <t>Closing Balance</t>
        </is>
      </c>
      <c r="C32" s="30">
        <f>C28+C30-C31</f>
        <v/>
      </c>
      <c r="D32" s="30">
        <f>D28+D30-D31</f>
        <v/>
      </c>
      <c r="E32" s="30">
        <f>E28+E30-E31</f>
        <v/>
      </c>
      <c r="F32" s="30">
        <f>F28+F30-F31</f>
        <v/>
      </c>
      <c r="G32" s="30">
        <f>G28+G30-G31</f>
        <v/>
      </c>
    </row>
    <row r="33">
      <c r="A33" s="4" t="n"/>
      <c r="B33" s="33" t="inlineStr">
        <is>
          <t>Average Facility Balance</t>
        </is>
      </c>
      <c r="C33" s="34">
        <f>(C28+C32)/2</f>
        <v/>
      </c>
      <c r="D33" s="34">
        <f>(D28+D32)/2</f>
        <v/>
      </c>
      <c r="E33" s="34">
        <f>(E28+E32)/2</f>
        <v/>
      </c>
      <c r="F33" s="34">
        <f>(F28+F32)/2</f>
        <v/>
      </c>
      <c r="G33" s="34">
        <f>(G28+G32)/2</f>
        <v/>
      </c>
    </row>
    <row r="34">
      <c r="A34" s="4" t="n"/>
      <c r="B34" s="4" t="n"/>
      <c r="C34" s="4" t="n"/>
      <c r="D34" s="4" t="n"/>
      <c r="E34" s="4" t="n"/>
      <c r="F34" s="4" t="n"/>
      <c r="G34" s="4" t="n"/>
    </row>
    <row r="35">
      <c r="A35" s="4" t="n"/>
      <c r="B35" s="7" t="inlineStr">
        <is>
          <t>Financing Costs</t>
        </is>
      </c>
      <c r="C35" s="7" t="n"/>
      <c r="D35" s="7" t="n"/>
      <c r="E35" s="7" t="n"/>
      <c r="F35" s="7" t="n"/>
      <c r="G35" s="7" t="n"/>
    </row>
    <row r="36">
      <c r="A36" s="4" t="n"/>
      <c r="B36" s="28" t="inlineStr">
        <is>
          <t>Interest Expense (on opening)</t>
        </is>
      </c>
      <c r="C36" s="29">
        <f>C28*TF_Rate</f>
        <v/>
      </c>
      <c r="D36" s="29">
        <f>D28*TF_Rate</f>
        <v/>
      </c>
      <c r="E36" s="29">
        <f>E28*TF_Rate</f>
        <v/>
      </c>
      <c r="F36" s="29">
        <f>F28*TF_Rate</f>
        <v/>
      </c>
      <c r="G36" s="29">
        <f>G28*TF_Rate</f>
        <v/>
      </c>
    </row>
    <row r="37">
      <c r="A37" s="4" t="n"/>
      <c r="B37" s="28" t="inlineStr">
        <is>
          <t>Undrawn Facility</t>
        </is>
      </c>
      <c r="C37" s="29">
        <f>MAX(0,Facility_Ceiling-C32)</f>
        <v/>
      </c>
      <c r="D37" s="29">
        <f>MAX(0,Facility_Ceiling-D32)</f>
        <v/>
      </c>
      <c r="E37" s="29">
        <f>MAX(0,Facility_Ceiling-E32)</f>
        <v/>
      </c>
      <c r="F37" s="29">
        <f>MAX(0,Facility_Ceiling-F32)</f>
        <v/>
      </c>
      <c r="G37" s="29">
        <f>MAX(0,Facility_Ceiling-G32)</f>
        <v/>
      </c>
    </row>
    <row r="38">
      <c r="A38" s="4" t="n"/>
      <c r="B38" s="28" t="inlineStr">
        <is>
          <t>Commitment Fee</t>
        </is>
      </c>
      <c r="C38" s="29">
        <f>C37*Commit_Fee_Rate</f>
        <v/>
      </c>
      <c r="D38" s="29">
        <f>D37*Commit_Fee_Rate</f>
        <v/>
      </c>
      <c r="E38" s="29">
        <f>E37*Commit_Fee_Rate</f>
        <v/>
      </c>
      <c r="F38" s="29">
        <f>F37*Commit_Fee_Rate</f>
        <v/>
      </c>
      <c r="G38" s="29">
        <f>G37*Commit_Fee_Rate</f>
        <v/>
      </c>
    </row>
    <row r="39">
      <c r="A39" s="4" t="n"/>
      <c r="B39" s="28" t="inlineStr">
        <is>
          <t>LC Confirmation Fee</t>
        </is>
      </c>
      <c r="C39" s="29">
        <f>WC_LC_Notional*LC_Fee_Rate</f>
        <v/>
      </c>
      <c r="D39" s="29">
        <f>WC_LC_Notional*LC_Fee_Rate</f>
        <v/>
      </c>
      <c r="E39" s="29">
        <f>WC_LC_Notional*LC_Fee_Rate</f>
        <v/>
      </c>
      <c r="F39" s="29">
        <f>WC_LC_Notional*LC_Fee_Rate</f>
        <v/>
      </c>
      <c r="G39" s="29">
        <f>WC_LC_Notional*LC_Fee_Rate</f>
        <v/>
      </c>
    </row>
    <row r="40">
      <c r="A40" s="4" t="n"/>
      <c r="B40" s="5" t="inlineStr">
        <is>
          <t>Total TF Financing Cost</t>
        </is>
      </c>
      <c r="C40" s="30">
        <f>C36+C38+C39</f>
        <v/>
      </c>
      <c r="D40" s="30">
        <f>D36+D38+D39</f>
        <v/>
      </c>
      <c r="E40" s="30">
        <f>E36+E38+E39</f>
        <v/>
      </c>
      <c r="F40" s="30">
        <f>F36+F38+F39</f>
        <v/>
      </c>
      <c r="G40" s="30">
        <f>G36+G38+G39</f>
        <v/>
      </c>
    </row>
  </sheetData>
  <pageMargins left="0.75" right="0.75" top="1" bottom="1" header="0.5" footer="0.5"/>
</worksheet>
</file>

<file path=xl/worksheets/sheet9.xml><?xml version="1.0" encoding="utf-8"?>
<worksheet xmlns="http://schemas.openxmlformats.org/spreadsheetml/2006/main">
  <sheetPr>
    <tabColor rgb="00A5A5A5"/>
    <outlinePr summaryBelow="1" summaryRight="1"/>
    <pageSetUpPr/>
  </sheetPr>
  <dimension ref="A1:AD51"/>
  <sheetViews>
    <sheetView showGridLines="0" workbookViewId="0">
      <selection activeCell="A1" sqref="A1"/>
    </sheetView>
  </sheetViews>
  <sheetFormatPr baseColWidth="8" defaultRowHeight="15"/>
  <cols>
    <col width="3" customWidth="1" min="1" max="1"/>
    <col width="35" customWidth="1" min="2" max="2"/>
    <col width="18" customWidth="1" min="3" max="3"/>
    <col width="18" customWidth="1" min="4" max="4"/>
    <col width="18" customWidth="1" min="5" max="5"/>
    <col width="18" customWidth="1" min="6" max="6"/>
    <col width="18" customWidth="1" min="7" max="7"/>
  </cols>
  <sheetData>
    <row r="1">
      <c r="A1" s="1" t="n"/>
      <c r="B1" s="1" t="n"/>
      <c r="C1" s="1" t="n"/>
      <c r="D1" s="1" t="n"/>
      <c r="E1" s="1" t="n"/>
      <c r="F1" s="1" t="n"/>
      <c r="G1" s="1" t="n"/>
      <c r="H1" s="2" t="n"/>
      <c r="I1" s="2" t="n"/>
      <c r="J1" s="2" t="n"/>
      <c r="K1" s="2" t="n"/>
      <c r="L1" s="2" t="n"/>
      <c r="M1" s="2" t="n"/>
      <c r="N1" s="2" t="n"/>
      <c r="O1" s="2" t="n"/>
      <c r="P1" s="2" t="n"/>
      <c r="Q1" s="2" t="n"/>
      <c r="R1" s="2" t="n"/>
      <c r="S1" s="2" t="n"/>
      <c r="T1" s="2" t="n"/>
      <c r="U1" s="2" t="n"/>
      <c r="V1" s="2" t="n"/>
      <c r="W1" s="2" t="n"/>
      <c r="X1" s="2" t="n"/>
      <c r="Y1" s="2" t="n"/>
      <c r="Z1" s="2" t="n"/>
      <c r="AA1" s="2" t="n"/>
      <c r="AB1" s="2" t="n"/>
      <c r="AC1" s="2" t="n"/>
      <c r="AD1" s="2" t="n"/>
    </row>
    <row r="2" ht="21.75" customHeight="1">
      <c r="A2" s="1" t="n"/>
      <c r="B2" s="1" t="n"/>
      <c r="C2" s="1" t="n"/>
      <c r="D2" s="1" t="n"/>
      <c r="E2" s="1" t="n"/>
      <c r="F2" s="1" t="n"/>
      <c r="G2" s="1" t="n"/>
      <c r="H2" s="2" t="n"/>
      <c r="I2" s="2" t="n"/>
      <c r="J2" s="2" t="n"/>
      <c r="K2" s="2" t="n"/>
      <c r="L2" s="2" t="n"/>
      <c r="M2" s="2" t="n"/>
      <c r="N2" s="2" t="n"/>
      <c r="O2" s="2" t="n"/>
      <c r="P2" s="2" t="n"/>
      <c r="Q2" s="2" t="n"/>
      <c r="R2" s="2" t="n"/>
      <c r="S2" s="2" t="n"/>
      <c r="T2" s="2" t="n"/>
      <c r="U2" s="2" t="n"/>
      <c r="V2" s="2" t="n"/>
      <c r="W2" s="2" t="n"/>
      <c r="X2" s="2" t="n"/>
      <c r="Y2" s="2" t="n"/>
      <c r="Z2" s="2" t="n"/>
      <c r="AA2" s="2" t="n"/>
      <c r="AB2" s="2" t="n"/>
      <c r="AC2" s="2" t="n"/>
      <c r="AD2" s="2" t="n"/>
    </row>
    <row r="3">
      <c r="A3" s="1" t="n"/>
      <c r="B3" s="1" t="n"/>
      <c r="C3" s="1" t="n"/>
      <c r="D3" s="1" t="n"/>
      <c r="E3" s="1" t="n"/>
      <c r="F3" s="1" t="n"/>
      <c r="G3" s="1" t="n"/>
      <c r="H3" s="2" t="n"/>
      <c r="I3" s="2" t="n"/>
      <c r="J3" s="2" t="n"/>
      <c r="K3" s="2" t="n"/>
      <c r="L3" s="2" t="n"/>
      <c r="M3" s="2" t="n"/>
      <c r="N3" s="2" t="n"/>
      <c r="O3" s="2" t="n"/>
      <c r="P3" s="2" t="n"/>
      <c r="Q3" s="2" t="n"/>
      <c r="R3" s="2" t="n"/>
      <c r="S3" s="2" t="n"/>
      <c r="T3" s="2" t="n"/>
      <c r="U3" s="2" t="n"/>
      <c r="V3" s="2" t="n"/>
      <c r="W3" s="2" t="n"/>
      <c r="X3" s="2" t="n"/>
      <c r="Y3" s="2" t="n"/>
      <c r="Z3" s="2" t="n"/>
      <c r="AA3" s="2" t="n"/>
      <c r="AB3" s="2" t="n"/>
      <c r="AC3" s="2" t="n"/>
      <c r="AD3" s="2" t="n"/>
    </row>
    <row r="4">
      <c r="A4" s="4" t="n"/>
      <c r="B4" s="4" t="n"/>
      <c r="C4" s="4" t="n"/>
      <c r="D4" s="4" t="n"/>
      <c r="E4" s="4" t="n"/>
      <c r="F4" s="4" t="n"/>
      <c r="G4" s="4" t="n"/>
    </row>
    <row r="5">
      <c r="A5" s="4" t="n"/>
      <c r="B5" s="4" t="n"/>
      <c r="C5" s="4" t="n"/>
      <c r="D5" s="4" t="n"/>
      <c r="E5" s="4" t="n"/>
      <c r="F5" s="4" t="n"/>
      <c r="G5" s="4" t="n"/>
    </row>
    <row r="6">
      <c r="A6" s="4" t="n"/>
      <c r="B6" s="24" t="inlineStr"/>
      <c r="C6" s="25">
        <f>Model_Start_Year+0</f>
        <v/>
      </c>
      <c r="D6" s="25">
        <f>Model_Start_Year+1</f>
        <v/>
      </c>
      <c r="E6" s="25">
        <f>Model_Start_Year+2</f>
        <v/>
      </c>
      <c r="F6" s="25">
        <f>Model_Start_Year+3</f>
        <v/>
      </c>
      <c r="G6" s="25">
        <f>Model_Start_Year+4</f>
        <v/>
      </c>
    </row>
    <row r="7">
      <c r="A7" s="4" t="n"/>
      <c r="B7" s="26" t="inlineStr">
        <is>
          <t>Year #</t>
        </is>
      </c>
      <c r="C7" s="27" t="n">
        <v>1</v>
      </c>
      <c r="D7" s="27" t="n">
        <v>2</v>
      </c>
      <c r="E7" s="27" t="n">
        <v>3</v>
      </c>
      <c r="F7" s="27" t="n">
        <v>4</v>
      </c>
      <c r="G7" s="27" t="n">
        <v>5</v>
      </c>
    </row>
    <row r="8">
      <c r="A8" s="4" t="n"/>
      <c r="B8" s="4" t="n"/>
      <c r="C8" s="4" t="n"/>
      <c r="D8" s="4" t="n"/>
      <c r="E8" s="4" t="n"/>
      <c r="F8" s="4" t="n"/>
      <c r="G8" s="4" t="n"/>
    </row>
    <row r="9">
      <c r="A9" s="4" t="n"/>
      <c r="B9" s="7" t="inlineStr">
        <is>
          <t>Revenue &amp; Gross Profit</t>
        </is>
      </c>
      <c r="C9" s="7" t="n"/>
      <c r="D9" s="7" t="n"/>
      <c r="E9" s="7" t="n"/>
      <c r="F9" s="7" t="n"/>
      <c r="G9" s="7" t="n"/>
    </row>
    <row r="10">
      <c r="A10" s="4" t="n"/>
      <c r="B10" s="28" t="inlineStr">
        <is>
          <t>Trading Revenue</t>
        </is>
      </c>
      <c r="C10" s="29">
        <f>VM_Total_Revenue</f>
        <v/>
      </c>
      <c r="D10" s="29">
        <f>VM_Total_Revenue</f>
        <v/>
      </c>
      <c r="E10" s="29">
        <f>VM_Total_Revenue</f>
        <v/>
      </c>
      <c r="F10" s="29">
        <f>VM_Total_Revenue</f>
        <v/>
      </c>
      <c r="G10" s="29">
        <f>VM_Total_Revenue</f>
        <v/>
      </c>
    </row>
    <row r="11">
      <c r="A11" s="4" t="n"/>
      <c r="B11" s="33" t="inlineStr">
        <is>
          <t>Storage &amp; Demurrage GP (memo)</t>
        </is>
      </c>
      <c r="C11" s="34">
        <f>VM_Storage_GP</f>
        <v/>
      </c>
      <c r="D11" s="34">
        <f>VM_Storage_GP</f>
        <v/>
      </c>
      <c r="E11" s="34">
        <f>VM_Storage_GP</f>
        <v/>
      </c>
      <c r="F11" s="34">
        <f>VM_Storage_GP</f>
        <v/>
      </c>
      <c r="G11" s="34">
        <f>VM_Storage_GP</f>
        <v/>
      </c>
    </row>
    <row r="12">
      <c r="A12" s="4" t="n"/>
      <c r="B12" s="28" t="inlineStr">
        <is>
          <t>Cost of Goods Sold</t>
        </is>
      </c>
      <c r="C12" s="29">
        <f>VM_Total_COGS</f>
        <v/>
      </c>
      <c r="D12" s="29">
        <f>VM_Total_COGS</f>
        <v/>
      </c>
      <c r="E12" s="29">
        <f>VM_Total_COGS</f>
        <v/>
      </c>
      <c r="F12" s="29">
        <f>VM_Total_COGS</f>
        <v/>
      </c>
      <c r="G12" s="29">
        <f>VM_Total_COGS</f>
        <v/>
      </c>
    </row>
    <row r="13">
      <c r="A13" s="4" t="n"/>
      <c r="B13" s="5" t="inlineStr">
        <is>
          <t>Gross Profit (incl. Storage GP)</t>
        </is>
      </c>
      <c r="C13" s="35">
        <f>VM_Total_GP</f>
        <v/>
      </c>
      <c r="D13" s="35">
        <f>VM_Total_GP</f>
        <v/>
      </c>
      <c r="E13" s="35">
        <f>VM_Total_GP</f>
        <v/>
      </c>
      <c r="F13" s="35">
        <f>VM_Total_GP</f>
        <v/>
      </c>
      <c r="G13" s="35">
        <f>VM_Total_GP</f>
        <v/>
      </c>
    </row>
    <row r="14">
      <c r="A14" s="4" t="n"/>
      <c r="B14" s="22" t="inlineStr">
        <is>
          <t>Gross Margin %</t>
        </is>
      </c>
      <c r="C14" s="32">
        <f>IFERROR(C13/C10,0)</f>
        <v/>
      </c>
      <c r="D14" s="32">
        <f>IFERROR(D13/D10,0)</f>
        <v/>
      </c>
      <c r="E14" s="32">
        <f>IFERROR(E13/E10,0)</f>
        <v/>
      </c>
      <c r="F14" s="32">
        <f>IFERROR(F13/F10,0)</f>
        <v/>
      </c>
      <c r="G14" s="32">
        <f>IFERROR(G13/G10,0)</f>
        <v/>
      </c>
    </row>
    <row r="15">
      <c r="A15" s="4" t="n"/>
      <c r="B15" s="4" t="n"/>
      <c r="C15" s="4" t="n"/>
      <c r="D15" s="4" t="n"/>
      <c r="E15" s="4" t="n"/>
      <c r="F15" s="4" t="n"/>
      <c r="G15" s="4" t="n"/>
    </row>
    <row r="16">
      <c r="A16" s="4" t="n"/>
      <c r="B16" s="7" t="inlineStr">
        <is>
          <t>Operating Expenses</t>
        </is>
      </c>
      <c r="C16" s="7" t="n"/>
      <c r="D16" s="7" t="n"/>
      <c r="E16" s="7" t="n"/>
      <c r="F16" s="7" t="n"/>
      <c r="G16" s="7" t="n"/>
    </row>
    <row r="17">
      <c r="A17" s="4" t="n"/>
      <c r="B17" s="28" t="inlineStr">
        <is>
          <t>Staff Costs</t>
        </is>
      </c>
      <c r="C17" s="29">
        <f>OX_Staff_Cost</f>
        <v/>
      </c>
      <c r="D17" s="29">
        <f>OX_Staff_Cost</f>
        <v/>
      </c>
      <c r="E17" s="29">
        <f>OX_Staff_Cost</f>
        <v/>
      </c>
      <c r="F17" s="29">
        <f>OX_Staff_Cost</f>
        <v/>
      </c>
      <c r="G17" s="29">
        <f>OX_Staff_Cost</f>
        <v/>
      </c>
    </row>
    <row r="18">
      <c r="A18" s="4" t="n"/>
      <c r="B18" s="28" t="inlineStr">
        <is>
          <t>IT &amp; Systems</t>
        </is>
      </c>
      <c r="C18" s="29">
        <f>OX_IT</f>
        <v/>
      </c>
      <c r="D18" s="29">
        <f>OX_IT</f>
        <v/>
      </c>
      <c r="E18" s="29">
        <f>OX_IT</f>
        <v/>
      </c>
      <c r="F18" s="29">
        <f>OX_IT</f>
        <v/>
      </c>
      <c r="G18" s="29">
        <f>OX_IT</f>
        <v/>
      </c>
    </row>
    <row r="19">
      <c r="A19" s="4" t="n"/>
      <c r="B19" s="28" t="inlineStr">
        <is>
          <t>Office &amp; Rent</t>
        </is>
      </c>
      <c r="C19" s="29">
        <f>OX_Rent</f>
        <v/>
      </c>
      <c r="D19" s="29">
        <f>OX_Rent</f>
        <v/>
      </c>
      <c r="E19" s="29">
        <f>OX_Rent</f>
        <v/>
      </c>
      <c r="F19" s="29">
        <f>OX_Rent</f>
        <v/>
      </c>
      <c r="G19" s="29">
        <f>OX_Rent</f>
        <v/>
      </c>
    </row>
    <row r="20">
      <c r="A20" s="4" t="n"/>
      <c r="B20" s="28" t="inlineStr">
        <is>
          <t>Other G&amp;A</t>
        </is>
      </c>
      <c r="C20" s="29">
        <f>OX_Other_GA</f>
        <v/>
      </c>
      <c r="D20" s="29">
        <f>OX_Other_GA</f>
        <v/>
      </c>
      <c r="E20" s="29">
        <f>OX_Other_GA</f>
        <v/>
      </c>
      <c r="F20" s="29">
        <f>OX_Other_GA</f>
        <v/>
      </c>
      <c r="G20" s="29">
        <f>OX_Other_GA</f>
        <v/>
      </c>
    </row>
    <row r="21">
      <c r="A21" s="4" t="n"/>
      <c r="B21" s="28" t="inlineStr">
        <is>
          <t>Bonus Pool</t>
        </is>
      </c>
      <c r="C21" s="29">
        <f>OX_Bonus</f>
        <v/>
      </c>
      <c r="D21" s="29">
        <f>OX_Bonus</f>
        <v/>
      </c>
      <c r="E21" s="29">
        <f>OX_Bonus</f>
        <v/>
      </c>
      <c r="F21" s="29">
        <f>OX_Bonus</f>
        <v/>
      </c>
      <c r="G21" s="29">
        <f>OX_Bonus</f>
        <v/>
      </c>
    </row>
    <row r="22">
      <c r="A22" s="4" t="n"/>
      <c r="B22" s="5" t="inlineStr">
        <is>
          <t>Total OpEx</t>
        </is>
      </c>
      <c r="C22" s="35">
        <f>SUM(C17:C21)</f>
        <v/>
      </c>
      <c r="D22" s="35">
        <f>SUM(D17:D21)</f>
        <v/>
      </c>
      <c r="E22" s="35">
        <f>SUM(E17:E21)</f>
        <v/>
      </c>
      <c r="F22" s="35">
        <f>SUM(F17:F21)</f>
        <v/>
      </c>
      <c r="G22" s="35">
        <f>SUM(G17:G21)</f>
        <v/>
      </c>
    </row>
    <row r="23">
      <c r="A23" s="4" t="n"/>
      <c r="B23" s="4" t="n"/>
      <c r="C23" s="4" t="n"/>
      <c r="D23" s="4" t="n"/>
      <c r="E23" s="4" t="n"/>
      <c r="F23" s="4" t="n"/>
      <c r="G23" s="4" t="n"/>
    </row>
    <row r="24">
      <c r="A24" s="4" t="n"/>
      <c r="B24" s="5" t="inlineStr">
        <is>
          <t>EBITDA</t>
        </is>
      </c>
      <c r="C24" s="35">
        <f>C13-C22</f>
        <v/>
      </c>
      <c r="D24" s="35">
        <f>D13-D22</f>
        <v/>
      </c>
      <c r="E24" s="35">
        <f>E13-E22</f>
        <v/>
      </c>
      <c r="F24" s="35">
        <f>F13-F22</f>
        <v/>
      </c>
      <c r="G24" s="35">
        <f>G13-G22</f>
        <v/>
      </c>
    </row>
    <row r="25">
      <c r="A25" s="4" t="n"/>
      <c r="B25" s="22" t="inlineStr">
        <is>
          <t>EBITDA Margin %</t>
        </is>
      </c>
      <c r="C25" s="32">
        <f>IFERROR(C24/C10,0)</f>
        <v/>
      </c>
      <c r="D25" s="32">
        <f>IFERROR(D24/D10,0)</f>
        <v/>
      </c>
      <c r="E25" s="32">
        <f>IFERROR(E24/E10,0)</f>
        <v/>
      </c>
      <c r="F25" s="32">
        <f>IFERROR(F24/F10,0)</f>
        <v/>
      </c>
      <c r="G25" s="32">
        <f>IFERROR(G24/G10,0)</f>
        <v/>
      </c>
    </row>
    <row r="26">
      <c r="A26" s="4" t="n"/>
      <c r="B26" s="4" t="n"/>
      <c r="C26" s="4" t="n"/>
      <c r="D26" s="4" t="n"/>
      <c r="E26" s="4" t="n"/>
      <c r="F26" s="4" t="n"/>
      <c r="G26" s="4" t="n"/>
    </row>
    <row r="27">
      <c r="A27" s="4" t="n"/>
      <c r="B27" s="7" t="inlineStr">
        <is>
          <t>Depreciation</t>
        </is>
      </c>
      <c r="C27" s="7" t="n"/>
      <c r="D27" s="7" t="n"/>
      <c r="E27" s="7" t="n"/>
      <c r="F27" s="7" t="n"/>
      <c r="G27" s="7" t="n"/>
    </row>
    <row r="28">
      <c r="A28" s="4" t="n"/>
      <c r="B28" s="28" t="inlineStr">
        <is>
          <t>Depreciation</t>
        </is>
      </c>
      <c r="C28" s="29">
        <f>CD_Total_Depr</f>
        <v/>
      </c>
      <c r="D28" s="29">
        <f>CD_Total_Depr</f>
        <v/>
      </c>
      <c r="E28" s="29">
        <f>CD_Total_Depr</f>
        <v/>
      </c>
      <c r="F28" s="29">
        <f>CD_Total_Depr</f>
        <v/>
      </c>
      <c r="G28" s="29">
        <f>CD_Total_Depr</f>
        <v/>
      </c>
    </row>
    <row r="29">
      <c r="A29" s="4" t="n"/>
      <c r="B29" s="4" t="n"/>
      <c r="C29" s="4" t="n"/>
      <c r="D29" s="4" t="n"/>
      <c r="E29" s="4" t="n"/>
      <c r="F29" s="4" t="n"/>
      <c r="G29" s="4" t="n"/>
    </row>
    <row r="30">
      <c r="A30" s="4" t="n"/>
      <c r="B30" s="5" t="inlineStr">
        <is>
          <t>EBIT</t>
        </is>
      </c>
      <c r="C30" s="35">
        <f>C24-C28</f>
        <v/>
      </c>
      <c r="D30" s="35">
        <f>D24-D28</f>
        <v/>
      </c>
      <c r="E30" s="35">
        <f>E24-E28</f>
        <v/>
      </c>
      <c r="F30" s="35">
        <f>F24-F28</f>
        <v/>
      </c>
      <c r="G30" s="35">
        <f>G24-G28</f>
        <v/>
      </c>
    </row>
    <row r="31">
      <c r="A31" s="4" t="n"/>
      <c r="B31" s="4" t="n"/>
      <c r="C31" s="4" t="n"/>
      <c r="D31" s="4" t="n"/>
      <c r="E31" s="4" t="n"/>
      <c r="F31" s="4" t="n"/>
      <c r="G31" s="4" t="n"/>
    </row>
    <row r="32">
      <c r="A32" s="4" t="n"/>
      <c r="B32" s="7" t="inlineStr">
        <is>
          <t>Financing Costs</t>
        </is>
      </c>
      <c r="C32" s="7" t="n"/>
      <c r="D32" s="7" t="n"/>
      <c r="E32" s="7" t="n"/>
      <c r="F32" s="7" t="n"/>
      <c r="G32" s="7" t="n"/>
    </row>
    <row r="33">
      <c r="A33" s="4" t="n"/>
      <c r="B33" s="28" t="inlineStr">
        <is>
          <t>Trade Finance Interest</t>
        </is>
      </c>
      <c r="C33" s="29">
        <f>BB_Interest</f>
        <v/>
      </c>
      <c r="D33" s="29">
        <f>BB_Interest</f>
        <v/>
      </c>
      <c r="E33" s="29">
        <f>BB_Interest</f>
        <v/>
      </c>
      <c r="F33" s="29">
        <f>BB_Interest</f>
        <v/>
      </c>
      <c r="G33" s="29">
        <f>BB_Interest</f>
        <v/>
      </c>
    </row>
    <row r="34">
      <c r="A34" s="4" t="n"/>
      <c r="B34" s="28" t="inlineStr">
        <is>
          <t>Corporate Debt Interest</t>
        </is>
      </c>
      <c r="C34" s="29">
        <f>DS_Interest</f>
        <v/>
      </c>
      <c r="D34" s="29">
        <f>DS_Interest</f>
        <v/>
      </c>
      <c r="E34" s="29">
        <f>DS_Interest</f>
        <v/>
      </c>
      <c r="F34" s="29">
        <f>DS_Interest</f>
        <v/>
      </c>
      <c r="G34" s="29">
        <f>DS_Interest</f>
        <v/>
      </c>
    </row>
    <row r="35">
      <c r="A35" s="4" t="n"/>
      <c r="B35" s="28" t="inlineStr">
        <is>
          <t>Commitment Fee</t>
        </is>
      </c>
      <c r="C35" s="29">
        <f>BB_Commit_Fee</f>
        <v/>
      </c>
      <c r="D35" s="29">
        <f>BB_Commit_Fee</f>
        <v/>
      </c>
      <c r="E35" s="29">
        <f>BB_Commit_Fee</f>
        <v/>
      </c>
      <c r="F35" s="29">
        <f>BB_Commit_Fee</f>
        <v/>
      </c>
      <c r="G35" s="29">
        <f>BB_Commit_Fee</f>
        <v/>
      </c>
    </row>
    <row r="36">
      <c r="A36" s="4" t="n"/>
      <c r="B36" s="28" t="inlineStr">
        <is>
          <t>LC Confirmation Fee</t>
        </is>
      </c>
      <c r="C36" s="29">
        <f>BB_LC_Fee</f>
        <v/>
      </c>
      <c r="D36" s="29">
        <f>BB_LC_Fee</f>
        <v/>
      </c>
      <c r="E36" s="29">
        <f>BB_LC_Fee</f>
        <v/>
      </c>
      <c r="F36" s="29">
        <f>BB_LC_Fee</f>
        <v/>
      </c>
      <c r="G36" s="29">
        <f>BB_LC_Fee</f>
        <v/>
      </c>
    </row>
    <row r="37">
      <c r="A37" s="4" t="n"/>
      <c r="B37" s="28" t="inlineStr">
        <is>
          <t>FX Gain/(Loss)</t>
        </is>
      </c>
      <c r="C37" s="29">
        <f>-OX_FX</f>
        <v/>
      </c>
      <c r="D37" s="29">
        <f>-OX_FX</f>
        <v/>
      </c>
      <c r="E37" s="29">
        <f>-OX_FX</f>
        <v/>
      </c>
      <c r="F37" s="29">
        <f>-OX_FX</f>
        <v/>
      </c>
      <c r="G37" s="29">
        <f>-OX_FX</f>
        <v/>
      </c>
    </row>
    <row r="38">
      <c r="A38" s="4" t="n"/>
      <c r="B38" s="5" t="inlineStr">
        <is>
          <t>Total Financing Cost</t>
        </is>
      </c>
      <c r="C38" s="35">
        <f>SUM(C33:C37)</f>
        <v/>
      </c>
      <c r="D38" s="35">
        <f>SUM(D33:D37)</f>
        <v/>
      </c>
      <c r="E38" s="35">
        <f>SUM(E33:E37)</f>
        <v/>
      </c>
      <c r="F38" s="35">
        <f>SUM(F33:F37)</f>
        <v/>
      </c>
      <c r="G38" s="35">
        <f>SUM(G33:G37)</f>
        <v/>
      </c>
    </row>
    <row r="39">
      <c r="A39" s="4" t="n"/>
      <c r="B39" s="4" t="n"/>
      <c r="C39" s="4" t="n"/>
      <c r="D39" s="4" t="n"/>
      <c r="E39" s="4" t="n"/>
      <c r="F39" s="4" t="n"/>
      <c r="G39" s="4" t="n"/>
    </row>
    <row r="40">
      <c r="A40" s="4" t="n"/>
      <c r="B40" s="5" t="inlineStr">
        <is>
          <t>EBT</t>
        </is>
      </c>
      <c r="C40" s="35">
        <f>C30-C38</f>
        <v/>
      </c>
      <c r="D40" s="35">
        <f>D30-D38</f>
        <v/>
      </c>
      <c r="E40" s="35">
        <f>E30-E38</f>
        <v/>
      </c>
      <c r="F40" s="35">
        <f>F30-F38</f>
        <v/>
      </c>
      <c r="G40" s="35">
        <f>G30-G38</f>
        <v/>
      </c>
    </row>
    <row r="41">
      <c r="A41" s="4" t="n"/>
      <c r="B41" s="4" t="n"/>
      <c r="C41" s="4" t="n"/>
      <c r="D41" s="4" t="n"/>
      <c r="E41" s="4" t="n"/>
      <c r="F41" s="4" t="n"/>
      <c r="G41" s="4" t="n"/>
    </row>
    <row r="42">
      <c r="A42" s="4" t="n"/>
      <c r="B42" s="33" t="inlineStr">
        <is>
          <t>NOL Opening</t>
        </is>
      </c>
      <c r="C42" s="34">
        <f>Opening_NOL</f>
        <v/>
      </c>
      <c r="D42" s="34">
        <f>C46</f>
        <v/>
      </c>
      <c r="E42" s="34">
        <f>D46</f>
        <v/>
      </c>
      <c r="F42" s="34">
        <f>E46</f>
        <v/>
      </c>
      <c r="G42" s="34">
        <f>F46</f>
        <v/>
      </c>
    </row>
    <row r="43">
      <c r="A43" s="4" t="n"/>
      <c r="B43" s="33" t="inlineStr">
        <is>
          <t>NOL Used</t>
        </is>
      </c>
      <c r="C43" s="34">
        <f>MIN(C42,MAX(0,C40))</f>
        <v/>
      </c>
      <c r="D43" s="34">
        <f>MIN(D42,MAX(0,D40))</f>
        <v/>
      </c>
      <c r="E43" s="34">
        <f>MIN(E42,MAX(0,E40))</f>
        <v/>
      </c>
      <c r="F43" s="34">
        <f>MIN(F42,MAX(0,F40))</f>
        <v/>
      </c>
      <c r="G43" s="34">
        <f>MIN(G42,MAX(0,G40))</f>
        <v/>
      </c>
    </row>
    <row r="44">
      <c r="A44" s="4" t="n"/>
      <c r="B44" s="6" t="inlineStr">
        <is>
          <t>Taxable Income</t>
        </is>
      </c>
      <c r="C44" s="29">
        <f>MAX(0,C40-C43)</f>
        <v/>
      </c>
      <c r="D44" s="29">
        <f>MAX(0,D40-D43)</f>
        <v/>
      </c>
      <c r="E44" s="29">
        <f>MAX(0,E40-E43)</f>
        <v/>
      </c>
      <c r="F44" s="29">
        <f>MAX(0,F40-F43)</f>
        <v/>
      </c>
      <c r="G44" s="29">
        <f>MAX(0,G40-G43)</f>
        <v/>
      </c>
    </row>
    <row r="45">
      <c r="A45" s="4" t="n"/>
      <c r="B45" s="28" t="inlineStr">
        <is>
          <t>Tax</t>
        </is>
      </c>
      <c r="C45" s="29">
        <f>C44*Tax_Rate</f>
        <v/>
      </c>
      <c r="D45" s="29">
        <f>D44*Tax_Rate</f>
        <v/>
      </c>
      <c r="E45" s="29">
        <f>E44*Tax_Rate</f>
        <v/>
      </c>
      <c r="F45" s="29">
        <f>F44*Tax_Rate</f>
        <v/>
      </c>
      <c r="G45" s="29">
        <f>G44*Tax_Rate</f>
        <v/>
      </c>
    </row>
    <row r="46">
      <c r="A46" s="4" t="n"/>
      <c r="B46" s="33" t="inlineStr">
        <is>
          <t>NOL Closing</t>
        </is>
      </c>
      <c r="C46" s="34">
        <f>C42-C43+MAX(0,-C40)</f>
        <v/>
      </c>
      <c r="D46" s="34">
        <f>D42-D43+MAX(0,-D40)</f>
        <v/>
      </c>
      <c r="E46" s="34">
        <f>E42-E43+MAX(0,-E40)</f>
        <v/>
      </c>
      <c r="F46" s="34">
        <f>F42-F43+MAX(0,-F40)</f>
        <v/>
      </c>
      <c r="G46" s="34">
        <f>G42-G43+MAX(0,-G40)</f>
        <v/>
      </c>
    </row>
    <row r="47">
      <c r="A47" s="4" t="n"/>
      <c r="B47" s="4" t="n"/>
      <c r="C47" s="4" t="n"/>
      <c r="D47" s="4" t="n"/>
      <c r="E47" s="4" t="n"/>
      <c r="F47" s="4" t="n"/>
      <c r="G47" s="4" t="n"/>
    </row>
    <row r="48">
      <c r="A48" s="4" t="n"/>
      <c r="B48" s="5" t="inlineStr">
        <is>
          <t>NET INCOME</t>
        </is>
      </c>
      <c r="C48" s="30">
        <f>C40-C45</f>
        <v/>
      </c>
      <c r="D48" s="30">
        <f>D40-D45</f>
        <v/>
      </c>
      <c r="E48" s="30">
        <f>E40-E45</f>
        <v/>
      </c>
      <c r="F48" s="30">
        <f>F40-F45</f>
        <v/>
      </c>
      <c r="G48" s="30">
        <f>G40-G45</f>
        <v/>
      </c>
    </row>
    <row r="49">
      <c r="A49" s="4" t="n"/>
      <c r="B49" s="22" t="inlineStr">
        <is>
          <t>Net Margin %</t>
        </is>
      </c>
      <c r="C49" s="32">
        <f>IFERROR(C48/C10,0)</f>
        <v/>
      </c>
      <c r="D49" s="32">
        <f>IFERROR(D48/D10,0)</f>
        <v/>
      </c>
      <c r="E49" s="32">
        <f>IFERROR(E48/E10,0)</f>
        <v/>
      </c>
      <c r="F49" s="32">
        <f>IFERROR(F48/F10,0)</f>
        <v/>
      </c>
      <c r="G49" s="32">
        <f>IFERROR(G48/G10,0)</f>
        <v/>
      </c>
    </row>
    <row r="50">
      <c r="A50" s="4" t="n"/>
      <c r="B50" s="4" t="n"/>
      <c r="C50" s="4" t="n"/>
      <c r="D50" s="4" t="n"/>
      <c r="E50" s="4" t="n"/>
      <c r="F50" s="4" t="n"/>
      <c r="G50" s="4" t="n"/>
    </row>
    <row r="51">
      <c r="A51" s="4" t="n"/>
      <c r="B51" s="28" t="inlineStr">
        <is>
          <t>Dividends</t>
        </is>
      </c>
      <c r="C51" s="29">
        <f>MAX(0,C48*Dividend_Payout)</f>
        <v/>
      </c>
      <c r="D51" s="29">
        <f>MAX(0,D48*Dividend_Payout)</f>
        <v/>
      </c>
      <c r="E51" s="29">
        <f>MAX(0,E48*Dividend_Payout)</f>
        <v/>
      </c>
      <c r="F51" s="29">
        <f>MAX(0,F48*Dividend_Payout)</f>
        <v/>
      </c>
      <c r="G51" s="29">
        <f>MAX(0,G48*Dividend_Payout)</f>
        <v/>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2026-05-15T19:33:01Z</dcterms:created>
  <dcterms:modified xmlns:dcterms="http://purl.org/dc/terms/" xmlns:xsi="http://www.w3.org/2001/XMLSchema-instance" xsi:type="dcterms:W3CDTF">2026-05-15T19:33:01Z</dcterms:modified>
</cp:coreProperties>
</file>