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rice_Scenarios" sheetId="3" state="visible" r:id="rId5"/>
    <sheet name="Hedge_Portfolio" sheetId="4" state="visible" r:id="rId6"/>
    <sheet name="Capex_Depr" sheetId="5" state="visible" r:id="rId7"/>
    <sheet name="Unhedged_PL" sheetId="6" state="visible" r:id="rId8"/>
    <sheet name="Hedged_PL" sheetId="7" state="visible" r:id="rId9"/>
    <sheet name="Hedge_Effectiveness" sheetId="8" state="visible" r:id="rId10"/>
    <sheet name="Working_Capital" sheetId="9" state="visible" r:id="rId11"/>
    <sheet name="Debt_Schedule" sheetId="10" state="visible" r:id="rId12"/>
    <sheet name="Cash_Flow" sheetId="11" state="visible" r:id="rId13"/>
    <sheet name="Balance_Sheet" sheetId="12" state="visible" r:id="rId14"/>
    <sheet name="Checks" sheetId="13" state="visible" r:id="rId15"/>
    <sheet name="Disclaimer" sheetId="14" state="visible" r:id="rId16"/>
  </sheets>
  <definedNames>
    <definedName function="false" hidden="false" name="Accum_Depr_Open" vbProcedure="false">Assumptions!$C$51</definedName>
    <definedName function="false" hidden="false" name="Admin_Growth" vbProcedure="false">Assumptions!$C$31</definedName>
    <definedName function="false" hidden="false" name="Admin_Y1" vbProcedure="false">Assumptions!$C$30</definedName>
    <definedName function="false" hidden="false" name="Base_Growth" vbProcedure="false">Assumptions!$C$14</definedName>
    <definedName function="false" hidden="false" name="Base_Spot_Y1" vbProcedure="false">Assumptions!$C$13</definedName>
    <definedName function="false" hidden="false" name="C1_Unit" vbProcedure="false">Assumptions!$C$28</definedName>
    <definedName function="false" hidden="false" name="Capex_Rate" vbProcedure="false">Assumptions!$C$54</definedName>
    <definedName function="false" hidden="false" name="Commit_Fee" vbProcedure="false">Assumptions!$C$63</definedName>
    <definedName function="false" hidden="false" name="Cost_Inflation" vbProcedure="false">Assumptions!$C$29</definedName>
    <definedName function="false" hidden="false" name="DIO" vbProcedure="false">Assumptions!$C$36</definedName>
    <definedName function="false" hidden="false" name="Div_Payout" vbProcedure="false">Assumptions!$C$70</definedName>
    <definedName function="false" hidden="false" name="DPO" vbProcedure="false">Assumptions!$C$37</definedName>
    <definedName function="false" hidden="false" name="DSO" vbProcedure="false">Assumptions!$C$35</definedName>
    <definedName function="false" hidden="false" name="Ex_Life" vbProcedure="false">Assumptions!$C$52</definedName>
    <definedName function="false" hidden="false" name="Fwd_Price" vbProcedure="false">Assumptions!$C$21</definedName>
    <definedName function="false" hidden="false" name="Fwd_Ratio" vbProcedure="false">Assumptions!$C$20</definedName>
    <definedName function="false" hidden="false" name="Gross_PPE_Open" vbProcedure="false">Assumptions!$C$50</definedName>
    <definedName function="false" hidden="false" name="High_Growth" vbProcedure="false">Assumptions!$C$15</definedName>
    <definedName function="false" hidden="false" name="Low_Growth" vbProcedure="false">Assumptions!$C$16</definedName>
    <definedName function="false" hidden="false" name="Min_Cash" vbProcedure="false">Assumptions!$C$64</definedName>
    <definedName function="false" hidden="false" name="New_Life" vbProcedure="false">Assumptions!$C$53</definedName>
    <definedName function="false" hidden="false" name="Open_AP" vbProcedure="false">Assumptions!$C$40</definedName>
    <definedName function="false" hidden="false" name="Open_AR" vbProcedure="false">Assumptions!$C$38</definedName>
    <definedName function="false" hidden="false" name="Open_Cash" vbProcedure="false">Assumptions!$C$44</definedName>
    <definedName function="false" hidden="false" name="Open_Inv" vbProcedure="false">Assumptions!$C$39</definedName>
    <definedName function="false" hidden="false" name="Open_RE" vbProcedure="false">Assumptions!$C$46</definedName>
    <definedName function="false" hidden="false" name="Open_Rev_Drawn" vbProcedure="false">Assumptions!$C$65</definedName>
    <definedName function="false" hidden="false" name="Prod_Growth" vbProcedure="false">Assumptions!$C$10</definedName>
    <definedName function="false" hidden="false" name="Prod_Y1" vbProcedure="false">Assumptions!$C$9</definedName>
    <definedName function="false" hidden="false" name="Put_Premium" vbProcedure="false">Assumptions!$C$24</definedName>
    <definedName function="false" hidden="false" name="Put_Ratio" vbProcedure="false">Assumptions!$C$22</definedName>
    <definedName function="false" hidden="false" name="Put_Strike" vbProcedure="false">Assumptions!$C$23</definedName>
    <definedName function="false" hidden="false" name="Rev_Limit" vbProcedure="false">Assumptions!$C$61</definedName>
    <definedName function="false" hidden="false" name="Rev_Rate" vbProcedure="false">Assumptions!$C$62</definedName>
    <definedName function="false" hidden="false" name="Scenario_Toggle" vbProcedure="false">Assumptions!$C$5</definedName>
    <definedName function="false" hidden="false" name="Share_Capital" vbProcedure="false">Assumptions!$C$45</definedName>
    <definedName function="false" hidden="false" name="Tax_Rate" vbProcedure="false">Assumptions!$C$69</definedName>
    <definedName function="false" hidden="false" name="Term_Principal" vbProcedure="false">Assumptions!$C$58</definedName>
    <definedName function="false" hidden="false" name="Term_Rate" vbProcedure="false">Assumptions!$C$59</definedName>
    <definedName function="false" hidden="false" name="Term_Tenor" vbProcedure="false">Assumptions!$C$60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<sst xmlns="http://schemas.openxmlformats.org/spreadsheetml/2006/main" count="419" uniqueCount="285">
  <si>
    <t xml:space="preserve">COMMODITY HEDGING MODEL</t>
  </si>
  <si>
    <t xml:space="preserve">FINAMODEL.com</t>
  </si>
  <si>
    <t xml:space="preserve">Mid-Tier Copper Producer | v2.0 Rebuild</t>
  </si>
  <si>
    <t xml:space="preserve">Active Scenario:</t>
  </si>
  <si>
    <t xml:space="preserve">Sheet</t>
  </si>
  <si>
    <t xml:space="preserve">Purpose</t>
  </si>
  <si>
    <t xml:space="preserve">Assumptions</t>
  </si>
  <si>
    <t xml:space="preserve">All inputs — prices, hedge params, costs, debt, WC, opening BS</t>
  </si>
  <si>
    <t xml:space="preserve">Price_Scenarios</t>
  </si>
  <si>
    <t xml:space="preserve">Base/High/Low spot paths + active (toggle-resolved) path</t>
  </si>
  <si>
    <t xml:space="preserve">Hedge_Portfolio</t>
  </si>
  <si>
    <t xml:space="preserve">Forward and put settlements under 3 scenarios + active selection</t>
  </si>
  <si>
    <t xml:space="preserve">Unhedged_PL</t>
  </si>
  <si>
    <t xml:space="preserve">Full P&amp;L without hedge; scenario helper rows for effectiveness</t>
  </si>
  <si>
    <t xml:space="preserve">Hedged_PL</t>
  </si>
  <si>
    <t xml:space="preserve">Full P&amp;L with hedge; scenario helpers; dividends; capex</t>
  </si>
  <si>
    <t xml:space="preserve">Hedge_Effectiveness</t>
  </si>
  <si>
    <t xml:space="preserve">3-scenario matrix; StdDev; Variance Reduction = 1 − σ_H/σ_UH</t>
  </si>
  <si>
    <t xml:space="preserve">Working_Capital</t>
  </si>
  <si>
    <t xml:space="preserve">AR, Inventory, AP balances; WC cash flow impact (delta from opening)</t>
  </si>
  <si>
    <t xml:space="preserve">Capex_Depr</t>
  </si>
  <si>
    <t xml:space="preserve">PP&amp;E roll-forward; capex = 8% eff rev; depreciation staggered</t>
  </si>
  <si>
    <t xml:space="preserve">Debt_Schedule</t>
  </si>
  <si>
    <t xml:space="preserve">Term loan amort; revolver cash sweep logic</t>
  </si>
  <si>
    <t xml:space="preserve">Cash_Flow</t>
  </si>
  <si>
    <t xml:space="preserve">Indirect CFS; pre-revolver position row; closing cash</t>
  </si>
  <si>
    <t xml:space="preserve">Balance_Sheet</t>
  </si>
  <si>
    <t xml:space="preserve">6 asset lines, 3 liability lines — NO derivative asset/liability</t>
  </si>
  <si>
    <t xml:space="preserve">Checks</t>
  </si>
  <si>
    <t xml:space="preserve">BS balance, cash, covenants, hedge ratios, RE roll</t>
  </si>
  <si>
    <t xml:space="preserve">About this model</t>
  </si>
  <si>
    <t xml:space="preserve">This commodity hedging model evaluates the cost-benefit of locking in copper producer margins using forward contracts and put options across three price scenarios (base, high, low). The model hedges 50% of annual copper production (500,000 tonnes) using forwards at $8,500/tonne and buys 20% put options at $8,000/tonne strike with a $150/tonne premium. It then measures the variance reduction (percentage decrease in earnings volatility) that hedging delivers across the three scenarios, accounting for the real cash cost of put premium.
The model includes a price scenario builder showing base case ($8,500/tonne starting, +2% annual growth), high case (+8% growth), and low case (â5% decline), with all three scenarios wired to separate P&amp;L columns simultaneously. A hedge portfolio sheet calculates forward settlement (difference between forward price and realised spot) and put payoff for each scenario and year. Two P&amp;L sections (unhedged and hedged) feed to a hedge effectiveness sheet that computes standard deviation of net income across scenarios and calculates variance reduction = 1 â (StdDev Hedged / StdDev Unhedged) as a percentage.
This model is used by mining finance teams demonstrating covenant compliance and lender appeal through hedging, treasurers budgeting operations around hedged margin assumptions, and investors assessing the downside protection and cost of hedging programmes. It converts abstract hedging concepts into concrete earnings volatility metrics, helping boards balance margin certainty against hedging costs.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</si>
  <si>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</si>
  <si>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</si>
  <si>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</si>
  <si>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</si>
  <si>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</si>
  <si>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Input</t>
  </si>
  <si>
    <t xml:space="preserve">Value</t>
  </si>
  <si>
    <t xml:space="preserve">Unit</t>
  </si>
  <si>
    <t xml:space="preserve">Notes</t>
  </si>
  <si>
    <t xml:space="preserve">SCENARIO CONTROL</t>
  </si>
  <si>
    <t xml:space="preserve">Scenario</t>
  </si>
  <si>
    <t xml:space="preserve">1=Base 2=High 3=Low</t>
  </si>
  <si>
    <t xml:space="preserve">Change to switch scenario</t>
  </si>
  <si>
    <t xml:space="preserve">PRODUCTION</t>
  </si>
  <si>
    <t xml:space="preserve">Y1 Production</t>
  </si>
  <si>
    <t xml:space="preserve">t/yr</t>
  </si>
  <si>
    <t xml:space="preserve">Prod Growth</t>
  </si>
  <si>
    <t xml:space="preserve">p.a.</t>
  </si>
  <si>
    <t xml:space="preserve">SPOT PRICES</t>
  </si>
  <si>
    <t xml:space="preserve">Base Spot Y1</t>
  </si>
  <si>
    <t xml:space="preserve">$/t</t>
  </si>
  <si>
    <t xml:space="preserve">LME copper anchor</t>
  </si>
  <si>
    <t xml:space="preserve">Base Growth</t>
  </si>
  <si>
    <t xml:space="preserve">High Growth</t>
  </si>
  <si>
    <t xml:space="preserve">Bull scenario</t>
  </si>
  <si>
    <t xml:space="preserve">Low Growth</t>
  </si>
  <si>
    <t xml:space="preserve">Bear scenario</t>
  </si>
  <si>
    <t xml:space="preserve">HEDGE PORTFOLIO</t>
  </si>
  <si>
    <t xml:space="preserve">Bought put only — no collar</t>
  </si>
  <si>
    <t xml:space="preserve">Fwd Ratio</t>
  </si>
  <si>
    <t xml:space="preserve">% prod</t>
  </si>
  <si>
    <t xml:space="preserve">Fwd Price</t>
  </si>
  <si>
    <t xml:space="preserve">Put Ratio</t>
  </si>
  <si>
    <t xml:space="preserve">Put Strike</t>
  </si>
  <si>
    <t xml:space="preserve">Floor price</t>
  </si>
  <si>
    <t xml:space="preserve">Put Premium</t>
  </si>
  <si>
    <t xml:space="preserve">Expensed Y1 only</t>
  </si>
  <si>
    <t xml:space="preserve">COSTS</t>
  </si>
  <si>
    <t xml:space="preserve">C1 Per Tonne</t>
  </si>
  <si>
    <t xml:space="preserve">Cash cost</t>
  </si>
  <si>
    <t xml:space="preserve">Cost Inflation</t>
  </si>
  <si>
    <t xml:space="preserve">Admin Y1</t>
  </si>
  <si>
    <t xml:space="preserve">$M</t>
  </si>
  <si>
    <t xml:space="preserve">Fixed overhead</t>
  </si>
  <si>
    <t xml:space="preserve">Admin Growth</t>
  </si>
  <si>
    <t xml:space="preserve">WORKING CAPITAL</t>
  </si>
  <si>
    <t xml:space="preserve">DSO</t>
  </si>
  <si>
    <t xml:space="preserve">days</t>
  </si>
  <si>
    <t xml:space="preserve">DIO</t>
  </si>
  <si>
    <t xml:space="preserve">DPO</t>
  </si>
  <si>
    <t xml:space="preserve">Opening AR</t>
  </si>
  <si>
    <t xml:space="preserve">≈ DSO/365 × Y1 revenue</t>
  </si>
  <si>
    <t xml:space="preserve">Opening Inv</t>
  </si>
  <si>
    <t xml:space="preserve">≈ DIO/365 × Y1 COGS</t>
  </si>
  <si>
    <t xml:space="preserve">Opening AP</t>
  </si>
  <si>
    <t xml:space="preserve">≈ DPO/365 × Y1 COGS</t>
  </si>
  <si>
    <t xml:space="preserve">OPENING BALANCE SHEET</t>
  </si>
  <si>
    <t xml:space="preserve">Opening Cash</t>
  </si>
  <si>
    <t xml:space="preserve">Share Capital</t>
  </si>
  <si>
    <t xml:space="preserve">Opening RE</t>
  </si>
  <si>
    <t xml:space="preserve">Plug: assets−liab−share_cap</t>
  </si>
  <si>
    <t xml:space="preserve">PP&amp;E</t>
  </si>
  <si>
    <t xml:space="preserve">Gross PP&amp;E</t>
  </si>
  <si>
    <t xml:space="preserve">Mine and plant</t>
  </si>
  <si>
    <t xml:space="preserve">Accum Depr</t>
  </si>
  <si>
    <t xml:space="preserve">Existing depreciation</t>
  </si>
  <si>
    <t xml:space="preserve">Existing Life</t>
  </si>
  <si>
    <t xml:space="preserve">yr</t>
  </si>
  <si>
    <t xml:space="preserve">Remaining useful life</t>
  </si>
  <si>
    <t xml:space="preserve">New Asset Life</t>
  </si>
  <si>
    <t xml:space="preserve">Capex Rate</t>
  </si>
  <si>
    <t xml:space="preserve">% rev</t>
  </si>
  <si>
    <t xml:space="preserve">DEBT</t>
  </si>
  <si>
    <t xml:space="preserve">Term Principal</t>
  </si>
  <si>
    <t xml:space="preserve">Senior secured</t>
  </si>
  <si>
    <t xml:space="preserve">Term Rate</t>
  </si>
  <si>
    <t xml:space="preserve">Term Tenor</t>
  </si>
  <si>
    <t xml:space="preserve">Revolver Limit</t>
  </si>
  <si>
    <t xml:space="preserve">Revolver Rate</t>
  </si>
  <si>
    <t xml:space="preserve">Commit Fee</t>
  </si>
  <si>
    <t xml:space="preserve">On undrawn</t>
  </si>
  <si>
    <t xml:space="preserve">Min Cash</t>
  </si>
  <si>
    <t xml:space="preserve">Sweep floor</t>
  </si>
  <si>
    <t xml:space="preserve">Opening Rev</t>
  </si>
  <si>
    <t xml:space="preserve">Revolver opening drawn</t>
  </si>
  <si>
    <t xml:space="preserve">TAX &amp; DISTRIBUTIONS</t>
  </si>
  <si>
    <t xml:space="preserve">Tax Rate</t>
  </si>
  <si>
    <t xml:space="preserve">flat</t>
  </si>
  <si>
    <t xml:space="preserve">Div Payout</t>
  </si>
  <si>
    <t xml:space="preserve">% NI</t>
  </si>
  <si>
    <t xml:space="preserve">PRICE SCENARIOS</t>
  </si>
  <si>
    <t xml:space="preserve">Year 1</t>
  </si>
  <si>
    <t xml:space="preserve">Year 2</t>
  </si>
  <si>
    <t xml:space="preserve">Year 3</t>
  </si>
  <si>
    <t xml:space="preserve">Year 4</t>
  </si>
  <si>
    <t xml:space="preserve">Year 5</t>
  </si>
  <si>
    <t xml:space="preserve">SPOT PRICE PATHS  ($/t)</t>
  </si>
  <si>
    <t xml:space="preserve">Base Spot</t>
  </si>
  <si>
    <t xml:space="preserve">High Spot</t>
  </si>
  <si>
    <t xml:space="preserve">Low Spot</t>
  </si>
  <si>
    <t xml:space="preserve">Active Spot</t>
  </si>
  <si>
    <t xml:space="preserve">HEDGE REFERENCE PRICES  ($/t)</t>
  </si>
  <si>
    <t xml:space="preserve">Forward Price</t>
  </si>
  <si>
    <t xml:space="preserve">VOLUMES  (tonnes)</t>
  </si>
  <si>
    <t xml:space="preserve">Production</t>
  </si>
  <si>
    <t xml:space="preserve">Fwd Volume</t>
  </si>
  <si>
    <t xml:space="preserve">Put Volume</t>
  </si>
  <si>
    <t xml:space="preserve">BASE SCENARIO  ($M)</t>
  </si>
  <si>
    <t xml:space="preserve">Fwd Settlement</t>
  </si>
  <si>
    <t xml:space="preserve">Put Payoff</t>
  </si>
  <si>
    <t xml:space="preserve">Put Premium Cost</t>
  </si>
  <si>
    <t xml:space="preserve">Total Settlement</t>
  </si>
  <si>
    <t xml:space="preserve">HIGH SCENARIO  ($M)</t>
  </si>
  <si>
    <t xml:space="preserve">LOW SCENARIO  ($M)</t>
  </si>
  <si>
    <t xml:space="preserve">ACTIVE SETTLEMENT  ($M)</t>
  </si>
  <si>
    <t xml:space="preserve">Active Settlement</t>
  </si>
  <si>
    <t xml:space="preserve">CAPEX &amp; DEPRECIATION</t>
  </si>
  <si>
    <t xml:space="preserve">Opening</t>
  </si>
  <si>
    <t xml:space="preserve">PP&amp;E ROLL-FORWARD  ($M)</t>
  </si>
  <si>
    <t xml:space="preserve">CAPITAL EXPENDITURE  ($M)</t>
  </si>
  <si>
    <t xml:space="preserve">Capex</t>
  </si>
  <si>
    <t xml:space="preserve">DEPRECIATION  ($M)</t>
  </si>
  <si>
    <t xml:space="preserve">Depr — Existing</t>
  </si>
  <si>
    <t xml:space="preserve">Depr — Y1 Capex</t>
  </si>
  <si>
    <t xml:space="preserve">Depr — Y2 Capex</t>
  </si>
  <si>
    <t xml:space="preserve">Depr — Y3 Capex</t>
  </si>
  <si>
    <t xml:space="preserve">Depr — Y4 Capex</t>
  </si>
  <si>
    <t xml:space="preserve">Total Depreciation</t>
  </si>
  <si>
    <t xml:space="preserve">UNHEDGED P&amp;L</t>
  </si>
  <si>
    <t xml:space="preserve">REVENUE  ($M)</t>
  </si>
  <si>
    <t xml:space="preserve">Production (t)</t>
  </si>
  <si>
    <t xml:space="preserve">Spot ($/t)</t>
  </si>
  <si>
    <t xml:space="preserve">Revenue</t>
  </si>
  <si>
    <t xml:space="preserve">COSTS &amp; P&amp;L  ($M)</t>
  </si>
  <si>
    <t xml:space="preserve">C1 Cost</t>
  </si>
  <si>
    <t xml:space="preserve">Admin</t>
  </si>
  <si>
    <t xml:space="preserve">EBITDA</t>
  </si>
  <si>
    <t xml:space="preserve">Depreciation</t>
  </si>
  <si>
    <t xml:space="preserve">EBIT</t>
  </si>
  <si>
    <t xml:space="preserve">Interest Expense</t>
  </si>
  <si>
    <t xml:space="preserve">Commitment Fee</t>
  </si>
  <si>
    <t xml:space="preserve">EBT</t>
  </si>
  <si>
    <t xml:space="preserve">Tax</t>
  </si>
  <si>
    <t xml:space="preserve">Net Income</t>
  </si>
  <si>
    <t xml:space="preserve">SCENARIO HELPERS — DO NOT DELETE</t>
  </si>
  <si>
    <t xml:space="preserve">UH Rev — Base</t>
  </si>
  <si>
    <t xml:space="preserve">UH Rev — High</t>
  </si>
  <si>
    <t xml:space="preserve">UH Rev — Low</t>
  </si>
  <si>
    <t xml:space="preserve">UH EBITDA — Base</t>
  </si>
  <si>
    <t xml:space="preserve">UH EBITDA — High</t>
  </si>
  <si>
    <t xml:space="preserve">UH EBITDA — Low</t>
  </si>
  <si>
    <t xml:space="preserve">UH NI — Base</t>
  </si>
  <si>
    <t xml:space="preserve">UH NI — High</t>
  </si>
  <si>
    <t xml:space="preserve">UH NI — Low</t>
  </si>
  <si>
    <t xml:space="preserve">HEDGED P&amp;L</t>
  </si>
  <si>
    <t xml:space="preserve">UH Revenue</t>
  </si>
  <si>
    <t xml:space="preserve">Hedge Settlement</t>
  </si>
  <si>
    <t xml:space="preserve">Effective Revenue</t>
  </si>
  <si>
    <t xml:space="preserve">Dividends</t>
  </si>
  <si>
    <t xml:space="preserve">H Rev — Base</t>
  </si>
  <si>
    <t xml:space="preserve">H Rev — High</t>
  </si>
  <si>
    <t xml:space="preserve">H Rev — Low</t>
  </si>
  <si>
    <t xml:space="preserve">H EBITDA — Base</t>
  </si>
  <si>
    <t xml:space="preserve">H EBITDA — High</t>
  </si>
  <si>
    <t xml:space="preserve">H EBITDA — Low</t>
  </si>
  <si>
    <t xml:space="preserve">H NI — Base</t>
  </si>
  <si>
    <t xml:space="preserve">H NI — High</t>
  </si>
  <si>
    <t xml:space="preserve">H NI — Low</t>
  </si>
  <si>
    <t xml:space="preserve">HEDGE EFFECTIVENESS</t>
  </si>
  <si>
    <t xml:space="preserve">5yr Avg</t>
  </si>
  <si>
    <t xml:space="preserve">SECTION A — UNHEDGED METRICS  ($M)</t>
  </si>
  <si>
    <t xml:space="preserve">SECTION A (cont) — HEDGED METRICS  ($M)</t>
  </si>
  <si>
    <t xml:space="preserve">SECTION B — CROSS-SCENARIO STATISTICS</t>
  </si>
  <si>
    <t xml:space="preserve">StdDev UH Rev</t>
  </si>
  <si>
    <t xml:space="preserve">StdDev H Rev</t>
  </si>
  <si>
    <t xml:space="preserve">Var Red — Revenue</t>
  </si>
  <si>
    <t xml:space="preserve">StdDev UH EBITDA</t>
  </si>
  <si>
    <t xml:space="preserve">StdDev H EBITDA</t>
  </si>
  <si>
    <t xml:space="preserve">Var Red — EBITDA</t>
  </si>
  <si>
    <t xml:space="preserve">StdDev UH NI</t>
  </si>
  <si>
    <t xml:space="preserve">StdDev H NI</t>
  </si>
  <si>
    <t xml:space="preserve">Var Red — NI</t>
  </si>
  <si>
    <t xml:space="preserve">SECTION C — 5-YEAR AVERAGES</t>
  </si>
  <si>
    <t xml:space="preserve">Avg VR — Revenue</t>
  </si>
  <si>
    <t xml:space="preserve">Avg VR — EBITDA</t>
  </si>
  <si>
    <t xml:space="preserve">Avg VR — NI</t>
  </si>
  <si>
    <t xml:space="preserve">BALANCES  ($M)</t>
  </si>
  <si>
    <t xml:space="preserve">CHANGES — CASH FLOW IMPACT  ($M)</t>
  </si>
  <si>
    <t xml:space="preserve">Change in AR</t>
  </si>
  <si>
    <t xml:space="preserve">Change in Inv</t>
  </si>
  <si>
    <t xml:space="preserve">Change in AP</t>
  </si>
  <si>
    <t xml:space="preserve">WC Cash Impact</t>
  </si>
  <si>
    <t xml:space="preserve">DEBT SCHEDULE</t>
  </si>
  <si>
    <t xml:space="preserve">TERM LOAN  ($M)</t>
  </si>
  <si>
    <t xml:space="preserve">Opening Balance</t>
  </si>
  <si>
    <t xml:space="preserve">Repayment</t>
  </si>
  <si>
    <t xml:space="preserve">Closing Balance</t>
  </si>
  <si>
    <t xml:space="preserve">REVOLVER  ($M)</t>
  </si>
  <si>
    <t xml:space="preserve">Opening Drawn</t>
  </si>
  <si>
    <t xml:space="preserve">Pre-Rev Cash</t>
  </si>
  <si>
    <t xml:space="preserve">Cash Surplus</t>
  </si>
  <si>
    <t xml:space="preserve">Revolver Draw</t>
  </si>
  <si>
    <t xml:space="preserve">Revolver Repay</t>
  </si>
  <si>
    <t xml:space="preserve">Revolver Interest</t>
  </si>
  <si>
    <t xml:space="preserve">COMBINED  ($M)</t>
  </si>
  <si>
    <t xml:space="preserve">Total Interest</t>
  </si>
  <si>
    <t xml:space="preserve">CASH FLOW</t>
  </si>
  <si>
    <t xml:space="preserve">OPERATING  ($M)</t>
  </si>
  <si>
    <t xml:space="preserve">Add: Depreciation</t>
  </si>
  <si>
    <t xml:space="preserve">Operating Cash Flow</t>
  </si>
  <si>
    <t xml:space="preserve">INVESTING  ($M)</t>
  </si>
  <si>
    <t xml:space="preserve">Free Cash Flow</t>
  </si>
  <si>
    <t xml:space="preserve">FINANCING  ($M)</t>
  </si>
  <si>
    <t xml:space="preserve">Term Repayment</t>
  </si>
  <si>
    <t xml:space="preserve">Revolver Net</t>
  </si>
  <si>
    <t xml:space="preserve">Financing Cash Flow</t>
  </si>
  <si>
    <t xml:space="preserve">Net Cash Change</t>
  </si>
  <si>
    <t xml:space="preserve">Pre-Rev Position</t>
  </si>
  <si>
    <t xml:space="preserve">Closing Cash</t>
  </si>
  <si>
    <t xml:space="preserve">BALANCE SHEET</t>
  </si>
  <si>
    <t xml:space="preserve">ASSETS  ($M)</t>
  </si>
  <si>
    <t xml:space="preserve">LIABILITIES  ($M)</t>
  </si>
  <si>
    <t xml:space="preserve">EQUITY  ($M)</t>
  </si>
  <si>
    <t xml:space="preserve">CHECKS</t>
  </si>
  <si>
    <t xml:space="preserve">Result</t>
  </si>
  <si>
    <t xml:space="preserve">MODEL CHECKS</t>
  </si>
  <si>
    <t xml:space="preserve">BS Balance</t>
  </si>
  <si>
    <t xml:space="preserve">Min Cash ($M)</t>
  </si>
  <si>
    <t xml:space="preserve">Rev ≤ Limit</t>
  </si>
  <si>
    <t xml:space="preserve">Eff Rev Recon</t>
  </si>
  <si>
    <t xml:space="preserve">DSCR</t>
  </si>
  <si>
    <t xml:space="preserve">Depr/Gross PPE</t>
  </si>
  <si>
    <t xml:space="preserve">RE Roll</t>
  </si>
  <si>
    <t xml:space="preserve">SUMMARY</t>
  </si>
  <si>
    <t xml:space="preserve">Total Checks</t>
  </si>
  <si>
    <t xml:space="preserve">Failed/Warned</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</si>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</sst>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0"/>
    <numFmt numFmtId="168" formatCode="0.00"/>
    <numFmt numFmtId="169" formatCode="0.00\x"/>
  </numFmts>
  <fonts count="29">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0"/>
      <color theme="0"/>
      <name val="Arial"/>
      <family val="0"/>
      <charset val="1"/>
    </font>
    <font>
      <sz val="10"/>
      <color rgb="FF000000"/>
      <name val="Arial"/>
      <family val="0"/>
      <charset val="1"/>
    </font>
    <font>
      <b val="true"/>
      <sz val="10"/>
      <color rgb="FF000000"/>
      <name val="Arial"/>
      <family val="0"/>
      <charset val="1"/>
    </font>
    <font>
      <b val="true"/>
      <sz val="10"/>
      <color theme="3"/>
      <name val="Arial"/>
      <family val="0"/>
      <charset val="1"/>
    </font>
    <font>
      <i val="true"/>
      <sz val="10"/>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4"/>
      <color theme="0"/>
      <name val="Arial"/>
      <family val="0"/>
      <charset val="1"/>
    </font>
    <font>
      <b val="true"/>
      <sz val="10"/>
      <color theme="0"/>
      <name val="Arial"/>
      <family val="0"/>
      <charset val="1"/>
    </font>
    <font>
      <sz val="10"/>
      <color rgb="FF003087"/>
      <name val="Arial"/>
      <family val="0"/>
      <charset val="1"/>
    </font>
    <font>
      <b val="true"/>
      <sz val="12"/>
      <color theme="0"/>
      <name val="Arial"/>
      <family val="0"/>
      <charset val="1"/>
    </font>
    <font>
      <sz val="11"/>
      <color theme="0"/>
      <name val="Arial"/>
      <family val="0"/>
      <charset val="1"/>
    </font>
    <font>
      <i val="true"/>
      <sz val="9"/>
      <color rgb="FF666666"/>
      <name val="Arial"/>
      <family val="0"/>
      <charset val="1"/>
    </font>
    <font>
      <b val="true"/>
      <sz val="10"/>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5" fontId="19" fillId="4" borderId="0" xfId="0" applyFont="true" applyBorder="false" applyAlignment="true" applyProtection="false">
      <alignment horizontal="right" vertical="center" textRotation="0" wrapText="false" indent="0" shrinkToFit="false"/>
      <protection locked="true" hidden="false"/>
    </xf>
    <xf numFmtId="166" fontId="19" fillId="4"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7" fontId="19" fillId="4" borderId="0" xfId="0" applyFont="true" applyBorder="false" applyAlignment="true" applyProtection="false">
      <alignment horizontal="right" vertical="center" textRotation="0" wrapText="false" indent="0" shrinkToFit="false"/>
      <protection locked="true" hidden="false"/>
    </xf>
    <xf numFmtId="164" fontId="20" fillId="2" borderId="0" xfId="0" applyFont="true" applyBorder="false" applyAlignment="false" applyProtection="false">
      <alignment horizontal="general" vertical="bottom" textRotation="0" wrapText="fals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true" applyProtection="false">
      <alignment horizontal="right" vertical="center" textRotation="0" wrapText="false" indent="0" shrinkToFit="false"/>
      <protection locked="true" hidden="false"/>
    </xf>
    <xf numFmtId="165" fontId="9" fillId="0" borderId="1"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67" fontId="9" fillId="0" borderId="1" xfId="0" applyFont="true" applyBorder="true" applyAlignment="true" applyProtection="false">
      <alignment horizontal="right" vertical="center" textRotation="0" wrapText="false" indent="0" shrinkToFit="false"/>
      <protection locked="true" hidden="false"/>
    </xf>
    <xf numFmtId="167" fontId="9" fillId="0" borderId="2" xfId="0" applyFont="true" applyBorder="true" applyAlignment="true" applyProtection="false">
      <alignment horizontal="right" vertical="center" textRotation="0" wrapText="false" indent="0" shrinkToFit="false"/>
      <protection locked="true" hidden="false"/>
    </xf>
    <xf numFmtId="164" fontId="22" fillId="4" borderId="0" xfId="0" applyFont="true" applyBorder="false" applyAlignment="true" applyProtection="false">
      <alignment horizontal="left" vertical="center" textRotation="0" wrapText="false" indent="0" shrinkToFit="false"/>
      <protection locked="true" hidden="false"/>
    </xf>
    <xf numFmtId="167" fontId="22" fillId="4" borderId="0" xfId="0" applyFont="true" applyBorder="false" applyAlignment="true" applyProtection="false">
      <alignment horizontal="right" vertical="center" textRotation="0" wrapText="false" indent="0" shrinkToFit="false"/>
      <protection locked="true" hidden="false"/>
    </xf>
    <xf numFmtId="166" fontId="9" fillId="0" borderId="1" xfId="0" applyFont="true" applyBorder="tru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23" fillId="0" borderId="1" xfId="0" applyFont="true" applyBorder="true" applyAlignment="true" applyProtection="false">
      <alignment horizontal="right" vertical="center" textRotation="0" wrapText="false" indent="0" shrinkToFit="false"/>
      <protection locked="true" hidden="false"/>
    </xf>
    <xf numFmtId="168" fontId="8"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5" fillId="5"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8" fillId="6" borderId="0" xfId="0" applyFont="true" applyBorder="false" applyAlignment="true" applyProtection="false">
      <alignment horizontal="left" vertical="top" textRotation="0" wrapText="tru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F4E79"/>
      <rgbColor rgb="FFC0C0C0"/>
      <rgbColor rgb="FF808080"/>
      <rgbColor rgb="FF9999FF"/>
      <rgbColor rgb="FF7030A0"/>
      <rgbColor rgb="FFFFF2CC"/>
      <rgbColor rgb="FFF2F2F2"/>
      <rgbColor rgb="FF660066"/>
      <rgbColor rgb="FFFF8080"/>
      <rgbColor rgb="FF2E75B6"/>
      <rgbColor rgb="FFD6E4F0"/>
      <rgbColor rgb="FF000080"/>
      <rgbColor rgb="FFFF00FF"/>
      <rgbColor rgb="FFFFFF00"/>
      <rgbColor rgb="FF00FFFF"/>
      <rgbColor rgb="FF800080"/>
      <rgbColor rgb="FF800000"/>
      <rgbColor rgb="FF1F497D"/>
      <rgbColor rgb="FF0000FF"/>
      <rgbColor rgb="FF00CCFF"/>
      <rgbColor rgb="FFCCFFFF"/>
      <rgbColor rgb="FFCCFFCC"/>
      <rgbColor rgb="FFFFFF99"/>
      <rgbColor rgb="FF99CCFF"/>
      <rgbColor rgb="FFFF99CC"/>
      <rgbColor rgb="FFCC99FF"/>
      <rgbColor rgb="FFFFCC99"/>
      <rgbColor rgb="FF4472C4"/>
      <rgbColor rgb="FF33CCCC"/>
      <rgbColor rgb="FF99CC00"/>
      <rgbColor rgb="FFFFC000"/>
      <rgbColor rgb="FFFF9900"/>
      <rgbColor rgb="FFED7D31"/>
      <rgbColor rgb="FF666666"/>
      <rgbColor rgb="FF70AD47"/>
      <rgbColor rgb="FF003087"/>
      <rgbColor rgb="FF00B050"/>
      <rgbColor rgb="FF003300"/>
      <rgbColor rgb="FF404040"/>
      <rgbColor rgb="FF993300"/>
      <rgbColor rgb="FF595959"/>
      <rgbColor rgb="FF1F3864"/>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A1:AD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3" min="3" style="0" width="40"/>
    <col collapsed="false" customWidth="true" hidden="false" outlineLevel="0" max="7" min="4"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5" t="s">
        <v>3</v>
      </c>
      <c r="C4" s="6" t="str">
        <f aca="false">CHOOSE(Scenario_Toggle,"Base","High","Low")</f>
        <v>Base</v>
      </c>
    </row>
    <row r="6" customFormat="false" ht="15" hidden="false" customHeight="false" outlineLevel="0" collapsed="false">
      <c r="B6" s="7" t="s">
        <v>4</v>
      </c>
      <c r="C6" s="7" t="s">
        <v>5</v>
      </c>
    </row>
    <row r="7" customFormat="false" ht="15" hidden="false" customHeight="false" outlineLevel="0" collapsed="false">
      <c r="B7" s="5" t="s">
        <v>6</v>
      </c>
      <c r="C7" s="8" t="s">
        <v>7</v>
      </c>
    </row>
    <row r="8" customFormat="false" ht="15" hidden="false" customHeight="false" outlineLevel="0" collapsed="false">
      <c r="B8" s="5" t="s">
        <v>8</v>
      </c>
      <c r="C8" s="8" t="s">
        <v>9</v>
      </c>
    </row>
    <row r="9" customFormat="false" ht="15" hidden="false" customHeight="false" outlineLevel="0" collapsed="false">
      <c r="B9" s="5" t="s">
        <v>10</v>
      </c>
      <c r="C9" s="8" t="s">
        <v>11</v>
      </c>
    </row>
    <row r="10" customFormat="false" ht="15" hidden="false" customHeight="false" outlineLevel="0" collapsed="false">
      <c r="B10" s="5" t="s">
        <v>12</v>
      </c>
      <c r="C10" s="8" t="s">
        <v>13</v>
      </c>
    </row>
    <row r="11" customFormat="false" ht="15" hidden="false" customHeight="false" outlineLevel="0" collapsed="false">
      <c r="B11" s="5" t="s">
        <v>14</v>
      </c>
      <c r="C11" s="8" t="s">
        <v>15</v>
      </c>
    </row>
    <row r="12" customFormat="false" ht="15" hidden="false" customHeight="false" outlineLevel="0" collapsed="false">
      <c r="B12" s="5" t="s">
        <v>16</v>
      </c>
      <c r="C12" s="8" t="s">
        <v>17</v>
      </c>
    </row>
    <row r="13" customFormat="false" ht="15" hidden="false" customHeight="false" outlineLevel="0" collapsed="false">
      <c r="B13" s="5" t="s">
        <v>18</v>
      </c>
      <c r="C13" s="8" t="s">
        <v>19</v>
      </c>
    </row>
    <row r="14" customFormat="false" ht="15" hidden="false" customHeight="false" outlineLevel="0" collapsed="false">
      <c r="B14" s="5" t="s">
        <v>20</v>
      </c>
      <c r="C14" s="8" t="s">
        <v>21</v>
      </c>
    </row>
    <row r="15" customFormat="false" ht="15" hidden="false" customHeight="false" outlineLevel="0" collapsed="false">
      <c r="B15" s="5" t="s">
        <v>22</v>
      </c>
      <c r="C15" s="8" t="s">
        <v>23</v>
      </c>
    </row>
    <row r="16" customFormat="false" ht="15" hidden="false" customHeight="false" outlineLevel="0" collapsed="false">
      <c r="B16" s="5" t="s">
        <v>24</v>
      </c>
      <c r="C16" s="8" t="s">
        <v>25</v>
      </c>
    </row>
    <row r="17" customFormat="false" ht="15" hidden="false" customHeight="false" outlineLevel="0" collapsed="false">
      <c r="B17" s="5" t="s">
        <v>26</v>
      </c>
      <c r="C17" s="8" t="s">
        <v>27</v>
      </c>
    </row>
    <row r="18" customFormat="false" ht="15" hidden="false" customHeight="false" outlineLevel="0" collapsed="false">
      <c r="B18" s="5" t="s">
        <v>28</v>
      </c>
      <c r="C18" s="8" t="s">
        <v>29</v>
      </c>
    </row>
    <row r="21" customFormat="false" ht="19.5" hidden="false" customHeight="true" outlineLevel="0" collapsed="false">
      <c r="B21" s="9" t="s">
        <v>30</v>
      </c>
      <c r="C21" s="10"/>
      <c r="D21" s="10"/>
      <c r="E21" s="10"/>
      <c r="F21" s="10"/>
      <c r="G21" s="10"/>
    </row>
    <row r="22" customFormat="false" ht="220.5" hidden="false" customHeight="true" outlineLevel="0" collapsed="false">
      <c r="B22" s="11" t="s">
        <v>31</v>
      </c>
      <c r="C22" s="11"/>
      <c r="D22" s="11"/>
      <c r="E22" s="11"/>
      <c r="F22" s="11"/>
      <c r="G22" s="11"/>
    </row>
    <row r="24" customFormat="false" ht="19.5" hidden="false" customHeight="true" outlineLevel="0" collapsed="false">
      <c r="B24" s="9" t="s">
        <v>32</v>
      </c>
      <c r="C24" s="10"/>
      <c r="D24" s="10"/>
      <c r="E24" s="10"/>
      <c r="F24" s="10"/>
      <c r="G24" s="10"/>
    </row>
    <row r="25" customFormat="false" ht="57" hidden="false" customHeight="true" outlineLevel="0" collapsed="false">
      <c r="B25" s="11" t="s">
        <v>33</v>
      </c>
      <c r="C25" s="11"/>
      <c r="D25" s="11"/>
      <c r="E25" s="11"/>
      <c r="F25" s="11"/>
      <c r="G25" s="11"/>
    </row>
    <row r="26" customFormat="false" ht="15" hidden="false" customHeight="false" outlineLevel="0" collapsed="false">
      <c r="B26" s="12" t="s">
        <v>34</v>
      </c>
      <c r="C26" s="12"/>
      <c r="D26" s="12"/>
      <c r="E26" s="12"/>
      <c r="F26" s="12"/>
      <c r="G26" s="12"/>
    </row>
    <row r="27" customFormat="false" ht="15" hidden="false" customHeight="false" outlineLevel="0" collapsed="false">
      <c r="B27" s="13" t="s">
        <v>35</v>
      </c>
    </row>
  </sheetData>
  <mergeCells count="3">
    <mergeCell ref="B22:G22"/>
    <mergeCell ref="B25:G25"/>
    <mergeCell ref="B26:G2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224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6" t="s">
        <v>225</v>
      </c>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26"/>
    </row>
    <row r="5" customFormat="false" ht="15" hidden="false" customHeight="false" outlineLevel="0" collapsed="false">
      <c r="B5" s="5" t="s">
        <v>226</v>
      </c>
      <c r="C5" s="27" t="n">
        <f aca="false">Term_Principal</f>
        <v>500</v>
      </c>
      <c r="D5" s="27" t="n">
        <f aca="false">C7</f>
        <v>428.571428571429</v>
      </c>
      <c r="E5" s="27" t="n">
        <f aca="false">D7</f>
        <v>357.142857142857</v>
      </c>
      <c r="F5" s="27" t="n">
        <f aca="false">E7</f>
        <v>285.714285714286</v>
      </c>
      <c r="G5" s="27" t="n">
        <f aca="false">F7</f>
        <v>214.285714285714</v>
      </c>
    </row>
    <row r="6" customFormat="false" ht="15" hidden="false" customHeight="false" outlineLevel="0" collapsed="false">
      <c r="B6" s="5" t="s">
        <v>227</v>
      </c>
      <c r="C6" s="27" t="n">
        <f aca="false">-Term_Principal/Term_Tenor</f>
        <v>-71.4285714285714</v>
      </c>
      <c r="D6" s="27" t="n">
        <f aca="false">-Term_Principal/Term_Tenor</f>
        <v>-71.4285714285714</v>
      </c>
      <c r="E6" s="27" t="n">
        <f aca="false">-Term_Principal/Term_Tenor</f>
        <v>-71.4285714285714</v>
      </c>
      <c r="F6" s="27" t="n">
        <f aca="false">-Term_Principal/Term_Tenor</f>
        <v>-71.4285714285714</v>
      </c>
      <c r="G6" s="27" t="n">
        <f aca="false">-Term_Principal/Term_Tenor</f>
        <v>-71.4285714285714</v>
      </c>
    </row>
    <row r="7" customFormat="false" ht="15" hidden="false" customHeight="false" outlineLevel="0" collapsed="false">
      <c r="B7" s="6" t="s">
        <v>228</v>
      </c>
      <c r="C7" s="28" t="n">
        <f aca="false">C5+C6</f>
        <v>428.571428571429</v>
      </c>
      <c r="D7" s="28" t="n">
        <f aca="false">D5+D6</f>
        <v>357.142857142857</v>
      </c>
      <c r="E7" s="28" t="n">
        <f aca="false">E5+E6</f>
        <v>285.714285714286</v>
      </c>
      <c r="F7" s="28" t="n">
        <f aca="false">F5+F6</f>
        <v>214.285714285714</v>
      </c>
      <c r="G7" s="28" t="n">
        <f aca="false">G5+G6</f>
        <v>142.857142857143</v>
      </c>
    </row>
    <row r="8" customFormat="false" ht="15" hidden="false" customHeight="false" outlineLevel="0" collapsed="false">
      <c r="B8" s="5" t="s">
        <v>171</v>
      </c>
      <c r="C8" s="27" t="n">
        <f aca="false">C5*Term_Rate</f>
        <v>32.5</v>
      </c>
      <c r="D8" s="27" t="n">
        <f aca="false">D5*Term_Rate</f>
        <v>27.8571428571429</v>
      </c>
      <c r="E8" s="27" t="n">
        <f aca="false">E5*Term_Rate</f>
        <v>23.2142857142857</v>
      </c>
      <c r="F8" s="27" t="n">
        <f aca="false">F5*Term_Rate</f>
        <v>18.5714285714286</v>
      </c>
      <c r="G8" s="27" t="n">
        <f aca="false">G5*Term_Rate</f>
        <v>13.9285714285714</v>
      </c>
    </row>
    <row r="9" customFormat="false" ht="15" hidden="false" customHeight="false" outlineLevel="0" collapsed="false">
      <c r="B9" s="16" t="s">
        <v>229</v>
      </c>
      <c r="C9" s="17"/>
      <c r="D9" s="17"/>
      <c r="E9" s="17"/>
      <c r="F9" s="17"/>
      <c r="G9" s="17"/>
    </row>
    <row r="10" customFormat="false" ht="15" hidden="false" customHeight="false" outlineLevel="0" collapsed="false">
      <c r="B10" s="26"/>
    </row>
    <row r="11" customFormat="false" ht="15" hidden="false" customHeight="false" outlineLevel="0" collapsed="false">
      <c r="B11" s="5" t="s">
        <v>230</v>
      </c>
      <c r="C11" s="27" t="n">
        <f aca="false">Open_Rev_Drawn</f>
        <v>0</v>
      </c>
      <c r="D11" s="27" t="n">
        <f aca="false">C16</f>
        <v>0</v>
      </c>
      <c r="E11" s="27" t="n">
        <f aca="false">D16</f>
        <v>0</v>
      </c>
      <c r="F11" s="27" t="n">
        <f aca="false">E16</f>
        <v>0</v>
      </c>
      <c r="G11" s="27" t="n">
        <f aca="false">F16</f>
        <v>0</v>
      </c>
    </row>
    <row r="12" customFormat="false" ht="15" hidden="false" customHeight="false" outlineLevel="0" collapsed="false">
      <c r="B12" s="5" t="s">
        <v>231</v>
      </c>
      <c r="C12" s="27" t="n">
        <f aca="false">Cash_Flow!C22</f>
        <v>378.355104370515</v>
      </c>
      <c r="D12" s="27" t="n">
        <f aca="false">Cash_Flow!D22</f>
        <v>648.285843770385</v>
      </c>
      <c r="E12" s="27" t="n">
        <f aca="false">Cash_Flow!E22</f>
        <v>926.194936066389</v>
      </c>
      <c r="F12" s="27" t="n">
        <f aca="false">Cash_Flow!F22</f>
        <v>1209.36682006372</v>
      </c>
      <c r="G12" s="27" t="n">
        <f aca="false">Cash_Flow!G22</f>
        <v>1496.38911572503</v>
      </c>
    </row>
    <row r="13" customFormat="false" ht="15" hidden="false" customHeight="false" outlineLevel="0" collapsed="false">
      <c r="B13" s="5" t="s">
        <v>232</v>
      </c>
      <c r="C13" s="27" t="n">
        <f aca="false">C12-Min_Cash</f>
        <v>328.355104370515</v>
      </c>
      <c r="D13" s="27" t="n">
        <f aca="false">D12-Min_Cash</f>
        <v>598.285843770385</v>
      </c>
      <c r="E13" s="27" t="n">
        <f aca="false">E12-Min_Cash</f>
        <v>876.194936066389</v>
      </c>
      <c r="F13" s="27" t="n">
        <f aca="false">F12-Min_Cash</f>
        <v>1159.36682006372</v>
      </c>
      <c r="G13" s="27" t="n">
        <f aca="false">G12-Min_Cash</f>
        <v>1446.38911572503</v>
      </c>
    </row>
    <row r="14" customFormat="false" ht="15" hidden="false" customHeight="false" outlineLevel="0" collapsed="false">
      <c r="B14" s="5" t="s">
        <v>233</v>
      </c>
      <c r="C14" s="27" t="n">
        <f aca="false">IF(C13&lt;0,MIN(-C13,Rev_Limit-C11),0)</f>
        <v>0</v>
      </c>
      <c r="D14" s="27" t="n">
        <f aca="false">IF(D13&lt;0,MIN(-D13,Rev_Limit-D11),0)</f>
        <v>0</v>
      </c>
      <c r="E14" s="27" t="n">
        <f aca="false">IF(E13&lt;0,MIN(-E13,Rev_Limit-E11),0)</f>
        <v>0</v>
      </c>
      <c r="F14" s="27" t="n">
        <f aca="false">IF(F13&lt;0,MIN(-F13,Rev_Limit-F11),0)</f>
        <v>0</v>
      </c>
      <c r="G14" s="27" t="n">
        <f aca="false">IF(G13&lt;0,MIN(-G13,Rev_Limit-G11),0)</f>
        <v>0</v>
      </c>
    </row>
    <row r="15" customFormat="false" ht="15" hidden="false" customHeight="false" outlineLevel="0" collapsed="false">
      <c r="B15" s="5" t="s">
        <v>234</v>
      </c>
      <c r="C15" s="27" t="n">
        <f aca="false">IF(C13&gt;0,-MIN(C13,C11),0)</f>
        <v>-0</v>
      </c>
      <c r="D15" s="27" t="n">
        <f aca="false">IF(D13&gt;0,-MIN(D13,D11),0)</f>
        <v>-0</v>
      </c>
      <c r="E15" s="27" t="n">
        <f aca="false">IF(E13&gt;0,-MIN(E13,E11),0)</f>
        <v>-0</v>
      </c>
      <c r="F15" s="27" t="n">
        <f aca="false">IF(F13&gt;0,-MIN(F13,F11),0)</f>
        <v>-0</v>
      </c>
      <c r="G15" s="27" t="n">
        <f aca="false">IF(G13&gt;0,-MIN(G13,G11),0)</f>
        <v>-0</v>
      </c>
    </row>
    <row r="16" customFormat="false" ht="15" hidden="false" customHeight="false" outlineLevel="0" collapsed="false">
      <c r="B16" s="6" t="s">
        <v>228</v>
      </c>
      <c r="C16" s="28" t="n">
        <f aca="false">C11+C14+C15</f>
        <v>0</v>
      </c>
      <c r="D16" s="28" t="n">
        <f aca="false">D11+D14+D15</f>
        <v>0</v>
      </c>
      <c r="E16" s="28" t="n">
        <f aca="false">E11+E14+E15</f>
        <v>0</v>
      </c>
      <c r="F16" s="28" t="n">
        <f aca="false">F11+F14+F15</f>
        <v>0</v>
      </c>
      <c r="G16" s="28" t="n">
        <f aca="false">G11+G14+G15</f>
        <v>0</v>
      </c>
    </row>
    <row r="17" customFormat="false" ht="15" hidden="false" customHeight="false" outlineLevel="0" collapsed="false">
      <c r="B17" s="5" t="s">
        <v>235</v>
      </c>
      <c r="C17" s="27" t="n">
        <f aca="false">C11*Rev_Rate</f>
        <v>0</v>
      </c>
      <c r="D17" s="27" t="n">
        <f aca="false">D11*Rev_Rate</f>
        <v>0</v>
      </c>
      <c r="E17" s="27" t="n">
        <f aca="false">E11*Rev_Rate</f>
        <v>0</v>
      </c>
      <c r="F17" s="27" t="n">
        <f aca="false">F11*Rev_Rate</f>
        <v>0</v>
      </c>
      <c r="G17" s="27" t="n">
        <f aca="false">G11*Rev_Rate</f>
        <v>0</v>
      </c>
    </row>
    <row r="18" customFormat="false" ht="15" hidden="false" customHeight="false" outlineLevel="0" collapsed="false">
      <c r="B18" s="5" t="s">
        <v>172</v>
      </c>
      <c r="C18" s="27" t="n">
        <f aca="false">(Rev_Limit-C11)*Commit_Fee</f>
        <v>1</v>
      </c>
      <c r="D18" s="27" t="n">
        <f aca="false">(Rev_Limit-D11)*Commit_Fee</f>
        <v>1</v>
      </c>
      <c r="E18" s="27" t="n">
        <f aca="false">(Rev_Limit-E11)*Commit_Fee</f>
        <v>1</v>
      </c>
      <c r="F18" s="27" t="n">
        <f aca="false">(Rev_Limit-F11)*Commit_Fee</f>
        <v>1</v>
      </c>
      <c r="G18" s="27" t="n">
        <f aca="false">(Rev_Limit-G11)*Commit_Fee</f>
        <v>1</v>
      </c>
    </row>
    <row r="19" customFormat="false" ht="15" hidden="false" customHeight="false" outlineLevel="0" collapsed="false">
      <c r="B19" s="16" t="s">
        <v>236</v>
      </c>
      <c r="C19" s="17"/>
      <c r="D19" s="17"/>
      <c r="E19" s="17"/>
      <c r="F19" s="17"/>
      <c r="G19" s="17"/>
    </row>
    <row r="20" customFormat="false" ht="15" hidden="false" customHeight="false" outlineLevel="0" collapsed="false">
      <c r="B20" s="26"/>
    </row>
    <row r="21" customFormat="false" ht="15" hidden="false" customHeight="false" outlineLevel="0" collapsed="false">
      <c r="B21" s="6" t="s">
        <v>237</v>
      </c>
      <c r="C21" s="29" t="n">
        <f aca="false">C8+C17</f>
        <v>32.5</v>
      </c>
      <c r="D21" s="29" t="n">
        <f aca="false">D8+D17</f>
        <v>27.8571428571429</v>
      </c>
      <c r="E21" s="29" t="n">
        <f aca="false">E8+E17</f>
        <v>23.2142857142857</v>
      </c>
      <c r="F21" s="29" t="n">
        <f aca="false">F8+F17</f>
        <v>18.5714285714286</v>
      </c>
      <c r="G21" s="29" t="n">
        <f aca="false">G8+G17</f>
        <v>13.9285714285714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238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3"/>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239</v>
      </c>
      <c r="C4" s="17"/>
      <c r="D4" s="17"/>
      <c r="E4" s="17"/>
      <c r="F4" s="17"/>
      <c r="G4" s="17"/>
    </row>
    <row r="5" customFormat="false" ht="15" hidden="false" customHeight="false" outlineLevel="0" collapsed="false">
      <c r="B5" s="5" t="s">
        <v>175</v>
      </c>
      <c r="C5" s="27" t="n">
        <f aca="false">Hedged_PL!C20</f>
        <v>981.125</v>
      </c>
      <c r="D5" s="27" t="n">
        <f aca="false">Hedged_PL!D20</f>
        <v>972.359642857143</v>
      </c>
      <c r="E5" s="27" t="n">
        <f aca="false">Hedged_PL!E20</f>
        <v>949.068726339286</v>
      </c>
      <c r="F5" s="27" t="n">
        <f aca="false">Hedged_PL!F20</f>
        <v>922.331203484616</v>
      </c>
      <c r="G5" s="27" t="n">
        <f aca="false">Hedged_PL!G20</f>
        <v>891.867385044229</v>
      </c>
    </row>
    <row r="6" customFormat="false" ht="15" hidden="false" customHeight="false" outlineLevel="0" collapsed="false">
      <c r="B6" s="5" t="s">
        <v>240</v>
      </c>
      <c r="C6" s="27" t="n">
        <f aca="false">Capex_Depr!C18</f>
        <v>93.3333333333333</v>
      </c>
      <c r="D6" s="27" t="n">
        <f aca="false">Capex_Depr!D18</f>
        <v>127.213333333333</v>
      </c>
      <c r="E6" s="27" t="n">
        <f aca="false">Capex_Depr!E18</f>
        <v>162.583533333333</v>
      </c>
      <c r="F6" s="27" t="n">
        <f aca="false">Capex_Depr!F18</f>
        <v>199.382759453333</v>
      </c>
      <c r="G6" s="27" t="n">
        <f aca="false">Capex_Depr!G18</f>
        <v>237.672499235005</v>
      </c>
    </row>
    <row r="7" customFormat="false" ht="15" hidden="false" customHeight="false" outlineLevel="0" collapsed="false">
      <c r="B7" s="5" t="s">
        <v>223</v>
      </c>
      <c r="C7" s="27" t="n">
        <f aca="false">Working_Capital!C14</f>
        <v>6.57534246575347</v>
      </c>
      <c r="D7" s="27" t="n">
        <f aca="false">Working_Capital!D14</f>
        <v>-15.5678082191781</v>
      </c>
      <c r="E7" s="27" t="n">
        <f aca="false">Working_Capital!E14</f>
        <v>-14.6948442123288</v>
      </c>
      <c r="F7" s="27" t="n">
        <f aca="false">Working_Capital!F14</f>
        <v>-15.2836283014828</v>
      </c>
      <c r="G7" s="27" t="n">
        <f aca="false">Working_Capital!G14</f>
        <v>-15.8967869794157</v>
      </c>
    </row>
    <row r="8" customFormat="false" ht="15" hidden="false" customHeight="false" outlineLevel="0" collapsed="false">
      <c r="B8" s="6" t="s">
        <v>241</v>
      </c>
      <c r="C8" s="29" t="n">
        <f aca="false">C5+C6+C7</f>
        <v>1081.03367579909</v>
      </c>
      <c r="D8" s="29" t="n">
        <f aca="false">D5+D6+D7</f>
        <v>1084.0051679713</v>
      </c>
      <c r="E8" s="29" t="n">
        <f aca="false">E5+E6+E7</f>
        <v>1096.95741546029</v>
      </c>
      <c r="F8" s="29" t="n">
        <f aca="false">F5+F6+F7</f>
        <v>1106.43033463647</v>
      </c>
      <c r="G8" s="29" t="n">
        <f aca="false">G5+G6+G7</f>
        <v>1113.64309729982</v>
      </c>
    </row>
    <row r="9" customFormat="false" ht="15" hidden="false" customHeight="false" outlineLevel="0" collapsed="false">
      <c r="B9" s="16" t="s">
        <v>242</v>
      </c>
      <c r="C9" s="17"/>
      <c r="D9" s="17"/>
      <c r="E9" s="17"/>
      <c r="F9" s="17"/>
      <c r="G9" s="17"/>
    </row>
    <row r="10" customFormat="false" ht="15" hidden="false" customHeight="false" outlineLevel="0" collapsed="false">
      <c r="B10" s="26"/>
    </row>
    <row r="11" customFormat="false" ht="15" hidden="false" customHeight="false" outlineLevel="0" collapsed="false">
      <c r="B11" s="5" t="s">
        <v>152</v>
      </c>
      <c r="C11" s="27" t="n">
        <f aca="false">-Capex_Depr!C10</f>
        <v>-338.8</v>
      </c>
      <c r="D11" s="27" t="n">
        <f aca="false">-Capex_Depr!D10</f>
        <v>-353.702</v>
      </c>
      <c r="E11" s="27" t="n">
        <f aca="false">-Capex_Depr!E10</f>
        <v>-367.9922612</v>
      </c>
      <c r="F11" s="27" t="n">
        <f aca="false">-Capex_Depr!F10</f>
        <v>-382.89739781672</v>
      </c>
      <c r="G11" s="27" t="n">
        <f aca="false">-Capex_Depr!G10</f>
        <v>-398.445276192246</v>
      </c>
    </row>
    <row r="12" customFormat="false" ht="15" hidden="false" customHeight="false" outlineLevel="0" collapsed="false">
      <c r="B12" s="6" t="s">
        <v>243</v>
      </c>
      <c r="C12" s="28" t="n">
        <f aca="false">C8+C11</f>
        <v>742.233675799087</v>
      </c>
      <c r="D12" s="28" t="n">
        <f aca="false">D8+D11</f>
        <v>730.303167971298</v>
      </c>
      <c r="E12" s="28" t="n">
        <f aca="false">E8+E11</f>
        <v>728.96515426029</v>
      </c>
      <c r="F12" s="28" t="n">
        <f aca="false">F8+F11</f>
        <v>723.532936819746</v>
      </c>
      <c r="G12" s="28" t="n">
        <f aca="false">G8+G11</f>
        <v>715.197821107572</v>
      </c>
    </row>
    <row r="14" customFormat="false" ht="15" hidden="false" customHeight="false" outlineLevel="0" collapsed="false">
      <c r="B14" s="16" t="s">
        <v>244</v>
      </c>
      <c r="C14" s="17"/>
      <c r="D14" s="17"/>
      <c r="E14" s="17"/>
      <c r="F14" s="17"/>
      <c r="G14" s="17"/>
    </row>
    <row r="15" customFormat="false" ht="15" hidden="false" customHeight="false" outlineLevel="0" collapsed="false">
      <c r="B15" s="26"/>
    </row>
    <row r="16" customFormat="false" ht="15" hidden="false" customHeight="false" outlineLevel="0" collapsed="false">
      <c r="B16" s="5" t="s">
        <v>245</v>
      </c>
      <c r="C16" s="27" t="n">
        <f aca="false">Debt_Schedule!C6</f>
        <v>-71.4285714285714</v>
      </c>
      <c r="D16" s="27" t="n">
        <f aca="false">Debt_Schedule!D6</f>
        <v>-71.4285714285714</v>
      </c>
      <c r="E16" s="27" t="n">
        <f aca="false">Debt_Schedule!E6</f>
        <v>-71.4285714285714</v>
      </c>
      <c r="F16" s="27" t="n">
        <f aca="false">Debt_Schedule!F6</f>
        <v>-71.4285714285714</v>
      </c>
      <c r="G16" s="27" t="n">
        <f aca="false">Debt_Schedule!G6</f>
        <v>-71.4285714285714</v>
      </c>
    </row>
    <row r="17" customFormat="false" ht="15" hidden="false" customHeight="false" outlineLevel="0" collapsed="false">
      <c r="B17" s="5" t="s">
        <v>246</v>
      </c>
      <c r="C17" s="27" t="n">
        <f aca="false">Debt_Schedule!C14+Debt_Schedule!C15</f>
        <v>0</v>
      </c>
      <c r="D17" s="27" t="n">
        <f aca="false">Debt_Schedule!D14+Debt_Schedule!D15</f>
        <v>0</v>
      </c>
      <c r="E17" s="27" t="n">
        <f aca="false">Debt_Schedule!E14+Debt_Schedule!E15</f>
        <v>0</v>
      </c>
      <c r="F17" s="27" t="n">
        <f aca="false">Debt_Schedule!F14+Debt_Schedule!F15</f>
        <v>0</v>
      </c>
      <c r="G17" s="27" t="n">
        <f aca="false">Debt_Schedule!G14+Debt_Schedule!G15</f>
        <v>0</v>
      </c>
    </row>
    <row r="18" customFormat="false" ht="15" hidden="false" customHeight="false" outlineLevel="0" collapsed="false">
      <c r="B18" s="5" t="s">
        <v>190</v>
      </c>
      <c r="C18" s="27" t="n">
        <f aca="false">Hedged_PL!C21</f>
        <v>-392.45</v>
      </c>
      <c r="D18" s="27" t="n">
        <f aca="false">Hedged_PL!D21</f>
        <v>-388.943857142857</v>
      </c>
      <c r="E18" s="27" t="n">
        <f aca="false">Hedged_PL!E21</f>
        <v>-379.627490535714</v>
      </c>
      <c r="F18" s="27" t="n">
        <f aca="false">Hedged_PL!F21</f>
        <v>-368.932481393846</v>
      </c>
      <c r="G18" s="27" t="n">
        <f aca="false">Hedged_PL!G21</f>
        <v>-356.746954017691</v>
      </c>
    </row>
    <row r="19" customFormat="false" ht="15" hidden="false" customHeight="false" outlineLevel="0" collapsed="false">
      <c r="B19" s="6" t="s">
        <v>247</v>
      </c>
      <c r="C19" s="29" t="n">
        <f aca="false">C16+C17+C18</f>
        <v>-463.878571428572</v>
      </c>
      <c r="D19" s="29" t="n">
        <f aca="false">D16+D17+D18</f>
        <v>-460.372428571429</v>
      </c>
      <c r="E19" s="29" t="n">
        <f aca="false">E16+E17+E18</f>
        <v>-451.056061964286</v>
      </c>
      <c r="F19" s="29" t="n">
        <f aca="false">F16+F17+F18</f>
        <v>-440.361052822418</v>
      </c>
      <c r="G19" s="29" t="n">
        <f aca="false">G16+G17+G18</f>
        <v>-428.175525446263</v>
      </c>
    </row>
    <row r="20" customFormat="false" ht="15" hidden="false" customHeight="false" outlineLevel="0" collapsed="false">
      <c r="B20" s="26"/>
    </row>
    <row r="21" customFormat="false" ht="15" hidden="false" customHeight="false" outlineLevel="0" collapsed="false">
      <c r="B21" s="6" t="s">
        <v>248</v>
      </c>
      <c r="C21" s="29" t="n">
        <f aca="false">C8+C11+C19</f>
        <v>278.355104370515</v>
      </c>
      <c r="D21" s="29" t="n">
        <f aca="false">D8+D11+D19</f>
        <v>269.93073939987</v>
      </c>
      <c r="E21" s="29" t="n">
        <f aca="false">E8+E11+E19</f>
        <v>277.909092296004</v>
      </c>
      <c r="F21" s="29" t="n">
        <f aca="false">F8+F11+F19</f>
        <v>283.171883997328</v>
      </c>
      <c r="G21" s="29" t="n">
        <f aca="false">G8+G11+G19</f>
        <v>287.022295661309</v>
      </c>
    </row>
    <row r="22" customFormat="false" ht="15" hidden="false" customHeight="false" outlineLevel="0" collapsed="false">
      <c r="B22" s="8" t="s">
        <v>249</v>
      </c>
      <c r="C22" s="34" t="n">
        <f aca="false">Open_Cash+C8+C11+C16+C18</f>
        <v>378.355104370515</v>
      </c>
      <c r="D22" s="34" t="n">
        <f aca="false">C23+D8+D11+D16+D18</f>
        <v>648.285843770385</v>
      </c>
      <c r="E22" s="34" t="n">
        <f aca="false">D23+E8+E11+E16+E18</f>
        <v>926.194936066389</v>
      </c>
      <c r="F22" s="34" t="n">
        <f aca="false">E23+F8+F11+F16+F18</f>
        <v>1209.36682006372</v>
      </c>
      <c r="G22" s="34" t="n">
        <f aca="false">F23+G8+G11+G16+G18</f>
        <v>1496.38911572503</v>
      </c>
    </row>
    <row r="23" customFormat="false" ht="15" hidden="false" customHeight="false" outlineLevel="0" collapsed="false">
      <c r="B23" s="6" t="s">
        <v>250</v>
      </c>
      <c r="C23" s="29" t="n">
        <f aca="false">C22+Debt_Schedule!C14+Debt_Schedule!C15</f>
        <v>378.355104370515</v>
      </c>
      <c r="D23" s="29" t="n">
        <f aca="false">D22+Debt_Schedule!D14+Debt_Schedule!D15</f>
        <v>648.285843770385</v>
      </c>
      <c r="E23" s="29" t="n">
        <f aca="false">E22+Debt_Schedule!E14+Debt_Schedule!E15</f>
        <v>926.194936066389</v>
      </c>
      <c r="F23" s="29" t="n">
        <f aca="false">F22+Debt_Schedule!F14+Debt_Schedule!F15</f>
        <v>1209.36682006372</v>
      </c>
      <c r="G23" s="29" t="n">
        <f aca="false">G22+Debt_Schedule!G14+Debt_Schedule!G15</f>
        <v>1496.38911572503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7" min="2"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251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149</v>
      </c>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252</v>
      </c>
      <c r="C4" s="17"/>
      <c r="D4" s="17"/>
      <c r="E4" s="17"/>
      <c r="F4" s="17"/>
      <c r="G4" s="17"/>
    </row>
    <row r="5" customFormat="false" ht="15" hidden="false" customHeight="false" outlineLevel="0" collapsed="false">
      <c r="B5" s="27" t="n">
        <f aca="false">Open_Cash</f>
        <v>100</v>
      </c>
      <c r="C5" s="27" t="n">
        <f aca="false">Cash_Flow!C23</f>
        <v>378.355104370515</v>
      </c>
      <c r="D5" s="27" t="n">
        <f aca="false">Cash_Flow!D23</f>
        <v>648.285843770385</v>
      </c>
      <c r="E5" s="27" t="n">
        <f aca="false">Cash_Flow!E23</f>
        <v>926.194936066389</v>
      </c>
      <c r="F5" s="27" t="n">
        <f aca="false">Cash_Flow!F23</f>
        <v>1209.36682006372</v>
      </c>
      <c r="G5" s="27" t="n">
        <f aca="false">Cash_Flow!G23</f>
        <v>1496.38911572503</v>
      </c>
    </row>
    <row r="6" customFormat="false" ht="15" hidden="false" customHeight="false" outlineLevel="0" collapsed="false">
      <c r="B6" s="27" t="n">
        <f aca="false">Open_AR</f>
        <v>400</v>
      </c>
      <c r="C6" s="27" t="n">
        <f aca="false">Working_Capital!C5</f>
        <v>406.095890410959</v>
      </c>
      <c r="D6" s="27" t="n">
        <f aca="false">Working_Capital!D5</f>
        <v>423.957876712329</v>
      </c>
      <c r="E6" s="27" t="n">
        <f aca="false">Working_Capital!E5</f>
        <v>441.086614452055</v>
      </c>
      <c r="F6" s="27" t="n">
        <f aca="false">Working_Capital!F5</f>
        <v>458.952360396753</v>
      </c>
      <c r="G6" s="27" t="n">
        <f aca="false">Working_Capital!G5</f>
        <v>477.588515983857</v>
      </c>
    </row>
    <row r="7" customFormat="false" ht="15" hidden="false" customHeight="false" outlineLevel="0" collapsed="false">
      <c r="B7" s="27" t="n">
        <f aca="false">Open_Inv</f>
        <v>225</v>
      </c>
      <c r="C7" s="27" t="n">
        <f aca="false">Working_Capital!C6</f>
        <v>226.027397260274</v>
      </c>
      <c r="D7" s="27" t="n">
        <f aca="false">Working_Capital!D6</f>
        <v>239.792465753425</v>
      </c>
      <c r="E7" s="27" t="n">
        <f aca="false">Working_Capital!E6</f>
        <v>254.395826917808</v>
      </c>
      <c r="F7" s="27" t="n">
        <f aca="false">Working_Capital!F6</f>
        <v>269.888532777103</v>
      </c>
      <c r="G7" s="27" t="n">
        <f aca="false">Working_Capital!G6</f>
        <v>286.324744423228</v>
      </c>
    </row>
    <row r="8" customFormat="false" ht="15" hidden="false" customHeight="false" outlineLevel="0" collapsed="false">
      <c r="B8" s="27" t="n">
        <f aca="false">Gross_PPE_Open</f>
        <v>2000</v>
      </c>
      <c r="C8" s="27" t="n">
        <f aca="false">Capex_Depr!C5</f>
        <v>2338.8</v>
      </c>
      <c r="D8" s="27" t="n">
        <f aca="false">Capex_Depr!D5</f>
        <v>2692.502</v>
      </c>
      <c r="E8" s="27" t="n">
        <f aca="false">Capex_Depr!E5</f>
        <v>3060.4942612</v>
      </c>
      <c r="F8" s="27" t="n">
        <f aca="false">Capex_Depr!F5</f>
        <v>3443.39165901672</v>
      </c>
      <c r="G8" s="27" t="n">
        <f aca="false">Capex_Depr!G5</f>
        <v>3841.83693520897</v>
      </c>
    </row>
    <row r="9" customFormat="false" ht="15" hidden="false" customHeight="false" outlineLevel="0" collapsed="false">
      <c r="B9" s="27" t="n">
        <f aca="false">-Accum_Depr_Open</f>
        <v>-600</v>
      </c>
      <c r="C9" s="27" t="n">
        <f aca="false">-Capex_Depr!C6</f>
        <v>-693.333333333333</v>
      </c>
      <c r="D9" s="27" t="n">
        <f aca="false">-Capex_Depr!D6</f>
        <v>-820.546666666667</v>
      </c>
      <c r="E9" s="27" t="n">
        <f aca="false">-Capex_Depr!E6</f>
        <v>-983.1302</v>
      </c>
      <c r="F9" s="27" t="n">
        <f aca="false">-Capex_Depr!F6</f>
        <v>-1182.51295945333</v>
      </c>
      <c r="G9" s="27" t="n">
        <f aca="false">-Capex_Depr!G6</f>
        <v>-1420.18545868834</v>
      </c>
    </row>
    <row r="10" customFormat="false" ht="15" hidden="false" customHeight="false" outlineLevel="0" collapsed="false">
      <c r="B10" s="27" t="n">
        <f aca="false">Gross_PPE_Open-Accum_Depr_Open</f>
        <v>1400</v>
      </c>
      <c r="C10" s="27" t="n">
        <f aca="false">C8+C9</f>
        <v>1645.46666666667</v>
      </c>
      <c r="D10" s="27" t="n">
        <f aca="false">D8+D9</f>
        <v>1871.95533333333</v>
      </c>
      <c r="E10" s="27" t="n">
        <f aca="false">E8+E9</f>
        <v>2077.3640612</v>
      </c>
      <c r="F10" s="27" t="n">
        <f aca="false">F8+F9</f>
        <v>2260.87869956339</v>
      </c>
      <c r="G10" s="27" t="n">
        <f aca="false">G8+G9</f>
        <v>2421.65147652063</v>
      </c>
    </row>
    <row r="11" customFormat="false" ht="15" hidden="false" customHeight="false" outlineLevel="0" collapsed="false">
      <c r="B11" s="27" t="n">
        <f aca="false">B5+B6+B7+B10</f>
        <v>2125</v>
      </c>
      <c r="C11" s="29" t="n">
        <f aca="false">C5+C6+C7+C10</f>
        <v>2655.94505870841</v>
      </c>
      <c r="D11" s="29" t="n">
        <f aca="false">D5+D6+D7+D10</f>
        <v>3183.99151956947</v>
      </c>
      <c r="E11" s="29" t="n">
        <f aca="false">E5+E6+E7+E10</f>
        <v>3699.04143863625</v>
      </c>
      <c r="F11" s="29" t="n">
        <f aca="false">F5+F6+F7+F10</f>
        <v>4199.08641280096</v>
      </c>
      <c r="G11" s="29" t="n">
        <f aca="false">G5+G6+G7+G10</f>
        <v>4681.95385265274</v>
      </c>
    </row>
    <row r="12" customFormat="false" ht="15" hidden="false" customHeight="false" outlineLevel="0" collapsed="false">
      <c r="B12" s="16" t="s">
        <v>253</v>
      </c>
      <c r="C12" s="17"/>
      <c r="D12" s="17"/>
      <c r="E12" s="17"/>
      <c r="F12" s="17"/>
      <c r="G12" s="17"/>
    </row>
    <row r="13" customFormat="false" ht="15" hidden="false" customHeight="false" outlineLevel="0" collapsed="false">
      <c r="B13" s="26"/>
    </row>
    <row r="14" customFormat="false" ht="15" hidden="false" customHeight="false" outlineLevel="0" collapsed="false">
      <c r="B14" s="27" t="n">
        <f aca="false">Open_AP</f>
        <v>250</v>
      </c>
      <c r="C14" s="27" t="n">
        <f aca="false">Working_Capital!C7</f>
        <v>263.698630136986</v>
      </c>
      <c r="D14" s="27" t="n">
        <f aca="false">Working_Capital!D7</f>
        <v>279.757876712329</v>
      </c>
      <c r="E14" s="27" t="n">
        <f aca="false">Working_Capital!E7</f>
        <v>296.79513140411</v>
      </c>
      <c r="F14" s="27" t="n">
        <f aca="false">Working_Capital!F7</f>
        <v>314.86995490662</v>
      </c>
      <c r="G14" s="27" t="n">
        <f aca="false">Working_Capital!G7</f>
        <v>334.045535160433</v>
      </c>
    </row>
    <row r="15" customFormat="false" ht="15" hidden="false" customHeight="false" outlineLevel="0" collapsed="false">
      <c r="B15" s="27" t="n">
        <f aca="false">Term_Principal</f>
        <v>500</v>
      </c>
      <c r="C15" s="27" t="n">
        <f aca="false">Debt_Schedule!C7</f>
        <v>428.571428571429</v>
      </c>
      <c r="D15" s="27" t="n">
        <f aca="false">Debt_Schedule!D7</f>
        <v>357.142857142857</v>
      </c>
      <c r="E15" s="27" t="n">
        <f aca="false">Debt_Schedule!E7</f>
        <v>285.714285714286</v>
      </c>
      <c r="F15" s="27" t="n">
        <f aca="false">Debt_Schedule!F7</f>
        <v>214.285714285714</v>
      </c>
      <c r="G15" s="27" t="n">
        <f aca="false">Debt_Schedule!G7</f>
        <v>142.857142857143</v>
      </c>
    </row>
    <row r="16" customFormat="false" ht="15" hidden="false" customHeight="false" outlineLevel="0" collapsed="false">
      <c r="B16" s="27" t="n">
        <f aca="false">Open_Rev_Drawn</f>
        <v>0</v>
      </c>
      <c r="C16" s="27" t="n">
        <f aca="false">Debt_Schedule!C16</f>
        <v>0</v>
      </c>
      <c r="D16" s="27" t="n">
        <f aca="false">Debt_Schedule!D16</f>
        <v>0</v>
      </c>
      <c r="E16" s="27" t="n">
        <f aca="false">Debt_Schedule!E16</f>
        <v>0</v>
      </c>
      <c r="F16" s="27" t="n">
        <f aca="false">Debt_Schedule!F16</f>
        <v>0</v>
      </c>
      <c r="G16" s="27" t="n">
        <f aca="false">Debt_Schedule!G16</f>
        <v>0</v>
      </c>
    </row>
    <row r="17" customFormat="false" ht="15" hidden="false" customHeight="false" outlineLevel="0" collapsed="false">
      <c r="B17" s="27" t="n">
        <f aca="false">B14+B15+B16</f>
        <v>750</v>
      </c>
      <c r="C17" s="29" t="n">
        <f aca="false">C14+C15+C16</f>
        <v>692.270058708415</v>
      </c>
      <c r="D17" s="29" t="n">
        <f aca="false">D14+D15+D16</f>
        <v>636.900733855186</v>
      </c>
      <c r="E17" s="29" t="n">
        <f aca="false">E14+E15+E16</f>
        <v>582.509417118395</v>
      </c>
      <c r="F17" s="29" t="n">
        <f aca="false">F14+F15+F16</f>
        <v>529.155669192334</v>
      </c>
      <c r="G17" s="29" t="n">
        <f aca="false">G14+G15+G16</f>
        <v>476.902678017576</v>
      </c>
    </row>
    <row r="18" customFormat="false" ht="15" hidden="false" customHeight="false" outlineLevel="0" collapsed="false">
      <c r="B18" s="16" t="s">
        <v>254</v>
      </c>
      <c r="C18" s="17"/>
      <c r="D18" s="17"/>
      <c r="E18" s="17"/>
      <c r="F18" s="17"/>
      <c r="G18" s="17"/>
    </row>
    <row r="19" customFormat="false" ht="15" hidden="false" customHeight="false" outlineLevel="0" collapsed="false">
      <c r="B19" s="26"/>
    </row>
    <row r="20" customFormat="false" ht="15" hidden="false" customHeight="false" outlineLevel="0" collapsed="false">
      <c r="B20" s="27" t="n">
        <f aca="false">Share_Capital</f>
        <v>800</v>
      </c>
      <c r="C20" s="27" t="n">
        <f aca="false">Share_Capital</f>
        <v>800</v>
      </c>
      <c r="D20" s="27" t="n">
        <f aca="false">Share_Capital</f>
        <v>800</v>
      </c>
      <c r="E20" s="27" t="n">
        <f aca="false">Share_Capital</f>
        <v>800</v>
      </c>
      <c r="F20" s="27" t="n">
        <f aca="false">Share_Capital</f>
        <v>800</v>
      </c>
      <c r="G20" s="27" t="n">
        <f aca="false">Share_Capital</f>
        <v>800</v>
      </c>
    </row>
    <row r="21" customFormat="false" ht="15" hidden="false" customHeight="false" outlineLevel="0" collapsed="false">
      <c r="B21" s="27" t="n">
        <f aca="false">Open_RE</f>
        <v>575</v>
      </c>
      <c r="C21" s="27" t="n">
        <f aca="false">B21+Hedged_PL!C20+Hedged_PL!C21</f>
        <v>1163.675</v>
      </c>
      <c r="D21" s="27" t="n">
        <f aca="false">C21+Hedged_PL!D20+Hedged_PL!D21</f>
        <v>1747.09078571429</v>
      </c>
      <c r="E21" s="27" t="n">
        <f aca="false">D21+Hedged_PL!E20+Hedged_PL!E21</f>
        <v>2316.53202151786</v>
      </c>
      <c r="F21" s="27" t="n">
        <f aca="false">E21+Hedged_PL!F20+Hedged_PL!F21</f>
        <v>2869.93074360863</v>
      </c>
      <c r="G21" s="27" t="n">
        <f aca="false">F21+Hedged_PL!G20+Hedged_PL!G21</f>
        <v>3405.05117463516</v>
      </c>
    </row>
    <row r="22" customFormat="false" ht="15" hidden="false" customHeight="false" outlineLevel="0" collapsed="false">
      <c r="B22" s="27" t="n">
        <f aca="false">B20+B21</f>
        <v>1375</v>
      </c>
      <c r="C22" s="28" t="n">
        <f aca="false">C20+C21</f>
        <v>1963.675</v>
      </c>
      <c r="D22" s="28" t="n">
        <f aca="false">D20+D21</f>
        <v>2547.09078571429</v>
      </c>
      <c r="E22" s="28" t="n">
        <f aca="false">E20+E21</f>
        <v>3116.53202151786</v>
      </c>
      <c r="F22" s="28" t="n">
        <f aca="false">F20+F21</f>
        <v>3669.93074360863</v>
      </c>
      <c r="G22" s="28" t="n">
        <f aca="false">G20+G21</f>
        <v>4205.05117463516</v>
      </c>
    </row>
    <row r="23" customFormat="false" ht="15" hidden="false" customHeight="false" outlineLevel="0" collapsed="false">
      <c r="B23" s="27" t="n">
        <f aca="false">B17+B22</f>
        <v>2125</v>
      </c>
      <c r="C23" s="28" t="n">
        <f aca="false">C17+C22</f>
        <v>2655.94505870841</v>
      </c>
      <c r="D23" s="28" t="n">
        <f aca="false">D17+D22</f>
        <v>3183.99151956947</v>
      </c>
      <c r="E23" s="28" t="n">
        <f aca="false">E17+E22</f>
        <v>3699.04143863625</v>
      </c>
      <c r="F23" s="28" t="n">
        <f aca="false">F17+F22</f>
        <v>4199.08641280096</v>
      </c>
      <c r="G23" s="28" t="n">
        <f aca="false">G17+G22</f>
        <v>4681.95385265274</v>
      </c>
    </row>
    <row r="24" customFormat="false" ht="15" hidden="false" customHeight="false" outlineLevel="0" collapsed="false">
      <c r="B24" s="27" t="n">
        <f aca="false">B11-B23</f>
        <v>0</v>
      </c>
      <c r="C24" s="35" t="n">
        <f aca="false">C11-C23</f>
        <v>0</v>
      </c>
      <c r="D24" s="35" t="n">
        <f aca="false">D11-D23</f>
        <v>0</v>
      </c>
      <c r="E24" s="35" t="n">
        <f aca="false">E11-E23</f>
        <v>0</v>
      </c>
      <c r="F24" s="35" t="n">
        <f aca="false">F11-F23</f>
        <v>0</v>
      </c>
      <c r="G24" s="35" t="n">
        <f aca="false">G11-G23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7" min="3" style="0" width="13"/>
    <col collapsed="false" customWidth="true" hidden="false" outlineLevel="0" max="8" min="8" style="0" width="9"/>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255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3"/>
      <c r="C3" s="15" t="s">
        <v>123</v>
      </c>
      <c r="D3" s="15" t="s">
        <v>124</v>
      </c>
      <c r="E3" s="15" t="s">
        <v>125</v>
      </c>
      <c r="F3" s="15" t="s">
        <v>126</v>
      </c>
      <c r="G3" s="15" t="s">
        <v>127</v>
      </c>
      <c r="H3" s="15" t="s">
        <v>256</v>
      </c>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257</v>
      </c>
      <c r="C4" s="17"/>
      <c r="D4" s="17"/>
      <c r="E4" s="17"/>
      <c r="F4" s="17"/>
      <c r="G4" s="17"/>
    </row>
    <row r="5" customFormat="false" ht="15" hidden="false" customHeight="false" outlineLevel="0" collapsed="false">
      <c r="B5" s="5" t="s">
        <v>258</v>
      </c>
      <c r="C5" s="36" t="n">
        <f aca="false">Balance_Sheet!C24</f>
        <v>0</v>
      </c>
      <c r="D5" s="36" t="n">
        <f aca="false">Balance_Sheet!D24</f>
        <v>0</v>
      </c>
      <c r="E5" s="36" t="n">
        <f aca="false">Balance_Sheet!E24</f>
        <v>0</v>
      </c>
      <c r="F5" s="36" t="n">
        <f aca="false">Balance_Sheet!F24</f>
        <v>0</v>
      </c>
      <c r="G5" s="36" t="n">
        <f aca="false">Balance_Sheet!G24</f>
        <v>0</v>
      </c>
      <c r="H5" s="37" t="str">
        <f aca="false">IF(MAX(ABS(C5),ABS(D5),ABS(E5),ABS(F5),ABS(G5))&lt;0.01,"PASS","FAIL")</f>
        <v>PASS</v>
      </c>
    </row>
    <row r="6" customFormat="false" ht="15" hidden="false" customHeight="false" outlineLevel="0" collapsed="false">
      <c r="B6" s="5" t="s">
        <v>259</v>
      </c>
      <c r="C6" s="27" t="n">
        <f aca="false">Balance_Sheet!C5</f>
        <v>378.355104370515</v>
      </c>
      <c r="D6" s="27" t="n">
        <f aca="false">Balance_Sheet!D5</f>
        <v>648.285843770385</v>
      </c>
      <c r="E6" s="27" t="n">
        <f aca="false">Balance_Sheet!E5</f>
        <v>926.194936066389</v>
      </c>
      <c r="F6" s="27" t="n">
        <f aca="false">Balance_Sheet!F5</f>
        <v>1209.36682006372</v>
      </c>
      <c r="G6" s="27" t="n">
        <f aca="false">Balance_Sheet!G5</f>
        <v>1496.38911572503</v>
      </c>
      <c r="H6" s="37" t="str">
        <f aca="false">IF(MIN(C6:G6)&gt;=0,"PASS","FAIL")</f>
        <v>PASS</v>
      </c>
    </row>
    <row r="7" customFormat="false" ht="15" hidden="false" customHeight="false" outlineLevel="0" collapsed="false">
      <c r="B7" s="5" t="s">
        <v>260</v>
      </c>
      <c r="C7" s="27" t="n">
        <f aca="false">Debt_Schedule!C16</f>
        <v>0</v>
      </c>
      <c r="D7" s="27" t="n">
        <f aca="false">Debt_Schedule!D16</f>
        <v>0</v>
      </c>
      <c r="E7" s="27" t="n">
        <f aca="false">Debt_Schedule!E16</f>
        <v>0</v>
      </c>
      <c r="F7" s="27" t="n">
        <f aca="false">Debt_Schedule!F16</f>
        <v>0</v>
      </c>
      <c r="G7" s="27" t="n">
        <f aca="false">Debt_Schedule!G16</f>
        <v>0</v>
      </c>
      <c r="H7" s="37" t="str">
        <f aca="false">IF(MAX(C7:G7)&lt;=Rev_Limit,"PASS","FAIL")</f>
        <v>PASS</v>
      </c>
    </row>
    <row r="8" customFormat="false" ht="15" hidden="false" customHeight="false" outlineLevel="0" collapsed="false">
      <c r="B8" s="5" t="s">
        <v>61</v>
      </c>
      <c r="C8" s="38" t="n">
        <f aca="false">Hedge_Portfolio!C6/Hedge_Portfolio!C5</f>
        <v>0.5</v>
      </c>
      <c r="D8" s="38" t="n">
        <f aca="false">Hedge_Portfolio!D6/Hedge_Portfolio!D5</f>
        <v>0.5</v>
      </c>
      <c r="E8" s="38" t="n">
        <f aca="false">Hedge_Portfolio!E6/Hedge_Portfolio!E5</f>
        <v>0.5</v>
      </c>
      <c r="F8" s="38" t="n">
        <f aca="false">Hedge_Portfolio!F6/Hedge_Portfolio!F5</f>
        <v>0.5</v>
      </c>
      <c r="G8" s="38" t="n">
        <f aca="false">Hedge_Portfolio!G6/Hedge_Portfolio!G5</f>
        <v>0.5</v>
      </c>
      <c r="H8" s="37" t="str">
        <f aca="false">IF(MAX(ABS(C8-Fwd_Ratio),ABS(D8-Fwd_Ratio),ABS(E8-Fwd_Ratio),ABS(F8-Fwd_Ratio),ABS(G8-Fwd_Ratio))&lt;0.0001,"PASS","FAIL")</f>
        <v>PASS</v>
      </c>
    </row>
    <row r="9" customFormat="false" ht="15" hidden="false" customHeight="false" outlineLevel="0" collapsed="false">
      <c r="B9" s="5" t="s">
        <v>64</v>
      </c>
      <c r="C9" s="38" t="n">
        <f aca="false">Hedge_Portfolio!C7/Hedge_Portfolio!C5</f>
        <v>0.2</v>
      </c>
      <c r="D9" s="38" t="n">
        <f aca="false">Hedge_Portfolio!D7/Hedge_Portfolio!D5</f>
        <v>0.2</v>
      </c>
      <c r="E9" s="38" t="n">
        <f aca="false">Hedge_Portfolio!E7/Hedge_Portfolio!E5</f>
        <v>0.2</v>
      </c>
      <c r="F9" s="38" t="n">
        <f aca="false">Hedge_Portfolio!F7/Hedge_Portfolio!F5</f>
        <v>0.2</v>
      </c>
      <c r="G9" s="38" t="n">
        <f aca="false">Hedge_Portfolio!G7/Hedge_Portfolio!G5</f>
        <v>0.2</v>
      </c>
      <c r="H9" s="37" t="str">
        <f aca="false">IF(MAX(ABS(C9-Put_Ratio),ABS(D9-Put_Ratio),ABS(E9-Put_Ratio),ABS(F9-Put_Ratio),ABS(G9-Put_Ratio))&lt;0.0001,"PASS","FAIL")</f>
        <v>PASS</v>
      </c>
    </row>
    <row r="10" customFormat="false" ht="15" hidden="false" customHeight="false" outlineLevel="0" collapsed="false">
      <c r="B10" s="5" t="s">
        <v>261</v>
      </c>
      <c r="C10" s="36" t="n">
        <f aca="false">Hedged_PL!C8-Hedged_PL!C6-Hedge_Portfolio!C32</f>
        <v>0</v>
      </c>
      <c r="D10" s="36" t="n">
        <f aca="false">Hedged_PL!D8-Hedged_PL!D6-Hedge_Portfolio!D32</f>
        <v>3.62376795237651E-013</v>
      </c>
      <c r="E10" s="36" t="n">
        <f aca="false">Hedged_PL!E8-Hedged_PL!E6-Hedge_Portfolio!E32</f>
        <v>0</v>
      </c>
      <c r="F10" s="36" t="n">
        <f aca="false">Hedged_PL!F8-Hedged_PL!F6-Hedge_Portfolio!F32</f>
        <v>0</v>
      </c>
      <c r="G10" s="36" t="n">
        <f aca="false">Hedged_PL!G8-Hedged_PL!G6-Hedge_Portfolio!G32</f>
        <v>0</v>
      </c>
      <c r="H10" s="37" t="e">
        <f aca="false">IF(MAX(ABS(C10:G10))&lt;0.01,"PASS","FAIL")</f>
        <v>#VALUE!</v>
      </c>
    </row>
    <row r="11" customFormat="false" ht="15" hidden="false" customHeight="false" outlineLevel="0" collapsed="false">
      <c r="B11" s="5" t="s">
        <v>262</v>
      </c>
      <c r="C11" s="39" t="n">
        <f aca="false">IFERROR(Hedged_PL!C13/(Debt_Schedule!C21+ABS(Debt_Schedule!C6)),0)</f>
        <v>13.807560137457</v>
      </c>
      <c r="D11" s="39" t="n">
        <f aca="false">IFERROR(Hedged_PL!D13/(Debt_Schedule!D21+ABS(Debt_Schedule!D6)),0)</f>
        <v>14.63</v>
      </c>
      <c r="E11" s="39" t="n">
        <f aca="false">IFERROR(Hedged_PL!E13/(Debt_Schedule!E21+ABS(Debt_Schedule!E6)),0)</f>
        <v>15.3442407735849</v>
      </c>
      <c r="F11" s="39" t="n">
        <f aca="false">IFERROR(Hedged_PL!F13/(Debt_Schedule!F21+ABS(Debt_Schedule!F6)),0)</f>
        <v>16.0969902889361</v>
      </c>
      <c r="G11" s="39" t="n">
        <f aca="false">IFERROR(Hedged_PL!G13/(Debt_Schedule!G21+ABS(Debt_Schedule!G6)),0)</f>
        <v>16.8908838299434</v>
      </c>
      <c r="H11" s="37" t="str">
        <f aca="false">IF(MIN(C11:G11)&gt;=1.2,"PASS","WARN")</f>
        <v>PASS</v>
      </c>
    </row>
    <row r="12" customFormat="false" ht="15" hidden="false" customHeight="false" outlineLevel="0" collapsed="false">
      <c r="B12" s="5" t="s">
        <v>263</v>
      </c>
      <c r="C12" s="38" t="n">
        <f aca="false">Capex_Depr!C6/Capex_Depr!C5</f>
        <v>0.296448321076335</v>
      </c>
      <c r="D12" s="38" t="n">
        <f aca="false">Capex_Depr!D6/Capex_Depr!D5</f>
        <v>0.304752481768506</v>
      </c>
      <c r="E12" s="38" t="n">
        <f aca="false">Capex_Depr!E6/Capex_Depr!E5</f>
        <v>0.321232492562989</v>
      </c>
      <c r="F12" s="38" t="n">
        <f aca="false">Capex_Depr!F6/Capex_Depr!F5</f>
        <v>0.343415177985012</v>
      </c>
      <c r="G12" s="38" t="n">
        <f aca="false">Capex_Depr!G6/Capex_Depr!G5</f>
        <v>0.369663127987782</v>
      </c>
      <c r="H12" s="37" t="str">
        <f aca="false">IF(MAX(C12:G12)&lt;=1,"PASS","FAIL")</f>
        <v>PASS</v>
      </c>
    </row>
    <row r="13" customFormat="false" ht="15" hidden="false" customHeight="false" outlineLevel="0" collapsed="false">
      <c r="B13" s="5" t="s">
        <v>264</v>
      </c>
      <c r="C13" s="36" t="n">
        <f aca="false">Balance_Sheet!C21-Balance_Sheet!B21-Hedged_PL!C20-Hedged_PL!C21</f>
        <v>0</v>
      </c>
      <c r="D13" s="36" t="n">
        <f aca="false">Balance_Sheet!D21-Balance_Sheet!C21-Hedged_PL!D20-Hedged_PL!D21</f>
        <v>0</v>
      </c>
      <c r="E13" s="36" t="n">
        <f aca="false">Balance_Sheet!E21-Balance_Sheet!D21-Hedged_PL!E20-Hedged_PL!E21</f>
        <v>0</v>
      </c>
      <c r="F13" s="36" t="n">
        <f aca="false">Balance_Sheet!F21-Balance_Sheet!E21-Hedged_PL!F20-Hedged_PL!F21</f>
        <v>0</v>
      </c>
      <c r="G13" s="36" t="n">
        <f aca="false">Balance_Sheet!G21-Balance_Sheet!F21-Hedged_PL!G20-Hedged_PL!G21</f>
        <v>0</v>
      </c>
      <c r="H13" s="37" t="e">
        <f aca="false">IF(MAX(ABS(C13:G13))&lt;0.01,"PASS","FAIL")</f>
        <v>#VALUE!</v>
      </c>
    </row>
    <row r="14" customFormat="false" ht="15" hidden="false" customHeight="false" outlineLevel="0" collapsed="false">
      <c r="B14" s="26"/>
    </row>
    <row r="15" customFormat="false" ht="15" hidden="false" customHeight="false" outlineLevel="0" collapsed="false">
      <c r="B15" s="16" t="s">
        <v>265</v>
      </c>
      <c r="C15" s="17"/>
      <c r="D15" s="17"/>
      <c r="E15" s="17"/>
      <c r="F15" s="17"/>
      <c r="G15" s="17"/>
    </row>
    <row r="16" customFormat="false" ht="15" hidden="false" customHeight="false" outlineLevel="0" collapsed="false">
      <c r="B16" s="5" t="s">
        <v>266</v>
      </c>
      <c r="H16" s="37" t="n">
        <f aca="false">COUNTA(H5:H13)</f>
        <v>9</v>
      </c>
    </row>
    <row r="17" customFormat="false" ht="15" hidden="false" customHeight="false" outlineLevel="0" collapsed="false">
      <c r="B17" s="5" t="s">
        <v>267</v>
      </c>
      <c r="H17" s="37" t="n">
        <f aca="false">COUNTIF(H5:H13,"FAIL")+COUNTIF(H5:H13,"WARN")</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0" t="s">
        <v>268</v>
      </c>
    </row>
    <row r="3" customFormat="false" ht="3.75" hidden="false" customHeight="true" outlineLevel="0" collapsed="false">
      <c r="B3" s="41"/>
    </row>
    <row r="5" customFormat="false" ht="19.5" hidden="false" customHeight="true" outlineLevel="0" collapsed="false">
      <c r="B5" s="42" t="s">
        <v>269</v>
      </c>
    </row>
    <row r="6" customFormat="false" ht="48" hidden="false" customHeight="true" outlineLevel="0" collapsed="false">
      <c r="B6" s="43" t="s">
        <v>270</v>
      </c>
    </row>
    <row r="8" customFormat="false" ht="19.5" hidden="false" customHeight="true" outlineLevel="0" collapsed="false">
      <c r="B8" s="42" t="s">
        <v>271</v>
      </c>
    </row>
    <row r="9" customFormat="false" ht="61.5" hidden="false" customHeight="true" outlineLevel="0" collapsed="false">
      <c r="B9" s="43" t="s">
        <v>272</v>
      </c>
    </row>
    <row r="11" customFormat="false" ht="19.5" hidden="false" customHeight="true" outlineLevel="0" collapsed="false">
      <c r="B11" s="42" t="s">
        <v>273</v>
      </c>
    </row>
    <row r="12" customFormat="false" ht="75.75" hidden="false" customHeight="true" outlineLevel="0" collapsed="false">
      <c r="B12" s="43" t="s">
        <v>274</v>
      </c>
    </row>
    <row r="14" customFormat="false" ht="19.5" hidden="false" customHeight="true" outlineLevel="0" collapsed="false">
      <c r="B14" s="42" t="s">
        <v>275</v>
      </c>
    </row>
    <row r="15" customFormat="false" ht="61.5" hidden="false" customHeight="true" outlineLevel="0" collapsed="false">
      <c r="B15" s="43" t="s">
        <v>276</v>
      </c>
    </row>
    <row r="17" customFormat="false" ht="19.5" hidden="false" customHeight="true" outlineLevel="0" collapsed="false">
      <c r="B17" s="42" t="s">
        <v>277</v>
      </c>
    </row>
    <row r="18" customFormat="false" ht="33.75" hidden="false" customHeight="true" outlineLevel="0" collapsed="false">
      <c r="B18" s="43" t="s">
        <v>278</v>
      </c>
    </row>
    <row r="20" customFormat="false" ht="19.5" hidden="false" customHeight="true" outlineLevel="0" collapsed="false">
      <c r="B20" s="42" t="s">
        <v>279</v>
      </c>
    </row>
    <row r="21" customFormat="false" ht="33.75" hidden="false" customHeight="true" outlineLevel="0" collapsed="false">
      <c r="B21" s="43" t="s">
        <v>280</v>
      </c>
    </row>
    <row r="23" customFormat="false" ht="21.75" hidden="false" customHeight="true" outlineLevel="0" collapsed="false">
      <c r="B23" s="44" t="s">
        <v>281</v>
      </c>
    </row>
    <row r="25" customFormat="false" ht="18" hidden="false" customHeight="true" outlineLevel="0" collapsed="false">
      <c r="B25" s="45" t="s">
        <v>282</v>
      </c>
    </row>
    <row r="26" customFormat="false" ht="201.75" hidden="false" customHeight="true" outlineLevel="0" collapsed="false">
      <c r="B26" s="46" t="s">
        <v>283</v>
      </c>
    </row>
    <row r="28" customFormat="false" ht="18" hidden="false" customHeight="true" outlineLevel="0" collapsed="false">
      <c r="B28" s="47" t="s">
        <v>284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3" min="3" style="0" width="14"/>
    <col collapsed="false" customWidth="true" hidden="false" outlineLevel="0" max="4" min="4" style="0" width="8"/>
    <col collapsed="false" customWidth="true" hidden="false" outlineLevel="0" max="5" min="5" style="0" width="30"/>
    <col collapsed="false" customWidth="true" hidden="false" outlineLevel="0" max="7" min="6"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36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37</v>
      </c>
      <c r="C3" s="15" t="s">
        <v>38</v>
      </c>
      <c r="D3" s="15" t="s">
        <v>39</v>
      </c>
      <c r="E3" s="15" t="s">
        <v>40</v>
      </c>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41</v>
      </c>
      <c r="C4" s="17"/>
      <c r="D4" s="17"/>
      <c r="E4" s="17"/>
      <c r="F4" s="17"/>
      <c r="G4" s="17"/>
    </row>
    <row r="5" customFormat="false" ht="15" hidden="false" customHeight="false" outlineLevel="0" collapsed="false">
      <c r="B5" s="5" t="s">
        <v>42</v>
      </c>
      <c r="C5" s="18" t="n">
        <v>1</v>
      </c>
      <c r="D5" s="8" t="s">
        <v>43</v>
      </c>
      <c r="E5" s="8" t="s">
        <v>44</v>
      </c>
    </row>
    <row r="7" customFormat="false" ht="15" hidden="false" customHeight="false" outlineLevel="0" collapsed="false">
      <c r="B7" s="16" t="s">
        <v>45</v>
      </c>
      <c r="C7" s="17"/>
      <c r="D7" s="17"/>
      <c r="E7" s="17"/>
      <c r="F7" s="17"/>
      <c r="G7" s="17"/>
    </row>
    <row r="9" customFormat="false" ht="15" hidden="false" customHeight="false" outlineLevel="0" collapsed="false">
      <c r="B9" s="5" t="s">
        <v>46</v>
      </c>
      <c r="C9" s="18" t="n">
        <v>500000</v>
      </c>
      <c r="D9" s="8" t="s">
        <v>47</v>
      </c>
      <c r="E9" s="8"/>
    </row>
    <row r="10" customFormat="false" ht="15" hidden="false" customHeight="false" outlineLevel="0" collapsed="false">
      <c r="B10" s="5" t="s">
        <v>48</v>
      </c>
      <c r="C10" s="19" t="n">
        <v>0.03</v>
      </c>
      <c r="D10" s="8" t="s">
        <v>49</v>
      </c>
      <c r="E10" s="8"/>
    </row>
    <row r="11" customFormat="false" ht="15" hidden="false" customHeight="false" outlineLevel="0" collapsed="false">
      <c r="B11" s="16" t="s">
        <v>50</v>
      </c>
      <c r="C11" s="17"/>
      <c r="D11" s="17"/>
      <c r="E11" s="17"/>
      <c r="F11" s="17"/>
      <c r="G11" s="17"/>
    </row>
    <row r="13" customFormat="false" ht="15" hidden="false" customHeight="false" outlineLevel="0" collapsed="false">
      <c r="B13" s="5" t="s">
        <v>51</v>
      </c>
      <c r="C13" s="18" t="n">
        <v>8500</v>
      </c>
      <c r="D13" s="8" t="s">
        <v>52</v>
      </c>
      <c r="E13" s="8" t="s">
        <v>53</v>
      </c>
    </row>
    <row r="14" customFormat="false" ht="15" hidden="false" customHeight="false" outlineLevel="0" collapsed="false">
      <c r="B14" s="5" t="s">
        <v>54</v>
      </c>
      <c r="C14" s="19" t="n">
        <v>0.02</v>
      </c>
      <c r="D14" s="8" t="s">
        <v>49</v>
      </c>
      <c r="E14" s="8"/>
    </row>
    <row r="15" customFormat="false" ht="15" hidden="false" customHeight="false" outlineLevel="0" collapsed="false">
      <c r="B15" s="5" t="s">
        <v>55</v>
      </c>
      <c r="C15" s="19" t="n">
        <v>0.08</v>
      </c>
      <c r="D15" s="8" t="s">
        <v>49</v>
      </c>
      <c r="E15" s="8" t="s">
        <v>56</v>
      </c>
    </row>
    <row r="16" customFormat="false" ht="15" hidden="false" customHeight="false" outlineLevel="0" collapsed="false">
      <c r="B16" s="5" t="s">
        <v>57</v>
      </c>
      <c r="C16" s="19" t="n">
        <v>-0.05</v>
      </c>
      <c r="D16" s="8" t="s">
        <v>49</v>
      </c>
      <c r="E16" s="8" t="s">
        <v>58</v>
      </c>
    </row>
    <row r="18" customFormat="false" ht="15" hidden="false" customHeight="false" outlineLevel="0" collapsed="false">
      <c r="B18" s="16" t="s">
        <v>59</v>
      </c>
      <c r="C18" s="17"/>
      <c r="D18" s="17"/>
      <c r="E18" s="17"/>
      <c r="F18" s="17"/>
      <c r="G18" s="17"/>
    </row>
    <row r="19" customFormat="false" ht="15" hidden="false" customHeight="false" outlineLevel="0" collapsed="false">
      <c r="B19" s="20" t="s">
        <v>60</v>
      </c>
    </row>
    <row r="20" customFormat="false" ht="15" hidden="false" customHeight="false" outlineLevel="0" collapsed="false">
      <c r="B20" s="5" t="s">
        <v>61</v>
      </c>
      <c r="C20" s="19" t="n">
        <v>0.5</v>
      </c>
      <c r="D20" s="8" t="s">
        <v>62</v>
      </c>
      <c r="E20" s="8"/>
    </row>
    <row r="21" customFormat="false" ht="15" hidden="false" customHeight="false" outlineLevel="0" collapsed="false">
      <c r="B21" s="5" t="s">
        <v>63</v>
      </c>
      <c r="C21" s="18" t="n">
        <v>8500</v>
      </c>
      <c r="D21" s="8" t="s">
        <v>52</v>
      </c>
      <c r="E21" s="8" t="e">
        <f aca="false">base spot Y1</f>
        <v>#VALUE!</v>
      </c>
    </row>
    <row r="22" customFormat="false" ht="15" hidden="false" customHeight="false" outlineLevel="0" collapsed="false">
      <c r="B22" s="5" t="s">
        <v>64</v>
      </c>
      <c r="C22" s="19" t="n">
        <v>0.2</v>
      </c>
      <c r="D22" s="8" t="s">
        <v>62</v>
      </c>
      <c r="E22" s="8"/>
    </row>
    <row r="23" customFormat="false" ht="15" hidden="false" customHeight="false" outlineLevel="0" collapsed="false">
      <c r="B23" s="5" t="s">
        <v>65</v>
      </c>
      <c r="C23" s="18" t="n">
        <v>8000</v>
      </c>
      <c r="D23" s="8" t="s">
        <v>52</v>
      </c>
      <c r="E23" s="8" t="s">
        <v>66</v>
      </c>
    </row>
    <row r="24" customFormat="false" ht="15" hidden="false" customHeight="false" outlineLevel="0" collapsed="false">
      <c r="B24" s="5" t="s">
        <v>67</v>
      </c>
      <c r="C24" s="18" t="n">
        <v>150</v>
      </c>
      <c r="D24" s="8" t="s">
        <v>52</v>
      </c>
      <c r="E24" s="8" t="s">
        <v>68</v>
      </c>
    </row>
    <row r="26" customFormat="false" ht="15" hidden="false" customHeight="false" outlineLevel="0" collapsed="false">
      <c r="B26" s="16" t="s">
        <v>69</v>
      </c>
      <c r="C26" s="17"/>
      <c r="D26" s="17"/>
      <c r="E26" s="17"/>
      <c r="F26" s="17"/>
      <c r="G26" s="17"/>
    </row>
    <row r="28" customFormat="false" ht="15" hidden="false" customHeight="false" outlineLevel="0" collapsed="false">
      <c r="B28" s="5" t="s">
        <v>70</v>
      </c>
      <c r="C28" s="18" t="n">
        <v>5500</v>
      </c>
      <c r="D28" s="8" t="s">
        <v>52</v>
      </c>
      <c r="E28" s="8" t="s">
        <v>71</v>
      </c>
    </row>
    <row r="29" customFormat="false" ht="15" hidden="false" customHeight="false" outlineLevel="0" collapsed="false">
      <c r="B29" s="5" t="s">
        <v>72</v>
      </c>
      <c r="C29" s="19" t="n">
        <v>0.03</v>
      </c>
      <c r="D29" s="8" t="s">
        <v>49</v>
      </c>
      <c r="E29" s="8"/>
    </row>
    <row r="30" customFormat="false" ht="15" hidden="false" customHeight="false" outlineLevel="0" collapsed="false">
      <c r="B30" s="5" t="s">
        <v>73</v>
      </c>
      <c r="C30" s="21" t="n">
        <v>50</v>
      </c>
      <c r="D30" s="8" t="s">
        <v>74</v>
      </c>
      <c r="E30" s="8" t="s">
        <v>75</v>
      </c>
    </row>
    <row r="31" customFormat="false" ht="15" hidden="false" customHeight="false" outlineLevel="0" collapsed="false">
      <c r="B31" s="5" t="s">
        <v>76</v>
      </c>
      <c r="C31" s="19" t="n">
        <v>0.025</v>
      </c>
      <c r="D31" s="8" t="s">
        <v>49</v>
      </c>
      <c r="E31" s="8"/>
    </row>
    <row r="33" customFormat="false" ht="15" hidden="false" customHeight="false" outlineLevel="0" collapsed="false">
      <c r="B33" s="16" t="s">
        <v>77</v>
      </c>
      <c r="C33" s="17"/>
      <c r="D33" s="17"/>
      <c r="E33" s="17"/>
      <c r="F33" s="17"/>
      <c r="G33" s="17"/>
    </row>
    <row r="35" customFormat="false" ht="15" hidden="false" customHeight="false" outlineLevel="0" collapsed="false">
      <c r="B35" s="5" t="s">
        <v>78</v>
      </c>
      <c r="C35" s="18" t="n">
        <v>35</v>
      </c>
      <c r="D35" s="8" t="s">
        <v>79</v>
      </c>
      <c r="E35" s="8"/>
    </row>
    <row r="36" customFormat="false" ht="15" hidden="false" customHeight="false" outlineLevel="0" collapsed="false">
      <c r="B36" s="5" t="s">
        <v>80</v>
      </c>
      <c r="C36" s="18" t="n">
        <v>30</v>
      </c>
      <c r="D36" s="8" t="s">
        <v>79</v>
      </c>
      <c r="E36" s="8"/>
    </row>
    <row r="37" customFormat="false" ht="15" hidden="false" customHeight="false" outlineLevel="0" collapsed="false">
      <c r="B37" s="5" t="s">
        <v>81</v>
      </c>
      <c r="C37" s="18" t="n">
        <v>35</v>
      </c>
      <c r="D37" s="8" t="s">
        <v>79</v>
      </c>
      <c r="E37" s="8"/>
    </row>
    <row r="38" customFormat="false" ht="15" hidden="false" customHeight="false" outlineLevel="0" collapsed="false">
      <c r="B38" s="5" t="s">
        <v>82</v>
      </c>
      <c r="C38" s="21" t="n">
        <v>400</v>
      </c>
      <c r="D38" s="8" t="s">
        <v>74</v>
      </c>
      <c r="E38" s="8" t="s">
        <v>83</v>
      </c>
    </row>
    <row r="39" customFormat="false" ht="15" hidden="false" customHeight="false" outlineLevel="0" collapsed="false">
      <c r="B39" s="5" t="s">
        <v>84</v>
      </c>
      <c r="C39" s="21" t="n">
        <v>225</v>
      </c>
      <c r="D39" s="8" t="s">
        <v>74</v>
      </c>
      <c r="E39" s="8" t="s">
        <v>85</v>
      </c>
    </row>
    <row r="40" customFormat="false" ht="15" hidden="false" customHeight="false" outlineLevel="0" collapsed="false">
      <c r="B40" s="5" t="s">
        <v>86</v>
      </c>
      <c r="C40" s="21" t="n">
        <v>250</v>
      </c>
      <c r="D40" s="8" t="s">
        <v>74</v>
      </c>
      <c r="E40" s="8" t="s">
        <v>87</v>
      </c>
    </row>
    <row r="42" customFormat="false" ht="15" hidden="false" customHeight="false" outlineLevel="0" collapsed="false">
      <c r="B42" s="16" t="s">
        <v>88</v>
      </c>
      <c r="C42" s="17"/>
      <c r="D42" s="17"/>
      <c r="E42" s="17"/>
      <c r="F42" s="17"/>
      <c r="G42" s="17"/>
    </row>
    <row r="44" customFormat="false" ht="15" hidden="false" customHeight="false" outlineLevel="0" collapsed="false">
      <c r="B44" s="5" t="s">
        <v>89</v>
      </c>
      <c r="C44" s="21" t="n">
        <v>100</v>
      </c>
      <c r="D44" s="8" t="s">
        <v>74</v>
      </c>
      <c r="E44" s="8"/>
    </row>
    <row r="45" customFormat="false" ht="15" hidden="false" customHeight="false" outlineLevel="0" collapsed="false">
      <c r="B45" s="5" t="s">
        <v>90</v>
      </c>
      <c r="C45" s="21" t="n">
        <v>800</v>
      </c>
      <c r="D45" s="8" t="s">
        <v>74</v>
      </c>
      <c r="E45" s="8"/>
    </row>
    <row r="46" customFormat="false" ht="15" hidden="false" customHeight="false" outlineLevel="0" collapsed="false">
      <c r="B46" s="5" t="s">
        <v>91</v>
      </c>
      <c r="C46" s="21" t="n">
        <v>575</v>
      </c>
      <c r="D46" s="8" t="s">
        <v>74</v>
      </c>
      <c r="E46" s="8" t="s">
        <v>92</v>
      </c>
    </row>
    <row r="48" customFormat="false" ht="15" hidden="false" customHeight="false" outlineLevel="0" collapsed="false">
      <c r="B48" s="16" t="s">
        <v>93</v>
      </c>
      <c r="C48" s="17"/>
      <c r="D48" s="17"/>
      <c r="E48" s="17"/>
      <c r="F48" s="17"/>
      <c r="G48" s="17"/>
    </row>
    <row r="50" customFormat="false" ht="15" hidden="false" customHeight="false" outlineLevel="0" collapsed="false">
      <c r="B50" s="5" t="s">
        <v>94</v>
      </c>
      <c r="C50" s="21" t="n">
        <v>2000</v>
      </c>
      <c r="D50" s="8" t="s">
        <v>74</v>
      </c>
      <c r="E50" s="8" t="s">
        <v>95</v>
      </c>
    </row>
    <row r="51" customFormat="false" ht="15" hidden="false" customHeight="false" outlineLevel="0" collapsed="false">
      <c r="B51" s="5" t="s">
        <v>96</v>
      </c>
      <c r="C51" s="21" t="n">
        <v>600</v>
      </c>
      <c r="D51" s="8" t="s">
        <v>74</v>
      </c>
      <c r="E51" s="8" t="s">
        <v>97</v>
      </c>
    </row>
    <row r="52" customFormat="false" ht="15" hidden="false" customHeight="false" outlineLevel="0" collapsed="false">
      <c r="B52" s="5" t="s">
        <v>98</v>
      </c>
      <c r="C52" s="18" t="n">
        <v>15</v>
      </c>
      <c r="D52" s="8" t="s">
        <v>99</v>
      </c>
      <c r="E52" s="8" t="s">
        <v>100</v>
      </c>
    </row>
    <row r="53" customFormat="false" ht="15" hidden="false" customHeight="false" outlineLevel="0" collapsed="false">
      <c r="B53" s="5" t="s">
        <v>101</v>
      </c>
      <c r="C53" s="18" t="n">
        <v>10</v>
      </c>
      <c r="D53" s="8" t="s">
        <v>99</v>
      </c>
      <c r="E53" s="8"/>
    </row>
    <row r="54" customFormat="false" ht="15" hidden="false" customHeight="false" outlineLevel="0" collapsed="false">
      <c r="B54" s="5" t="s">
        <v>102</v>
      </c>
      <c r="C54" s="19" t="n">
        <v>0.08</v>
      </c>
      <c r="D54" s="8" t="s">
        <v>103</v>
      </c>
      <c r="E54" s="8"/>
    </row>
    <row r="56" customFormat="false" ht="15" hidden="false" customHeight="false" outlineLevel="0" collapsed="false">
      <c r="B56" s="16" t="s">
        <v>104</v>
      </c>
      <c r="C56" s="17"/>
      <c r="D56" s="17"/>
      <c r="E56" s="17"/>
      <c r="F56" s="17"/>
      <c r="G56" s="17"/>
    </row>
    <row r="58" customFormat="false" ht="15" hidden="false" customHeight="false" outlineLevel="0" collapsed="false">
      <c r="B58" s="5" t="s">
        <v>105</v>
      </c>
      <c r="C58" s="21" t="n">
        <v>500</v>
      </c>
      <c r="D58" s="8" t="s">
        <v>74</v>
      </c>
      <c r="E58" s="8" t="s">
        <v>106</v>
      </c>
    </row>
    <row r="59" customFormat="false" ht="15" hidden="false" customHeight="false" outlineLevel="0" collapsed="false">
      <c r="B59" s="5" t="s">
        <v>107</v>
      </c>
      <c r="C59" s="19" t="n">
        <v>0.065</v>
      </c>
      <c r="D59" s="8" t="s">
        <v>49</v>
      </c>
      <c r="E59" s="8"/>
    </row>
    <row r="60" customFormat="false" ht="15" hidden="false" customHeight="false" outlineLevel="0" collapsed="false">
      <c r="B60" s="5" t="s">
        <v>108</v>
      </c>
      <c r="C60" s="18" t="n">
        <v>7</v>
      </c>
      <c r="D60" s="8" t="s">
        <v>99</v>
      </c>
      <c r="E60" s="8"/>
    </row>
    <row r="61" customFormat="false" ht="15" hidden="false" customHeight="false" outlineLevel="0" collapsed="false">
      <c r="B61" s="5" t="s">
        <v>109</v>
      </c>
      <c r="C61" s="21" t="n">
        <v>200</v>
      </c>
      <c r="D61" s="8" t="s">
        <v>74</v>
      </c>
      <c r="E61" s="8"/>
    </row>
    <row r="62" customFormat="false" ht="15" hidden="false" customHeight="false" outlineLevel="0" collapsed="false">
      <c r="B62" s="5" t="s">
        <v>110</v>
      </c>
      <c r="C62" s="19" t="n">
        <v>0.07</v>
      </c>
      <c r="D62" s="8" t="s">
        <v>49</v>
      </c>
      <c r="E62" s="8"/>
    </row>
    <row r="63" customFormat="false" ht="15" hidden="false" customHeight="false" outlineLevel="0" collapsed="false">
      <c r="B63" s="5" t="s">
        <v>111</v>
      </c>
      <c r="C63" s="19" t="n">
        <v>0.005</v>
      </c>
      <c r="D63" s="8" t="s">
        <v>49</v>
      </c>
      <c r="E63" s="8" t="s">
        <v>112</v>
      </c>
    </row>
    <row r="64" customFormat="false" ht="15" hidden="false" customHeight="false" outlineLevel="0" collapsed="false">
      <c r="B64" s="5" t="s">
        <v>113</v>
      </c>
      <c r="C64" s="21" t="n">
        <v>50</v>
      </c>
      <c r="D64" s="8" t="s">
        <v>74</v>
      </c>
      <c r="E64" s="8" t="s">
        <v>114</v>
      </c>
    </row>
    <row r="65" customFormat="false" ht="15" hidden="false" customHeight="false" outlineLevel="0" collapsed="false">
      <c r="B65" s="5" t="s">
        <v>115</v>
      </c>
      <c r="C65" s="21" t="n">
        <v>0</v>
      </c>
      <c r="D65" s="8" t="s">
        <v>74</v>
      </c>
      <c r="E65" s="8" t="s">
        <v>116</v>
      </c>
    </row>
    <row r="67" customFormat="false" ht="15" hidden="false" customHeight="false" outlineLevel="0" collapsed="false">
      <c r="B67" s="16" t="s">
        <v>117</v>
      </c>
      <c r="C67" s="17"/>
      <c r="D67" s="17"/>
      <c r="E67" s="17"/>
      <c r="F67" s="17"/>
      <c r="G67" s="17"/>
    </row>
    <row r="69" customFormat="false" ht="15" hidden="false" customHeight="false" outlineLevel="0" collapsed="false">
      <c r="B69" s="5" t="s">
        <v>118</v>
      </c>
      <c r="C69" s="19" t="n">
        <v>0.25</v>
      </c>
      <c r="D69" s="8" t="s">
        <v>119</v>
      </c>
      <c r="E69" s="8"/>
    </row>
    <row r="70" customFormat="false" ht="15" hidden="false" customHeight="false" outlineLevel="0" collapsed="false">
      <c r="B70" s="5" t="s">
        <v>120</v>
      </c>
      <c r="C70" s="19" t="n">
        <v>0.4</v>
      </c>
      <c r="D70" s="8" t="s">
        <v>121</v>
      </c>
      <c r="E70" s="8"/>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122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3"/>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128</v>
      </c>
      <c r="C4" s="17"/>
      <c r="D4" s="17"/>
      <c r="E4" s="17"/>
      <c r="F4" s="17"/>
      <c r="G4" s="17"/>
    </row>
    <row r="5" customFormat="false" ht="15" hidden="false" customHeight="false" outlineLevel="0" collapsed="false">
      <c r="B5" s="5" t="s">
        <v>129</v>
      </c>
      <c r="C5" s="24" t="n">
        <f aca="false">Base_Spot_Y1</f>
        <v>8500</v>
      </c>
      <c r="D5" s="24" t="n">
        <f aca="false">C5*(1+Base_Growth)</f>
        <v>8670</v>
      </c>
      <c r="E5" s="24" t="n">
        <f aca="false">D5*(1+Base_Growth)</f>
        <v>8843.4</v>
      </c>
      <c r="F5" s="24" t="n">
        <f aca="false">E5*(1+Base_Growth)</f>
        <v>9020.268</v>
      </c>
      <c r="G5" s="24" t="n">
        <f aca="false">F5*(1+Base_Growth)</f>
        <v>9200.67336</v>
      </c>
    </row>
    <row r="6" customFormat="false" ht="15" hidden="false" customHeight="false" outlineLevel="0" collapsed="false">
      <c r="B6" s="5" t="s">
        <v>130</v>
      </c>
      <c r="C6" s="24" t="n">
        <f aca="false">Base_Spot_Y1</f>
        <v>8500</v>
      </c>
      <c r="D6" s="24" t="n">
        <f aca="false">C6*(1+High_Growth)</f>
        <v>9180</v>
      </c>
      <c r="E6" s="24" t="n">
        <f aca="false">D6*(1+High_Growth)</f>
        <v>9914.4</v>
      </c>
      <c r="F6" s="24" t="n">
        <f aca="false">E6*(1+High_Growth)</f>
        <v>10707.552</v>
      </c>
      <c r="G6" s="24" t="n">
        <f aca="false">F6*(1+High_Growth)</f>
        <v>11564.15616</v>
      </c>
    </row>
    <row r="7" customFormat="false" ht="15" hidden="false" customHeight="false" outlineLevel="0" collapsed="false">
      <c r="B7" s="5" t="s">
        <v>131</v>
      </c>
      <c r="C7" s="24" t="n">
        <f aca="false">Base_Spot_Y1</f>
        <v>8500</v>
      </c>
      <c r="D7" s="24" t="n">
        <f aca="false">C7*(1+Low_Growth)</f>
        <v>8075</v>
      </c>
      <c r="E7" s="24" t="n">
        <f aca="false">D7*(1+Low_Growth)</f>
        <v>7671.25</v>
      </c>
      <c r="F7" s="24" t="n">
        <f aca="false">E7*(1+Low_Growth)</f>
        <v>7287.6875</v>
      </c>
      <c r="G7" s="24" t="n">
        <f aca="false">F7*(1+Low_Growth)</f>
        <v>6923.303125</v>
      </c>
    </row>
    <row r="8" customFormat="false" ht="15" hidden="false" customHeight="false" outlineLevel="0" collapsed="false">
      <c r="B8" s="6" t="s">
        <v>132</v>
      </c>
      <c r="C8" s="25" t="n">
        <f aca="false">CHOOSE(Scenario_Toggle,C5,C6,C7)</f>
        <v>8500</v>
      </c>
      <c r="D8" s="25" t="n">
        <f aca="false">CHOOSE(Scenario_Toggle,D5,D6,D7)</f>
        <v>8670</v>
      </c>
      <c r="E8" s="25" t="n">
        <f aca="false">CHOOSE(Scenario_Toggle,E5,E6,E7)</f>
        <v>8843.4</v>
      </c>
      <c r="F8" s="25" t="n">
        <f aca="false">CHOOSE(Scenario_Toggle,F5,F6,F7)</f>
        <v>9020.268</v>
      </c>
      <c r="G8" s="25" t="n">
        <f aca="false">CHOOSE(Scenario_Toggle,G5,G6,G7)</f>
        <v>9200.67336</v>
      </c>
    </row>
    <row r="9" customFormat="false" ht="15" hidden="false" customHeight="false" outlineLevel="0" collapsed="false">
      <c r="B9" s="16" t="s">
        <v>133</v>
      </c>
      <c r="C9" s="17"/>
      <c r="D9" s="17"/>
      <c r="E9" s="17"/>
      <c r="F9" s="17"/>
      <c r="G9" s="17"/>
    </row>
    <row r="10" customFormat="false" ht="15" hidden="false" customHeight="false" outlineLevel="0" collapsed="false">
      <c r="B10" s="5" t="s">
        <v>134</v>
      </c>
      <c r="C10" s="24" t="n">
        <f aca="false">Fwd_Price</f>
        <v>8500</v>
      </c>
      <c r="D10" s="24" t="n">
        <f aca="false">Fwd_Price</f>
        <v>8500</v>
      </c>
      <c r="E10" s="24" t="n">
        <f aca="false">Fwd_Price</f>
        <v>8500</v>
      </c>
      <c r="F10" s="24" t="n">
        <f aca="false">Fwd_Price</f>
        <v>8500</v>
      </c>
      <c r="G10" s="24" t="n">
        <f aca="false">Fwd_Price</f>
        <v>8500</v>
      </c>
    </row>
    <row r="11" customFormat="false" ht="15" hidden="false" customHeight="false" outlineLevel="0" collapsed="false">
      <c r="B11" s="5" t="s">
        <v>65</v>
      </c>
      <c r="C11" s="24" t="n">
        <f aca="false">Put_Strike</f>
        <v>8000</v>
      </c>
      <c r="D11" s="24" t="n">
        <f aca="false">Put_Strike</f>
        <v>8000</v>
      </c>
      <c r="E11" s="24" t="n">
        <f aca="false">Put_Strike</f>
        <v>8000</v>
      </c>
      <c r="F11" s="24" t="n">
        <f aca="false">Put_Strike</f>
        <v>8000</v>
      </c>
      <c r="G11" s="24" t="n">
        <f aca="false">Put_Strike</f>
        <v>8000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59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3"/>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135</v>
      </c>
      <c r="C4" s="17"/>
      <c r="D4" s="17"/>
      <c r="E4" s="17"/>
      <c r="F4" s="17"/>
      <c r="G4" s="17"/>
    </row>
    <row r="5" customFormat="false" ht="15" hidden="false" customHeight="false" outlineLevel="0" collapsed="false">
      <c r="B5" s="5" t="s">
        <v>136</v>
      </c>
      <c r="C5" s="24" t="n">
        <f aca="false">Prod_Y1</f>
        <v>500000</v>
      </c>
      <c r="D5" s="24" t="n">
        <f aca="false">C5*(1+Prod_Growth)</f>
        <v>515000</v>
      </c>
      <c r="E5" s="24" t="n">
        <f aca="false">D5*(1+Prod_Growth)</f>
        <v>530450</v>
      </c>
      <c r="F5" s="24" t="n">
        <f aca="false">E5*(1+Prod_Growth)</f>
        <v>546363.5</v>
      </c>
      <c r="G5" s="24" t="n">
        <f aca="false">F5*(1+Prod_Growth)</f>
        <v>562754.405</v>
      </c>
    </row>
    <row r="6" customFormat="false" ht="15" hidden="false" customHeight="false" outlineLevel="0" collapsed="false">
      <c r="B6" s="5" t="s">
        <v>137</v>
      </c>
      <c r="C6" s="24" t="n">
        <f aca="false">C5*Fwd_Ratio</f>
        <v>250000</v>
      </c>
      <c r="D6" s="24" t="n">
        <f aca="false">D5*Fwd_Ratio</f>
        <v>257500</v>
      </c>
      <c r="E6" s="24" t="n">
        <f aca="false">E5*Fwd_Ratio</f>
        <v>265225</v>
      </c>
      <c r="F6" s="24" t="n">
        <f aca="false">F5*Fwd_Ratio</f>
        <v>273181.75</v>
      </c>
      <c r="G6" s="24" t="n">
        <f aca="false">G5*Fwd_Ratio</f>
        <v>281377.2025</v>
      </c>
    </row>
    <row r="7" customFormat="false" ht="15" hidden="false" customHeight="false" outlineLevel="0" collapsed="false">
      <c r="B7" s="5" t="s">
        <v>138</v>
      </c>
      <c r="C7" s="24" t="n">
        <f aca="false">C5*Put_Ratio</f>
        <v>100000</v>
      </c>
      <c r="D7" s="24" t="n">
        <f aca="false">D5*Put_Ratio</f>
        <v>103000</v>
      </c>
      <c r="E7" s="24" t="n">
        <f aca="false">E5*Put_Ratio</f>
        <v>106090</v>
      </c>
      <c r="F7" s="24" t="n">
        <f aca="false">F5*Put_Ratio</f>
        <v>109272.7</v>
      </c>
      <c r="G7" s="24" t="n">
        <f aca="false">G5*Put_Ratio</f>
        <v>112550.881</v>
      </c>
    </row>
    <row r="9" customFormat="false" ht="15" hidden="false" customHeight="false" outlineLevel="0" collapsed="false">
      <c r="B9" s="16" t="s">
        <v>139</v>
      </c>
      <c r="C9" s="17"/>
      <c r="D9" s="17"/>
      <c r="E9" s="17"/>
      <c r="F9" s="17"/>
      <c r="G9" s="17"/>
    </row>
    <row r="10" customFormat="false" ht="15" hidden="false" customHeight="false" outlineLevel="0" collapsed="false">
      <c r="B10" s="26"/>
    </row>
    <row r="11" customFormat="false" ht="15" hidden="false" customHeight="false" outlineLevel="0" collapsed="false">
      <c r="B11" s="5" t="s">
        <v>140</v>
      </c>
      <c r="C11" s="27" t="n">
        <f aca="false">(C6*(Fwd_Price-Price_Scenarios!C5))/1000000</f>
        <v>0</v>
      </c>
      <c r="D11" s="27" t="n">
        <f aca="false">(D6*(Fwd_Price-Price_Scenarios!D5))/1000000</f>
        <v>-43.775</v>
      </c>
      <c r="E11" s="27" t="n">
        <f aca="false">(E6*(Fwd_Price-Price_Scenarios!E5))/1000000</f>
        <v>-91.0782649999999</v>
      </c>
      <c r="F11" s="27" t="n">
        <f aca="false">(F6*(Fwd_Price-Price_Scenarios!F5))/1000000</f>
        <v>-142.127722709</v>
      </c>
      <c r="G11" s="27" t="n">
        <f aca="false">(G6*(Fwd_Price-Price_Scenarios!G5))/1000000</f>
        <v>-197.153509903076</v>
      </c>
    </row>
    <row r="12" customFormat="false" ht="15" hidden="false" customHeight="false" outlineLevel="0" collapsed="false">
      <c r="B12" s="5" t="s">
        <v>141</v>
      </c>
      <c r="C12" s="27" t="n">
        <f aca="false">MAX(0,Put_Strike-Price_Scenarios!C5)*C7/1000000</f>
        <v>0</v>
      </c>
      <c r="D12" s="27" t="n">
        <f aca="false">MAX(0,Put_Strike-Price_Scenarios!D5)*D7/1000000</f>
        <v>0</v>
      </c>
      <c r="E12" s="27" t="n">
        <f aca="false">MAX(0,Put_Strike-Price_Scenarios!E5)*E7/1000000</f>
        <v>0</v>
      </c>
      <c r="F12" s="27" t="n">
        <f aca="false">MAX(0,Put_Strike-Price_Scenarios!F5)*F7/1000000</f>
        <v>0</v>
      </c>
      <c r="G12" s="27" t="n">
        <f aca="false">MAX(0,Put_Strike-Price_Scenarios!G5)*G7/1000000</f>
        <v>0</v>
      </c>
    </row>
    <row r="13" customFormat="false" ht="15" hidden="false" customHeight="false" outlineLevel="0" collapsed="false">
      <c r="B13" s="5" t="s">
        <v>142</v>
      </c>
      <c r="C13" s="27" t="n">
        <f aca="false">Put_Premium*C7/1000000</f>
        <v>15</v>
      </c>
      <c r="D13" s="27" t="n">
        <f aca="false">0</f>
        <v>0</v>
      </c>
      <c r="E13" s="27" t="n">
        <f aca="false">0</f>
        <v>0</v>
      </c>
      <c r="F13" s="27" t="n">
        <f aca="false">0</f>
        <v>0</v>
      </c>
      <c r="G13" s="27" t="n">
        <f aca="false">0</f>
        <v>0</v>
      </c>
    </row>
    <row r="14" customFormat="false" ht="15" hidden="false" customHeight="false" outlineLevel="0" collapsed="false">
      <c r="B14" s="6" t="s">
        <v>143</v>
      </c>
      <c r="C14" s="28" t="n">
        <f aca="false">C11+C12-C13</f>
        <v>-15</v>
      </c>
      <c r="D14" s="28" t="n">
        <f aca="false">D11+D12-D13</f>
        <v>-43.775</v>
      </c>
      <c r="E14" s="28" t="n">
        <f aca="false">E11+E12-E13</f>
        <v>-91.0782649999999</v>
      </c>
      <c r="F14" s="28" t="n">
        <f aca="false">F11+F12-F13</f>
        <v>-142.127722709</v>
      </c>
      <c r="G14" s="28" t="n">
        <f aca="false">G11+G12-G13</f>
        <v>-197.153509903076</v>
      </c>
    </row>
    <row r="16" customFormat="false" ht="15" hidden="false" customHeight="false" outlineLevel="0" collapsed="false">
      <c r="B16" s="16" t="s">
        <v>144</v>
      </c>
      <c r="C16" s="17"/>
      <c r="D16" s="17"/>
      <c r="E16" s="17"/>
      <c r="F16" s="17"/>
      <c r="G16" s="17"/>
    </row>
    <row r="17" customFormat="false" ht="15" hidden="false" customHeight="false" outlineLevel="0" collapsed="false">
      <c r="B17" s="26"/>
    </row>
    <row r="18" customFormat="false" ht="15" hidden="false" customHeight="false" outlineLevel="0" collapsed="false">
      <c r="B18" s="5" t="s">
        <v>140</v>
      </c>
      <c r="C18" s="27" t="n">
        <f aca="false">(C6*(Fwd_Price-Price_Scenarios!C6))/1000000</f>
        <v>0</v>
      </c>
      <c r="D18" s="27" t="n">
        <f aca="false">(D6*(Fwd_Price-Price_Scenarios!D6))/1000000</f>
        <v>-175.1</v>
      </c>
      <c r="E18" s="27" t="n">
        <f aca="false">(E6*(Fwd_Price-Price_Scenarios!E6))/1000000</f>
        <v>-375.13424</v>
      </c>
      <c r="F18" s="27" t="n">
        <f aca="false">(F6*(Fwd_Price-Price_Scenarios!F6))/1000000</f>
        <v>-603.062918576001</v>
      </c>
      <c r="G18" s="27" t="n">
        <f aca="false">(G6*(Fwd_Price-Price_Scenarios!G6))/1000000</f>
        <v>-862.183688323943</v>
      </c>
    </row>
    <row r="19" customFormat="false" ht="15" hidden="false" customHeight="false" outlineLevel="0" collapsed="false">
      <c r="B19" s="5" t="s">
        <v>141</v>
      </c>
      <c r="C19" s="27" t="n">
        <f aca="false">MAX(0,Put_Strike-Price_Scenarios!C6)*C7/1000000</f>
        <v>0</v>
      </c>
      <c r="D19" s="27" t="n">
        <f aca="false">MAX(0,Put_Strike-Price_Scenarios!D6)*D7/1000000</f>
        <v>0</v>
      </c>
      <c r="E19" s="27" t="n">
        <f aca="false">MAX(0,Put_Strike-Price_Scenarios!E6)*E7/1000000</f>
        <v>0</v>
      </c>
      <c r="F19" s="27" t="n">
        <f aca="false">MAX(0,Put_Strike-Price_Scenarios!F6)*F7/1000000</f>
        <v>0</v>
      </c>
      <c r="G19" s="27" t="n">
        <f aca="false">MAX(0,Put_Strike-Price_Scenarios!G6)*G7/1000000</f>
        <v>0</v>
      </c>
    </row>
    <row r="20" customFormat="false" ht="15" hidden="false" customHeight="false" outlineLevel="0" collapsed="false">
      <c r="B20" s="5" t="s">
        <v>142</v>
      </c>
      <c r="C20" s="27" t="n">
        <f aca="false">Put_Premium*C7/1000000</f>
        <v>15</v>
      </c>
      <c r="D20" s="27" t="n">
        <f aca="false">0</f>
        <v>0</v>
      </c>
      <c r="E20" s="27" t="n">
        <f aca="false">0</f>
        <v>0</v>
      </c>
      <c r="F20" s="27" t="n">
        <f aca="false">0</f>
        <v>0</v>
      </c>
      <c r="G20" s="27" t="n">
        <f aca="false">0</f>
        <v>0</v>
      </c>
    </row>
    <row r="21" customFormat="false" ht="15" hidden="false" customHeight="false" outlineLevel="0" collapsed="false">
      <c r="B21" s="6" t="s">
        <v>143</v>
      </c>
      <c r="C21" s="28" t="n">
        <f aca="false">C18+C19-C20</f>
        <v>-15</v>
      </c>
      <c r="D21" s="28" t="n">
        <f aca="false">D18+D19-D20</f>
        <v>-175.1</v>
      </c>
      <c r="E21" s="28" t="n">
        <f aca="false">E18+E19-E20</f>
        <v>-375.13424</v>
      </c>
      <c r="F21" s="28" t="n">
        <f aca="false">F18+F19-F20</f>
        <v>-603.062918576001</v>
      </c>
      <c r="G21" s="28" t="n">
        <f aca="false">G18+G19-G20</f>
        <v>-862.183688323943</v>
      </c>
    </row>
    <row r="23" customFormat="false" ht="15" hidden="false" customHeight="false" outlineLevel="0" collapsed="false">
      <c r="B23" s="16" t="s">
        <v>145</v>
      </c>
      <c r="C23" s="17"/>
      <c r="D23" s="17"/>
      <c r="E23" s="17"/>
      <c r="F23" s="17"/>
      <c r="G23" s="17"/>
    </row>
    <row r="24" customFormat="false" ht="15" hidden="false" customHeight="false" outlineLevel="0" collapsed="false">
      <c r="B24" s="26"/>
    </row>
    <row r="25" customFormat="false" ht="15" hidden="false" customHeight="false" outlineLevel="0" collapsed="false">
      <c r="B25" s="5" t="s">
        <v>140</v>
      </c>
      <c r="C25" s="27" t="n">
        <f aca="false">(C6*(Fwd_Price-Price_Scenarios!C7))/1000000</f>
        <v>0</v>
      </c>
      <c r="D25" s="27" t="n">
        <f aca="false">(D6*(Fwd_Price-Price_Scenarios!D7))/1000000</f>
        <v>109.4375</v>
      </c>
      <c r="E25" s="27" t="n">
        <f aca="false">(E6*(Fwd_Price-Price_Scenarios!E7))/1000000</f>
        <v>219.80521875</v>
      </c>
      <c r="F25" s="27" t="n">
        <f aca="false">(F6*(Fwd_Price-Price_Scenarios!F7))/1000000</f>
        <v>331.181650296875</v>
      </c>
      <c r="G25" s="27" t="n">
        <f aca="false">(G6*(Fwd_Price-Price_Scenarios!G7))/1000000</f>
        <v>443.646555877992</v>
      </c>
    </row>
    <row r="26" customFormat="false" ht="15" hidden="false" customHeight="false" outlineLevel="0" collapsed="false">
      <c r="B26" s="5" t="s">
        <v>141</v>
      </c>
      <c r="C26" s="27" t="n">
        <f aca="false">MAX(0,Put_Strike-Price_Scenarios!C7)*C7/1000000</f>
        <v>0</v>
      </c>
      <c r="D26" s="27" t="n">
        <f aca="false">MAX(0,Put_Strike-Price_Scenarios!D7)*D7/1000000</f>
        <v>0</v>
      </c>
      <c r="E26" s="27" t="n">
        <f aca="false">MAX(0,Put_Strike-Price_Scenarios!E7)*E7/1000000</f>
        <v>34.8770875</v>
      </c>
      <c r="F26" s="27" t="n">
        <f aca="false">MAX(0,Put_Strike-Price_Scenarios!F7)*F7/1000000</f>
        <v>77.83631011875</v>
      </c>
      <c r="G26" s="27" t="n">
        <f aca="false">MAX(0,Put_Strike-Price_Scenarios!G7)*G7/1000000</f>
        <v>121.183181851197</v>
      </c>
    </row>
    <row r="27" customFormat="false" ht="15" hidden="false" customHeight="false" outlineLevel="0" collapsed="false">
      <c r="B27" s="5" t="s">
        <v>142</v>
      </c>
      <c r="C27" s="27" t="n">
        <f aca="false">Put_Premium*C7/1000000</f>
        <v>15</v>
      </c>
      <c r="D27" s="27" t="n">
        <f aca="false">0</f>
        <v>0</v>
      </c>
      <c r="E27" s="27" t="n">
        <f aca="false">0</f>
        <v>0</v>
      </c>
      <c r="F27" s="27" t="n">
        <f aca="false">0</f>
        <v>0</v>
      </c>
      <c r="G27" s="27" t="n">
        <f aca="false">0</f>
        <v>0</v>
      </c>
    </row>
    <row r="28" customFormat="false" ht="15" hidden="false" customHeight="false" outlineLevel="0" collapsed="false">
      <c r="B28" s="6" t="s">
        <v>143</v>
      </c>
      <c r="C28" s="28" t="n">
        <f aca="false">C25+C26-C27</f>
        <v>-15</v>
      </c>
      <c r="D28" s="28" t="n">
        <f aca="false">D25+D26-D27</f>
        <v>109.4375</v>
      </c>
      <c r="E28" s="28" t="n">
        <f aca="false">E25+E26-E27</f>
        <v>254.68230625</v>
      </c>
      <c r="F28" s="28" t="n">
        <f aca="false">F25+F26-F27</f>
        <v>409.017960415625</v>
      </c>
      <c r="G28" s="28" t="n">
        <f aca="false">G25+G26-G27</f>
        <v>564.829737729189</v>
      </c>
    </row>
    <row r="30" customFormat="false" ht="15" hidden="false" customHeight="false" outlineLevel="0" collapsed="false">
      <c r="B30" s="16" t="s">
        <v>146</v>
      </c>
      <c r="C30" s="17"/>
      <c r="D30" s="17"/>
      <c r="E30" s="17"/>
      <c r="F30" s="17"/>
      <c r="G30" s="17"/>
    </row>
    <row r="31" customFormat="false" ht="15" hidden="false" customHeight="false" outlineLevel="0" collapsed="false">
      <c r="B31" s="26"/>
    </row>
    <row r="32" customFormat="false" ht="15" hidden="false" customHeight="false" outlineLevel="0" collapsed="false">
      <c r="B32" s="6" t="s">
        <v>147</v>
      </c>
      <c r="C32" s="29" t="n">
        <f aca="false">CHOOSE(Scenario_Toggle,C14,C21,C28)</f>
        <v>-15</v>
      </c>
      <c r="D32" s="29" t="n">
        <f aca="false">CHOOSE(Scenario_Toggle,D14,D21,D28)</f>
        <v>-43.775</v>
      </c>
      <c r="E32" s="29" t="n">
        <f aca="false">CHOOSE(Scenario_Toggle,E14,E21,E28)</f>
        <v>-91.0782649999999</v>
      </c>
      <c r="F32" s="29" t="n">
        <f aca="false">CHOOSE(Scenario_Toggle,F14,F21,F28)</f>
        <v>-142.127722709</v>
      </c>
      <c r="G32" s="29" t="n">
        <f aca="false">CHOOSE(Scenario_Toggle,G14,G21,G28)</f>
        <v>-197.153509903076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7" min="2"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148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149</v>
      </c>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150</v>
      </c>
      <c r="C4" s="17"/>
      <c r="D4" s="17"/>
      <c r="E4" s="17"/>
      <c r="F4" s="17"/>
      <c r="G4" s="17"/>
    </row>
    <row r="5" customFormat="false" ht="15" hidden="false" customHeight="false" outlineLevel="0" collapsed="false">
      <c r="B5" s="27" t="n">
        <f aca="false">Gross_PPE_Open</f>
        <v>2000</v>
      </c>
      <c r="C5" s="27" t="n">
        <f aca="false">B5+C10</f>
        <v>2338.8</v>
      </c>
      <c r="D5" s="27" t="n">
        <f aca="false">C5+D10</f>
        <v>2692.502</v>
      </c>
      <c r="E5" s="27" t="n">
        <f aca="false">D5+E10</f>
        <v>3060.4942612</v>
      </c>
      <c r="F5" s="27" t="n">
        <f aca="false">E5+F10</f>
        <v>3443.39165901672</v>
      </c>
      <c r="G5" s="27" t="n">
        <f aca="false">F5+G10</f>
        <v>3841.83693520897</v>
      </c>
    </row>
    <row r="6" customFormat="false" ht="15" hidden="false" customHeight="false" outlineLevel="0" collapsed="false">
      <c r="B6" s="27" t="n">
        <f aca="false">Accum_Depr_Open</f>
        <v>600</v>
      </c>
      <c r="C6" s="27" t="n">
        <f aca="false">B6+C18</f>
        <v>693.333333333333</v>
      </c>
      <c r="D6" s="27" t="n">
        <f aca="false">C6+D18</f>
        <v>820.546666666667</v>
      </c>
      <c r="E6" s="27" t="n">
        <f aca="false">D6+E18</f>
        <v>983.1302</v>
      </c>
      <c r="F6" s="27" t="n">
        <f aca="false">E6+F18</f>
        <v>1182.51295945333</v>
      </c>
      <c r="G6" s="27" t="n">
        <f aca="false">F6+G18</f>
        <v>1420.18545868834</v>
      </c>
    </row>
    <row r="7" customFormat="false" ht="15" hidden="false" customHeight="false" outlineLevel="0" collapsed="false">
      <c r="B7" s="27" t="n">
        <f aca="false">Gross_PPE_Open-Accum_Depr_Open</f>
        <v>1400</v>
      </c>
      <c r="C7" s="27" t="n">
        <f aca="false">C5-C6</f>
        <v>1645.46666666667</v>
      </c>
      <c r="D7" s="27" t="n">
        <f aca="false">D5-D6</f>
        <v>1871.95533333333</v>
      </c>
      <c r="E7" s="27" t="n">
        <f aca="false">E5-E6</f>
        <v>2077.3640612</v>
      </c>
      <c r="F7" s="27" t="n">
        <f aca="false">F5-F6</f>
        <v>2260.87869956339</v>
      </c>
      <c r="G7" s="27" t="n">
        <f aca="false">G5-G6</f>
        <v>2421.65147652063</v>
      </c>
    </row>
    <row r="8" customFormat="false" ht="15" hidden="false" customHeight="false" outlineLevel="0" collapsed="false">
      <c r="B8" s="16" t="s">
        <v>151</v>
      </c>
      <c r="C8" s="17"/>
      <c r="D8" s="17"/>
      <c r="E8" s="17"/>
      <c r="F8" s="17"/>
      <c r="G8" s="17"/>
    </row>
    <row r="9" customFormat="false" ht="15" hidden="false" customHeight="false" outlineLevel="0" collapsed="false">
      <c r="B9" s="26"/>
    </row>
    <row r="10" customFormat="false" ht="15" hidden="false" customHeight="false" outlineLevel="0" collapsed="false">
      <c r="B10" s="5" t="s">
        <v>152</v>
      </c>
      <c r="C10" s="27" t="n">
        <f aca="false">Hedged_PL!C8*Capex_Rate</f>
        <v>338.8</v>
      </c>
      <c r="D10" s="27" t="n">
        <f aca="false">Hedged_PL!D8*Capex_Rate</f>
        <v>353.702</v>
      </c>
      <c r="E10" s="27" t="n">
        <f aca="false">Hedged_PL!E8*Capex_Rate</f>
        <v>367.9922612</v>
      </c>
      <c r="F10" s="27" t="n">
        <f aca="false">Hedged_PL!F8*Capex_Rate</f>
        <v>382.89739781672</v>
      </c>
      <c r="G10" s="27" t="n">
        <f aca="false">Hedged_PL!G8*Capex_Rate</f>
        <v>398.445276192246</v>
      </c>
    </row>
    <row r="11" customFormat="false" ht="15" hidden="false" customHeight="false" outlineLevel="0" collapsed="false">
      <c r="B11" s="16" t="s">
        <v>153</v>
      </c>
      <c r="C11" s="17"/>
      <c r="D11" s="17"/>
      <c r="E11" s="17"/>
      <c r="F11" s="17"/>
      <c r="G11" s="17"/>
    </row>
    <row r="12" customFormat="false" ht="15" hidden="false" customHeight="false" outlineLevel="0" collapsed="false">
      <c r="B12" s="26"/>
    </row>
    <row r="13" customFormat="false" ht="15" hidden="false" customHeight="false" outlineLevel="0" collapsed="false">
      <c r="B13" s="5" t="s">
        <v>154</v>
      </c>
      <c r="C13" s="27" t="n">
        <f aca="false">(Gross_PPE_Open-Accum_Depr_Open)/Ex_Life</f>
        <v>93.3333333333333</v>
      </c>
      <c r="D13" s="27" t="n">
        <f aca="false">(Gross_PPE_Open-Accum_Depr_Open)/Ex_Life</f>
        <v>93.3333333333333</v>
      </c>
      <c r="E13" s="27" t="n">
        <f aca="false">(Gross_PPE_Open-Accum_Depr_Open)/Ex_Life</f>
        <v>93.3333333333333</v>
      </c>
      <c r="F13" s="27" t="n">
        <f aca="false">(Gross_PPE_Open-Accum_Depr_Open)/Ex_Life</f>
        <v>93.3333333333333</v>
      </c>
      <c r="G13" s="27" t="n">
        <f aca="false">(Gross_PPE_Open-Accum_Depr_Open)/Ex_Life</f>
        <v>93.3333333333333</v>
      </c>
    </row>
    <row r="14" customFormat="false" ht="15" hidden="false" customHeight="false" outlineLevel="0" collapsed="false">
      <c r="B14" s="5" t="s">
        <v>155</v>
      </c>
      <c r="C14" s="27" t="n">
        <f aca="false">0</f>
        <v>0</v>
      </c>
      <c r="D14" s="27" t="n">
        <f aca="false">C10/New_Life</f>
        <v>33.88</v>
      </c>
      <c r="E14" s="27" t="n">
        <f aca="false">C10/New_Life</f>
        <v>33.88</v>
      </c>
      <c r="F14" s="27" t="n">
        <f aca="false">C10/New_Life</f>
        <v>33.88</v>
      </c>
      <c r="G14" s="27" t="n">
        <f aca="false">C10/New_Life</f>
        <v>33.88</v>
      </c>
    </row>
    <row r="15" customFormat="false" ht="15" hidden="false" customHeight="false" outlineLevel="0" collapsed="false">
      <c r="B15" s="5" t="s">
        <v>156</v>
      </c>
      <c r="C15" s="27" t="n">
        <f aca="false">0</f>
        <v>0</v>
      </c>
      <c r="D15" s="27" t="n">
        <f aca="false">0</f>
        <v>0</v>
      </c>
      <c r="E15" s="27" t="n">
        <f aca="false">D10/New_Life</f>
        <v>35.3702</v>
      </c>
      <c r="F15" s="27" t="n">
        <f aca="false">D10/New_Life</f>
        <v>35.3702</v>
      </c>
      <c r="G15" s="27" t="n">
        <f aca="false">D10/New_Life</f>
        <v>35.3702</v>
      </c>
    </row>
    <row r="16" customFormat="false" ht="15" hidden="false" customHeight="false" outlineLevel="0" collapsed="false">
      <c r="B16" s="5" t="s">
        <v>157</v>
      </c>
      <c r="C16" s="27" t="n">
        <f aca="false">0</f>
        <v>0</v>
      </c>
      <c r="D16" s="27" t="n">
        <f aca="false">0</f>
        <v>0</v>
      </c>
      <c r="E16" s="27" t="n">
        <f aca="false">0</f>
        <v>0</v>
      </c>
      <c r="F16" s="27" t="n">
        <f aca="false">E10/New_Life</f>
        <v>36.79922612</v>
      </c>
      <c r="G16" s="27" t="n">
        <f aca="false">E10/New_Life</f>
        <v>36.79922612</v>
      </c>
    </row>
    <row r="17" customFormat="false" ht="15" hidden="false" customHeight="false" outlineLevel="0" collapsed="false">
      <c r="B17" s="5" t="s">
        <v>158</v>
      </c>
      <c r="C17" s="27" t="n">
        <f aca="false">0</f>
        <v>0</v>
      </c>
      <c r="D17" s="27" t="n">
        <f aca="false">0</f>
        <v>0</v>
      </c>
      <c r="E17" s="27" t="n">
        <f aca="false">0</f>
        <v>0</v>
      </c>
      <c r="F17" s="27" t="n">
        <f aca="false">0</f>
        <v>0</v>
      </c>
      <c r="G17" s="27" t="n">
        <f aca="false">F10/New_Life</f>
        <v>38.289739781672</v>
      </c>
    </row>
    <row r="18" customFormat="false" ht="15" hidden="false" customHeight="false" outlineLevel="0" collapsed="false">
      <c r="B18" s="6" t="s">
        <v>159</v>
      </c>
      <c r="C18" s="29" t="n">
        <f aca="false">C13+C14+C15+C16+C17</f>
        <v>93.3333333333333</v>
      </c>
      <c r="D18" s="29" t="n">
        <f aca="false">D13+D14+D15+D16+D17</f>
        <v>127.213333333333</v>
      </c>
      <c r="E18" s="29" t="n">
        <f aca="false">E13+E14+E15+E16+E17</f>
        <v>162.583533333333</v>
      </c>
      <c r="F18" s="29" t="n">
        <f aca="false">F13+F14+F15+F16+F17</f>
        <v>199.382759453333</v>
      </c>
      <c r="G18" s="29" t="n">
        <f aca="false">G13+G14+G15+G16+G17</f>
        <v>237.672499235005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160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3"/>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161</v>
      </c>
      <c r="C4" s="17"/>
      <c r="D4" s="17"/>
      <c r="E4" s="17"/>
      <c r="F4" s="17"/>
      <c r="G4" s="17"/>
    </row>
    <row r="5" customFormat="false" ht="15" hidden="false" customHeight="false" outlineLevel="0" collapsed="false">
      <c r="B5" s="5" t="s">
        <v>162</v>
      </c>
      <c r="C5" s="24" t="n">
        <f aca="false">Prod_Y1</f>
        <v>500000</v>
      </c>
      <c r="D5" s="24" t="n">
        <f aca="false">C5*(1+Prod_Growth)</f>
        <v>515000</v>
      </c>
      <c r="E5" s="24" t="n">
        <f aca="false">D5*(1+Prod_Growth)</f>
        <v>530450</v>
      </c>
      <c r="F5" s="24" t="n">
        <f aca="false">E5*(1+Prod_Growth)</f>
        <v>546363.5</v>
      </c>
      <c r="G5" s="24" t="n">
        <f aca="false">F5*(1+Prod_Growth)</f>
        <v>562754.405</v>
      </c>
    </row>
    <row r="6" customFormat="false" ht="15" hidden="false" customHeight="false" outlineLevel="0" collapsed="false">
      <c r="B6" s="5" t="s">
        <v>163</v>
      </c>
      <c r="C6" s="24" t="n">
        <f aca="false">Price_Scenarios!C8</f>
        <v>8500</v>
      </c>
      <c r="D6" s="24" t="n">
        <f aca="false">Price_Scenarios!D8</f>
        <v>8670</v>
      </c>
      <c r="E6" s="24" t="n">
        <f aca="false">Price_Scenarios!E8</f>
        <v>8843.4</v>
      </c>
      <c r="F6" s="24" t="n">
        <f aca="false">Price_Scenarios!F8</f>
        <v>9020.268</v>
      </c>
      <c r="G6" s="24" t="n">
        <f aca="false">Price_Scenarios!G8</f>
        <v>9200.67336</v>
      </c>
    </row>
    <row r="7" customFormat="false" ht="15" hidden="false" customHeight="false" outlineLevel="0" collapsed="false">
      <c r="B7" s="6" t="s">
        <v>164</v>
      </c>
      <c r="C7" s="28" t="n">
        <f aca="false">C5*C6/1000000</f>
        <v>4250</v>
      </c>
      <c r="D7" s="28" t="n">
        <f aca="false">D5*D6/1000000</f>
        <v>4465.05</v>
      </c>
      <c r="E7" s="28" t="n">
        <f aca="false">E5*E6/1000000</f>
        <v>4690.98153</v>
      </c>
      <c r="F7" s="28" t="n">
        <f aca="false">F5*F6/1000000</f>
        <v>4928.345195418</v>
      </c>
      <c r="G7" s="28" t="n">
        <f aca="false">G5*G6/1000000</f>
        <v>5177.71946230615</v>
      </c>
    </row>
    <row r="8" customFormat="false" ht="15" hidden="false" customHeight="false" outlineLevel="0" collapsed="false">
      <c r="B8" s="16" t="s">
        <v>165</v>
      </c>
      <c r="C8" s="17"/>
      <c r="D8" s="17"/>
      <c r="E8" s="17"/>
      <c r="F8" s="17"/>
      <c r="G8" s="17"/>
    </row>
    <row r="9" customFormat="false" ht="15" hidden="false" customHeight="false" outlineLevel="0" collapsed="false">
      <c r="B9" s="26"/>
    </row>
    <row r="10" customFormat="false" ht="15" hidden="false" customHeight="false" outlineLevel="0" collapsed="false">
      <c r="B10" s="5" t="s">
        <v>166</v>
      </c>
      <c r="C10" s="27" t="n">
        <f aca="false">-C5*C1_Unit*(1+Cost_Inflation)^0/1000000</f>
        <v>-2750</v>
      </c>
      <c r="D10" s="27" t="n">
        <f aca="false">-D5*C1_Unit*(1+Cost_Inflation)^1/1000000</f>
        <v>-2917.475</v>
      </c>
      <c r="E10" s="27" t="n">
        <f aca="false">-E5*C1_Unit*(1+Cost_Inflation)^2/1000000</f>
        <v>-3095.1492275</v>
      </c>
      <c r="F10" s="27" t="n">
        <f aca="false">-F5*C1_Unit*(1+Cost_Inflation)^3/1000000</f>
        <v>-3283.64381545475</v>
      </c>
      <c r="G10" s="27" t="n">
        <f aca="false">-G5*C1_Unit*(1+Cost_Inflation)^4/1000000</f>
        <v>-3483.61772381595</v>
      </c>
    </row>
    <row r="11" customFormat="false" ht="15" hidden="false" customHeight="false" outlineLevel="0" collapsed="false">
      <c r="B11" s="5" t="s">
        <v>167</v>
      </c>
      <c r="C11" s="27" t="n">
        <f aca="false">-Admin_Y1*(1+Admin_Growth)^0</f>
        <v>-50</v>
      </c>
      <c r="D11" s="27" t="n">
        <f aca="false">-Admin_Y1*(1+Admin_Growth)^1</f>
        <v>-51.25</v>
      </c>
      <c r="E11" s="27" t="n">
        <f aca="false">-Admin_Y1*(1+Admin_Growth)^2</f>
        <v>-52.53125</v>
      </c>
      <c r="F11" s="27" t="n">
        <f aca="false">-Admin_Y1*(1+Admin_Growth)^3</f>
        <v>-53.84453125</v>
      </c>
      <c r="G11" s="27" t="n">
        <f aca="false">-Admin_Y1*(1+Admin_Growth)^4</f>
        <v>-55.19064453125</v>
      </c>
    </row>
    <row r="12" customFormat="false" ht="15" hidden="false" customHeight="false" outlineLevel="0" collapsed="false">
      <c r="B12" s="6" t="s">
        <v>168</v>
      </c>
      <c r="C12" s="28" t="n">
        <f aca="false">C7+C10+C11</f>
        <v>1450</v>
      </c>
      <c r="D12" s="28" t="n">
        <f aca="false">D7+D10+D11</f>
        <v>1496.325</v>
      </c>
      <c r="E12" s="28" t="n">
        <f aca="false">E7+E10+E11</f>
        <v>1543.3010525</v>
      </c>
      <c r="F12" s="28" t="n">
        <f aca="false">F7+F10+F11</f>
        <v>1590.85684871325</v>
      </c>
      <c r="G12" s="28" t="n">
        <f aca="false">G7+G10+G11</f>
        <v>1638.91109395896</v>
      </c>
    </row>
    <row r="13" customFormat="false" ht="15" hidden="false" customHeight="false" outlineLevel="0" collapsed="false">
      <c r="B13" s="5" t="s">
        <v>169</v>
      </c>
      <c r="C13" s="27" t="n">
        <f aca="false">-Capex_Depr!C18</f>
        <v>-93.3333333333333</v>
      </c>
      <c r="D13" s="27" t="n">
        <f aca="false">-Capex_Depr!D18</f>
        <v>-127.213333333333</v>
      </c>
      <c r="E13" s="27" t="n">
        <f aca="false">-Capex_Depr!E18</f>
        <v>-162.583533333333</v>
      </c>
      <c r="F13" s="27" t="n">
        <f aca="false">-Capex_Depr!F18</f>
        <v>-199.382759453333</v>
      </c>
      <c r="G13" s="27" t="n">
        <f aca="false">-Capex_Depr!G18</f>
        <v>-237.672499235005</v>
      </c>
    </row>
    <row r="14" customFormat="false" ht="15" hidden="false" customHeight="false" outlineLevel="0" collapsed="false">
      <c r="B14" s="6" t="s">
        <v>170</v>
      </c>
      <c r="C14" s="28" t="n">
        <f aca="false">C12+C13</f>
        <v>1356.66666666667</v>
      </c>
      <c r="D14" s="28" t="n">
        <f aca="false">D12+D13</f>
        <v>1369.11166666667</v>
      </c>
      <c r="E14" s="28" t="n">
        <f aca="false">E12+E13</f>
        <v>1380.71751916667</v>
      </c>
      <c r="F14" s="28" t="n">
        <f aca="false">F12+F13</f>
        <v>1391.47408925992</v>
      </c>
      <c r="G14" s="28" t="n">
        <f aca="false">G12+G13</f>
        <v>1401.23859472395</v>
      </c>
    </row>
    <row r="15" customFormat="false" ht="15" hidden="false" customHeight="false" outlineLevel="0" collapsed="false">
      <c r="B15" s="5" t="s">
        <v>171</v>
      </c>
      <c r="C15" s="27" t="n">
        <f aca="false">-Debt_Schedule!C21</f>
        <v>-32.5</v>
      </c>
      <c r="D15" s="27" t="n">
        <f aca="false">-Debt_Schedule!D21</f>
        <v>-27.8571428571429</v>
      </c>
      <c r="E15" s="27" t="n">
        <f aca="false">-Debt_Schedule!E21</f>
        <v>-23.2142857142857</v>
      </c>
      <c r="F15" s="27" t="n">
        <f aca="false">-Debt_Schedule!F21</f>
        <v>-18.5714285714286</v>
      </c>
      <c r="G15" s="27" t="n">
        <f aca="false">-Debt_Schedule!G21</f>
        <v>-13.9285714285714</v>
      </c>
    </row>
    <row r="16" customFormat="false" ht="15" hidden="false" customHeight="false" outlineLevel="0" collapsed="false">
      <c r="B16" s="5" t="s">
        <v>172</v>
      </c>
      <c r="C16" s="27" t="n">
        <f aca="false">-Debt_Schedule!C18</f>
        <v>-1</v>
      </c>
      <c r="D16" s="27" t="n">
        <f aca="false">-Debt_Schedule!D18</f>
        <v>-1</v>
      </c>
      <c r="E16" s="27" t="n">
        <f aca="false">-Debt_Schedule!E18</f>
        <v>-1</v>
      </c>
      <c r="F16" s="27" t="n">
        <f aca="false">-Debt_Schedule!F18</f>
        <v>-1</v>
      </c>
      <c r="G16" s="27" t="n">
        <f aca="false">-Debt_Schedule!G18</f>
        <v>-1</v>
      </c>
    </row>
    <row r="17" customFormat="false" ht="15" hidden="false" customHeight="false" outlineLevel="0" collapsed="false">
      <c r="B17" s="6" t="s">
        <v>173</v>
      </c>
      <c r="C17" s="28" t="n">
        <f aca="false">C14+C15+C16</f>
        <v>1323.16666666667</v>
      </c>
      <c r="D17" s="28" t="n">
        <f aca="false">D14+D15+D16</f>
        <v>1340.25452380952</v>
      </c>
      <c r="E17" s="28" t="n">
        <f aca="false">E14+E15+E16</f>
        <v>1356.50323345238</v>
      </c>
      <c r="F17" s="28" t="n">
        <f aca="false">F14+F15+F16</f>
        <v>1371.90266068849</v>
      </c>
      <c r="G17" s="28" t="n">
        <f aca="false">G14+G15+G16</f>
        <v>1386.31002329538</v>
      </c>
    </row>
    <row r="18" customFormat="false" ht="15" hidden="false" customHeight="false" outlineLevel="0" collapsed="false">
      <c r="B18" s="5" t="s">
        <v>174</v>
      </c>
      <c r="C18" s="27" t="n">
        <f aca="false">-MAX(0,C17)*Tax_Rate</f>
        <v>-330.791666666667</v>
      </c>
      <c r="D18" s="27" t="n">
        <f aca="false">-MAX(0,D17)*Tax_Rate</f>
        <v>-335.063630952381</v>
      </c>
      <c r="E18" s="27" t="n">
        <f aca="false">-MAX(0,E17)*Tax_Rate</f>
        <v>-339.125808363095</v>
      </c>
      <c r="F18" s="27" t="n">
        <f aca="false">-MAX(0,F17)*Tax_Rate</f>
        <v>-342.975665172122</v>
      </c>
      <c r="G18" s="27" t="n">
        <f aca="false">-MAX(0,G17)*Tax_Rate</f>
        <v>-346.577505823845</v>
      </c>
    </row>
    <row r="19" customFormat="false" ht="15" hidden="false" customHeight="false" outlineLevel="0" collapsed="false">
      <c r="B19" s="6" t="s">
        <v>175</v>
      </c>
      <c r="C19" s="29" t="n">
        <f aca="false">C17+C18</f>
        <v>992.375</v>
      </c>
      <c r="D19" s="29" t="n">
        <f aca="false">D17+D18</f>
        <v>1005.19089285714</v>
      </c>
      <c r="E19" s="29" t="n">
        <f aca="false">E17+E18</f>
        <v>1017.37742508929</v>
      </c>
      <c r="F19" s="29" t="n">
        <f aca="false">F17+F18</f>
        <v>1028.92699551637</v>
      </c>
      <c r="G19" s="29" t="n">
        <f aca="false">G17+G18</f>
        <v>1039.73251747154</v>
      </c>
    </row>
    <row r="21" customFormat="false" ht="15" hidden="false" customHeight="false" outlineLevel="0" collapsed="false">
      <c r="B21" s="26"/>
    </row>
    <row r="22" customFormat="false" ht="15" hidden="false" customHeight="false" outlineLevel="0" collapsed="false">
      <c r="B22" s="16" t="s">
        <v>176</v>
      </c>
      <c r="C22" s="17"/>
      <c r="D22" s="17"/>
      <c r="E22" s="17"/>
      <c r="F22" s="17"/>
      <c r="G22" s="17"/>
    </row>
    <row r="23" customFormat="false" ht="15" hidden="false" customHeight="false" outlineLevel="0" collapsed="false">
      <c r="B23" s="30" t="s">
        <v>177</v>
      </c>
      <c r="C23" s="31" t="n">
        <f aca="false">C5*Price_Scenarios!C5/1000000</f>
        <v>4250</v>
      </c>
      <c r="D23" s="31" t="n">
        <f aca="false">D5*Price_Scenarios!D5/1000000</f>
        <v>4465.05</v>
      </c>
      <c r="E23" s="31" t="n">
        <f aca="false">E5*Price_Scenarios!E5/1000000</f>
        <v>4690.98153</v>
      </c>
      <c r="F23" s="31" t="n">
        <f aca="false">F5*Price_Scenarios!F5/1000000</f>
        <v>4928.345195418</v>
      </c>
      <c r="G23" s="31" t="n">
        <f aca="false">G5*Price_Scenarios!G5/1000000</f>
        <v>5177.71946230615</v>
      </c>
    </row>
    <row r="24" customFormat="false" ht="15" hidden="false" customHeight="false" outlineLevel="0" collapsed="false">
      <c r="B24" s="30" t="s">
        <v>178</v>
      </c>
      <c r="C24" s="31" t="n">
        <f aca="false">C5*Price_Scenarios!C6/1000000</f>
        <v>4250</v>
      </c>
      <c r="D24" s="31" t="n">
        <f aca="false">D5*Price_Scenarios!D6/1000000</f>
        <v>4727.7</v>
      </c>
      <c r="E24" s="31" t="n">
        <f aca="false">E5*Price_Scenarios!E6/1000000</f>
        <v>5259.09348</v>
      </c>
      <c r="F24" s="31" t="n">
        <f aca="false">F5*Price_Scenarios!F6/1000000</f>
        <v>5850.215587152</v>
      </c>
      <c r="G24" s="31" t="n">
        <f aca="false">G5*Price_Scenarios!G6/1000000</f>
        <v>6507.77981914789</v>
      </c>
    </row>
    <row r="25" customFormat="false" ht="15" hidden="false" customHeight="false" outlineLevel="0" collapsed="false">
      <c r="B25" s="30" t="s">
        <v>179</v>
      </c>
      <c r="C25" s="31" t="n">
        <f aca="false">C5*Price_Scenarios!C7/1000000</f>
        <v>4250</v>
      </c>
      <c r="D25" s="31" t="n">
        <f aca="false">D5*Price_Scenarios!D7/1000000</f>
        <v>4158.625</v>
      </c>
      <c r="E25" s="31" t="n">
        <f aca="false">E5*Price_Scenarios!E7/1000000</f>
        <v>4069.2145625</v>
      </c>
      <c r="F25" s="31" t="n">
        <f aca="false">F5*Price_Scenarios!F7/1000000</f>
        <v>3981.72644940625</v>
      </c>
      <c r="G25" s="31" t="n">
        <f aca="false">G5*Price_Scenarios!G7/1000000</f>
        <v>3896.11933074402</v>
      </c>
    </row>
    <row r="26" customFormat="false" ht="15" hidden="false" customHeight="false" outlineLevel="0" collapsed="false">
      <c r="B26" s="30" t="s">
        <v>180</v>
      </c>
      <c r="C26" s="31" t="n">
        <f aca="false">C23+C10+C11</f>
        <v>1450</v>
      </c>
      <c r="D26" s="31" t="n">
        <f aca="false">D23+D10+D11</f>
        <v>1496.325</v>
      </c>
      <c r="E26" s="31" t="n">
        <f aca="false">E23+E10+E11</f>
        <v>1543.3010525</v>
      </c>
      <c r="F26" s="31" t="n">
        <f aca="false">F23+F10+F11</f>
        <v>1590.85684871325</v>
      </c>
      <c r="G26" s="31" t="n">
        <f aca="false">G23+G10+G11</f>
        <v>1638.91109395896</v>
      </c>
    </row>
    <row r="27" customFormat="false" ht="15" hidden="false" customHeight="false" outlineLevel="0" collapsed="false">
      <c r="B27" s="30" t="s">
        <v>181</v>
      </c>
      <c r="C27" s="31" t="n">
        <f aca="false">C24+C10+C11</f>
        <v>1450</v>
      </c>
      <c r="D27" s="31" t="n">
        <f aca="false">D24+D10+D11</f>
        <v>1758.975</v>
      </c>
      <c r="E27" s="31" t="n">
        <f aca="false">E24+E10+E11</f>
        <v>2111.4130025</v>
      </c>
      <c r="F27" s="31" t="n">
        <f aca="false">F24+F10+F11</f>
        <v>2512.72724044725</v>
      </c>
      <c r="G27" s="31" t="n">
        <f aca="false">G24+G10+G11</f>
        <v>2968.97145080069</v>
      </c>
    </row>
    <row r="28" customFormat="false" ht="15" hidden="false" customHeight="false" outlineLevel="0" collapsed="false">
      <c r="B28" s="30" t="s">
        <v>182</v>
      </c>
      <c r="C28" s="31" t="n">
        <f aca="false">C25+C10+C11</f>
        <v>1450</v>
      </c>
      <c r="D28" s="31" t="n">
        <f aca="false">D25+D10+D11</f>
        <v>1189.9</v>
      </c>
      <c r="E28" s="31" t="n">
        <f aca="false">E25+E10+E11</f>
        <v>921.534085</v>
      </c>
      <c r="F28" s="31" t="n">
        <f aca="false">F25+F10+F11</f>
        <v>644.2381027015</v>
      </c>
      <c r="G28" s="31" t="n">
        <f aca="false">G25+G10+G11</f>
        <v>357.310962396821</v>
      </c>
    </row>
    <row r="29" customFormat="false" ht="15" hidden="false" customHeight="false" outlineLevel="0" collapsed="false">
      <c r="B29" s="30" t="s">
        <v>183</v>
      </c>
      <c r="C29" s="31" t="n">
        <f aca="false">MAX(0,C26+C13+C15+C16)*(1-Tax_Rate)+MIN(0,C26+C13+C15+C16)</f>
        <v>992.375</v>
      </c>
      <c r="D29" s="31" t="n">
        <f aca="false">MAX(0,D26+D13+D15+D16)*(1-Tax_Rate)+MIN(0,D26+D13+D15+D16)</f>
        <v>1005.19089285714</v>
      </c>
      <c r="E29" s="31" t="n">
        <f aca="false">MAX(0,E26+E13+E15+E16)*(1-Tax_Rate)+MIN(0,E26+E13+E15+E16)</f>
        <v>1017.37742508929</v>
      </c>
      <c r="F29" s="31" t="n">
        <f aca="false">MAX(0,F26+F13+F15+F16)*(1-Tax_Rate)+MIN(0,F26+F13+F15+F16)</f>
        <v>1028.92699551637</v>
      </c>
      <c r="G29" s="31" t="n">
        <f aca="false">MAX(0,G26+G13+G15+G16)*(1-Tax_Rate)+MIN(0,G26+G13+G15+G16)</f>
        <v>1039.73251747154</v>
      </c>
    </row>
    <row r="30" customFormat="false" ht="15" hidden="false" customHeight="false" outlineLevel="0" collapsed="false">
      <c r="B30" s="30" t="s">
        <v>184</v>
      </c>
      <c r="C30" s="31" t="n">
        <f aca="false">MAX(0,C27+C13+C15+C16)*(1-Tax_Rate)+MIN(0,C27+C13+C15+C16)</f>
        <v>992.375</v>
      </c>
      <c r="D30" s="31" t="n">
        <f aca="false">MAX(0,D27+D13+D15+D16)*(1-Tax_Rate)+MIN(0,D27+D13+D15+D16)</f>
        <v>1202.17839285714</v>
      </c>
      <c r="E30" s="31" t="n">
        <f aca="false">MAX(0,E27+E13+E15+E16)*(1-Tax_Rate)+MIN(0,E27+E13+E15+E16)</f>
        <v>1443.46138758929</v>
      </c>
      <c r="F30" s="31" t="n">
        <f aca="false">MAX(0,F27+F13+F15+F16)*(1-Tax_Rate)+MIN(0,F27+F13+F15+F16)</f>
        <v>1720.32978931687</v>
      </c>
      <c r="G30" s="31" t="n">
        <f aca="false">MAX(0,G27+G13+G15+G16)*(1-Tax_Rate)+MIN(0,G27+G13+G15+G16)</f>
        <v>2037.27778510284</v>
      </c>
    </row>
    <row r="31" customFormat="false" ht="15" hidden="false" customHeight="false" outlineLevel="0" collapsed="false">
      <c r="B31" s="30" t="s">
        <v>185</v>
      </c>
      <c r="C31" s="31" t="n">
        <f aca="false">MAX(0,C28+C13+C15+C16)*(1-Tax_Rate)+MIN(0,C28+C13+C15+C16)</f>
        <v>992.375</v>
      </c>
      <c r="D31" s="31" t="n">
        <f aca="false">MAX(0,D28+D13+D15+D16)*(1-Tax_Rate)+MIN(0,D28+D13+D15+D16)</f>
        <v>775.372142857143</v>
      </c>
      <c r="E31" s="31" t="n">
        <f aca="false">MAX(0,E28+E13+E15+E16)*(1-Tax_Rate)+MIN(0,E28+E13+E15+E16)</f>
        <v>551.052199464286</v>
      </c>
      <c r="F31" s="31" t="n">
        <f aca="false">MAX(0,F28+F13+F15+F16)*(1-Tax_Rate)+MIN(0,F28+F13+F15+F16)</f>
        <v>318.962936007554</v>
      </c>
      <c r="G31" s="31" t="n">
        <f aca="false">MAX(0,G28+G13+G15+G16)*(1-Tax_Rate)+MIN(0,G28+G13+G15+G16)</f>
        <v>78.5324187999332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AD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186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3"/>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161</v>
      </c>
      <c r="C4" s="17"/>
      <c r="D4" s="17"/>
      <c r="E4" s="17"/>
      <c r="F4" s="17"/>
      <c r="G4" s="17"/>
    </row>
    <row r="5" customFormat="false" ht="15" hidden="false" customHeight="false" outlineLevel="0" collapsed="false">
      <c r="B5" s="5" t="s">
        <v>162</v>
      </c>
      <c r="C5" s="24" t="n">
        <f aca="false">Unhedged_PL!C5</f>
        <v>500000</v>
      </c>
      <c r="D5" s="24" t="n">
        <f aca="false">Unhedged_PL!D5</f>
        <v>515000</v>
      </c>
      <c r="E5" s="24" t="n">
        <f aca="false">Unhedged_PL!E5</f>
        <v>530450</v>
      </c>
      <c r="F5" s="24" t="n">
        <f aca="false">Unhedged_PL!F5</f>
        <v>546363.5</v>
      </c>
      <c r="G5" s="24" t="n">
        <f aca="false">Unhedged_PL!G5</f>
        <v>562754.405</v>
      </c>
    </row>
    <row r="6" customFormat="false" ht="15" hidden="false" customHeight="false" outlineLevel="0" collapsed="false">
      <c r="B6" s="5" t="s">
        <v>187</v>
      </c>
      <c r="C6" s="27" t="n">
        <f aca="false">Unhedged_PL!C7</f>
        <v>4250</v>
      </c>
      <c r="D6" s="27" t="n">
        <f aca="false">Unhedged_PL!D7</f>
        <v>4465.05</v>
      </c>
      <c r="E6" s="27" t="n">
        <f aca="false">Unhedged_PL!E7</f>
        <v>4690.98153</v>
      </c>
      <c r="F6" s="27" t="n">
        <f aca="false">Unhedged_PL!F7</f>
        <v>4928.345195418</v>
      </c>
      <c r="G6" s="27" t="n">
        <f aca="false">Unhedged_PL!G7</f>
        <v>5177.71946230615</v>
      </c>
    </row>
    <row r="7" customFormat="false" ht="15" hidden="false" customHeight="false" outlineLevel="0" collapsed="false">
      <c r="B7" s="5" t="s">
        <v>188</v>
      </c>
      <c r="C7" s="27" t="n">
        <f aca="false">Hedge_Portfolio!C32</f>
        <v>-15</v>
      </c>
      <c r="D7" s="27" t="n">
        <f aca="false">Hedge_Portfolio!D32</f>
        <v>-43.775</v>
      </c>
      <c r="E7" s="27" t="n">
        <f aca="false">Hedge_Portfolio!E32</f>
        <v>-91.0782649999999</v>
      </c>
      <c r="F7" s="27" t="n">
        <f aca="false">Hedge_Portfolio!F32</f>
        <v>-142.127722709</v>
      </c>
      <c r="G7" s="27" t="n">
        <f aca="false">Hedge_Portfolio!G32</f>
        <v>-197.153509903076</v>
      </c>
    </row>
    <row r="8" customFormat="false" ht="15" hidden="false" customHeight="false" outlineLevel="0" collapsed="false">
      <c r="B8" s="6" t="s">
        <v>189</v>
      </c>
      <c r="C8" s="29" t="n">
        <f aca="false">C6+C7</f>
        <v>4235</v>
      </c>
      <c r="D8" s="29" t="n">
        <f aca="false">D6+D7</f>
        <v>4421.275</v>
      </c>
      <c r="E8" s="29" t="n">
        <f aca="false">E6+E7</f>
        <v>4599.903265</v>
      </c>
      <c r="F8" s="29" t="n">
        <f aca="false">F6+F7</f>
        <v>4786.217472709</v>
      </c>
      <c r="G8" s="29" t="n">
        <f aca="false">G6+G7</f>
        <v>4980.56595240308</v>
      </c>
    </row>
    <row r="9" customFormat="false" ht="15" hidden="false" customHeight="false" outlineLevel="0" collapsed="false">
      <c r="B9" s="16" t="s">
        <v>165</v>
      </c>
      <c r="C9" s="17"/>
      <c r="D9" s="17"/>
      <c r="E9" s="17"/>
      <c r="F9" s="17"/>
      <c r="G9" s="17"/>
    </row>
    <row r="10" customFormat="false" ht="15" hidden="false" customHeight="false" outlineLevel="0" collapsed="false">
      <c r="B10" s="26"/>
    </row>
    <row r="11" customFormat="false" ht="15" hidden="false" customHeight="false" outlineLevel="0" collapsed="false">
      <c r="B11" s="5" t="s">
        <v>166</v>
      </c>
      <c r="C11" s="27" t="n">
        <f aca="false">Unhedged_PL!C10</f>
        <v>-2750</v>
      </c>
      <c r="D11" s="27" t="n">
        <f aca="false">Unhedged_PL!D10</f>
        <v>-2917.475</v>
      </c>
      <c r="E11" s="27" t="n">
        <f aca="false">Unhedged_PL!E10</f>
        <v>-3095.1492275</v>
      </c>
      <c r="F11" s="27" t="n">
        <f aca="false">Unhedged_PL!F10</f>
        <v>-3283.64381545475</v>
      </c>
      <c r="G11" s="27" t="n">
        <f aca="false">Unhedged_PL!G10</f>
        <v>-3483.61772381595</v>
      </c>
    </row>
    <row r="12" customFormat="false" ht="15" hidden="false" customHeight="false" outlineLevel="0" collapsed="false">
      <c r="B12" s="5" t="s">
        <v>167</v>
      </c>
      <c r="C12" s="27" t="n">
        <f aca="false">Unhedged_PL!C11</f>
        <v>-50</v>
      </c>
      <c r="D12" s="27" t="n">
        <f aca="false">Unhedged_PL!D11</f>
        <v>-51.25</v>
      </c>
      <c r="E12" s="27" t="n">
        <f aca="false">Unhedged_PL!E11</f>
        <v>-52.53125</v>
      </c>
      <c r="F12" s="27" t="n">
        <f aca="false">Unhedged_PL!F11</f>
        <v>-53.84453125</v>
      </c>
      <c r="G12" s="27" t="n">
        <f aca="false">Unhedged_PL!G11</f>
        <v>-55.19064453125</v>
      </c>
    </row>
    <row r="13" customFormat="false" ht="15" hidden="false" customHeight="false" outlineLevel="0" collapsed="false">
      <c r="B13" s="6" t="s">
        <v>168</v>
      </c>
      <c r="C13" s="28" t="n">
        <f aca="false">C8+C11+C12</f>
        <v>1435</v>
      </c>
      <c r="D13" s="28" t="n">
        <f aca="false">D8+D11+D12</f>
        <v>1452.55</v>
      </c>
      <c r="E13" s="28" t="n">
        <f aca="false">E8+E11+E12</f>
        <v>1452.2227875</v>
      </c>
      <c r="F13" s="28" t="n">
        <f aca="false">F8+F11+F12</f>
        <v>1448.72912600425</v>
      </c>
      <c r="G13" s="28" t="n">
        <f aca="false">G8+G11+G12</f>
        <v>1441.75758405588</v>
      </c>
    </row>
    <row r="14" customFormat="false" ht="15" hidden="false" customHeight="false" outlineLevel="0" collapsed="false">
      <c r="B14" s="5" t="s">
        <v>169</v>
      </c>
      <c r="C14" s="27" t="n">
        <f aca="false">Unhedged_PL!C13</f>
        <v>-93.3333333333333</v>
      </c>
      <c r="D14" s="27" t="n">
        <f aca="false">Unhedged_PL!D13</f>
        <v>-127.213333333333</v>
      </c>
      <c r="E14" s="27" t="n">
        <f aca="false">Unhedged_PL!E13</f>
        <v>-162.583533333333</v>
      </c>
      <c r="F14" s="27" t="n">
        <f aca="false">Unhedged_PL!F13</f>
        <v>-199.382759453333</v>
      </c>
      <c r="G14" s="27" t="n">
        <f aca="false">Unhedged_PL!G13</f>
        <v>-237.672499235005</v>
      </c>
    </row>
    <row r="15" customFormat="false" ht="15" hidden="false" customHeight="false" outlineLevel="0" collapsed="false">
      <c r="B15" s="6" t="s">
        <v>170</v>
      </c>
      <c r="C15" s="28" t="n">
        <f aca="false">C13+C14</f>
        <v>1341.66666666667</v>
      </c>
      <c r="D15" s="28" t="n">
        <f aca="false">D13+D14</f>
        <v>1325.33666666667</v>
      </c>
      <c r="E15" s="28" t="n">
        <f aca="false">E13+E14</f>
        <v>1289.63925416667</v>
      </c>
      <c r="F15" s="28" t="n">
        <f aca="false">F13+F14</f>
        <v>1249.34636655092</v>
      </c>
      <c r="G15" s="28" t="n">
        <f aca="false">G13+G14</f>
        <v>1204.08508482088</v>
      </c>
    </row>
    <row r="16" customFormat="false" ht="15" hidden="false" customHeight="false" outlineLevel="0" collapsed="false">
      <c r="B16" s="5" t="s">
        <v>171</v>
      </c>
      <c r="C16" s="27" t="n">
        <f aca="false">Unhedged_PL!C15</f>
        <v>-32.5</v>
      </c>
      <c r="D16" s="27" t="n">
        <f aca="false">Unhedged_PL!D15</f>
        <v>-27.8571428571429</v>
      </c>
      <c r="E16" s="27" t="n">
        <f aca="false">Unhedged_PL!E15</f>
        <v>-23.2142857142857</v>
      </c>
      <c r="F16" s="27" t="n">
        <f aca="false">Unhedged_PL!F15</f>
        <v>-18.5714285714286</v>
      </c>
      <c r="G16" s="27" t="n">
        <f aca="false">Unhedged_PL!G15</f>
        <v>-13.9285714285714</v>
      </c>
    </row>
    <row r="17" customFormat="false" ht="15" hidden="false" customHeight="false" outlineLevel="0" collapsed="false">
      <c r="B17" s="5" t="s">
        <v>172</v>
      </c>
      <c r="C17" s="27" t="n">
        <f aca="false">Unhedged_PL!C16</f>
        <v>-1</v>
      </c>
      <c r="D17" s="27" t="n">
        <f aca="false">Unhedged_PL!D16</f>
        <v>-1</v>
      </c>
      <c r="E17" s="27" t="n">
        <f aca="false">Unhedged_PL!E16</f>
        <v>-1</v>
      </c>
      <c r="F17" s="27" t="n">
        <f aca="false">Unhedged_PL!F16</f>
        <v>-1</v>
      </c>
      <c r="G17" s="27" t="n">
        <f aca="false">Unhedged_PL!G16</f>
        <v>-1</v>
      </c>
    </row>
    <row r="18" customFormat="false" ht="15" hidden="false" customHeight="false" outlineLevel="0" collapsed="false">
      <c r="B18" s="6" t="s">
        <v>173</v>
      </c>
      <c r="C18" s="28" t="n">
        <f aca="false">C15+C16+C17</f>
        <v>1308.16666666667</v>
      </c>
      <c r="D18" s="28" t="n">
        <f aca="false">D15+D16+D17</f>
        <v>1296.47952380952</v>
      </c>
      <c r="E18" s="28" t="n">
        <f aca="false">E15+E16+E17</f>
        <v>1265.42496845238</v>
      </c>
      <c r="F18" s="28" t="n">
        <f aca="false">F15+F16+F17</f>
        <v>1229.77493797949</v>
      </c>
      <c r="G18" s="28" t="n">
        <f aca="false">G15+G16+G17</f>
        <v>1189.1565133923</v>
      </c>
    </row>
    <row r="19" customFormat="false" ht="15" hidden="false" customHeight="false" outlineLevel="0" collapsed="false">
      <c r="B19" s="5" t="s">
        <v>174</v>
      </c>
      <c r="C19" s="27" t="n">
        <f aca="false">-MAX(0,C18)*Tax_Rate</f>
        <v>-327.041666666667</v>
      </c>
      <c r="D19" s="27" t="n">
        <f aca="false">-MAX(0,D18)*Tax_Rate</f>
        <v>-324.119880952381</v>
      </c>
      <c r="E19" s="27" t="n">
        <f aca="false">-MAX(0,E18)*Tax_Rate</f>
        <v>-316.356242113095</v>
      </c>
      <c r="F19" s="27" t="n">
        <f aca="false">-MAX(0,F18)*Tax_Rate</f>
        <v>-307.443734494872</v>
      </c>
      <c r="G19" s="27" t="n">
        <f aca="false">-MAX(0,G18)*Tax_Rate</f>
        <v>-297.289128348076</v>
      </c>
    </row>
    <row r="20" customFormat="false" ht="15" hidden="false" customHeight="false" outlineLevel="0" collapsed="false">
      <c r="B20" s="6" t="s">
        <v>175</v>
      </c>
      <c r="C20" s="29" t="n">
        <f aca="false">C18+C19</f>
        <v>981.125</v>
      </c>
      <c r="D20" s="29" t="n">
        <f aca="false">D18+D19</f>
        <v>972.359642857143</v>
      </c>
      <c r="E20" s="29" t="n">
        <f aca="false">E18+E19</f>
        <v>949.068726339286</v>
      </c>
      <c r="F20" s="29" t="n">
        <f aca="false">F18+F19</f>
        <v>922.331203484616</v>
      </c>
      <c r="G20" s="29" t="n">
        <f aca="false">G18+G19</f>
        <v>891.867385044229</v>
      </c>
    </row>
    <row r="21" customFormat="false" ht="15" hidden="false" customHeight="false" outlineLevel="0" collapsed="false">
      <c r="B21" s="5" t="s">
        <v>190</v>
      </c>
      <c r="C21" s="27" t="n">
        <f aca="false">-MAX(0,C20)*Div_Payout</f>
        <v>-392.45</v>
      </c>
      <c r="D21" s="27" t="n">
        <f aca="false">-MAX(0,D20)*Div_Payout</f>
        <v>-388.943857142857</v>
      </c>
      <c r="E21" s="27" t="n">
        <f aca="false">-MAX(0,E20)*Div_Payout</f>
        <v>-379.627490535714</v>
      </c>
      <c r="F21" s="27" t="n">
        <f aca="false">-MAX(0,F20)*Div_Payout</f>
        <v>-368.932481393846</v>
      </c>
      <c r="G21" s="27" t="n">
        <f aca="false">-MAX(0,G20)*Div_Payout</f>
        <v>-356.746954017691</v>
      </c>
    </row>
    <row r="22" customFormat="false" ht="15" hidden="false" customHeight="false" outlineLevel="0" collapsed="false">
      <c r="B22" s="5" t="s">
        <v>152</v>
      </c>
      <c r="C22" s="27" t="n">
        <f aca="false">-C8*Capex_Rate</f>
        <v>-338.8</v>
      </c>
      <c r="D22" s="27" t="n">
        <f aca="false">-D8*Capex_Rate</f>
        <v>-353.702</v>
      </c>
      <c r="E22" s="27" t="n">
        <f aca="false">-E8*Capex_Rate</f>
        <v>-367.9922612</v>
      </c>
      <c r="F22" s="27" t="n">
        <f aca="false">-F8*Capex_Rate</f>
        <v>-382.89739781672</v>
      </c>
      <c r="G22" s="27" t="n">
        <f aca="false">-G8*Capex_Rate</f>
        <v>-398.445276192246</v>
      </c>
    </row>
    <row r="24" customFormat="false" ht="15" hidden="false" customHeight="false" outlineLevel="0" collapsed="false">
      <c r="B24" s="26"/>
    </row>
    <row r="25" customFormat="false" ht="15" hidden="false" customHeight="false" outlineLevel="0" collapsed="false">
      <c r="B25" s="16" t="s">
        <v>176</v>
      </c>
      <c r="C25" s="17"/>
      <c r="D25" s="17"/>
      <c r="E25" s="17"/>
      <c r="F25" s="17"/>
      <c r="G25" s="17"/>
    </row>
    <row r="26" customFormat="false" ht="15" hidden="false" customHeight="false" outlineLevel="0" collapsed="false">
      <c r="B26" s="30" t="s">
        <v>191</v>
      </c>
      <c r="C26" s="31" t="n">
        <f aca="false">Unhedged_PL!C23+Hedge_Portfolio!C14</f>
        <v>4235</v>
      </c>
      <c r="D26" s="31" t="n">
        <f aca="false">Unhedged_PL!D23+Hedge_Portfolio!D14</f>
        <v>4421.275</v>
      </c>
      <c r="E26" s="31" t="n">
        <f aca="false">Unhedged_PL!E23+Hedge_Portfolio!E14</f>
        <v>4599.903265</v>
      </c>
      <c r="F26" s="31" t="n">
        <f aca="false">Unhedged_PL!F23+Hedge_Portfolio!F14</f>
        <v>4786.217472709</v>
      </c>
      <c r="G26" s="31" t="n">
        <f aca="false">Unhedged_PL!G23+Hedge_Portfolio!G14</f>
        <v>4980.56595240308</v>
      </c>
    </row>
    <row r="27" customFormat="false" ht="15" hidden="false" customHeight="false" outlineLevel="0" collapsed="false">
      <c r="B27" s="30" t="s">
        <v>192</v>
      </c>
      <c r="C27" s="31" t="n">
        <f aca="false">Unhedged_PL!C24+Hedge_Portfolio!C21</f>
        <v>4235</v>
      </c>
      <c r="D27" s="31" t="n">
        <f aca="false">Unhedged_PL!D24+Hedge_Portfolio!D21</f>
        <v>4552.6</v>
      </c>
      <c r="E27" s="31" t="n">
        <f aca="false">Unhedged_PL!E24+Hedge_Portfolio!E21</f>
        <v>4883.95924</v>
      </c>
      <c r="F27" s="31" t="n">
        <f aca="false">Unhedged_PL!F24+Hedge_Portfolio!F21</f>
        <v>5247.152668576</v>
      </c>
      <c r="G27" s="31" t="n">
        <f aca="false">Unhedged_PL!G24+Hedge_Portfolio!G21</f>
        <v>5645.59613082394</v>
      </c>
    </row>
    <row r="28" customFormat="false" ht="15" hidden="false" customHeight="false" outlineLevel="0" collapsed="false">
      <c r="B28" s="30" t="s">
        <v>193</v>
      </c>
      <c r="C28" s="31" t="n">
        <f aca="false">Unhedged_PL!C25+Hedge_Portfolio!C28</f>
        <v>4235</v>
      </c>
      <c r="D28" s="31" t="n">
        <f aca="false">Unhedged_PL!D25+Hedge_Portfolio!D28</f>
        <v>4268.0625</v>
      </c>
      <c r="E28" s="31" t="n">
        <f aca="false">Unhedged_PL!E25+Hedge_Portfolio!E28</f>
        <v>4323.89686875</v>
      </c>
      <c r="F28" s="31" t="n">
        <f aca="false">Unhedged_PL!F25+Hedge_Portfolio!F28</f>
        <v>4390.74440982188</v>
      </c>
      <c r="G28" s="31" t="n">
        <f aca="false">Unhedged_PL!G25+Hedge_Portfolio!G28</f>
        <v>4460.94906847321</v>
      </c>
    </row>
    <row r="29" customFormat="false" ht="15" hidden="false" customHeight="false" outlineLevel="0" collapsed="false">
      <c r="B29" s="30" t="s">
        <v>194</v>
      </c>
      <c r="C29" s="31" t="n">
        <f aca="false">C26+Unhedged_PL!C10+Unhedged_PL!C11</f>
        <v>1435</v>
      </c>
      <c r="D29" s="31" t="n">
        <f aca="false">D26+Unhedged_PL!D10+Unhedged_PL!D11</f>
        <v>1452.55</v>
      </c>
      <c r="E29" s="31" t="n">
        <f aca="false">E26+Unhedged_PL!E10+Unhedged_PL!E11</f>
        <v>1452.2227875</v>
      </c>
      <c r="F29" s="31" t="n">
        <f aca="false">F26+Unhedged_PL!F10+Unhedged_PL!F11</f>
        <v>1448.72912600425</v>
      </c>
      <c r="G29" s="31" t="n">
        <f aca="false">G26+Unhedged_PL!G10+Unhedged_PL!G11</f>
        <v>1441.75758405588</v>
      </c>
    </row>
    <row r="30" customFormat="false" ht="15" hidden="false" customHeight="false" outlineLevel="0" collapsed="false">
      <c r="B30" s="30" t="s">
        <v>195</v>
      </c>
      <c r="C30" s="31" t="n">
        <f aca="false">C27+Unhedged_PL!C10+Unhedged_PL!C11</f>
        <v>1435</v>
      </c>
      <c r="D30" s="31" t="n">
        <f aca="false">D27+Unhedged_PL!D10+Unhedged_PL!D11</f>
        <v>1583.875</v>
      </c>
      <c r="E30" s="31" t="n">
        <f aca="false">E27+Unhedged_PL!E10+Unhedged_PL!E11</f>
        <v>1736.2787625</v>
      </c>
      <c r="F30" s="31" t="n">
        <f aca="false">F27+Unhedged_PL!F10+Unhedged_PL!F11</f>
        <v>1909.66432187125</v>
      </c>
      <c r="G30" s="31" t="n">
        <f aca="false">G27+Unhedged_PL!G10+Unhedged_PL!G11</f>
        <v>2106.78776247675</v>
      </c>
    </row>
    <row r="31" customFormat="false" ht="15" hidden="false" customHeight="false" outlineLevel="0" collapsed="false">
      <c r="B31" s="30" t="s">
        <v>196</v>
      </c>
      <c r="C31" s="31" t="n">
        <f aca="false">C28+Unhedged_PL!C10+Unhedged_PL!C11</f>
        <v>1435</v>
      </c>
      <c r="D31" s="31" t="n">
        <f aca="false">D28+Unhedged_PL!D10+Unhedged_PL!D11</f>
        <v>1299.3375</v>
      </c>
      <c r="E31" s="31" t="n">
        <f aca="false">E28+Unhedged_PL!E10+Unhedged_PL!E11</f>
        <v>1176.21639125</v>
      </c>
      <c r="F31" s="31" t="n">
        <f aca="false">F28+Unhedged_PL!F10+Unhedged_PL!F11</f>
        <v>1053.25606311712</v>
      </c>
      <c r="G31" s="31" t="n">
        <f aca="false">G28+Unhedged_PL!G10+Unhedged_PL!G11</f>
        <v>922.140700126011</v>
      </c>
    </row>
    <row r="32" customFormat="false" ht="15" hidden="false" customHeight="false" outlineLevel="0" collapsed="false">
      <c r="B32" s="30" t="s">
        <v>197</v>
      </c>
      <c r="C32" s="31" t="n">
        <f aca="false">MAX(0,C29+C14+C16+C17)*(1-Tax_Rate)+MIN(0,C29+C14+C16+C17)</f>
        <v>981.125</v>
      </c>
      <c r="D32" s="31" t="n">
        <f aca="false">MAX(0,D29+D14+D16+D17)*(1-Tax_Rate)+MIN(0,D29+D14+D16+D17)</f>
        <v>972.359642857143</v>
      </c>
      <c r="E32" s="31" t="n">
        <f aca="false">MAX(0,E29+E14+E16+E17)*(1-Tax_Rate)+MIN(0,E29+E14+E16+E17)</f>
        <v>949.068726339286</v>
      </c>
      <c r="F32" s="31" t="n">
        <f aca="false">MAX(0,F29+F14+F16+F17)*(1-Tax_Rate)+MIN(0,F29+F14+F16+F17)</f>
        <v>922.331203484616</v>
      </c>
      <c r="G32" s="31" t="n">
        <f aca="false">MAX(0,G29+G14+G16+G17)*(1-Tax_Rate)+MIN(0,G29+G14+G16+G17)</f>
        <v>891.867385044229</v>
      </c>
    </row>
    <row r="33" customFormat="false" ht="15" hidden="false" customHeight="false" outlineLevel="0" collapsed="false">
      <c r="B33" s="30" t="s">
        <v>198</v>
      </c>
      <c r="C33" s="31" t="n">
        <f aca="false">MAX(0,C30+C14+C16+C17)*(1-Tax_Rate)+MIN(0,C30+C14+C16+C17)</f>
        <v>981.125</v>
      </c>
      <c r="D33" s="31" t="n">
        <f aca="false">MAX(0,D30+D14+D16+D17)*(1-Tax_Rate)+MIN(0,D30+D14+D16+D17)</f>
        <v>1070.85339285714</v>
      </c>
      <c r="E33" s="31" t="n">
        <f aca="false">MAX(0,E30+E14+E16+E17)*(1-Tax_Rate)+MIN(0,E30+E14+E16+E17)</f>
        <v>1162.11070758929</v>
      </c>
      <c r="F33" s="31" t="n">
        <f aca="false">MAX(0,F30+F14+F16+F17)*(1-Tax_Rate)+MIN(0,F30+F14+F16+F17)</f>
        <v>1268.03260038487</v>
      </c>
      <c r="G33" s="31" t="n">
        <f aca="false">MAX(0,G30+G14+G16+G17)*(1-Tax_Rate)+MIN(0,G30+G14+G16+G17)</f>
        <v>1390.64001885988</v>
      </c>
    </row>
    <row r="34" customFormat="false" ht="15" hidden="false" customHeight="false" outlineLevel="0" collapsed="false">
      <c r="B34" s="30" t="s">
        <v>199</v>
      </c>
      <c r="C34" s="31" t="n">
        <f aca="false">MAX(0,C31+C14+C16+C17)*(1-Tax_Rate)+MIN(0,C31+C14+C16+C17)</f>
        <v>981.125</v>
      </c>
      <c r="D34" s="31" t="n">
        <f aca="false">MAX(0,D31+D14+D16+D17)*(1-Tax_Rate)+MIN(0,D31+D14+D16+D17)</f>
        <v>857.450267857143</v>
      </c>
      <c r="E34" s="31" t="n">
        <f aca="false">MAX(0,E31+E14+E16+E17)*(1-Tax_Rate)+MIN(0,E31+E14+E16+E17)</f>
        <v>742.063929151786</v>
      </c>
      <c r="F34" s="31" t="n">
        <f aca="false">MAX(0,F31+F14+F16+F17)*(1-Tax_Rate)+MIN(0,F31+F14+F16+F17)</f>
        <v>625.726406319272</v>
      </c>
      <c r="G34" s="31" t="n">
        <f aca="false">MAX(0,G31+G14+G16+G17)*(1-Tax_Rate)+MIN(0,G31+G14+G16+G17)</f>
        <v>502.154722096826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7" min="3" style="0" width="13"/>
    <col collapsed="false" customWidth="true" hidden="false" outlineLevel="0" max="8" min="8" style="0" width="11"/>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200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3"/>
      <c r="C3" s="15" t="s">
        <v>123</v>
      </c>
      <c r="D3" s="15" t="s">
        <v>124</v>
      </c>
      <c r="E3" s="15" t="s">
        <v>125</v>
      </c>
      <c r="F3" s="15" t="s">
        <v>126</v>
      </c>
      <c r="G3" s="15" t="s">
        <v>127</v>
      </c>
      <c r="H3" s="15" t="s">
        <v>201</v>
      </c>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202</v>
      </c>
      <c r="C4" s="17"/>
      <c r="D4" s="17"/>
      <c r="E4" s="17"/>
      <c r="F4" s="17"/>
      <c r="G4" s="17"/>
    </row>
    <row r="5" customFormat="false" ht="15" hidden="false" customHeight="false" outlineLevel="0" collapsed="false">
      <c r="B5" s="5" t="s">
        <v>177</v>
      </c>
      <c r="C5" s="27" t="n">
        <f aca="false">Unhedged_PL!C23</f>
        <v>4250</v>
      </c>
      <c r="D5" s="27" t="n">
        <f aca="false">Unhedged_PL!D23</f>
        <v>4465.05</v>
      </c>
      <c r="E5" s="27" t="n">
        <f aca="false">Unhedged_PL!E23</f>
        <v>4690.98153</v>
      </c>
      <c r="F5" s="27" t="n">
        <f aca="false">Unhedged_PL!F23</f>
        <v>4928.345195418</v>
      </c>
      <c r="G5" s="27" t="n">
        <f aca="false">Unhedged_PL!G23</f>
        <v>5177.71946230615</v>
      </c>
    </row>
    <row r="6" customFormat="false" ht="15" hidden="false" customHeight="false" outlineLevel="0" collapsed="false">
      <c r="B6" s="5" t="s">
        <v>178</v>
      </c>
      <c r="C6" s="27" t="n">
        <f aca="false">Unhedged_PL!C24</f>
        <v>4250</v>
      </c>
      <c r="D6" s="27" t="n">
        <f aca="false">Unhedged_PL!D24</f>
        <v>4727.7</v>
      </c>
      <c r="E6" s="27" t="n">
        <f aca="false">Unhedged_PL!E24</f>
        <v>5259.09348</v>
      </c>
      <c r="F6" s="27" t="n">
        <f aca="false">Unhedged_PL!F24</f>
        <v>5850.215587152</v>
      </c>
      <c r="G6" s="27" t="n">
        <f aca="false">Unhedged_PL!G24</f>
        <v>6507.77981914789</v>
      </c>
    </row>
    <row r="7" customFormat="false" ht="15" hidden="false" customHeight="false" outlineLevel="0" collapsed="false">
      <c r="B7" s="5" t="s">
        <v>179</v>
      </c>
      <c r="C7" s="27" t="n">
        <f aca="false">Unhedged_PL!C25</f>
        <v>4250</v>
      </c>
      <c r="D7" s="27" t="n">
        <f aca="false">Unhedged_PL!D25</f>
        <v>4158.625</v>
      </c>
      <c r="E7" s="27" t="n">
        <f aca="false">Unhedged_PL!E25</f>
        <v>4069.2145625</v>
      </c>
      <c r="F7" s="27" t="n">
        <f aca="false">Unhedged_PL!F25</f>
        <v>3981.72644940625</v>
      </c>
      <c r="G7" s="27" t="n">
        <f aca="false">Unhedged_PL!G25</f>
        <v>3896.11933074402</v>
      </c>
    </row>
    <row r="8" customFormat="false" ht="15" hidden="false" customHeight="false" outlineLevel="0" collapsed="false">
      <c r="B8" s="5" t="s">
        <v>180</v>
      </c>
      <c r="C8" s="27" t="n">
        <f aca="false">Unhedged_PL!C26</f>
        <v>1450</v>
      </c>
      <c r="D8" s="27" t="n">
        <f aca="false">Unhedged_PL!D26</f>
        <v>1496.325</v>
      </c>
      <c r="E8" s="27" t="n">
        <f aca="false">Unhedged_PL!E26</f>
        <v>1543.3010525</v>
      </c>
      <c r="F8" s="27" t="n">
        <f aca="false">Unhedged_PL!F26</f>
        <v>1590.85684871325</v>
      </c>
      <c r="G8" s="27" t="n">
        <f aca="false">Unhedged_PL!G26</f>
        <v>1638.91109395896</v>
      </c>
    </row>
    <row r="9" customFormat="false" ht="15" hidden="false" customHeight="false" outlineLevel="0" collapsed="false">
      <c r="B9" s="5" t="s">
        <v>181</v>
      </c>
      <c r="C9" s="27" t="n">
        <f aca="false">Unhedged_PL!C27</f>
        <v>1450</v>
      </c>
      <c r="D9" s="27" t="n">
        <f aca="false">Unhedged_PL!D27</f>
        <v>1758.975</v>
      </c>
      <c r="E9" s="27" t="n">
        <f aca="false">Unhedged_PL!E27</f>
        <v>2111.4130025</v>
      </c>
      <c r="F9" s="27" t="n">
        <f aca="false">Unhedged_PL!F27</f>
        <v>2512.72724044725</v>
      </c>
      <c r="G9" s="27" t="n">
        <f aca="false">Unhedged_PL!G27</f>
        <v>2968.97145080069</v>
      </c>
    </row>
    <row r="10" customFormat="false" ht="15" hidden="false" customHeight="false" outlineLevel="0" collapsed="false">
      <c r="B10" s="5" t="s">
        <v>182</v>
      </c>
      <c r="C10" s="27" t="n">
        <f aca="false">Unhedged_PL!C28</f>
        <v>1450</v>
      </c>
      <c r="D10" s="27" t="n">
        <f aca="false">Unhedged_PL!D28</f>
        <v>1189.9</v>
      </c>
      <c r="E10" s="27" t="n">
        <f aca="false">Unhedged_PL!E28</f>
        <v>921.534085</v>
      </c>
      <c r="F10" s="27" t="n">
        <f aca="false">Unhedged_PL!F28</f>
        <v>644.2381027015</v>
      </c>
      <c r="G10" s="27" t="n">
        <f aca="false">Unhedged_PL!G28</f>
        <v>357.310962396821</v>
      </c>
    </row>
    <row r="11" customFormat="false" ht="15" hidden="false" customHeight="false" outlineLevel="0" collapsed="false">
      <c r="B11" s="5" t="s">
        <v>183</v>
      </c>
      <c r="C11" s="27" t="n">
        <f aca="false">Unhedged_PL!C29</f>
        <v>992.375</v>
      </c>
      <c r="D11" s="27" t="n">
        <f aca="false">Unhedged_PL!D29</f>
        <v>1005.19089285714</v>
      </c>
      <c r="E11" s="27" t="n">
        <f aca="false">Unhedged_PL!E29</f>
        <v>1017.37742508929</v>
      </c>
      <c r="F11" s="27" t="n">
        <f aca="false">Unhedged_PL!F29</f>
        <v>1028.92699551637</v>
      </c>
      <c r="G11" s="27" t="n">
        <f aca="false">Unhedged_PL!G29</f>
        <v>1039.73251747154</v>
      </c>
    </row>
    <row r="12" customFormat="false" ht="15" hidden="false" customHeight="false" outlineLevel="0" collapsed="false">
      <c r="B12" s="5" t="s">
        <v>184</v>
      </c>
      <c r="C12" s="27" t="n">
        <f aca="false">Unhedged_PL!C30</f>
        <v>992.375</v>
      </c>
      <c r="D12" s="27" t="n">
        <f aca="false">Unhedged_PL!D30</f>
        <v>1202.17839285714</v>
      </c>
      <c r="E12" s="27" t="n">
        <f aca="false">Unhedged_PL!E30</f>
        <v>1443.46138758929</v>
      </c>
      <c r="F12" s="27" t="n">
        <f aca="false">Unhedged_PL!F30</f>
        <v>1720.32978931687</v>
      </c>
      <c r="G12" s="27" t="n">
        <f aca="false">Unhedged_PL!G30</f>
        <v>2037.27778510284</v>
      </c>
    </row>
    <row r="13" customFormat="false" ht="15" hidden="false" customHeight="false" outlineLevel="0" collapsed="false">
      <c r="B13" s="5" t="s">
        <v>185</v>
      </c>
      <c r="C13" s="27" t="n">
        <f aca="false">Unhedged_PL!C31</f>
        <v>992.375</v>
      </c>
      <c r="D13" s="27" t="n">
        <f aca="false">Unhedged_PL!D31</f>
        <v>775.372142857143</v>
      </c>
      <c r="E13" s="27" t="n">
        <f aca="false">Unhedged_PL!E31</f>
        <v>551.052199464286</v>
      </c>
      <c r="F13" s="27" t="n">
        <f aca="false">Unhedged_PL!F31</f>
        <v>318.962936007554</v>
      </c>
      <c r="G13" s="27" t="n">
        <f aca="false">Unhedged_PL!G31</f>
        <v>78.5324187999332</v>
      </c>
    </row>
    <row r="15" customFormat="false" ht="15" hidden="false" customHeight="false" outlineLevel="0" collapsed="false">
      <c r="B15" s="16" t="s">
        <v>203</v>
      </c>
      <c r="C15" s="17"/>
      <c r="D15" s="17"/>
      <c r="E15" s="17"/>
      <c r="F15" s="17"/>
      <c r="G15" s="17"/>
    </row>
    <row r="16" customFormat="false" ht="15" hidden="false" customHeight="false" outlineLevel="0" collapsed="false">
      <c r="B16" s="5" t="s">
        <v>191</v>
      </c>
      <c r="C16" s="27" t="n">
        <f aca="false">Hedged_PL!C26</f>
        <v>4235</v>
      </c>
      <c r="D16" s="27" t="n">
        <f aca="false">Hedged_PL!D26</f>
        <v>4421.275</v>
      </c>
      <c r="E16" s="27" t="n">
        <f aca="false">Hedged_PL!E26</f>
        <v>4599.903265</v>
      </c>
      <c r="F16" s="27" t="n">
        <f aca="false">Hedged_PL!F26</f>
        <v>4786.217472709</v>
      </c>
      <c r="G16" s="27" t="n">
        <f aca="false">Hedged_PL!G26</f>
        <v>4980.56595240308</v>
      </c>
    </row>
    <row r="17" customFormat="false" ht="15" hidden="false" customHeight="false" outlineLevel="0" collapsed="false">
      <c r="B17" s="5" t="s">
        <v>192</v>
      </c>
      <c r="C17" s="27" t="n">
        <f aca="false">Hedged_PL!C27</f>
        <v>4235</v>
      </c>
      <c r="D17" s="27" t="n">
        <f aca="false">Hedged_PL!D27</f>
        <v>4552.6</v>
      </c>
      <c r="E17" s="27" t="n">
        <f aca="false">Hedged_PL!E27</f>
        <v>4883.95924</v>
      </c>
      <c r="F17" s="27" t="n">
        <f aca="false">Hedged_PL!F27</f>
        <v>5247.152668576</v>
      </c>
      <c r="G17" s="27" t="n">
        <f aca="false">Hedged_PL!G27</f>
        <v>5645.59613082394</v>
      </c>
    </row>
    <row r="18" customFormat="false" ht="15" hidden="false" customHeight="false" outlineLevel="0" collapsed="false">
      <c r="B18" s="5" t="s">
        <v>193</v>
      </c>
      <c r="C18" s="27" t="n">
        <f aca="false">Hedged_PL!C28</f>
        <v>4235</v>
      </c>
      <c r="D18" s="27" t="n">
        <f aca="false">Hedged_PL!D28</f>
        <v>4268.0625</v>
      </c>
      <c r="E18" s="27" t="n">
        <f aca="false">Hedged_PL!E28</f>
        <v>4323.89686875</v>
      </c>
      <c r="F18" s="27" t="n">
        <f aca="false">Hedged_PL!F28</f>
        <v>4390.74440982188</v>
      </c>
      <c r="G18" s="27" t="n">
        <f aca="false">Hedged_PL!G28</f>
        <v>4460.94906847321</v>
      </c>
    </row>
    <row r="19" customFormat="false" ht="15" hidden="false" customHeight="false" outlineLevel="0" collapsed="false">
      <c r="B19" s="5" t="s">
        <v>194</v>
      </c>
      <c r="C19" s="27" t="n">
        <f aca="false">Hedged_PL!C29</f>
        <v>1435</v>
      </c>
      <c r="D19" s="27" t="n">
        <f aca="false">Hedged_PL!D29</f>
        <v>1452.55</v>
      </c>
      <c r="E19" s="27" t="n">
        <f aca="false">Hedged_PL!E29</f>
        <v>1452.2227875</v>
      </c>
      <c r="F19" s="27" t="n">
        <f aca="false">Hedged_PL!F29</f>
        <v>1448.72912600425</v>
      </c>
      <c r="G19" s="27" t="n">
        <f aca="false">Hedged_PL!G29</f>
        <v>1441.75758405588</v>
      </c>
    </row>
    <row r="20" customFormat="false" ht="15" hidden="false" customHeight="false" outlineLevel="0" collapsed="false">
      <c r="B20" s="5" t="s">
        <v>195</v>
      </c>
      <c r="C20" s="27" t="n">
        <f aca="false">Hedged_PL!C30</f>
        <v>1435</v>
      </c>
      <c r="D20" s="27" t="n">
        <f aca="false">Hedged_PL!D30</f>
        <v>1583.875</v>
      </c>
      <c r="E20" s="27" t="n">
        <f aca="false">Hedged_PL!E30</f>
        <v>1736.2787625</v>
      </c>
      <c r="F20" s="27" t="n">
        <f aca="false">Hedged_PL!F30</f>
        <v>1909.66432187125</v>
      </c>
      <c r="G20" s="27" t="n">
        <f aca="false">Hedged_PL!G30</f>
        <v>2106.78776247675</v>
      </c>
    </row>
    <row r="21" customFormat="false" ht="15" hidden="false" customHeight="false" outlineLevel="0" collapsed="false">
      <c r="B21" s="5" t="s">
        <v>196</v>
      </c>
      <c r="C21" s="27" t="n">
        <f aca="false">Hedged_PL!C31</f>
        <v>1435</v>
      </c>
      <c r="D21" s="27" t="n">
        <f aca="false">Hedged_PL!D31</f>
        <v>1299.3375</v>
      </c>
      <c r="E21" s="27" t="n">
        <f aca="false">Hedged_PL!E31</f>
        <v>1176.21639125</v>
      </c>
      <c r="F21" s="27" t="n">
        <f aca="false">Hedged_PL!F31</f>
        <v>1053.25606311712</v>
      </c>
      <c r="G21" s="27" t="n">
        <f aca="false">Hedged_PL!G31</f>
        <v>922.140700126011</v>
      </c>
    </row>
    <row r="22" customFormat="false" ht="15" hidden="false" customHeight="false" outlineLevel="0" collapsed="false">
      <c r="B22" s="5" t="s">
        <v>197</v>
      </c>
      <c r="C22" s="27" t="n">
        <f aca="false">Hedged_PL!C32</f>
        <v>981.125</v>
      </c>
      <c r="D22" s="27" t="n">
        <f aca="false">Hedged_PL!D32</f>
        <v>972.359642857143</v>
      </c>
      <c r="E22" s="27" t="n">
        <f aca="false">Hedged_PL!E32</f>
        <v>949.068726339286</v>
      </c>
      <c r="F22" s="27" t="n">
        <f aca="false">Hedged_PL!F32</f>
        <v>922.331203484616</v>
      </c>
      <c r="G22" s="27" t="n">
        <f aca="false">Hedged_PL!G32</f>
        <v>891.867385044229</v>
      </c>
    </row>
    <row r="23" customFormat="false" ht="15" hidden="false" customHeight="false" outlineLevel="0" collapsed="false">
      <c r="B23" s="5" t="s">
        <v>198</v>
      </c>
      <c r="C23" s="27" t="n">
        <f aca="false">Hedged_PL!C33</f>
        <v>981.125</v>
      </c>
      <c r="D23" s="27" t="n">
        <f aca="false">Hedged_PL!D33</f>
        <v>1070.85339285714</v>
      </c>
      <c r="E23" s="27" t="n">
        <f aca="false">Hedged_PL!E33</f>
        <v>1162.11070758929</v>
      </c>
      <c r="F23" s="27" t="n">
        <f aca="false">Hedged_PL!F33</f>
        <v>1268.03260038487</v>
      </c>
      <c r="G23" s="27" t="n">
        <f aca="false">Hedged_PL!G33</f>
        <v>1390.64001885988</v>
      </c>
    </row>
    <row r="24" customFormat="false" ht="15" hidden="false" customHeight="false" outlineLevel="0" collapsed="false">
      <c r="B24" s="5" t="s">
        <v>199</v>
      </c>
      <c r="C24" s="27" t="n">
        <f aca="false">Hedged_PL!C34</f>
        <v>981.125</v>
      </c>
      <c r="D24" s="27" t="n">
        <f aca="false">Hedged_PL!D34</f>
        <v>857.450267857143</v>
      </c>
      <c r="E24" s="27" t="n">
        <f aca="false">Hedged_PL!E34</f>
        <v>742.063929151786</v>
      </c>
      <c r="F24" s="27" t="n">
        <f aca="false">Hedged_PL!F34</f>
        <v>625.726406319272</v>
      </c>
      <c r="G24" s="27" t="n">
        <f aca="false">Hedged_PL!G34</f>
        <v>502.154722096826</v>
      </c>
    </row>
    <row r="26" customFormat="false" ht="15" hidden="false" customHeight="false" outlineLevel="0" collapsed="false">
      <c r="B26" s="16" t="s">
        <v>204</v>
      </c>
      <c r="C26" s="17"/>
      <c r="D26" s="17"/>
      <c r="E26" s="17"/>
      <c r="F26" s="17"/>
      <c r="G26" s="17"/>
    </row>
    <row r="27" customFormat="false" ht="15" hidden="false" customHeight="false" outlineLevel="0" collapsed="false">
      <c r="B27" s="5" t="s">
        <v>205</v>
      </c>
      <c r="C27" s="27" t="n">
        <f aca="false">STDEV(C5,C6,C7)</f>
        <v>0</v>
      </c>
      <c r="D27" s="27" t="n">
        <f aca="false">STDEV(D5,D6,D7)</f>
        <v>284.817970743304</v>
      </c>
      <c r="E27" s="27" t="n">
        <f aca="false">STDEV(E5,E6,E7)</f>
        <v>595.141046015974</v>
      </c>
      <c r="F27" s="27" t="n">
        <f aca="false">STDEV(F5,F6,F7)</f>
        <v>934.271884707597</v>
      </c>
      <c r="G27" s="27" t="n">
        <f aca="false">STDEV(G5,G6,G7)</f>
        <v>1305.90517501285</v>
      </c>
    </row>
    <row r="28" customFormat="false" ht="15" hidden="false" customHeight="false" outlineLevel="0" collapsed="false">
      <c r="B28" s="5" t="s">
        <v>206</v>
      </c>
      <c r="C28" s="27" t="n">
        <f aca="false">STDEV(C16,C17,C18)</f>
        <v>0</v>
      </c>
      <c r="D28" s="27" t="n">
        <f aca="false">STDEV(D16,D17,D18)</f>
        <v>142.408985371652</v>
      </c>
      <c r="E28" s="27" t="n">
        <f aca="false">STDEV(E16,E17,E18)</f>
        <v>280.040826605184</v>
      </c>
      <c r="F28" s="27" t="n">
        <f aca="false">STDEV(F16,F17,F18)</f>
        <v>428.620909413852</v>
      </c>
      <c r="G28" s="27" t="n">
        <f aca="false">STDEV(G16,G17,G18)</f>
        <v>593.80910324948</v>
      </c>
    </row>
    <row r="29" customFormat="false" ht="15" hidden="false" customHeight="false" outlineLevel="0" collapsed="false">
      <c r="B29" s="6" t="s">
        <v>207</v>
      </c>
      <c r="C29" s="32" t="n">
        <f aca="false">IFERROR(1-(C28/C27),0)</f>
        <v>0</v>
      </c>
      <c r="D29" s="32" t="n">
        <f aca="false">IFERROR(1-(D28/D27),0)</f>
        <v>0.500000000000001</v>
      </c>
      <c r="E29" s="32" t="n">
        <f aca="false">IFERROR(1-(E28/E27),0)</f>
        <v>0.529454692329073</v>
      </c>
      <c r="F29" s="32" t="n">
        <f aca="false">IFERROR(1-(F28/F27),0)</f>
        <v>0.541224651592722</v>
      </c>
      <c r="G29" s="32" t="n">
        <f aca="false">IFERROR(1-(G28/G27),0)</f>
        <v>0.545289264020537</v>
      </c>
    </row>
    <row r="30" customFormat="false" ht="15" hidden="false" customHeight="false" outlineLevel="0" collapsed="false">
      <c r="B30" s="5" t="s">
        <v>208</v>
      </c>
      <c r="C30" s="27" t="n">
        <f aca="false">STDEV(C8,C9,C10)</f>
        <v>0</v>
      </c>
      <c r="D30" s="27" t="n">
        <f aca="false">STDEV(D8,D9,D10)</f>
        <v>284.817970743304</v>
      </c>
      <c r="E30" s="27" t="n">
        <f aca="false">STDEV(E8,E9,E10)</f>
        <v>595.141046015974</v>
      </c>
      <c r="F30" s="27" t="n">
        <f aca="false">STDEV(F8,F9,F10)</f>
        <v>934.271884707598</v>
      </c>
      <c r="G30" s="27" t="n">
        <f aca="false">STDEV(G8,G9,G10)</f>
        <v>1305.90517501285</v>
      </c>
    </row>
    <row r="31" customFormat="false" ht="15" hidden="false" customHeight="false" outlineLevel="0" collapsed="false">
      <c r="B31" s="5" t="s">
        <v>209</v>
      </c>
      <c r="C31" s="27" t="n">
        <f aca="false">STDEV(C19,C20,C21)</f>
        <v>0</v>
      </c>
      <c r="D31" s="27" t="n">
        <f aca="false">STDEV(D19,D20,D21)</f>
        <v>142.408985371652</v>
      </c>
      <c r="E31" s="27" t="n">
        <f aca="false">STDEV(E19,E20,E21)</f>
        <v>280.040826605184</v>
      </c>
      <c r="F31" s="27" t="n">
        <f aca="false">STDEV(F19,F20,F21)</f>
        <v>428.620909413852</v>
      </c>
      <c r="G31" s="27" t="n">
        <f aca="false">STDEV(G19,G20,G21)</f>
        <v>593.80910324948</v>
      </c>
    </row>
    <row r="32" customFormat="false" ht="15" hidden="false" customHeight="false" outlineLevel="0" collapsed="false">
      <c r="B32" s="6" t="s">
        <v>210</v>
      </c>
      <c r="C32" s="32" t="n">
        <f aca="false">IFERROR(1-(C31/C30),0)</f>
        <v>0</v>
      </c>
      <c r="D32" s="32" t="n">
        <f aca="false">IFERROR(1-(D31/D30),0)</f>
        <v>0.500000000000001</v>
      </c>
      <c r="E32" s="32" t="n">
        <f aca="false">IFERROR(1-(E31/E30),0)</f>
        <v>0.529454692329073</v>
      </c>
      <c r="F32" s="32" t="n">
        <f aca="false">IFERROR(1-(F31/F30),0)</f>
        <v>0.541224651592722</v>
      </c>
      <c r="G32" s="32" t="n">
        <f aca="false">IFERROR(1-(G31/G30),0)</f>
        <v>0.545289264020537</v>
      </c>
    </row>
    <row r="33" customFormat="false" ht="15" hidden="false" customHeight="false" outlineLevel="0" collapsed="false">
      <c r="B33" s="5" t="s">
        <v>211</v>
      </c>
      <c r="C33" s="27" t="n">
        <f aca="false">STDEV(C11,C12,C13)</f>
        <v>0</v>
      </c>
      <c r="D33" s="27" t="n">
        <f aca="false">STDEV(D11,D12,D13)</f>
        <v>213.613478057478</v>
      </c>
      <c r="E33" s="27" t="n">
        <f aca="false">STDEV(E11,E12,E13)</f>
        <v>446.35578451198</v>
      </c>
      <c r="F33" s="27" t="n">
        <f aca="false">STDEV(F11,F12,F13)</f>
        <v>700.703913530698</v>
      </c>
      <c r="G33" s="27" t="n">
        <f aca="false">STDEV(G11,G12,G13)</f>
        <v>979.428881259634</v>
      </c>
    </row>
    <row r="34" customFormat="false" ht="15" hidden="false" customHeight="false" outlineLevel="0" collapsed="false">
      <c r="B34" s="5" t="s">
        <v>212</v>
      </c>
      <c r="C34" s="27" t="n">
        <f aca="false">STDEV(C22,C23,C24)</f>
        <v>0</v>
      </c>
      <c r="D34" s="27" t="n">
        <f aca="false">STDEV(D22,D23,D24)</f>
        <v>106.806739028739</v>
      </c>
      <c r="E34" s="27" t="n">
        <f aca="false">STDEV(E22,E23,E24)</f>
        <v>210.030619953888</v>
      </c>
      <c r="F34" s="27" t="n">
        <f aca="false">STDEV(F22,F23,F24)</f>
        <v>321.465682060389</v>
      </c>
      <c r="G34" s="27" t="n">
        <f aca="false">STDEV(G22,G23,G24)</f>
        <v>445.35682743711</v>
      </c>
    </row>
    <row r="35" customFormat="false" ht="15" hidden="false" customHeight="false" outlineLevel="0" collapsed="false">
      <c r="B35" s="6" t="s">
        <v>213</v>
      </c>
      <c r="C35" s="32" t="n">
        <f aca="false">IFERROR(1-(C34/C33),0)</f>
        <v>0</v>
      </c>
      <c r="D35" s="32" t="n">
        <f aca="false">IFERROR(1-(D34/D33),0)</f>
        <v>0.500000000000001</v>
      </c>
      <c r="E35" s="32" t="n">
        <f aca="false">IFERROR(1-(E34/E33),0)</f>
        <v>0.529454692329073</v>
      </c>
      <c r="F35" s="32" t="n">
        <f aca="false">IFERROR(1-(F34/F33),0)</f>
        <v>0.541224651592722</v>
      </c>
      <c r="G35" s="32" t="n">
        <f aca="false">IFERROR(1-(G34/G33),0)</f>
        <v>0.545289264020537</v>
      </c>
    </row>
    <row r="37" customFormat="false" ht="15" hidden="false" customHeight="false" outlineLevel="0" collapsed="false">
      <c r="B37" s="16" t="s">
        <v>214</v>
      </c>
      <c r="C37" s="17"/>
      <c r="D37" s="17"/>
      <c r="E37" s="17"/>
      <c r="F37" s="17"/>
      <c r="G37" s="17"/>
    </row>
    <row r="38" customFormat="false" ht="15" hidden="false" customHeight="false" outlineLevel="0" collapsed="false">
      <c r="B38" s="6" t="s">
        <v>215</v>
      </c>
      <c r="H38" s="33" t="n">
        <f aca="false">AVERAGE(C29:G29)</f>
        <v>0.423193721588467</v>
      </c>
    </row>
    <row r="39" customFormat="false" ht="15" hidden="false" customHeight="false" outlineLevel="0" collapsed="false">
      <c r="B39" s="6" t="s">
        <v>216</v>
      </c>
      <c r="H39" s="33" t="n">
        <f aca="false">AVERAGE(C32:G32)</f>
        <v>0.423193721588467</v>
      </c>
    </row>
    <row r="40" customFormat="false" ht="15" hidden="false" customHeight="false" outlineLevel="0" collapsed="false">
      <c r="B40" s="6" t="s">
        <v>217</v>
      </c>
      <c r="H40" s="33" t="n">
        <f aca="false">AVERAGE(C35:G35)</f>
        <v>0.423193721588467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7" min="2"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2" t="s">
        <v>77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5" t="s">
        <v>149</v>
      </c>
      <c r="C3" s="15" t="s">
        <v>123</v>
      </c>
      <c r="D3" s="15" t="s">
        <v>124</v>
      </c>
      <c r="E3" s="15" t="s">
        <v>125</v>
      </c>
      <c r="F3" s="15" t="s">
        <v>126</v>
      </c>
      <c r="G3" s="15" t="s">
        <v>127</v>
      </c>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6" t="s">
        <v>218</v>
      </c>
      <c r="C4" s="17"/>
      <c r="D4" s="17"/>
      <c r="E4" s="17"/>
      <c r="F4" s="17"/>
      <c r="G4" s="17"/>
    </row>
    <row r="5" customFormat="false" ht="15" hidden="false" customHeight="false" outlineLevel="0" collapsed="false">
      <c r="B5" s="21" t="n">
        <f aca="false">Open_AR</f>
        <v>400</v>
      </c>
      <c r="C5" s="27" t="n">
        <f aca="false">DSO/365*Hedged_PL!C8</f>
        <v>406.095890410959</v>
      </c>
      <c r="D5" s="27" t="n">
        <f aca="false">DSO/365*Hedged_PL!D8</f>
        <v>423.957876712329</v>
      </c>
      <c r="E5" s="27" t="n">
        <f aca="false">DSO/365*Hedged_PL!E8</f>
        <v>441.086614452055</v>
      </c>
      <c r="F5" s="27" t="n">
        <f aca="false">DSO/365*Hedged_PL!F8</f>
        <v>458.952360396753</v>
      </c>
      <c r="G5" s="27" t="n">
        <f aca="false">DSO/365*Hedged_PL!G8</f>
        <v>477.588515983857</v>
      </c>
    </row>
    <row r="6" customFormat="false" ht="15" hidden="false" customHeight="false" outlineLevel="0" collapsed="false">
      <c r="B6" s="21" t="n">
        <f aca="false">Open_Inv</f>
        <v>225</v>
      </c>
      <c r="C6" s="27" t="n">
        <f aca="false">DIO/365*(-Hedged_PL!C11)</f>
        <v>226.027397260274</v>
      </c>
      <c r="D6" s="27" t="n">
        <f aca="false">DIO/365*(-Hedged_PL!D11)</f>
        <v>239.792465753425</v>
      </c>
      <c r="E6" s="27" t="n">
        <f aca="false">DIO/365*(-Hedged_PL!E11)</f>
        <v>254.395826917808</v>
      </c>
      <c r="F6" s="27" t="n">
        <f aca="false">DIO/365*(-Hedged_PL!F11)</f>
        <v>269.888532777103</v>
      </c>
      <c r="G6" s="27" t="n">
        <f aca="false">DIO/365*(-Hedged_PL!G11)</f>
        <v>286.324744423228</v>
      </c>
    </row>
    <row r="7" customFormat="false" ht="15" hidden="false" customHeight="false" outlineLevel="0" collapsed="false">
      <c r="B7" s="21" t="n">
        <f aca="false">Open_AP</f>
        <v>250</v>
      </c>
      <c r="C7" s="27" t="n">
        <f aca="false">DPO/365*(-Hedged_PL!C11)</f>
        <v>263.698630136986</v>
      </c>
      <c r="D7" s="27" t="n">
        <f aca="false">DPO/365*(-Hedged_PL!D11)</f>
        <v>279.757876712329</v>
      </c>
      <c r="E7" s="27" t="n">
        <f aca="false">DPO/365*(-Hedged_PL!E11)</f>
        <v>296.79513140411</v>
      </c>
      <c r="F7" s="27" t="n">
        <f aca="false">DPO/365*(-Hedged_PL!F11)</f>
        <v>314.86995490662</v>
      </c>
      <c r="G7" s="27" t="n">
        <f aca="false">DPO/365*(-Hedged_PL!G11)</f>
        <v>334.045535160433</v>
      </c>
    </row>
    <row r="8" customFormat="false" ht="15" hidden="false" customHeight="false" outlineLevel="0" collapsed="false">
      <c r="B8" s="27" t="n">
        <f aca="false">B5+B6-B7</f>
        <v>375</v>
      </c>
      <c r="C8" s="28" t="n">
        <f aca="false">C5+C6-C7</f>
        <v>368.424657534247</v>
      </c>
      <c r="D8" s="28" t="n">
        <f aca="false">D5+D6-D7</f>
        <v>383.992465753425</v>
      </c>
      <c r="E8" s="28" t="n">
        <f aca="false">E5+E6-E7</f>
        <v>398.687309965753</v>
      </c>
      <c r="F8" s="28" t="n">
        <f aca="false">F5+F6-F7</f>
        <v>413.970938267236</v>
      </c>
      <c r="G8" s="28" t="n">
        <f aca="false">G5+G6-G7</f>
        <v>429.867725246652</v>
      </c>
    </row>
    <row r="9" customFormat="false" ht="15" hidden="false" customHeight="false" outlineLevel="0" collapsed="false">
      <c r="B9" s="16" t="s">
        <v>219</v>
      </c>
      <c r="C9" s="17"/>
      <c r="D9" s="17"/>
      <c r="E9" s="17"/>
      <c r="F9" s="17"/>
      <c r="G9" s="17"/>
    </row>
    <row r="10" customFormat="false" ht="15" hidden="false" customHeight="false" outlineLevel="0" collapsed="false">
      <c r="B10" s="26"/>
    </row>
    <row r="11" customFormat="false" ht="15" hidden="false" customHeight="false" outlineLevel="0" collapsed="false">
      <c r="B11" s="5" t="s">
        <v>220</v>
      </c>
      <c r="C11" s="27" t="n">
        <f aca="false">C5-B5</f>
        <v>6.09589041095887</v>
      </c>
      <c r="D11" s="27" t="n">
        <f aca="false">D5-C5</f>
        <v>17.8619863013699</v>
      </c>
      <c r="E11" s="27" t="n">
        <f aca="false">E5-D5</f>
        <v>17.128737739726</v>
      </c>
      <c r="F11" s="27" t="n">
        <f aca="false">F5-E5</f>
        <v>17.8657459446986</v>
      </c>
      <c r="G11" s="27" t="n">
        <f aca="false">G5-F5</f>
        <v>18.6361555871032</v>
      </c>
    </row>
    <row r="12" customFormat="false" ht="15" hidden="false" customHeight="false" outlineLevel="0" collapsed="false">
      <c r="B12" s="5" t="s">
        <v>221</v>
      </c>
      <c r="C12" s="27" t="n">
        <f aca="false">C6-B6</f>
        <v>1.02739726027397</v>
      </c>
      <c r="D12" s="27" t="n">
        <f aca="false">D6-C6</f>
        <v>13.7650684931507</v>
      </c>
      <c r="E12" s="27" t="n">
        <f aca="false">E6-D6</f>
        <v>14.6033611643836</v>
      </c>
      <c r="F12" s="27" t="n">
        <f aca="false">F6-E6</f>
        <v>15.4927058592945</v>
      </c>
      <c r="G12" s="27" t="n">
        <f aca="false">G6-F6</f>
        <v>16.4362116461256</v>
      </c>
    </row>
    <row r="13" customFormat="false" ht="15" hidden="false" customHeight="false" outlineLevel="0" collapsed="false">
      <c r="B13" s="5" t="s">
        <v>222</v>
      </c>
      <c r="C13" s="27" t="n">
        <f aca="false">C7-B7</f>
        <v>13.6986301369863</v>
      </c>
      <c r="D13" s="27" t="n">
        <f aca="false">D7-C7</f>
        <v>16.0592465753425</v>
      </c>
      <c r="E13" s="27" t="n">
        <f aca="false">E7-D7</f>
        <v>17.0372546917808</v>
      </c>
      <c r="F13" s="27" t="n">
        <f aca="false">F7-E7</f>
        <v>18.0748235025103</v>
      </c>
      <c r="G13" s="27" t="n">
        <f aca="false">G7-F7</f>
        <v>19.1755802538132</v>
      </c>
    </row>
    <row r="14" customFormat="false" ht="15" hidden="false" customHeight="false" outlineLevel="0" collapsed="false">
      <c r="B14" s="6" t="s">
        <v>223</v>
      </c>
      <c r="C14" s="29" t="n">
        <f aca="false">-C11-C12+C13</f>
        <v>6.57534246575347</v>
      </c>
      <c r="D14" s="29" t="n">
        <f aca="false">-D11-D12+D13</f>
        <v>-15.5678082191781</v>
      </c>
      <c r="E14" s="29" t="n">
        <f aca="false">-E11-E12+E13</f>
        <v>-14.6948442123288</v>
      </c>
      <c r="F14" s="29" t="n">
        <f aca="false">-F11-F12+F13</f>
        <v>-15.2836283014828</v>
      </c>
      <c r="G14" s="29" t="n">
        <f aca="false">-G11-G12+G13</f>
        <v>-15.8967869794157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2026-05-15T18:52:55Z</dcterms:created>
  <dc:creator>openpyxl</dc:creator>
  <dc:description/>
  <dc:language>en-GB</dc:language>
  <cp:lastModifiedBy/>
  <dcterms:modified xsi:type="dcterms:W3CDTF">2026-05-15T18:52:55Z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