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Dev_Budget" sheetId="4" state="visible" r:id="rId6"/>
    <sheet name="Construction_Draw" sheetId="5" state="visible" r:id="rId7"/>
    <sheet name="Lease_Up" sheetId="6" state="visible" r:id="rId8"/>
    <sheet name="Operating_PL" sheetId="7" state="visible" r:id="rId9"/>
    <sheet name="Debt_Schedule" sheetId="8" state="visible" r:id="rId10"/>
    <sheet name="Cash_Flow" sheetId="9" state="visible" r:id="rId11"/>
    <sheet name="Waterfall" sheetId="10" state="visible" r:id="rId12"/>
    <sheet name="Returns" sheetId="11" state="visible" r:id="rId13"/>
    <sheet name="Checks" sheetId="12" state="visible" r:id="rId14"/>
  </sheets>
  <definedNames>
    <definedName function="false" hidden="false" name="Avg_Rent_PSF" vbProcedure="false">Assumptions!$C$22</definedName>
    <definedName function="false" hidden="false" name="Avg_Unit_SF" vbProcedure="false">Assumptions!$C$12</definedName>
    <definedName function="false" hidden="false" name="Cap_Reserve" vbProcedure="false">Assumptions!$C$33</definedName>
    <definedName function="false" hidden="false" name="CD_Total_Debt" vbProcedure="false">Construction_Draw!$Z$22</definedName>
    <definedName function="false" hidden="false" name="CD_Total_Equity" vbProcedure="false">Construction_Draw!$Z$20</definedName>
    <definedName function="false" hidden="false" name="CD_Total_Interest" vbProcedure="false">Construction_Draw!$Z$27</definedName>
    <definedName function="false" hidden="false" name="CF_Eq_Multiple" vbProcedure="false">Cash_Flow!$C$36</definedName>
    <definedName function="false" hidden="false" name="CF_Exit_Value" vbProcedure="false">Cash_Flow!$H$17</definedName>
    <definedName function="false" hidden="false" name="CF_Lev_IRR" vbProcedure="false">Cash_Flow!$C$35</definedName>
    <definedName function="false" hidden="false" name="CF_Lev_Stream" vbProcedure="false">Cash_Flow!$C$32:$H$32</definedName>
    <definedName function="false" hidden="false" name="CF_LFCF" vbProcedure="false">Cash_Flow!$C$28:$H$28</definedName>
    <definedName function="false" hidden="false" name="CF_Net_Proceeds" vbProcedure="false">Cash_Flow!$C$19:$H$19</definedName>
    <definedName function="false" hidden="false" name="CF_UFCF" vbProcedure="false">Cash_Flow!$C$13:$H$13</definedName>
    <definedName function="false" hidden="false" name="CF_Unlev_IRR" vbProcedure="false">Cash_Flow!$C$34</definedName>
    <definedName function="false" hidden="false" name="CF_Unlev_Stream" vbProcedure="false">Cash_Flow!$C$31:$H$31</definedName>
    <definedName function="false" hidden="false" name="Concession_Mo" vbProcedure="false">Assumptions!$C$27</definedName>
    <definedName function="false" hidden="false" name="Constr_Duration" vbProcedure="false">Assumptions!$C$8</definedName>
    <definedName function="false" hidden="false" name="Constr_Fee" vbProcedure="false">Assumptions!$C$38</definedName>
    <definedName function="false" hidden="false" name="Constr_LTC" vbProcedure="false">Assumptions!$C$36</definedName>
    <definedName function="false" hidden="false" name="Constr_Rate" vbProcedure="false">Assumptions!$C$37</definedName>
    <definedName function="false" hidden="false" name="Contingency_Pct" vbProcedure="false">Assumptions!$C$19</definedName>
    <definedName function="false" hidden="false" name="DB_Cap_Int" vbProcedure="false">Dev_Budget!$C$16</definedName>
    <definedName function="false" hidden="false" name="DB_Constr_Loan" vbProcedure="false">Dev_Budget!$C$21</definedName>
    <definedName function="false" hidden="false" name="DB_Contingency" vbProcedure="false">Dev_Budget!$C$11</definedName>
    <definedName function="false" hidden="false" name="DB_Dev_Fee" vbProcedure="false">Dev_Budget!$C$12</definedName>
    <definedName function="false" hidden="false" name="DB_Equity" vbProcedure="false">Dev_Budget!$C$22</definedName>
    <definedName function="false" hidden="false" name="DB_Hard" vbProcedure="false">Dev_Budget!$C$9</definedName>
    <definedName function="false" hidden="false" name="DB_Land" vbProcedure="false">Dev_Budget!$C$8</definedName>
    <definedName function="false" hidden="false" name="DB_Oper_Def" vbProcedure="false">Dev_Budget!$C$13</definedName>
    <definedName function="false" hidden="false" name="DB_Soft" vbProcedure="false">Dev_Budget!$C$10</definedName>
    <definedName function="false" hidden="false" name="DB_Subtotal" vbProcedure="false">Dev_Budget!$C$14</definedName>
    <definedName function="false" hidden="false" name="DB_Total_Uses" vbProcedure="false">Dev_Budget!$C$18</definedName>
    <definedName function="false" hidden="false" name="Dev_Fee_Pct" vbProcedure="false">Assumptions!$C$18</definedName>
    <definedName function="false" hidden="false" name="DS_Closing" vbProcedure="false">Debt_Schedule!$C$16:$G$16</definedName>
    <definedName function="false" hidden="false" name="DS_DSCR" vbProcedure="false">Debt_Schedule!$C$23:$G$23</definedName>
    <definedName function="false" hidden="false" name="DS_DSCR_Y1" vbProcedure="false">Debt_Schedule!$C$23</definedName>
    <definedName function="false" hidden="false" name="DS_Interest" vbProcedure="false">Debt_Schedule!$C$19:$G$19</definedName>
    <definedName function="false" hidden="false" name="DS_LTV_Y1" vbProcedure="false">Debt_Schedule!$C$25</definedName>
    <definedName function="false" hidden="false" name="DS_Opening" vbProcedure="false">Debt_Schedule!$C$14:$G$14</definedName>
    <definedName function="false" hidden="false" name="DS_Perm_Loan" vbProcedure="false">Debt_Schedule!$C$11:$G$11</definedName>
    <definedName function="false" hidden="false" name="DS_Perm_Loan_Y1" vbProcedure="false">Debt_Schedule!$C$11</definedName>
    <definedName function="false" hidden="false" name="DS_Principal" vbProcedure="false">Debt_Schedule!$C$15:$G$15</definedName>
    <definedName function="false" hidden="false" name="DS_Total_DS" vbProcedure="false">Debt_Schedule!$C$20:$G$20</definedName>
    <definedName function="false" hidden="false" name="Exit_Cap_Rate" vbProcedure="false">Assumptions!$C$43</definedName>
    <definedName function="false" hidden="false" name="GP_Promote_Split" vbProcedure="false">Assumptions!$C$47</definedName>
    <definedName function="false" hidden="false" name="Hard_Cost_PSF" vbProcedure="false">Assumptions!$C$16</definedName>
    <definedName function="false" hidden="false" name="Hold_Period" vbProcedure="false">Assumptions!$C$9</definedName>
    <definedName function="false" hidden="false" name="Insurance_Unit" vbProcedure="false">Assumptions!$C$31</definedName>
    <definedName function="false" hidden="false" name="Land_Per_Unit" vbProcedure="false">Assumptions!$C$15</definedName>
    <definedName function="false" hidden="false" name="Leaseup_Units" vbProcedure="false">Assumptions!$C$26</definedName>
    <definedName function="false" hidden="false" name="LP_Equity_Pct" vbProcedure="false">Assumptions!$C$45</definedName>
    <definedName function="false" hidden="false" name="LP_Pref_Return" vbProcedure="false">Assumptions!$C$46</definedName>
    <definedName function="false" hidden="false" name="LU_Cumul_Revenue" vbProcedure="false">Lease_Up!$T$18</definedName>
    <definedName function="false" hidden="false" name="LU_Stab_Occupancy" vbProcedure="false">Lease_Up!$T$11</definedName>
    <definedName function="false" hidden="false" name="Mgmt_Fee_Pct" vbProcedure="false">Assumptions!$C$32</definedName>
    <definedName function="false" hidden="false" name="Model_Start" vbProcedure="false">Assumptions!$C$7</definedName>
    <definedName function="false" hidden="false" name="Oper_Deficit" vbProcedure="false">Assumptions!$C$20</definedName>
    <definedName function="false" hidden="false" name="OpEx_Escalation" vbProcedure="false">Assumptions!$C$34</definedName>
    <definedName function="false" hidden="false" name="OpEx_Pct_EGI" vbProcedure="false">Assumptions!$C$29</definedName>
    <definedName function="false" hidden="false" name="OP_Cap_Res" vbProcedure="false">Operating_PL!$C$26:$G$26</definedName>
    <definedName function="false" hidden="false" name="OP_EGI" vbProcedure="false">Operating_PL!$C$13:$G$13</definedName>
    <definedName function="false" hidden="false" name="OP_GPR" vbProcedure="false">Operating_PL!$C$9:$G$9</definedName>
    <definedName function="false" hidden="false" name="OP_NCF" vbProcedure="false">Operating_PL!$C$27:$G$27</definedName>
    <definedName function="false" hidden="false" name="OP_NOI" vbProcedure="false">Operating_PL!$C$23:$G$23</definedName>
    <definedName function="false" hidden="false" name="OP_NOI_Y1" vbProcedure="false">Operating_PL!$C$23</definedName>
    <definedName function="false" hidden="false" name="OP_Total_OpEx" vbProcedure="false">Operating_PL!$C$21:$G$21</definedName>
    <definedName function="false" hidden="false" name="Other_Inc_Unit" vbProcedure="false">Assumptions!$C$23</definedName>
    <definedName function="false" hidden="false" name="Perm_Amort" vbProcedure="false">Assumptions!$C$41</definedName>
    <definedName function="false" hidden="false" name="Perm_LTV" vbProcedure="false">Assumptions!$C$39</definedName>
    <definedName function="false" hidden="false" name="Perm_Rate" vbProcedure="false">Assumptions!$C$40</definedName>
    <definedName function="false" hidden="false" name="Prop_Tax_Unit" vbProcedure="false">Assumptions!$C$30</definedName>
    <definedName function="false" hidden="false" name="Rent_Escalation" vbProcedure="false">Assumptions!$C$25</definedName>
    <definedName function="false" hidden="false" name="Selling_Cost_Pct" vbProcedure="false">Assumptions!$C$44</definedName>
    <definedName function="false" hidden="false" name="Soft_Cost_Pct" vbProcedure="false">Assumptions!$C$17</definedName>
    <definedName function="false" hidden="false" name="Stab_Vacancy" vbProcedure="false">Assumptions!$C$24</definedName>
    <definedName function="false" hidden="false" name="Total_GBA" vbProcedure="false">Assumptions!$C$13</definedName>
    <definedName function="false" hidden="false" name="Total_Units" vbProcedure="false">Assumptions!$C$11</definedName>
    <definedName function="false" hidden="false" name="WF_GP_IRR" vbProcedure="false">Waterfall!$C$34</definedName>
    <definedName function="false" hidden="false" name="WF_GP_Mult" vbProcedure="false">Waterfall!$C$36</definedName>
    <definedName function="false" hidden="false" name="WF_GP_Total" vbProcedure="false">Waterfall!$C$30:$H$30</definedName>
    <definedName function="false" hidden="false" name="WF_LP_IRR" vbProcedure="false">Waterfall!$C$33</definedName>
    <definedName function="false" hidden="false" name="WF_LP_Mult" vbProcedure="false">Waterfall!$C$35</definedName>
    <definedName function="false" hidden="false" name="WF_LP_Total" vbProcedure="false">Waterfall!$C$29:$H$29</definedName>
  </definedNames>
  <calcPr iterateCount="200" refMode="A1" iterate="true" iterateDelta="0.001"/>
  <extLst>
    <ext xmlns:loext="http://schemas.libreoffice.org/" uri="{7626C862-2A13-11E5-B345-FEFF819CDC9F}">
      <loext:extCalcPr stringRefSyntax="ExcelA1"/>
    </ext>
  </extLst>
</workbook>
</file>

<file path=xl/sharedStrings.xml><?xml version="1.0" encoding="utf-8"?>
<sst xmlns="http://schemas.openxmlformats.org/spreadsheetml/2006/main" count="418" uniqueCount="327">
  <si>
    <t xml:space="preserve">Construction Draw Model</t>
  </si>
  <si>
    <t xml:space="preserve">FINAMODEL.com</t>
  </si>
  <si>
    <t xml:space="preserve">Multi-family development</t>
  </si>
  <si>
    <t xml:space="preserve">Model Structure</t>
  </si>
  <si>
    <t xml:space="preserve">Cover</t>
  </si>
  <si>
    <t xml:space="preserve">Title and navigation</t>
  </si>
  <si>
    <t xml:space="preserve">Assumptions</t>
  </si>
  <si>
    <t xml:space="preserve">Model parameters</t>
  </si>
  <si>
    <t xml:space="preserve">Dev_Budget</t>
  </si>
  <si>
    <t xml:space="preserve">Sources &amp; Uses</t>
  </si>
  <si>
    <t xml:space="preserve">Construction_Draw</t>
  </si>
  <si>
    <t xml:space="preserve">Monthly draw schedule</t>
  </si>
  <si>
    <t xml:space="preserve">Lease_Up</t>
  </si>
  <si>
    <t xml:space="preserve">Absorption schedule</t>
  </si>
  <si>
    <t xml:space="preserve">Operating_PL</t>
  </si>
  <si>
    <t xml:space="preserve">Revenue and NOI</t>
  </si>
  <si>
    <t xml:space="preserve">Debt_Schedule</t>
  </si>
  <si>
    <t xml:space="preserve">Loan schedules</t>
  </si>
  <si>
    <t xml:space="preserve">Cash_Flow</t>
  </si>
  <si>
    <t xml:space="preserve">Project cash flows</t>
  </si>
  <si>
    <t xml:space="preserve">Waterfall</t>
  </si>
  <si>
    <t xml:space="preserve">GP/LP distribution</t>
  </si>
  <si>
    <t xml:space="preserve">Returns</t>
  </si>
  <si>
    <t xml:space="preserve">Key metrics</t>
  </si>
  <si>
    <t xml:space="preserve">Checks</t>
  </si>
  <si>
    <t xml:space="preserve">Validation</t>
  </si>
  <si>
    <t xml:space="preserve">Tab Colour Legend</t>
  </si>
  <si>
    <t xml:space="preserve">Dark Blue</t>
  </si>
  <si>
    <t xml:space="preserve">Light Blue</t>
  </si>
  <si>
    <t xml:space="preserve">Green</t>
  </si>
  <si>
    <t xml:space="preserve">Revenue / development</t>
  </si>
  <si>
    <t xml:space="preserve">Orange</t>
  </si>
  <si>
    <t xml:space="preserve">Cost schedules</t>
  </si>
  <si>
    <t xml:space="preserve">Red</t>
  </si>
  <si>
    <t xml:space="preserve">Debt / Risk</t>
  </si>
  <si>
    <t xml:space="preserve">Grey</t>
  </si>
  <si>
    <t xml:space="preserve">Summary / Output</t>
  </si>
  <si>
    <t xml:space="preserve">About this model</t>
  </si>
  <si>
    <t xml:space="preserve">This construction draw model forecasts a multi-family residential development from groundbreaking to stabilised operations, projecting monthly construction draws, lease-up absorption, permanent debt financing, and levered returns. It models a 200-unit apartment project with $48â50M total development cost (land, hard costs, soft costs, contingency, developer fee, capitalised interest, and operating deficit reserve). Construction is funded through equity-first mechanics (equity exhausted before construction debt draws) with interest-during-construction capitalised onto the loan balance. The permanent loan converts at stabilisation (typically Month 27) and amortises on a 30-year schedule with a 5-year balloon.
The model includes nine supporting schedules: a development budget sources-and-uses statement; a monthly construction draw showing hard costs on an S-curve, soft costs pro-rata, and opening/closing loan balances; a monthly lease-up sheet tracking unit deliveries, absorption, occupancy %, delinquencies, and cumulative operating deficit. Three annual operating sheets project rent (base, vacancy, bad debt, ancillary); operating expenses (property management, payroll, repairs, turnover, utilities, taxes, insurance, reserves â all independently driven); and NOI. Returns sheets calculate levered IRR, equity multiple, yield on cost, and development spread; a waterfall distributes annual cash flow and exit proceeds through LP preferred return, GP catch-up, and pro-rata tiers.
This model is used by developers, sponsors, and institutional investors underwriting multifamily acquisition, repositioning, and development opportunities. It addresses the unique challenges of construction phase negative cash flow, lease-up operating deficits, and interest capitalisation, making it essential for project finance lenders and equity sponsors sizing capital requirements and stress-testing downside scenarios.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</si>
  <si>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</si>
  <si>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</si>
  <si>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</si>
  <si>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</si>
  <si>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</si>
  <si>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</si>
  <si>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</si>
  <si>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</si>
  <si>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</si>
  <si>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</si>
  <si>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</si>
  <si>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</si>
  <si>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</si>
  <si>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</si>
  <si>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</si>
  <si>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</si>
  <si>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</si>
  <si>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</si>
  <si>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</si>
  <si>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</si>
  <si>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</si>
  <si>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</si>
  <si>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</si>
  <si>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</si>
  <si>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</si>
  <si>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</si>
  <si>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Project</t>
  </si>
  <si>
    <t xml:space="preserve">Model Start Date</t>
  </si>
  <si>
    <t xml:space="preserve">Year</t>
  </si>
  <si>
    <t xml:space="preserve">Year 1 of construction</t>
  </si>
  <si>
    <t xml:space="preserve">Construction Duration</t>
  </si>
  <si>
    <t xml:space="preserve">Months</t>
  </si>
  <si>
    <t xml:space="preserve">Standard 200-unit timeline</t>
  </si>
  <si>
    <t xml:space="preserve">Hold Period</t>
  </si>
  <si>
    <t xml:space="preserve">Years</t>
  </si>
  <si>
    <t xml:space="preserve">Post-stabilisation operating</t>
  </si>
  <si>
    <t xml:space="preserve">Unit Mix</t>
  </si>
  <si>
    <t xml:space="preserve">Total Units</t>
  </si>
  <si>
    <t xml:space="preserve">Units</t>
  </si>
  <si>
    <t xml:space="preserve">Garden-style apartment</t>
  </si>
  <si>
    <t xml:space="preserve">Avg Unit Size</t>
  </si>
  <si>
    <t xml:space="preserve">SqFt</t>
  </si>
  <si>
    <t xml:space="preserve">Mix of 1BR and 2BR</t>
  </si>
  <si>
    <t xml:space="preserve">Total GBA</t>
  </si>
  <si>
    <t xml:space="preserve">Units x Avg Size</t>
  </si>
  <si>
    <t xml:space="preserve">Development Costs</t>
  </si>
  <si>
    <t xml:space="preserve">Land Cost / Unit</t>
  </si>
  <si>
    <t xml:space="preserve">$/unit</t>
  </si>
  <si>
    <t xml:space="preserve">Suburban land basis</t>
  </si>
  <si>
    <t xml:space="preserve">Hard Costs / SqFt</t>
  </si>
  <si>
    <t xml:space="preserve">$/SqFt</t>
  </si>
  <si>
    <t xml:space="preserve">Wood-frame construction</t>
  </si>
  <si>
    <t xml:space="preserve">Soft Costs</t>
  </si>
  <si>
    <t xml:space="preserve">%</t>
  </si>
  <si>
    <t xml:space="preserve">% of Hard Costs</t>
  </si>
  <si>
    <t xml:space="preserve">Developer Fee</t>
  </si>
  <si>
    <t xml:space="preserve">% of Total (ex-fee)</t>
  </si>
  <si>
    <t xml:space="preserve">Contingency</t>
  </si>
  <si>
    <t xml:space="preserve">% of Hard + Soft</t>
  </si>
  <si>
    <t xml:space="preserve">Operating Deficit</t>
  </si>
  <si>
    <t xml:space="preserve">$</t>
  </si>
  <si>
    <t xml:space="preserve">Lease-up reserve</t>
  </si>
  <si>
    <t xml:space="preserve">Revenue</t>
  </si>
  <si>
    <t xml:space="preserve">Avg Rent / SqFt / Mo</t>
  </si>
  <si>
    <t xml:space="preserve">$/SqFt/Mo</t>
  </si>
  <si>
    <t xml:space="preserve">Class A suburban</t>
  </si>
  <si>
    <t xml:space="preserve">Other Income / Unit</t>
  </si>
  <si>
    <t xml:space="preserve">$/unit/mo</t>
  </si>
  <si>
    <t xml:space="preserve">Parking, RUBS, pets</t>
  </si>
  <si>
    <t xml:space="preserve">Stabilised Vacancy</t>
  </si>
  <si>
    <t xml:space="preserve">Natural turnover</t>
  </si>
  <si>
    <t xml:space="preserve">Rent Escalation</t>
  </si>
  <si>
    <t xml:space="preserve">%/yr</t>
  </si>
  <si>
    <t xml:space="preserve">Annual rent growth</t>
  </si>
  <si>
    <t xml:space="preserve">Lease-Up Pace</t>
  </si>
  <si>
    <t xml:space="preserve">Units/mo</t>
  </si>
  <si>
    <t xml:space="preserve">Absorption velocity</t>
  </si>
  <si>
    <t xml:space="preserve">Concessions</t>
  </si>
  <si>
    <t xml:space="preserve">Month</t>
  </si>
  <si>
    <t xml:space="preserve">Free months during lease-up</t>
  </si>
  <si>
    <t xml:space="preserve">Operating Expenses</t>
  </si>
  <si>
    <t xml:space="preserve">OpEx % of EGI</t>
  </si>
  <si>
    <t xml:space="preserve">All-in efficiency ratio</t>
  </si>
  <si>
    <t xml:space="preserve">Property Tax / Unit</t>
  </si>
  <si>
    <t xml:space="preserve">$/unit/yr</t>
  </si>
  <si>
    <t xml:space="preserve">Post-completion assessed</t>
  </si>
  <si>
    <t xml:space="preserve">Insurance / Unit</t>
  </si>
  <si>
    <t xml:space="preserve">Property insurance</t>
  </si>
  <si>
    <t xml:space="preserve">Management Fee</t>
  </si>
  <si>
    <t xml:space="preserve">% of EGI</t>
  </si>
  <si>
    <t xml:space="preserve">Capital Reserves</t>
  </si>
  <si>
    <t xml:space="preserve">Replacement reserves</t>
  </si>
  <si>
    <t xml:space="preserve">OpEx Escalation</t>
  </si>
  <si>
    <t xml:space="preserve">Annual cost growth</t>
  </si>
  <si>
    <t xml:space="preserve">Financing</t>
  </si>
  <si>
    <t xml:space="preserve">Construction LTC</t>
  </si>
  <si>
    <t xml:space="preserve">Loan-to-Cost</t>
  </si>
  <si>
    <t xml:space="preserve">Construction Rate</t>
  </si>
  <si>
    <t xml:space="preserve">SOFR + 350 bps</t>
  </si>
  <si>
    <t xml:space="preserve">Origination Fee</t>
  </si>
  <si>
    <t xml:space="preserve">On commitment</t>
  </si>
  <si>
    <t xml:space="preserve">Permanent LTV</t>
  </si>
  <si>
    <t xml:space="preserve">Takeout leverage</t>
  </si>
  <si>
    <t xml:space="preserve">Permanent Rate</t>
  </si>
  <si>
    <t xml:space="preserve">Agency fixed rate</t>
  </si>
  <si>
    <t xml:space="preserve">Amortisation</t>
  </si>
  <si>
    <t xml:space="preserve">Standard mortgage</t>
  </si>
  <si>
    <t xml:space="preserve">Exit &amp; Returns</t>
  </si>
  <si>
    <t xml:space="preserve">Exit Cap Rate</t>
  </si>
  <si>
    <t xml:space="preserve">Class A stabilised</t>
  </si>
  <si>
    <t xml:space="preserve">Selling Costs</t>
  </si>
  <si>
    <t xml:space="preserve">Broker / closing</t>
  </si>
  <si>
    <t xml:space="preserve">LP Equity Share</t>
  </si>
  <si>
    <t xml:space="preserve">Institutional JV</t>
  </si>
  <si>
    <t xml:space="preserve">LP Pref Return</t>
  </si>
  <si>
    <t xml:space="preserve">Annual compound</t>
  </si>
  <si>
    <t xml:space="preserve">GP Promote Split</t>
  </si>
  <si>
    <t xml:space="preserve">Above pref hurdle</t>
  </si>
  <si>
    <t xml:space="preserve">Development Budget</t>
  </si>
  <si>
    <t xml:space="preserve">Line Item</t>
  </si>
  <si>
    <t xml:space="preserve">Amount</t>
  </si>
  <si>
    <t xml:space="preserve">Per Unit</t>
  </si>
  <si>
    <t xml:space="preserve">% of Total</t>
  </si>
  <si>
    <t xml:space="preserve">Uses</t>
  </si>
  <si>
    <t xml:space="preserve">Land Acquisition</t>
  </si>
  <si>
    <t xml:space="preserve">Hard Costs</t>
  </si>
  <si>
    <t xml:space="preserve">Subtotal Ex-Fin</t>
  </si>
  <si>
    <t xml:space="preserve">Capitalised Interest</t>
  </si>
  <si>
    <t xml:space="preserve">TOTAL USES</t>
  </si>
  <si>
    <t xml:space="preserve">Sources</t>
  </si>
  <si>
    <t xml:space="preserve">Construction Loan</t>
  </si>
  <si>
    <t xml:space="preserve">Equity</t>
  </si>
  <si>
    <t xml:space="preserve">TOTAL SOURCES</t>
  </si>
  <si>
    <t xml:space="preserve">Sources - Uses</t>
  </si>
  <si>
    <t xml:space="preserve">Construction Draw</t>
  </si>
  <si>
    <t xml:space="preserve">Monthly schedule</t>
  </si>
  <si>
    <t xml:space="preserve">Month 1</t>
  </si>
  <si>
    <t xml:space="preserve">Month 2</t>
  </si>
  <si>
    <t xml:space="preserve">Month 3</t>
  </si>
  <si>
    <t xml:space="preserve">Month 4</t>
  </si>
  <si>
    <t xml:space="preserve">Month 5</t>
  </si>
  <si>
    <t xml:space="preserve">Month 6</t>
  </si>
  <si>
    <t xml:space="preserve">Month 7</t>
  </si>
  <si>
    <t xml:space="preserve">Month 8</t>
  </si>
  <si>
    <t xml:space="preserve">Month 9</t>
  </si>
  <si>
    <t xml:space="preserve">Month 10</t>
  </si>
  <si>
    <t xml:space="preserve">Month 11</t>
  </si>
  <si>
    <t xml:space="preserve">Month 12</t>
  </si>
  <si>
    <t xml:space="preserve">Month 13</t>
  </si>
  <si>
    <t xml:space="preserve">Month 14</t>
  </si>
  <si>
    <t xml:space="preserve">Month 15</t>
  </si>
  <si>
    <t xml:space="preserve">Month 16</t>
  </si>
  <si>
    <t xml:space="preserve">Month 17</t>
  </si>
  <si>
    <t xml:space="preserve">Month 18</t>
  </si>
  <si>
    <t xml:space="preserve">Month 19</t>
  </si>
  <si>
    <t xml:space="preserve">Month 20</t>
  </si>
  <si>
    <t xml:space="preserve">Month 21</t>
  </si>
  <si>
    <t xml:space="preserve">Month 22</t>
  </si>
  <si>
    <t xml:space="preserve">Month 23</t>
  </si>
  <si>
    <t xml:space="preserve">Month 24</t>
  </si>
  <si>
    <t xml:space="preserve">Month #</t>
  </si>
  <si>
    <t xml:space="preserve">Land</t>
  </si>
  <si>
    <t xml:space="preserve">Monthly Cost</t>
  </si>
  <si>
    <t xml:space="preserve">Cumulative Cost</t>
  </si>
  <si>
    <t xml:space="preserve">Funding</t>
  </si>
  <si>
    <t xml:space="preserve">Equity Draw</t>
  </si>
  <si>
    <t xml:space="preserve">Cumul Equity</t>
  </si>
  <si>
    <t xml:space="preserve">Debt Draw</t>
  </si>
  <si>
    <t xml:space="preserve">Cumul Debt</t>
  </si>
  <si>
    <t xml:space="preserve">Interest</t>
  </si>
  <si>
    <t xml:space="preserve">Opening Debt</t>
  </si>
  <si>
    <t xml:space="preserve">Monthly Interest</t>
  </si>
  <si>
    <t xml:space="preserve">Cumul Interest</t>
  </si>
  <si>
    <t xml:space="preserve">Lease-Up Schedule</t>
  </si>
  <si>
    <t xml:space="preserve">Absorption tracker</t>
  </si>
  <si>
    <t xml:space="preserve">Absorption</t>
  </si>
  <si>
    <t xml:space="preserve">New Leases</t>
  </si>
  <si>
    <t xml:space="preserve">Cumul Leased</t>
  </si>
  <si>
    <t xml:space="preserve">Occupancy</t>
  </si>
  <si>
    <t xml:space="preserve">Gross Rent</t>
  </si>
  <si>
    <t xml:space="preserve">Other Income</t>
  </si>
  <si>
    <t xml:space="preserve">Net Revenue</t>
  </si>
  <si>
    <t xml:space="preserve">Cumul Revenue</t>
  </si>
  <si>
    <t xml:space="preserve">Operating P&amp;L</t>
  </si>
  <si>
    <t xml:space="preserve">Stabilised operations</t>
  </si>
  <si>
    <t xml:space="preserve">Year #</t>
  </si>
  <si>
    <t xml:space="preserve">Gross Potential Rent</t>
  </si>
  <si>
    <t xml:space="preserve">Vacancy Loss</t>
  </si>
  <si>
    <t xml:space="preserve">EGI</t>
  </si>
  <si>
    <t xml:space="preserve">Property Tax</t>
  </si>
  <si>
    <t xml:space="preserve">Insurance</t>
  </si>
  <si>
    <t xml:space="preserve">Other OpEx</t>
  </si>
  <si>
    <t xml:space="preserve">Total OpEx</t>
  </si>
  <si>
    <t xml:space="preserve">NOI</t>
  </si>
  <si>
    <t xml:space="preserve">NOI Margin</t>
  </si>
  <si>
    <t xml:space="preserve">Net Cash Flow</t>
  </si>
  <si>
    <t xml:space="preserve">Debt Schedule</t>
  </si>
  <si>
    <t xml:space="preserve">Permanent financing</t>
  </si>
  <si>
    <t xml:space="preserve">Loan Sizing</t>
  </si>
  <si>
    <t xml:space="preserve">Stabilised NOI</t>
  </si>
  <si>
    <t xml:space="preserve">Implied Value</t>
  </si>
  <si>
    <t xml:space="preserve">Permanent Loan</t>
  </si>
  <si>
    <t xml:space="preserve">Debt Walk</t>
  </si>
  <si>
    <t xml:space="preserve">Opening Balance</t>
  </si>
  <si>
    <t xml:space="preserve">Principal Repay</t>
  </si>
  <si>
    <t xml:space="preserve">Closing Balance</t>
  </si>
  <si>
    <t xml:space="preserve">Interest Expense</t>
  </si>
  <si>
    <t xml:space="preserve">Total Debt Service</t>
  </si>
  <si>
    <t xml:space="preserve">Metrics</t>
  </si>
  <si>
    <t xml:space="preserve">DSCR</t>
  </si>
  <si>
    <t xml:space="preserve">Debt Yield</t>
  </si>
  <si>
    <t xml:space="preserve">LTV</t>
  </si>
  <si>
    <t xml:space="preserve">Cash Flow</t>
  </si>
  <si>
    <t xml:space="preserve">Year 0</t>
  </si>
  <si>
    <t xml:space="preserve">Unlevered Cash Flow</t>
  </si>
  <si>
    <t xml:space="preserve">Development Cost</t>
  </si>
  <si>
    <t xml:space="preserve">UFCF</t>
  </si>
  <si>
    <t xml:space="preserve">Exit / Disposition</t>
  </si>
  <si>
    <t xml:space="preserve">Forward NOI</t>
  </si>
  <si>
    <t xml:space="preserve">Exit Value</t>
  </si>
  <si>
    <t xml:space="preserve">Net Proceeds</t>
  </si>
  <si>
    <t xml:space="preserve">Levered Cash Flow</t>
  </si>
  <si>
    <t xml:space="preserve">Equity Injection</t>
  </si>
  <si>
    <t xml:space="preserve">Constr Loan Net</t>
  </si>
  <si>
    <t xml:space="preserve">Perm Loan Draw</t>
  </si>
  <si>
    <t xml:space="preserve">Debt Service</t>
  </si>
  <si>
    <t xml:space="preserve">Perm Payoff</t>
  </si>
  <si>
    <t xml:space="preserve">LFCF</t>
  </si>
  <si>
    <t xml:space="preserve">Return Metrics</t>
  </si>
  <si>
    <t xml:space="preserve">Unlev Stream</t>
  </si>
  <si>
    <t xml:space="preserve">Lev Stream</t>
  </si>
  <si>
    <t xml:space="preserve">Unlevered IRR</t>
  </si>
  <si>
    <t xml:space="preserve">Levered IRR</t>
  </si>
  <si>
    <t xml:space="preserve">Equity Multiple</t>
  </si>
  <si>
    <t xml:space="preserve">GP / LP Waterfall</t>
  </si>
  <si>
    <t xml:space="preserve">Distribution schedule</t>
  </si>
  <si>
    <t xml:space="preserve">Year 1</t>
  </si>
  <si>
    <t xml:space="preserve">Year 2</t>
  </si>
  <si>
    <t xml:space="preserve">Year 3</t>
  </si>
  <si>
    <t xml:space="preserve">Year 4</t>
  </si>
  <si>
    <t xml:space="preserve">Year 5</t>
  </si>
  <si>
    <t xml:space="preserve">Project LFCF</t>
  </si>
  <si>
    <t xml:space="preserve">Total Equity</t>
  </si>
  <si>
    <t xml:space="preserve">LP Equity</t>
  </si>
  <si>
    <t xml:space="preserve">GP Equity</t>
  </si>
  <si>
    <t xml:space="preserve">Preferred Return</t>
  </si>
  <si>
    <t xml:space="preserve">LP Pref Accrual</t>
  </si>
  <si>
    <t xml:space="preserve">Tier 1: Return of Capital + Pref</t>
  </si>
  <si>
    <t xml:space="preserve">Return of Capital</t>
  </si>
  <si>
    <t xml:space="preserve">Pref Paid</t>
  </si>
  <si>
    <t xml:space="preserve">Residual</t>
  </si>
  <si>
    <t xml:space="preserve">Tier 2: Promote Split</t>
  </si>
  <si>
    <t xml:space="preserve">LP Residual</t>
  </si>
  <si>
    <t xml:space="preserve">GP Promote</t>
  </si>
  <si>
    <t xml:space="preserve">Total Distributions</t>
  </si>
  <si>
    <t xml:space="preserve">LP Total</t>
  </si>
  <si>
    <t xml:space="preserve">GP Total</t>
  </si>
  <si>
    <t xml:space="preserve">Check (LP+GP-LFCF)</t>
  </si>
  <si>
    <t xml:space="preserve">LP IRR</t>
  </si>
  <si>
    <t xml:space="preserve">GP IRR</t>
  </si>
  <si>
    <t xml:space="preserve">LP Multiple</t>
  </si>
  <si>
    <t xml:space="preserve">GP Multiple</t>
  </si>
  <si>
    <t xml:space="preserve">Returns Summary</t>
  </si>
  <si>
    <t xml:space="preserve">Metric</t>
  </si>
  <si>
    <t xml:space="preserve">Development Metrics</t>
  </si>
  <si>
    <t xml:space="preserve">Total Dev Cost</t>
  </si>
  <si>
    <t xml:space="preserve">Yield on Cost</t>
  </si>
  <si>
    <t xml:space="preserve">Dev Spread</t>
  </si>
  <si>
    <t xml:space="preserve">Profit on Cost</t>
  </si>
  <si>
    <t xml:space="preserve">Total Timeline</t>
  </si>
  <si>
    <t xml:space="preserve">Debt Metrics</t>
  </si>
  <si>
    <t xml:space="preserve">DSCR (Year 1)</t>
  </si>
  <si>
    <t xml:space="preserve">LTV (Year 1)</t>
  </si>
  <si>
    <t xml:space="preserve">Validation Checks</t>
  </si>
  <si>
    <t xml:space="preserve">Model integrity</t>
  </si>
  <si>
    <t xml:space="preserve">Check</t>
  </si>
  <si>
    <t xml:space="preserve">Status</t>
  </si>
  <si>
    <t xml:space="preserve">Description</t>
  </si>
  <si>
    <t xml:space="preserve">Sources = Uses</t>
  </si>
  <si>
    <t xml:space="preserve">S&amp;U must balance</t>
  </si>
  <si>
    <t xml:space="preserve">Waterfall Recon</t>
  </si>
  <si>
    <t xml:space="preserve">LP + GP = Project LFCF</t>
  </si>
  <si>
    <t xml:space="preserve">YoC &gt; Exit Cap</t>
  </si>
  <si>
    <t xml:space="preserve">Positive dev spread</t>
  </si>
  <si>
    <t xml:space="preserve">DSCR &gt; 1.25x</t>
  </si>
  <si>
    <t xml:space="preserve">Debt coverage adequate</t>
  </si>
  <si>
    <t xml:space="preserve">Stab Occ &lt;= 95%</t>
  </si>
  <si>
    <t xml:space="preserve">Conservative occupancy</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</si>
</sst>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0\x"/>
    <numFmt numFmtId="169" formatCode="0.00"/>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i val="true"/>
      <sz val="10"/>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1"/>
      <color rgb="FF808080"/>
      <name val="Arial"/>
      <family val="0"/>
      <charset val="1"/>
    </font>
    <font>
      <sz val="10"/>
      <color rgb="FF2E75B6"/>
      <name val="Arial"/>
      <family val="0"/>
      <charset val="1"/>
    </font>
    <font>
      <sz val="10"/>
      <color rgb="FF000000"/>
      <name val="Arial"/>
      <family val="0"/>
      <charset val="1"/>
    </font>
    <font>
      <b val="true"/>
      <sz val="10"/>
      <color rgb="FF0061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2"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7" fillId="9"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0" fillId="10" borderId="0" xfId="0" applyFont="true" applyBorder="false" applyAlignment="true" applyProtection="false">
      <alignment horizontal="left" vertical="top" textRotation="0" wrapText="tru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7" fillId="9" borderId="0" xfId="0" applyFont="true" applyBorder="false" applyAlignment="true" applyProtection="false">
      <alignment horizontal="left" vertical="center" textRotation="0" wrapText="false" indent="0" shrinkToFit="false"/>
      <protection locked="true" hidden="false"/>
    </xf>
    <xf numFmtId="164" fontId="17" fillId="9" borderId="0" xfId="0" applyFont="true" applyBorder="false" applyAlignment="true" applyProtection="false">
      <alignment horizontal="center" vertical="center" textRotation="0" wrapText="false" indent="0" shrinkToFit="false"/>
      <protection locked="true" hidden="false"/>
    </xf>
    <xf numFmtId="165" fontId="22" fillId="11"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5" fontId="23" fillId="11" borderId="0" xfId="0" applyFont="true" applyBorder="false" applyAlignment="true" applyProtection="false">
      <alignment horizontal="right" vertical="center" textRotation="0" wrapText="false" indent="0" shrinkToFit="false"/>
      <protection locked="true" hidden="false"/>
    </xf>
    <xf numFmtId="166" fontId="22" fillId="11" borderId="0" xfId="0" applyFont="true" applyBorder="false" applyAlignment="true" applyProtection="false">
      <alignment horizontal="right" vertical="center" textRotation="0" wrapText="false" indent="0" shrinkToFit="false"/>
      <protection locked="true" hidden="false"/>
    </xf>
    <xf numFmtId="167" fontId="22" fillId="11" borderId="0" xfId="0" applyFont="true" applyBorder="false" applyAlignment="true" applyProtection="false">
      <alignment horizontal="right" vertical="center" textRotation="0" wrapText="false" indent="0" shrinkToFit="false"/>
      <protection locked="true" hidden="false"/>
    </xf>
    <xf numFmtId="166" fontId="23" fillId="0" borderId="0" xfId="0" applyFont="true" applyBorder="false" applyAlignment="true" applyProtection="false">
      <alignment horizontal="right" vertical="center" textRotation="0" wrapText="false" indent="0" shrinkToFit="false"/>
      <protection locked="true" hidden="false"/>
    </xf>
    <xf numFmtId="167" fontId="23"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6" fontId="9" fillId="0" borderId="3" xfId="0" applyFont="true" applyBorder="true" applyAlignment="true" applyProtection="false">
      <alignment horizontal="right" vertical="center" textRotation="0" wrapText="false" indent="0" shrinkToFit="false"/>
      <protection locked="true" hidden="false"/>
    </xf>
    <xf numFmtId="167" fontId="9" fillId="0" borderId="3"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5" fontId="17" fillId="9"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9" fontId="23"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8"/>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1"/>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1"/>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6" t="s">
        <v>26</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27</v>
      </c>
      <c r="C21" s="8" t="s">
        <v>4</v>
      </c>
      <c r="D21" s="9"/>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28</v>
      </c>
      <c r="C22" s="8" t="s">
        <v>6</v>
      </c>
      <c r="D22" s="10"/>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29</v>
      </c>
      <c r="C23" s="8" t="s">
        <v>30</v>
      </c>
      <c r="D23" s="11"/>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31</v>
      </c>
      <c r="C24" s="8" t="s">
        <v>32</v>
      </c>
      <c r="D24" s="12"/>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33</v>
      </c>
      <c r="C25" s="8" t="s">
        <v>34</v>
      </c>
      <c r="D25" s="13"/>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35</v>
      </c>
      <c r="C26" s="8" t="s">
        <v>36</v>
      </c>
      <c r="D26" s="14"/>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15" t="s">
        <v>37</v>
      </c>
      <c r="C29" s="16"/>
      <c r="D29" s="16"/>
      <c r="E29" s="16"/>
      <c r="F29" s="16"/>
      <c r="G29" s="16"/>
      <c r="H29" s="5"/>
      <c r="I29" s="5"/>
      <c r="J29" s="5"/>
      <c r="K29" s="5"/>
      <c r="L29" s="5"/>
      <c r="M29" s="5"/>
      <c r="N29" s="5"/>
      <c r="O29" s="5"/>
      <c r="P29" s="5"/>
      <c r="Q29" s="5"/>
      <c r="R29" s="5"/>
      <c r="S29" s="5"/>
      <c r="T29" s="5"/>
      <c r="U29" s="5"/>
      <c r="V29" s="5"/>
      <c r="W29" s="5"/>
      <c r="X29" s="5"/>
      <c r="Y29" s="5"/>
      <c r="Z29" s="5"/>
      <c r="AA29" s="5"/>
      <c r="AB29" s="5"/>
      <c r="AC29" s="5"/>
      <c r="AD29" s="5"/>
    </row>
    <row r="30" customFormat="false" ht="271.5" hidden="false" customHeight="true" outlineLevel="0" collapsed="false">
      <c r="A30" s="5"/>
      <c r="B30" s="17" t="s">
        <v>38</v>
      </c>
      <c r="C30" s="17"/>
      <c r="D30" s="17"/>
      <c r="E30" s="17"/>
      <c r="F30" s="17"/>
      <c r="G30" s="17"/>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9.5" hidden="false" customHeight="true" outlineLevel="0" collapsed="false">
      <c r="A32" s="5"/>
      <c r="B32" s="15" t="s">
        <v>39</v>
      </c>
      <c r="C32" s="16"/>
      <c r="D32" s="16"/>
      <c r="E32" s="16"/>
      <c r="F32" s="16"/>
      <c r="G32" s="16"/>
      <c r="H32" s="5"/>
      <c r="I32" s="5"/>
      <c r="J32" s="5"/>
      <c r="K32" s="5"/>
      <c r="L32" s="5"/>
      <c r="M32" s="5"/>
      <c r="N32" s="5"/>
      <c r="O32" s="5"/>
      <c r="P32" s="5"/>
      <c r="Q32" s="5"/>
      <c r="R32" s="5"/>
      <c r="S32" s="5"/>
      <c r="T32" s="5"/>
      <c r="U32" s="5"/>
      <c r="V32" s="5"/>
      <c r="W32" s="5"/>
      <c r="X32" s="5"/>
      <c r="Y32" s="5"/>
      <c r="Z32" s="5"/>
      <c r="AA32" s="5"/>
      <c r="AB32" s="5"/>
      <c r="AC32" s="5"/>
      <c r="AD32" s="5"/>
    </row>
    <row r="33" customFormat="false" ht="57" hidden="false" customHeight="true" outlineLevel="0" collapsed="false">
      <c r="A33" s="5"/>
      <c r="B33" s="17" t="s">
        <v>40</v>
      </c>
      <c r="C33" s="17"/>
      <c r="D33" s="17"/>
      <c r="E33" s="17"/>
      <c r="F33" s="17"/>
      <c r="G33" s="17"/>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8" t="s">
        <v>41</v>
      </c>
      <c r="C34" s="18"/>
      <c r="D34" s="18"/>
      <c r="E34" s="18"/>
      <c r="F34" s="18"/>
      <c r="G34" s="18"/>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9" t="s">
        <v>42</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sheetData>
  <mergeCells count="3">
    <mergeCell ref="B30:G30"/>
    <mergeCell ref="B33:G33"/>
    <mergeCell ref="B34:G3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H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6"/>
  </cols>
  <sheetData>
    <row r="1" customFormat="false" ht="15" hidden="false" customHeight="false" outlineLevel="0" collapsed="false">
      <c r="A1" s="5"/>
      <c r="B1" s="5"/>
      <c r="C1" s="5"/>
      <c r="D1" s="5"/>
      <c r="E1" s="5"/>
      <c r="F1" s="5"/>
      <c r="G1" s="5"/>
      <c r="H1" s="5"/>
    </row>
    <row r="2" customFormat="false" ht="22.05" hidden="false" customHeight="false" outlineLevel="0" collapsed="false">
      <c r="A2" s="5"/>
      <c r="B2" s="28" t="s">
        <v>273</v>
      </c>
      <c r="C2" s="5"/>
      <c r="D2" s="5"/>
      <c r="E2" s="5"/>
      <c r="F2" s="5"/>
      <c r="G2" s="5"/>
      <c r="H2" s="5"/>
    </row>
    <row r="3" customFormat="false" ht="15" hidden="false" customHeight="false" outlineLevel="0" collapsed="false">
      <c r="A3" s="5"/>
      <c r="B3" s="29" t="s">
        <v>274</v>
      </c>
      <c r="C3" s="5"/>
      <c r="D3" s="5"/>
      <c r="E3" s="5"/>
      <c r="F3" s="5"/>
      <c r="G3" s="5"/>
      <c r="H3" s="5"/>
    </row>
    <row r="4" customFormat="false" ht="15" hidden="false" customHeight="false" outlineLevel="0" collapsed="false">
      <c r="A4" s="5"/>
      <c r="B4" s="5"/>
      <c r="C4" s="5"/>
      <c r="D4" s="5"/>
      <c r="E4" s="5"/>
      <c r="F4" s="5"/>
      <c r="G4" s="5"/>
      <c r="H4" s="5"/>
    </row>
    <row r="5" customFormat="false" ht="15" hidden="false" customHeight="false" outlineLevel="0" collapsed="false">
      <c r="A5" s="5"/>
      <c r="B5" s="30" t="s">
        <v>158</v>
      </c>
      <c r="C5" s="31" t="s">
        <v>252</v>
      </c>
      <c r="D5" s="31" t="s">
        <v>275</v>
      </c>
      <c r="E5" s="31" t="s">
        <v>276</v>
      </c>
      <c r="F5" s="31" t="s">
        <v>277</v>
      </c>
      <c r="G5" s="31" t="s">
        <v>278</v>
      </c>
      <c r="H5" s="31" t="s">
        <v>279</v>
      </c>
    </row>
    <row r="6" customFormat="false" ht="15" hidden="false" customHeight="false" outlineLevel="0" collapsed="false">
      <c r="A6" s="5"/>
      <c r="B6" s="49" t="s">
        <v>224</v>
      </c>
      <c r="C6" s="50" t="n">
        <v>0</v>
      </c>
      <c r="D6" s="50" t="n">
        <v>1</v>
      </c>
      <c r="E6" s="50" t="n">
        <v>2</v>
      </c>
      <c r="F6" s="50" t="n">
        <v>3</v>
      </c>
      <c r="G6" s="50" t="n">
        <v>4</v>
      </c>
      <c r="H6" s="50" t="n">
        <v>5</v>
      </c>
    </row>
    <row r="7" customFormat="false" ht="15" hidden="false" customHeight="false" outlineLevel="0" collapsed="false">
      <c r="A7" s="5"/>
      <c r="B7" s="5"/>
      <c r="C7" s="5"/>
      <c r="D7" s="5"/>
      <c r="E7" s="5"/>
      <c r="F7" s="5"/>
      <c r="G7" s="5"/>
      <c r="H7" s="5"/>
    </row>
    <row r="8" customFormat="false" ht="15" hidden="false" customHeight="false" outlineLevel="0" collapsed="false">
      <c r="A8" s="5"/>
      <c r="B8" s="15" t="s">
        <v>251</v>
      </c>
      <c r="C8" s="16"/>
      <c r="D8" s="16"/>
      <c r="E8" s="16"/>
      <c r="F8" s="16"/>
      <c r="G8" s="16"/>
      <c r="H8" s="16"/>
    </row>
    <row r="9" customFormat="false" ht="15" hidden="false" customHeight="false" outlineLevel="0" collapsed="false">
      <c r="A9" s="5"/>
      <c r="B9" s="7" t="s">
        <v>280</v>
      </c>
      <c r="C9" s="37" t="n">
        <f aca="false">INDEX(CF_LFCF,1,C6+1)</f>
        <v>-20245185.984</v>
      </c>
      <c r="D9" s="37" t="n">
        <f aca="false">INDEX(CF_LFCF,1,D6+1)</f>
        <v>392327.132773609</v>
      </c>
      <c r="E9" s="37" t="n">
        <f aca="false">INDEX(CF_LFCF,1,E6+1)</f>
        <v>480663.132773609</v>
      </c>
      <c r="F9" s="37" t="n">
        <f aca="false">INDEX(CF_LFCF,1,F6+1)</f>
        <v>571655.462773609</v>
      </c>
      <c r="G9" s="37" t="n">
        <f aca="false">INDEX(CF_LFCF,1,G6+1)</f>
        <v>665383.968923608</v>
      </c>
      <c r="H9" s="37" t="n">
        <f aca="false">INDEX(CF_LFCF,1,H6+1)</f>
        <v>31259310.7285654</v>
      </c>
    </row>
    <row r="10" customFormat="false" ht="15" hidden="false" customHeight="false" outlineLevel="0" collapsed="false">
      <c r="A10" s="5"/>
      <c r="B10" s="5"/>
      <c r="C10" s="5"/>
      <c r="D10" s="5"/>
      <c r="E10" s="5"/>
      <c r="F10" s="5"/>
      <c r="G10" s="5"/>
      <c r="H10" s="5"/>
    </row>
    <row r="11" customFormat="false" ht="15" hidden="false" customHeight="false" outlineLevel="0" collapsed="false">
      <c r="A11" s="5"/>
      <c r="B11" s="15" t="s">
        <v>170</v>
      </c>
      <c r="C11" s="16"/>
      <c r="D11" s="16"/>
      <c r="E11" s="16"/>
      <c r="F11" s="16"/>
      <c r="G11" s="16"/>
      <c r="H11" s="16"/>
    </row>
    <row r="12" customFormat="false" ht="15" hidden="false" customHeight="false" outlineLevel="0" collapsed="false">
      <c r="A12" s="5"/>
      <c r="B12" s="7" t="s">
        <v>281</v>
      </c>
      <c r="C12" s="37" t="n">
        <f aca="false">DB_Equity</f>
        <v>20245185.984</v>
      </c>
      <c r="D12" s="37" t="n">
        <f aca="false">0</f>
        <v>0</v>
      </c>
      <c r="E12" s="37" t="n">
        <f aca="false">0</f>
        <v>0</v>
      </c>
      <c r="F12" s="37" t="n">
        <f aca="false">0</f>
        <v>0</v>
      </c>
      <c r="G12" s="37" t="n">
        <f aca="false">0</f>
        <v>0</v>
      </c>
      <c r="H12" s="37" t="n">
        <f aca="false">0</f>
        <v>0</v>
      </c>
    </row>
    <row r="13" customFormat="false" ht="15" hidden="false" customHeight="false" outlineLevel="0" collapsed="false">
      <c r="A13" s="5"/>
      <c r="B13" s="39" t="s">
        <v>282</v>
      </c>
      <c r="C13" s="37" t="n">
        <f aca="false">C12*LP_Equity_Pct</f>
        <v>18220667.3856</v>
      </c>
      <c r="D13" s="37" t="n">
        <f aca="false">D12*LP_Equity_Pct</f>
        <v>0</v>
      </c>
      <c r="E13" s="37" t="n">
        <f aca="false">E12*LP_Equity_Pct</f>
        <v>0</v>
      </c>
      <c r="F13" s="37" t="n">
        <f aca="false">F12*LP_Equity_Pct</f>
        <v>0</v>
      </c>
      <c r="G13" s="37" t="n">
        <f aca="false">G12*LP_Equity_Pct</f>
        <v>0</v>
      </c>
      <c r="H13" s="37" t="n">
        <f aca="false">H12*LP_Equity_Pct</f>
        <v>0</v>
      </c>
    </row>
    <row r="14" customFormat="false" ht="15" hidden="false" customHeight="false" outlineLevel="0" collapsed="false">
      <c r="A14" s="5"/>
      <c r="B14" s="39" t="s">
        <v>283</v>
      </c>
      <c r="C14" s="37" t="n">
        <f aca="false">C12*(1-LP_Equity_Pct)</f>
        <v>2024518.5984</v>
      </c>
      <c r="D14" s="37" t="n">
        <f aca="false">D12*(1-LP_Equity_Pct)</f>
        <v>0</v>
      </c>
      <c r="E14" s="37" t="n">
        <f aca="false">E12*(1-LP_Equity_Pct)</f>
        <v>0</v>
      </c>
      <c r="F14" s="37" t="n">
        <f aca="false">F12*(1-LP_Equity_Pct)</f>
        <v>0</v>
      </c>
      <c r="G14" s="37" t="n">
        <f aca="false">G12*(1-LP_Equity_Pct)</f>
        <v>0</v>
      </c>
      <c r="H14" s="37" t="n">
        <f aca="false">H12*(1-LP_Equity_Pct)</f>
        <v>0</v>
      </c>
    </row>
    <row r="15" customFormat="false" ht="15" hidden="false" customHeight="false" outlineLevel="0" collapsed="false">
      <c r="A15" s="5"/>
      <c r="B15" s="5"/>
      <c r="C15" s="5"/>
      <c r="D15" s="5"/>
      <c r="E15" s="5"/>
      <c r="F15" s="5"/>
      <c r="G15" s="5"/>
      <c r="H15" s="5"/>
    </row>
    <row r="16" customFormat="false" ht="15" hidden="false" customHeight="false" outlineLevel="0" collapsed="false">
      <c r="A16" s="5"/>
      <c r="B16" s="15" t="s">
        <v>284</v>
      </c>
      <c r="C16" s="16"/>
      <c r="D16" s="16"/>
      <c r="E16" s="16"/>
      <c r="F16" s="16"/>
      <c r="G16" s="16"/>
      <c r="H16" s="16"/>
    </row>
    <row r="17" customFormat="false" ht="15" hidden="false" customHeight="false" outlineLevel="0" collapsed="false">
      <c r="A17" s="5"/>
      <c r="B17" s="7" t="s">
        <v>285</v>
      </c>
      <c r="C17" s="37" t="n">
        <f aca="false">C13*((1+LP_Pref_Return)^C6-1)</f>
        <v>0</v>
      </c>
      <c r="D17" s="37" t="n">
        <f aca="false">C13*((1+LP_Pref_Return)^D6-1)</f>
        <v>1457653.390848</v>
      </c>
      <c r="E17" s="37" t="n">
        <f aca="false">C13*((1+LP_Pref_Return)^E6-1)</f>
        <v>3031919.05296384</v>
      </c>
      <c r="F17" s="37" t="n">
        <f aca="false">C13*((1+LP_Pref_Return)^F6-1)</f>
        <v>4732125.96804895</v>
      </c>
      <c r="G17" s="37" t="n">
        <f aca="false">C13*((1+LP_Pref_Return)^G6-1)</f>
        <v>6568349.43634087</v>
      </c>
      <c r="H17" s="37" t="n">
        <f aca="false">C13*((1+LP_Pref_Return)^H6-1)</f>
        <v>8551470.78209614</v>
      </c>
    </row>
    <row r="18" customFormat="false" ht="15" hidden="false" customHeight="false" outlineLevel="0" collapsed="false">
      <c r="A18" s="5"/>
      <c r="B18" s="5"/>
      <c r="C18" s="5"/>
      <c r="D18" s="5"/>
      <c r="E18" s="5"/>
      <c r="F18" s="5"/>
      <c r="G18" s="5"/>
      <c r="H18" s="5"/>
    </row>
    <row r="19" customFormat="false" ht="15" hidden="false" customHeight="false" outlineLevel="0" collapsed="false">
      <c r="A19" s="5"/>
      <c r="B19" s="15" t="s">
        <v>286</v>
      </c>
      <c r="C19" s="16"/>
      <c r="D19" s="16"/>
      <c r="E19" s="16"/>
      <c r="F19" s="16"/>
      <c r="G19" s="16"/>
      <c r="H19" s="16"/>
    </row>
    <row r="20" customFormat="false" ht="15" hidden="false" customHeight="false" outlineLevel="0" collapsed="false">
      <c r="A20" s="5"/>
      <c r="B20" s="7" t="s">
        <v>287</v>
      </c>
      <c r="C20" s="37" t="n">
        <f aca="false">0</f>
        <v>0</v>
      </c>
      <c r="D20" s="37" t="n">
        <f aca="false">0</f>
        <v>0</v>
      </c>
      <c r="E20" s="37" t="n">
        <f aca="false">0</f>
        <v>0</v>
      </c>
      <c r="F20" s="37" t="n">
        <f aca="false">0</f>
        <v>0</v>
      </c>
      <c r="G20" s="37" t="n">
        <f aca="false">0</f>
        <v>0</v>
      </c>
      <c r="H20" s="37" t="n">
        <f aca="false">MIN(MAX(0,H9),C12)</f>
        <v>20245185.984</v>
      </c>
    </row>
    <row r="21" customFormat="false" ht="15" hidden="false" customHeight="false" outlineLevel="0" collapsed="false">
      <c r="A21" s="5"/>
      <c r="B21" s="39" t="s">
        <v>288</v>
      </c>
      <c r="C21" s="37" t="n">
        <f aca="false">0</f>
        <v>0</v>
      </c>
      <c r="D21" s="37" t="n">
        <f aca="false">0</f>
        <v>0</v>
      </c>
      <c r="E21" s="37" t="n">
        <f aca="false">0</f>
        <v>0</v>
      </c>
      <c r="F21" s="37" t="n">
        <f aca="false">0</f>
        <v>0</v>
      </c>
      <c r="G21" s="37" t="n">
        <f aca="false">0</f>
        <v>0</v>
      </c>
      <c r="H21" s="37" t="n">
        <f aca="false">MIN(MAX(0,H9-H20),H17)</f>
        <v>8551470.78209614</v>
      </c>
    </row>
    <row r="22" customFormat="false" ht="15" hidden="false" customHeight="false" outlineLevel="0" collapsed="false">
      <c r="A22" s="5"/>
      <c r="B22" s="39" t="s">
        <v>289</v>
      </c>
      <c r="C22" s="37" t="n">
        <f aca="false">0</f>
        <v>0</v>
      </c>
      <c r="D22" s="37" t="n">
        <f aca="false">0</f>
        <v>0</v>
      </c>
      <c r="E22" s="37" t="n">
        <f aca="false">0</f>
        <v>0</v>
      </c>
      <c r="F22" s="37" t="n">
        <f aca="false">0</f>
        <v>0</v>
      </c>
      <c r="G22" s="37" t="n">
        <f aca="false">0</f>
        <v>0</v>
      </c>
      <c r="H22" s="37" t="n">
        <f aca="false">MAX(0,H9-H20-H21)</f>
        <v>2462653.96246927</v>
      </c>
    </row>
    <row r="23" customFormat="false" ht="15" hidden="false" customHeight="false" outlineLevel="0" collapsed="false">
      <c r="A23" s="5"/>
      <c r="B23" s="5"/>
      <c r="C23" s="5"/>
      <c r="D23" s="5"/>
      <c r="E23" s="5"/>
      <c r="F23" s="5"/>
      <c r="G23" s="5"/>
      <c r="H23" s="5"/>
    </row>
    <row r="24" customFormat="false" ht="15" hidden="false" customHeight="false" outlineLevel="0" collapsed="false">
      <c r="A24" s="5"/>
      <c r="B24" s="15" t="s">
        <v>290</v>
      </c>
      <c r="C24" s="16"/>
      <c r="D24" s="16"/>
      <c r="E24" s="16"/>
      <c r="F24" s="16"/>
      <c r="G24" s="16"/>
      <c r="H24" s="16"/>
    </row>
    <row r="25" customFormat="false" ht="15" hidden="false" customHeight="false" outlineLevel="0" collapsed="false">
      <c r="A25" s="5"/>
      <c r="B25" s="39" t="s">
        <v>291</v>
      </c>
      <c r="C25" s="37" t="n">
        <f aca="false">C22*(1-GP_Promote_Split)</f>
        <v>0</v>
      </c>
      <c r="D25" s="37" t="n">
        <f aca="false">D22*(1-GP_Promote_Split)</f>
        <v>0</v>
      </c>
      <c r="E25" s="37" t="n">
        <f aca="false">E22*(1-GP_Promote_Split)</f>
        <v>0</v>
      </c>
      <c r="F25" s="37" t="n">
        <f aca="false">F22*(1-GP_Promote_Split)</f>
        <v>0</v>
      </c>
      <c r="G25" s="37" t="n">
        <f aca="false">G22*(1-GP_Promote_Split)</f>
        <v>0</v>
      </c>
      <c r="H25" s="37" t="n">
        <f aca="false">H22*(1-GP_Promote_Split)</f>
        <v>1970123.16997542</v>
      </c>
    </row>
    <row r="26" customFormat="false" ht="15" hidden="false" customHeight="false" outlineLevel="0" collapsed="false">
      <c r="A26" s="5"/>
      <c r="B26" s="39" t="s">
        <v>292</v>
      </c>
      <c r="C26" s="37" t="n">
        <f aca="false">C22*GP_Promote_Split</f>
        <v>0</v>
      </c>
      <c r="D26" s="37" t="n">
        <f aca="false">D22*GP_Promote_Split</f>
        <v>0</v>
      </c>
      <c r="E26" s="37" t="n">
        <f aca="false">E22*GP_Promote_Split</f>
        <v>0</v>
      </c>
      <c r="F26" s="37" t="n">
        <f aca="false">F22*GP_Promote_Split</f>
        <v>0</v>
      </c>
      <c r="G26" s="37" t="n">
        <f aca="false">G22*GP_Promote_Split</f>
        <v>0</v>
      </c>
      <c r="H26" s="37" t="n">
        <f aca="false">H22*GP_Promote_Split</f>
        <v>492530.792493855</v>
      </c>
    </row>
    <row r="27" customFormat="false" ht="15" hidden="false" customHeight="false" outlineLevel="0" collapsed="false">
      <c r="A27" s="5"/>
      <c r="B27" s="5"/>
      <c r="C27" s="5"/>
      <c r="D27" s="5"/>
      <c r="E27" s="5"/>
      <c r="F27" s="5"/>
      <c r="G27" s="5"/>
      <c r="H27" s="5"/>
    </row>
    <row r="28" customFormat="false" ht="15" hidden="false" customHeight="false" outlineLevel="0" collapsed="false">
      <c r="A28" s="5"/>
      <c r="B28" s="15" t="s">
        <v>293</v>
      </c>
      <c r="C28" s="16"/>
      <c r="D28" s="16"/>
      <c r="E28" s="16"/>
      <c r="F28" s="16"/>
      <c r="G28" s="16"/>
      <c r="H28" s="16"/>
    </row>
    <row r="29" customFormat="false" ht="15" hidden="false" customHeight="false" outlineLevel="0" collapsed="false">
      <c r="A29" s="5"/>
      <c r="B29" s="40" t="s">
        <v>294</v>
      </c>
      <c r="C29" s="41" t="n">
        <f aca="false">-C13</f>
        <v>-18220667.3856</v>
      </c>
      <c r="D29" s="41" t="n">
        <f aca="false">MAX(0,D9)*LP_Equity_Pct</f>
        <v>353094.419496248</v>
      </c>
      <c r="E29" s="41" t="n">
        <f aca="false">MAX(0,E9)*LP_Equity_Pct</f>
        <v>432596.819496248</v>
      </c>
      <c r="F29" s="41" t="n">
        <f aca="false">MAX(0,F9)*LP_Equity_Pct</f>
        <v>514489.916496248</v>
      </c>
      <c r="G29" s="41" t="n">
        <f aca="false">MAX(0,G9)*LP_Equity_Pct</f>
        <v>598845.572031248</v>
      </c>
      <c r="H29" s="41" t="n">
        <f aca="false">MAX(0,H9-H20-H21-H22)*LP_Equity_Pct+H20*LP_Equity_Pct+H21+H25</f>
        <v>28742261.3376716</v>
      </c>
    </row>
    <row r="30" customFormat="false" ht="15" hidden="false" customHeight="false" outlineLevel="0" collapsed="false">
      <c r="A30" s="5"/>
      <c r="B30" s="40" t="s">
        <v>295</v>
      </c>
      <c r="C30" s="41" t="n">
        <f aca="false">-C14</f>
        <v>-2024518.5984</v>
      </c>
      <c r="D30" s="41" t="n">
        <f aca="false">MAX(0,D9)*(1-LP_Equity_Pct)</f>
        <v>39232.7132773609</v>
      </c>
      <c r="E30" s="41" t="n">
        <f aca="false">MAX(0,E9)*(1-LP_Equity_Pct)</f>
        <v>48066.3132773609</v>
      </c>
      <c r="F30" s="41" t="n">
        <f aca="false">MAX(0,F9)*(1-LP_Equity_Pct)</f>
        <v>57165.5462773608</v>
      </c>
      <c r="G30" s="41" t="n">
        <f aca="false">MAX(0,G9)*(1-LP_Equity_Pct)</f>
        <v>66538.3968923608</v>
      </c>
      <c r="H30" s="41" t="n">
        <f aca="false">MAX(0,H9-H20-H21-H22)*(1-LP_Equity_Pct)+H20*(1-LP_Equity_Pct)+H26</f>
        <v>2517049.39089385</v>
      </c>
    </row>
    <row r="31" customFormat="false" ht="15" hidden="false" customHeight="false" outlineLevel="0" collapsed="false">
      <c r="A31" s="5"/>
      <c r="B31" s="7" t="s">
        <v>296</v>
      </c>
      <c r="C31" s="37" t="n">
        <f aca="false">C29+C30-C9</f>
        <v>0</v>
      </c>
      <c r="D31" s="37" t="n">
        <f aca="false">D29+D30-D9</f>
        <v>0</v>
      </c>
      <c r="E31" s="37" t="n">
        <f aca="false">E29+E30-E9</f>
        <v>0</v>
      </c>
      <c r="F31" s="37" t="n">
        <f aca="false">F29+F30-F9</f>
        <v>0</v>
      </c>
      <c r="G31" s="37" t="n">
        <f aca="false">G29+G30-G9</f>
        <v>0</v>
      </c>
      <c r="H31" s="37" t="n">
        <f aca="false">H29+H30-H9</f>
        <v>0</v>
      </c>
    </row>
    <row r="32" customFormat="false" ht="15" hidden="false" customHeight="false" outlineLevel="0" collapsed="false">
      <c r="A32" s="5"/>
      <c r="B32" s="5"/>
      <c r="C32" s="5"/>
      <c r="D32" s="5"/>
      <c r="E32" s="5"/>
      <c r="F32" s="5"/>
      <c r="G32" s="5"/>
      <c r="H32" s="5"/>
    </row>
    <row r="33" customFormat="false" ht="15" hidden="false" customHeight="false" outlineLevel="0" collapsed="false">
      <c r="A33" s="5"/>
      <c r="B33" s="46" t="s">
        <v>297</v>
      </c>
      <c r="C33" s="54" t="n">
        <f aca="false">IFERROR(IRR(C29:H29),0)</f>
        <v>0.113478060734662</v>
      </c>
      <c r="D33" s="5"/>
      <c r="E33" s="5"/>
      <c r="F33" s="5"/>
      <c r="G33" s="5"/>
      <c r="H33" s="5"/>
    </row>
    <row r="34" customFormat="false" ht="15" hidden="false" customHeight="false" outlineLevel="0" collapsed="false">
      <c r="A34" s="5"/>
      <c r="B34" s="46" t="s">
        <v>298</v>
      </c>
      <c r="C34" s="54" t="n">
        <f aca="false">IFERROR(IRR(C30:H30),0)</f>
        <v>0.0639980451517483</v>
      </c>
      <c r="D34" s="5"/>
      <c r="E34" s="5"/>
      <c r="F34" s="5"/>
      <c r="G34" s="5"/>
      <c r="H34" s="5"/>
    </row>
    <row r="35" customFormat="false" ht="15" hidden="false" customHeight="false" outlineLevel="0" collapsed="false">
      <c r="A35" s="5"/>
      <c r="B35" s="46" t="s">
        <v>299</v>
      </c>
      <c r="C35" s="55" t="n">
        <f aca="false">IFERROR(SUM(D29:H29)/(-C29),0)</f>
        <v>1.6816775926335</v>
      </c>
      <c r="D35" s="5"/>
      <c r="E35" s="5"/>
      <c r="F35" s="5"/>
      <c r="G35" s="5"/>
      <c r="H35" s="5"/>
    </row>
    <row r="36" customFormat="false" ht="15" hidden="false" customHeight="false" outlineLevel="0" collapsed="false">
      <c r="A36" s="5"/>
      <c r="B36" s="46" t="s">
        <v>300</v>
      </c>
      <c r="C36" s="55" t="n">
        <f aca="false">IFERROR(SUM(D30:H30)/(-C30),0)</f>
        <v>1.34750669259068</v>
      </c>
      <c r="D36" s="5"/>
      <c r="E36" s="5"/>
      <c r="F36" s="5"/>
      <c r="G36" s="5"/>
      <c r="H3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C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s>
  <sheetData>
    <row r="1" customFormat="false" ht="15" hidden="false" customHeight="false" outlineLevel="0" collapsed="false">
      <c r="A1" s="5"/>
      <c r="B1" s="5"/>
      <c r="C1" s="5"/>
    </row>
    <row r="2" customFormat="false" ht="22.05" hidden="false" customHeight="false" outlineLevel="0" collapsed="false">
      <c r="A2" s="5"/>
      <c r="B2" s="28" t="s">
        <v>301</v>
      </c>
      <c r="C2" s="5"/>
    </row>
    <row r="3" customFormat="false" ht="15" hidden="false" customHeight="false" outlineLevel="0" collapsed="false">
      <c r="A3" s="5"/>
      <c r="B3" s="29" t="s">
        <v>23</v>
      </c>
      <c r="C3" s="5"/>
    </row>
    <row r="4" customFormat="false" ht="15" hidden="false" customHeight="false" outlineLevel="0" collapsed="false">
      <c r="A4" s="5"/>
      <c r="B4" s="5"/>
      <c r="C4" s="5"/>
    </row>
    <row r="5" customFormat="false" ht="15" hidden="false" customHeight="false" outlineLevel="0" collapsed="false">
      <c r="A5" s="5"/>
      <c r="B5" s="30" t="s">
        <v>302</v>
      </c>
      <c r="C5" s="31" t="s">
        <v>62</v>
      </c>
    </row>
    <row r="6" customFormat="false" ht="15" hidden="false" customHeight="false" outlineLevel="0" collapsed="false">
      <c r="A6" s="5"/>
      <c r="B6" s="15" t="s">
        <v>267</v>
      </c>
      <c r="C6" s="16"/>
    </row>
    <row r="7" customFormat="false" ht="15" hidden="false" customHeight="false" outlineLevel="0" collapsed="false">
      <c r="A7" s="5"/>
      <c r="B7" s="7" t="s">
        <v>270</v>
      </c>
      <c r="C7" s="54" t="n">
        <f aca="false">CF_Unlev_IRR</f>
        <v>0.106035685285428</v>
      </c>
    </row>
    <row r="8" customFormat="false" ht="15" hidden="false" customHeight="false" outlineLevel="0" collapsed="false">
      <c r="A8" s="5"/>
      <c r="B8" s="7" t="s">
        <v>271</v>
      </c>
      <c r="C8" s="54" t="n">
        <f aca="false">CF_Lev_IRR</f>
        <v>0.108921200552949</v>
      </c>
    </row>
    <row r="9" customFormat="false" ht="15" hidden="false" customHeight="false" outlineLevel="0" collapsed="false">
      <c r="A9" s="5"/>
      <c r="B9" s="7" t="s">
        <v>272</v>
      </c>
      <c r="C9" s="55" t="n">
        <f aca="false">CF_Eq_Multiple</f>
        <v>1.64826050262922</v>
      </c>
    </row>
    <row r="10" customFormat="false" ht="15" hidden="false" customHeight="false" outlineLevel="0" collapsed="false">
      <c r="A10" s="5"/>
      <c r="B10" s="7" t="s">
        <v>297</v>
      </c>
      <c r="C10" s="54" t="n">
        <f aca="false">WF_LP_IRR</f>
        <v>0.113478060734662</v>
      </c>
    </row>
    <row r="11" customFormat="false" ht="15" hidden="false" customHeight="false" outlineLevel="0" collapsed="false">
      <c r="A11" s="5"/>
      <c r="B11" s="7" t="s">
        <v>298</v>
      </c>
      <c r="C11" s="54" t="n">
        <f aca="false">WF_GP_IRR</f>
        <v>0.0639980451517483</v>
      </c>
    </row>
    <row r="12" customFormat="false" ht="15" hidden="false" customHeight="false" outlineLevel="0" collapsed="false">
      <c r="A12" s="5"/>
      <c r="B12" s="7" t="s">
        <v>299</v>
      </c>
      <c r="C12" s="55" t="n">
        <f aca="false">WF_LP_Mult</f>
        <v>1.6816775926335</v>
      </c>
    </row>
    <row r="13" customFormat="false" ht="15" hidden="false" customHeight="false" outlineLevel="0" collapsed="false">
      <c r="A13" s="5"/>
      <c r="B13" s="7" t="s">
        <v>300</v>
      </c>
      <c r="C13" s="55" t="n">
        <f aca="false">WF_GP_Mult</f>
        <v>1.34750669259068</v>
      </c>
    </row>
    <row r="14" customFormat="false" ht="15" hidden="false" customHeight="false" outlineLevel="0" collapsed="false">
      <c r="A14" s="5"/>
      <c r="B14" s="15" t="s">
        <v>303</v>
      </c>
      <c r="C14" s="16"/>
    </row>
    <row r="15" customFormat="false" ht="15" hidden="false" customHeight="false" outlineLevel="0" collapsed="false">
      <c r="A15" s="5"/>
      <c r="B15" s="5"/>
      <c r="C15" s="5"/>
    </row>
    <row r="16" customFormat="false" ht="15" hidden="false" customHeight="false" outlineLevel="0" collapsed="false">
      <c r="A16" s="5"/>
      <c r="B16" s="7" t="s">
        <v>304</v>
      </c>
      <c r="C16" s="47" t="n">
        <f aca="false">DB_Total_Uses</f>
        <v>50612964.96</v>
      </c>
    </row>
    <row r="17" customFormat="false" ht="15" hidden="false" customHeight="false" outlineLevel="0" collapsed="false">
      <c r="A17" s="5"/>
      <c r="B17" s="7" t="s">
        <v>238</v>
      </c>
      <c r="C17" s="47" t="n">
        <f aca="false">OP_NOI_Y1</f>
        <v>2986200</v>
      </c>
    </row>
    <row r="18" customFormat="false" ht="15" hidden="false" customHeight="false" outlineLevel="0" collapsed="false">
      <c r="A18" s="5"/>
      <c r="B18" s="7" t="s">
        <v>305</v>
      </c>
      <c r="C18" s="54" t="n">
        <f aca="false">IFERROR(C17/C16,0)</f>
        <v>0.059000692853304</v>
      </c>
    </row>
    <row r="19" customFormat="false" ht="15" hidden="false" customHeight="false" outlineLevel="0" collapsed="false">
      <c r="A19" s="5"/>
      <c r="B19" s="7" t="s">
        <v>258</v>
      </c>
      <c r="C19" s="47" t="n">
        <f aca="false">CF_Exit_Value</f>
        <v>65939509.346184</v>
      </c>
    </row>
    <row r="20" customFormat="false" ht="15" hidden="false" customHeight="false" outlineLevel="0" collapsed="false">
      <c r="A20" s="5"/>
      <c r="B20" s="7" t="s">
        <v>306</v>
      </c>
      <c r="C20" s="54" t="n">
        <f aca="false">C18-Exit_Cap_Rate</f>
        <v>0.00650069285330405</v>
      </c>
    </row>
    <row r="21" customFormat="false" ht="15" hidden="false" customHeight="false" outlineLevel="0" collapsed="false">
      <c r="A21" s="5"/>
      <c r="B21" s="7" t="s">
        <v>307</v>
      </c>
      <c r="C21" s="54" t="n">
        <f aca="false">IFERROR(C19/C16-1,0)</f>
        <v>0.302818544582337</v>
      </c>
    </row>
    <row r="22" customFormat="false" ht="15" hidden="false" customHeight="false" outlineLevel="0" collapsed="false">
      <c r="A22" s="5"/>
      <c r="B22" s="7" t="s">
        <v>308</v>
      </c>
      <c r="C22" s="56" t="n">
        <f aca="false">Constr_Duration/12+Hold_Period</f>
        <v>7</v>
      </c>
    </row>
    <row r="23" customFormat="false" ht="15" hidden="false" customHeight="false" outlineLevel="0" collapsed="false">
      <c r="A23" s="5"/>
      <c r="B23" s="15" t="s">
        <v>309</v>
      </c>
      <c r="C23" s="16"/>
    </row>
    <row r="24" customFormat="false" ht="15" hidden="false" customHeight="false" outlineLevel="0" collapsed="false">
      <c r="A24" s="5"/>
      <c r="B24" s="5"/>
      <c r="C24" s="5"/>
    </row>
    <row r="25" customFormat="false" ht="15" hidden="false" customHeight="false" outlineLevel="0" collapsed="false">
      <c r="A25" s="5"/>
      <c r="B25" s="7" t="s">
        <v>240</v>
      </c>
      <c r="C25" s="47" t="n">
        <f aca="false">DS_Perm_Loan_Y1</f>
        <v>36972000</v>
      </c>
    </row>
    <row r="26" customFormat="false" ht="15" hidden="false" customHeight="false" outlineLevel="0" collapsed="false">
      <c r="A26" s="5"/>
      <c r="B26" s="7" t="s">
        <v>310</v>
      </c>
      <c r="C26" s="55" t="n">
        <f aca="false">DS_DSCR_Y1</f>
        <v>1.17387941766755</v>
      </c>
    </row>
    <row r="27" customFormat="false" ht="15" hidden="false" customHeight="false" outlineLevel="0" collapsed="false">
      <c r="A27" s="5"/>
      <c r="B27" s="7" t="s">
        <v>311</v>
      </c>
      <c r="C27" s="54" t="n">
        <f aca="false">DS_LTV_Y1</f>
        <v>0.641026496708397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E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0"/>
  </cols>
  <sheetData>
    <row r="1" customFormat="false" ht="15" hidden="false" customHeight="false" outlineLevel="0" collapsed="false">
      <c r="A1" s="5"/>
      <c r="B1" s="5"/>
      <c r="C1" s="5"/>
      <c r="D1" s="5"/>
      <c r="E1" s="5"/>
    </row>
    <row r="2" customFormat="false" ht="22.05" hidden="false" customHeight="false" outlineLevel="0" collapsed="false">
      <c r="A2" s="5"/>
      <c r="B2" s="28" t="s">
        <v>312</v>
      </c>
      <c r="C2" s="5"/>
      <c r="D2" s="5"/>
      <c r="E2" s="5"/>
    </row>
    <row r="3" customFormat="false" ht="15" hidden="false" customHeight="false" outlineLevel="0" collapsed="false">
      <c r="A3" s="5"/>
      <c r="B3" s="29" t="s">
        <v>313</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314</v>
      </c>
      <c r="C5" s="31" t="s">
        <v>62</v>
      </c>
      <c r="D5" s="31" t="s">
        <v>315</v>
      </c>
      <c r="E5" s="31" t="s">
        <v>316</v>
      </c>
    </row>
    <row r="6" customFormat="false" ht="15" hidden="false" customHeight="false" outlineLevel="0" collapsed="false">
      <c r="A6" s="5"/>
      <c r="B6" s="5"/>
      <c r="C6" s="5"/>
      <c r="D6" s="5"/>
      <c r="E6" s="5"/>
    </row>
    <row r="7" customFormat="false" ht="15" hidden="false" customHeight="false" outlineLevel="0" collapsed="false">
      <c r="A7" s="5"/>
      <c r="B7" s="7" t="s">
        <v>317</v>
      </c>
      <c r="C7" s="57" t="n">
        <f aca="false">DB_Total_Uses-DB_Constr_Loan-DB_Equity</f>
        <v>0</v>
      </c>
      <c r="D7" s="48" t="str">
        <f aca="false">IF(ABS(C7)&lt;1,"PASS","FAIL")</f>
        <v>PASS</v>
      </c>
      <c r="E7" s="8" t="s">
        <v>318</v>
      </c>
    </row>
    <row r="8" customFormat="false" ht="15" hidden="false" customHeight="false" outlineLevel="0" collapsed="false">
      <c r="A8" s="5"/>
      <c r="B8" s="7" t="s">
        <v>319</v>
      </c>
      <c r="C8" s="57" t="n">
        <f aca="false">SUM(CF_LFCF)-SUM(WF_LP_Total)-SUM(WF_GP_Total)</f>
        <v>4.07453626394272E-009</v>
      </c>
      <c r="D8" s="48" t="str">
        <f aca="false">IF(ABS(C8)&lt;1,"PASS","FAIL")</f>
        <v>PASS</v>
      </c>
      <c r="E8" s="8" t="s">
        <v>320</v>
      </c>
    </row>
    <row r="9" customFormat="false" ht="15" hidden="false" customHeight="false" outlineLevel="0" collapsed="false">
      <c r="A9" s="5"/>
      <c r="B9" s="7" t="s">
        <v>321</v>
      </c>
      <c r="C9" s="57" t="n">
        <f aca="false">IFERROR(OP_NOI_Y1/DB_Total_Uses,0)-Exit_Cap_Rate</f>
        <v>0.00650069285330405</v>
      </c>
      <c r="D9" s="48" t="str">
        <f aca="false">IF(C9&gt;0,"PASS","FAIL")</f>
        <v>PASS</v>
      </c>
      <c r="E9" s="8" t="s">
        <v>322</v>
      </c>
    </row>
    <row r="10" customFormat="false" ht="15" hidden="false" customHeight="false" outlineLevel="0" collapsed="false">
      <c r="A10" s="5"/>
      <c r="B10" s="7" t="s">
        <v>323</v>
      </c>
      <c r="C10" s="57" t="n">
        <f aca="false">DS_DSCR_Y1</f>
        <v>1.17387941766755</v>
      </c>
      <c r="D10" s="48" t="str">
        <f aca="false">IF(C10&gt;1.25,"PASS","FAIL")</f>
        <v>FAIL</v>
      </c>
      <c r="E10" s="8" t="s">
        <v>324</v>
      </c>
    </row>
    <row r="11" customFormat="false" ht="15" hidden="false" customHeight="false" outlineLevel="0" collapsed="false">
      <c r="A11" s="5"/>
      <c r="B11" s="7" t="s">
        <v>325</v>
      </c>
      <c r="C11" s="57" t="n">
        <f aca="false">1-Stab_Vacancy</f>
        <v>0.95</v>
      </c>
      <c r="D11" s="48" t="str">
        <f aca="false">IF(C11&lt;=0.95,"PASS","FAIL")</f>
        <v>PASS</v>
      </c>
      <c r="E11" s="8" t="s">
        <v>326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43</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44</v>
      </c>
    </row>
    <row r="6" customFormat="false" ht="48" hidden="false" customHeight="true" outlineLevel="0" collapsed="false">
      <c r="A6" s="5"/>
      <c r="B6" s="23" t="s">
        <v>45</v>
      </c>
    </row>
    <row r="7" customFormat="false" ht="15" hidden="false" customHeight="false" outlineLevel="0" collapsed="false">
      <c r="A7" s="5"/>
      <c r="B7" s="5"/>
    </row>
    <row r="8" customFormat="false" ht="19.5" hidden="false" customHeight="true" outlineLevel="0" collapsed="false">
      <c r="A8" s="5"/>
      <c r="B8" s="22" t="s">
        <v>46</v>
      </c>
    </row>
    <row r="9" customFormat="false" ht="61.5" hidden="false" customHeight="true" outlineLevel="0" collapsed="false">
      <c r="A9" s="5"/>
      <c r="B9" s="23" t="s">
        <v>47</v>
      </c>
    </row>
    <row r="10" customFormat="false" ht="15" hidden="false" customHeight="false" outlineLevel="0" collapsed="false">
      <c r="A10" s="5"/>
      <c r="B10" s="5"/>
    </row>
    <row r="11" customFormat="false" ht="19.5" hidden="false" customHeight="true" outlineLevel="0" collapsed="false">
      <c r="A11" s="5"/>
      <c r="B11" s="22" t="s">
        <v>48</v>
      </c>
    </row>
    <row r="12" customFormat="false" ht="75.75" hidden="false" customHeight="true" outlineLevel="0" collapsed="false">
      <c r="A12" s="5"/>
      <c r="B12" s="23" t="s">
        <v>49</v>
      </c>
    </row>
    <row r="13" customFormat="false" ht="15" hidden="false" customHeight="false" outlineLevel="0" collapsed="false">
      <c r="A13" s="5"/>
      <c r="B13" s="5"/>
    </row>
    <row r="14" customFormat="false" ht="19.5" hidden="false" customHeight="true" outlineLevel="0" collapsed="false">
      <c r="A14" s="5"/>
      <c r="B14" s="22" t="s">
        <v>50</v>
      </c>
    </row>
    <row r="15" customFormat="false" ht="61.5" hidden="false" customHeight="true" outlineLevel="0" collapsed="false">
      <c r="A15" s="5"/>
      <c r="B15" s="23" t="s">
        <v>51</v>
      </c>
    </row>
    <row r="16" customFormat="false" ht="15" hidden="false" customHeight="false" outlineLevel="0" collapsed="false">
      <c r="A16" s="5"/>
      <c r="B16" s="5"/>
    </row>
    <row r="17" customFormat="false" ht="19.5" hidden="false" customHeight="true" outlineLevel="0" collapsed="false">
      <c r="A17" s="5"/>
      <c r="B17" s="22" t="s">
        <v>52</v>
      </c>
    </row>
    <row r="18" customFormat="false" ht="33.75" hidden="false" customHeight="true" outlineLevel="0" collapsed="false">
      <c r="A18" s="5"/>
      <c r="B18" s="23" t="s">
        <v>53</v>
      </c>
    </row>
    <row r="19" customFormat="false" ht="15" hidden="false" customHeight="false" outlineLevel="0" collapsed="false">
      <c r="A19" s="5"/>
      <c r="B19" s="5"/>
    </row>
    <row r="20" customFormat="false" ht="19.5" hidden="false" customHeight="true" outlineLevel="0" collapsed="false">
      <c r="A20" s="5"/>
      <c r="B20" s="22" t="s">
        <v>54</v>
      </c>
    </row>
    <row r="21" customFormat="false" ht="33.75" hidden="false" customHeight="true" outlineLevel="0" collapsed="false">
      <c r="A21" s="5"/>
      <c r="B21" s="23" t="s">
        <v>55</v>
      </c>
    </row>
    <row r="22" customFormat="false" ht="15" hidden="false" customHeight="false" outlineLevel="0" collapsed="false">
      <c r="A22" s="5"/>
      <c r="B22" s="5"/>
    </row>
    <row r="23" customFormat="false" ht="21.75" hidden="false" customHeight="true" outlineLevel="0" collapsed="false">
      <c r="A23" s="5"/>
      <c r="B23" s="24" t="s">
        <v>56</v>
      </c>
    </row>
    <row r="24" customFormat="false" ht="15" hidden="false" customHeight="false" outlineLevel="0" collapsed="false">
      <c r="A24" s="5"/>
      <c r="B24" s="5"/>
    </row>
    <row r="25" customFormat="false" ht="18" hidden="false" customHeight="true" outlineLevel="0" collapsed="false">
      <c r="A25" s="5"/>
      <c r="B25" s="25" t="s">
        <v>57</v>
      </c>
    </row>
    <row r="26" customFormat="false" ht="201.75" hidden="false" customHeight="true" outlineLevel="0" collapsed="false">
      <c r="A26" s="5"/>
      <c r="B26" s="26" t="s">
        <v>58</v>
      </c>
    </row>
    <row r="27" customFormat="false" ht="15" hidden="false" customHeight="false" outlineLevel="0" collapsed="false">
      <c r="A27" s="5"/>
      <c r="B27" s="5"/>
    </row>
    <row r="28" customFormat="false" ht="18" hidden="false" customHeight="true" outlineLevel="0" collapsed="false">
      <c r="A28" s="5"/>
      <c r="B28" s="27" t="s">
        <v>59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60</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61</v>
      </c>
      <c r="C5" s="31" t="s">
        <v>62</v>
      </c>
      <c r="D5" s="31" t="s">
        <v>63</v>
      </c>
      <c r="E5" s="31" t="s">
        <v>64</v>
      </c>
    </row>
    <row r="6" customFormat="false" ht="15" hidden="false" customHeight="false" outlineLevel="0" collapsed="false">
      <c r="A6" s="5"/>
      <c r="B6" s="15" t="s">
        <v>65</v>
      </c>
      <c r="C6" s="16"/>
      <c r="D6" s="16"/>
      <c r="E6" s="16"/>
    </row>
    <row r="7" customFormat="false" ht="15" hidden="false" customHeight="false" outlineLevel="0" collapsed="false">
      <c r="A7" s="5"/>
      <c r="B7" s="7" t="s">
        <v>66</v>
      </c>
      <c r="C7" s="32" t="n">
        <v>2025</v>
      </c>
      <c r="D7" s="33" t="s">
        <v>67</v>
      </c>
      <c r="E7" s="8" t="s">
        <v>68</v>
      </c>
    </row>
    <row r="8" customFormat="false" ht="15" hidden="false" customHeight="false" outlineLevel="0" collapsed="false">
      <c r="A8" s="5"/>
      <c r="B8" s="7" t="s">
        <v>69</v>
      </c>
      <c r="C8" s="32" t="n">
        <v>24</v>
      </c>
      <c r="D8" s="33" t="s">
        <v>70</v>
      </c>
      <c r="E8" s="8" t="s">
        <v>71</v>
      </c>
    </row>
    <row r="9" customFormat="false" ht="15" hidden="false" customHeight="false" outlineLevel="0" collapsed="false">
      <c r="A9" s="5"/>
      <c r="B9" s="7" t="s">
        <v>72</v>
      </c>
      <c r="C9" s="32" t="n">
        <v>5</v>
      </c>
      <c r="D9" s="33" t="s">
        <v>73</v>
      </c>
      <c r="E9" s="8" t="s">
        <v>74</v>
      </c>
    </row>
    <row r="10" customFormat="false" ht="15" hidden="false" customHeight="false" outlineLevel="0" collapsed="false">
      <c r="A10" s="5"/>
      <c r="B10" s="15" t="s">
        <v>75</v>
      </c>
      <c r="C10" s="16"/>
      <c r="D10" s="16"/>
      <c r="E10" s="16"/>
    </row>
    <row r="11" customFormat="false" ht="15" hidden="false" customHeight="false" outlineLevel="0" collapsed="false">
      <c r="A11" s="5"/>
      <c r="B11" s="7" t="s">
        <v>76</v>
      </c>
      <c r="C11" s="32" t="n">
        <v>200</v>
      </c>
      <c r="D11" s="33" t="s">
        <v>77</v>
      </c>
      <c r="E11" s="8" t="s">
        <v>78</v>
      </c>
    </row>
    <row r="12" customFormat="false" ht="15" hidden="false" customHeight="false" outlineLevel="0" collapsed="false">
      <c r="A12" s="5"/>
      <c r="B12" s="7" t="s">
        <v>79</v>
      </c>
      <c r="C12" s="32" t="n">
        <v>900</v>
      </c>
      <c r="D12" s="33" t="s">
        <v>80</v>
      </c>
      <c r="E12" s="8" t="s">
        <v>81</v>
      </c>
    </row>
    <row r="13" customFormat="false" ht="15" hidden="false" customHeight="false" outlineLevel="0" collapsed="false">
      <c r="A13" s="5"/>
      <c r="B13" s="7" t="s">
        <v>82</v>
      </c>
      <c r="C13" s="34" t="n">
        <f aca="false">C11*C12</f>
        <v>180000</v>
      </c>
      <c r="D13" s="33" t="s">
        <v>80</v>
      </c>
      <c r="E13" s="8" t="s">
        <v>83</v>
      </c>
    </row>
    <row r="14" customFormat="false" ht="15" hidden="false" customHeight="false" outlineLevel="0" collapsed="false">
      <c r="A14" s="5"/>
      <c r="B14" s="15" t="s">
        <v>84</v>
      </c>
      <c r="C14" s="16"/>
      <c r="D14" s="16"/>
      <c r="E14" s="16"/>
    </row>
    <row r="15" customFormat="false" ht="15" hidden="false" customHeight="false" outlineLevel="0" collapsed="false">
      <c r="A15" s="5"/>
      <c r="B15" s="7" t="s">
        <v>85</v>
      </c>
      <c r="C15" s="35" t="n">
        <v>25000</v>
      </c>
      <c r="D15" s="33" t="s">
        <v>86</v>
      </c>
      <c r="E15" s="8" t="s">
        <v>87</v>
      </c>
    </row>
    <row r="16" customFormat="false" ht="15" hidden="false" customHeight="false" outlineLevel="0" collapsed="false">
      <c r="A16" s="5"/>
      <c r="B16" s="7" t="s">
        <v>88</v>
      </c>
      <c r="C16" s="35" t="n">
        <v>180</v>
      </c>
      <c r="D16" s="33" t="s">
        <v>89</v>
      </c>
      <c r="E16" s="8" t="s">
        <v>90</v>
      </c>
    </row>
    <row r="17" customFormat="false" ht="15" hidden="false" customHeight="false" outlineLevel="0" collapsed="false">
      <c r="A17" s="5"/>
      <c r="B17" s="7" t="s">
        <v>91</v>
      </c>
      <c r="C17" s="36" t="n">
        <v>0.2</v>
      </c>
      <c r="D17" s="33" t="s">
        <v>92</v>
      </c>
      <c r="E17" s="8" t="s">
        <v>93</v>
      </c>
    </row>
    <row r="18" customFormat="false" ht="15" hidden="false" customHeight="false" outlineLevel="0" collapsed="false">
      <c r="A18" s="5"/>
      <c r="B18" s="7" t="s">
        <v>94</v>
      </c>
      <c r="C18" s="36" t="n">
        <v>0.04</v>
      </c>
      <c r="D18" s="33" t="s">
        <v>92</v>
      </c>
      <c r="E18" s="8" t="s">
        <v>95</v>
      </c>
    </row>
    <row r="19" customFormat="false" ht="15" hidden="false" customHeight="false" outlineLevel="0" collapsed="false">
      <c r="A19" s="5"/>
      <c r="B19" s="7" t="s">
        <v>96</v>
      </c>
      <c r="C19" s="36" t="n">
        <v>0.05</v>
      </c>
      <c r="D19" s="33" t="s">
        <v>92</v>
      </c>
      <c r="E19" s="8" t="s">
        <v>97</v>
      </c>
    </row>
    <row r="20" customFormat="false" ht="15" hidden="false" customHeight="false" outlineLevel="0" collapsed="false">
      <c r="A20" s="5"/>
      <c r="B20" s="7" t="s">
        <v>98</v>
      </c>
      <c r="C20" s="35" t="n">
        <v>500000</v>
      </c>
      <c r="D20" s="33" t="s">
        <v>99</v>
      </c>
      <c r="E20" s="8" t="s">
        <v>100</v>
      </c>
    </row>
    <row r="21" customFormat="false" ht="15" hidden="false" customHeight="false" outlineLevel="0" collapsed="false">
      <c r="A21" s="5"/>
      <c r="B21" s="15" t="s">
        <v>101</v>
      </c>
      <c r="C21" s="16"/>
      <c r="D21" s="16"/>
      <c r="E21" s="16"/>
    </row>
    <row r="22" customFormat="false" ht="15" hidden="false" customHeight="false" outlineLevel="0" collapsed="false">
      <c r="A22" s="5"/>
      <c r="B22" s="7" t="s">
        <v>102</v>
      </c>
      <c r="C22" s="35" t="n">
        <v>2.25</v>
      </c>
      <c r="D22" s="33" t="s">
        <v>103</v>
      </c>
      <c r="E22" s="8" t="s">
        <v>104</v>
      </c>
    </row>
    <row r="23" customFormat="false" ht="15" hidden="false" customHeight="false" outlineLevel="0" collapsed="false">
      <c r="A23" s="5"/>
      <c r="B23" s="7" t="s">
        <v>105</v>
      </c>
      <c r="C23" s="35" t="n">
        <v>150</v>
      </c>
      <c r="D23" s="33" t="s">
        <v>106</v>
      </c>
      <c r="E23" s="8" t="s">
        <v>107</v>
      </c>
    </row>
    <row r="24" customFormat="false" ht="15" hidden="false" customHeight="false" outlineLevel="0" collapsed="false">
      <c r="A24" s="5"/>
      <c r="B24" s="7" t="s">
        <v>108</v>
      </c>
      <c r="C24" s="36" t="n">
        <v>0.05</v>
      </c>
      <c r="D24" s="33" t="s">
        <v>92</v>
      </c>
      <c r="E24" s="8" t="s">
        <v>109</v>
      </c>
    </row>
    <row r="25" customFormat="false" ht="15" hidden="false" customHeight="false" outlineLevel="0" collapsed="false">
      <c r="A25" s="5"/>
      <c r="B25" s="7" t="s">
        <v>110</v>
      </c>
      <c r="C25" s="36" t="n">
        <v>0.03</v>
      </c>
      <c r="D25" s="33" t="s">
        <v>111</v>
      </c>
      <c r="E25" s="8" t="s">
        <v>112</v>
      </c>
    </row>
    <row r="26" customFormat="false" ht="15" hidden="false" customHeight="false" outlineLevel="0" collapsed="false">
      <c r="A26" s="5"/>
      <c r="B26" s="7" t="s">
        <v>113</v>
      </c>
      <c r="C26" s="32" t="n">
        <v>15</v>
      </c>
      <c r="D26" s="33" t="s">
        <v>114</v>
      </c>
      <c r="E26" s="8" t="s">
        <v>115</v>
      </c>
    </row>
    <row r="27" customFormat="false" ht="15" hidden="false" customHeight="false" outlineLevel="0" collapsed="false">
      <c r="A27" s="5"/>
      <c r="B27" s="7" t="s">
        <v>116</v>
      </c>
      <c r="C27" s="32" t="n">
        <v>1</v>
      </c>
      <c r="D27" s="33" t="s">
        <v>117</v>
      </c>
      <c r="E27" s="8" t="s">
        <v>118</v>
      </c>
    </row>
    <row r="28" customFormat="false" ht="15" hidden="false" customHeight="false" outlineLevel="0" collapsed="false">
      <c r="A28" s="5"/>
      <c r="B28" s="15" t="s">
        <v>119</v>
      </c>
      <c r="C28" s="16"/>
      <c r="D28" s="16"/>
      <c r="E28" s="16"/>
    </row>
    <row r="29" customFormat="false" ht="15" hidden="false" customHeight="false" outlineLevel="0" collapsed="false">
      <c r="A29" s="5"/>
      <c r="B29" s="7" t="s">
        <v>120</v>
      </c>
      <c r="C29" s="36" t="n">
        <v>0.4</v>
      </c>
      <c r="D29" s="33" t="s">
        <v>92</v>
      </c>
      <c r="E29" s="8" t="s">
        <v>121</v>
      </c>
    </row>
    <row r="30" customFormat="false" ht="15" hidden="false" customHeight="false" outlineLevel="0" collapsed="false">
      <c r="A30" s="5"/>
      <c r="B30" s="7" t="s">
        <v>122</v>
      </c>
      <c r="C30" s="35" t="n">
        <v>3000</v>
      </c>
      <c r="D30" s="33" t="s">
        <v>123</v>
      </c>
      <c r="E30" s="8" t="s">
        <v>124</v>
      </c>
    </row>
    <row r="31" customFormat="false" ht="15" hidden="false" customHeight="false" outlineLevel="0" collapsed="false">
      <c r="A31" s="5"/>
      <c r="B31" s="7" t="s">
        <v>125</v>
      </c>
      <c r="C31" s="35" t="n">
        <v>700</v>
      </c>
      <c r="D31" s="33" t="s">
        <v>123</v>
      </c>
      <c r="E31" s="8" t="s">
        <v>126</v>
      </c>
    </row>
    <row r="32" customFormat="false" ht="15" hidden="false" customHeight="false" outlineLevel="0" collapsed="false">
      <c r="A32" s="5"/>
      <c r="B32" s="7" t="s">
        <v>127</v>
      </c>
      <c r="C32" s="36" t="n">
        <v>0.04</v>
      </c>
      <c r="D32" s="33" t="s">
        <v>92</v>
      </c>
      <c r="E32" s="8" t="s">
        <v>128</v>
      </c>
    </row>
    <row r="33" customFormat="false" ht="15" hidden="false" customHeight="false" outlineLevel="0" collapsed="false">
      <c r="A33" s="5"/>
      <c r="B33" s="7" t="s">
        <v>129</v>
      </c>
      <c r="C33" s="35" t="n">
        <v>250</v>
      </c>
      <c r="D33" s="33" t="s">
        <v>123</v>
      </c>
      <c r="E33" s="8" t="s">
        <v>130</v>
      </c>
    </row>
    <row r="34" customFormat="false" ht="15" hidden="false" customHeight="false" outlineLevel="0" collapsed="false">
      <c r="A34" s="5"/>
      <c r="B34" s="7" t="s">
        <v>131</v>
      </c>
      <c r="C34" s="36" t="n">
        <v>0.025</v>
      </c>
      <c r="D34" s="33" t="s">
        <v>111</v>
      </c>
      <c r="E34" s="8" t="s">
        <v>132</v>
      </c>
    </row>
    <row r="35" customFormat="false" ht="15" hidden="false" customHeight="false" outlineLevel="0" collapsed="false">
      <c r="A35" s="5"/>
      <c r="B35" s="15" t="s">
        <v>133</v>
      </c>
      <c r="C35" s="16"/>
      <c r="D35" s="16"/>
      <c r="E35" s="16"/>
    </row>
    <row r="36" customFormat="false" ht="15" hidden="false" customHeight="false" outlineLevel="0" collapsed="false">
      <c r="A36" s="5"/>
      <c r="B36" s="7" t="s">
        <v>134</v>
      </c>
      <c r="C36" s="36" t="n">
        <v>0.6</v>
      </c>
      <c r="D36" s="33" t="s">
        <v>92</v>
      </c>
      <c r="E36" s="8" t="s">
        <v>135</v>
      </c>
    </row>
    <row r="37" customFormat="false" ht="15" hidden="false" customHeight="false" outlineLevel="0" collapsed="false">
      <c r="A37" s="5"/>
      <c r="B37" s="7" t="s">
        <v>136</v>
      </c>
      <c r="C37" s="36" t="n">
        <v>0.075</v>
      </c>
      <c r="D37" s="33" t="s">
        <v>92</v>
      </c>
      <c r="E37" s="8" t="s">
        <v>137</v>
      </c>
    </row>
    <row r="38" customFormat="false" ht="15" hidden="false" customHeight="false" outlineLevel="0" collapsed="false">
      <c r="A38" s="5"/>
      <c r="B38" s="7" t="s">
        <v>138</v>
      </c>
      <c r="C38" s="36" t="n">
        <v>0.01</v>
      </c>
      <c r="D38" s="33" t="s">
        <v>92</v>
      </c>
      <c r="E38" s="8" t="s">
        <v>139</v>
      </c>
    </row>
    <row r="39" customFormat="false" ht="15" hidden="false" customHeight="false" outlineLevel="0" collapsed="false">
      <c r="A39" s="5"/>
      <c r="B39" s="7" t="s">
        <v>140</v>
      </c>
      <c r="C39" s="36" t="n">
        <v>0.65</v>
      </c>
      <c r="D39" s="33" t="s">
        <v>92</v>
      </c>
      <c r="E39" s="8" t="s">
        <v>141</v>
      </c>
    </row>
    <row r="40" customFormat="false" ht="15" hidden="false" customHeight="false" outlineLevel="0" collapsed="false">
      <c r="A40" s="5"/>
      <c r="B40" s="7" t="s">
        <v>142</v>
      </c>
      <c r="C40" s="36" t="n">
        <v>0.055</v>
      </c>
      <c r="D40" s="33" t="s">
        <v>92</v>
      </c>
      <c r="E40" s="8" t="s">
        <v>143</v>
      </c>
    </row>
    <row r="41" customFormat="false" ht="15" hidden="false" customHeight="false" outlineLevel="0" collapsed="false">
      <c r="A41" s="5"/>
      <c r="B41" s="7" t="s">
        <v>144</v>
      </c>
      <c r="C41" s="32" t="n">
        <v>30</v>
      </c>
      <c r="D41" s="33" t="s">
        <v>73</v>
      </c>
      <c r="E41" s="8" t="s">
        <v>145</v>
      </c>
    </row>
    <row r="42" customFormat="false" ht="15" hidden="false" customHeight="false" outlineLevel="0" collapsed="false">
      <c r="A42" s="5"/>
      <c r="B42" s="15" t="s">
        <v>146</v>
      </c>
      <c r="C42" s="16"/>
      <c r="D42" s="16"/>
      <c r="E42" s="16"/>
    </row>
    <row r="43" customFormat="false" ht="15" hidden="false" customHeight="false" outlineLevel="0" collapsed="false">
      <c r="A43" s="5"/>
      <c r="B43" s="7" t="s">
        <v>147</v>
      </c>
      <c r="C43" s="36" t="n">
        <v>0.0525</v>
      </c>
      <c r="D43" s="33" t="s">
        <v>92</v>
      </c>
      <c r="E43" s="8" t="s">
        <v>148</v>
      </c>
    </row>
    <row r="44" customFormat="false" ht="15" hidden="false" customHeight="false" outlineLevel="0" collapsed="false">
      <c r="A44" s="5"/>
      <c r="B44" s="7" t="s">
        <v>149</v>
      </c>
      <c r="C44" s="36" t="n">
        <v>0.02</v>
      </c>
      <c r="D44" s="33" t="s">
        <v>92</v>
      </c>
      <c r="E44" s="8" t="s">
        <v>150</v>
      </c>
    </row>
    <row r="45" customFormat="false" ht="15" hidden="false" customHeight="false" outlineLevel="0" collapsed="false">
      <c r="A45" s="5"/>
      <c r="B45" s="7" t="s">
        <v>151</v>
      </c>
      <c r="C45" s="36" t="n">
        <v>0.9</v>
      </c>
      <c r="D45" s="33" t="s">
        <v>92</v>
      </c>
      <c r="E45" s="8" t="s">
        <v>152</v>
      </c>
    </row>
    <row r="46" customFormat="false" ht="15" hidden="false" customHeight="false" outlineLevel="0" collapsed="false">
      <c r="A46" s="5"/>
      <c r="B46" s="7" t="s">
        <v>153</v>
      </c>
      <c r="C46" s="36" t="n">
        <v>0.08</v>
      </c>
      <c r="D46" s="33" t="s">
        <v>92</v>
      </c>
      <c r="E46" s="8" t="s">
        <v>154</v>
      </c>
    </row>
    <row r="47" customFormat="false" ht="15" hidden="false" customHeight="false" outlineLevel="0" collapsed="false">
      <c r="A47" s="5"/>
      <c r="B47" s="7" t="s">
        <v>155</v>
      </c>
      <c r="C47" s="36" t="n">
        <v>0.2</v>
      </c>
      <c r="D47" s="33" t="s">
        <v>92</v>
      </c>
      <c r="E47" s="8" t="s">
        <v>156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E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5" min="3" style="0" width="18"/>
  </cols>
  <sheetData>
    <row r="1" customFormat="false" ht="15" hidden="false" customHeight="false" outlineLevel="0" collapsed="false">
      <c r="A1" s="5"/>
      <c r="B1" s="5"/>
      <c r="C1" s="5"/>
      <c r="D1" s="5"/>
      <c r="E1" s="5"/>
    </row>
    <row r="2" customFormat="false" ht="22.05" hidden="false" customHeight="false" outlineLevel="0" collapsed="false">
      <c r="A2" s="5"/>
      <c r="B2" s="28" t="s">
        <v>157</v>
      </c>
      <c r="C2" s="5"/>
      <c r="D2" s="5"/>
      <c r="E2" s="5"/>
    </row>
    <row r="3" customFormat="false" ht="15" hidden="false" customHeight="false" outlineLevel="0" collapsed="false">
      <c r="A3" s="5"/>
      <c r="B3" s="29" t="s">
        <v>9</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158</v>
      </c>
      <c r="C5" s="31" t="s">
        <v>159</v>
      </c>
      <c r="D5" s="31" t="s">
        <v>160</v>
      </c>
      <c r="E5" s="31" t="s">
        <v>161</v>
      </c>
    </row>
    <row r="6" customFormat="false" ht="15" hidden="false" customHeight="false" outlineLevel="0" collapsed="false">
      <c r="A6" s="5"/>
      <c r="B6" s="5"/>
      <c r="C6" s="5"/>
      <c r="D6" s="5"/>
      <c r="E6" s="5"/>
    </row>
    <row r="7" customFormat="false" ht="15" hidden="false" customHeight="false" outlineLevel="0" collapsed="false">
      <c r="A7" s="5"/>
      <c r="B7" s="15" t="s">
        <v>162</v>
      </c>
      <c r="C7" s="16"/>
      <c r="D7" s="16"/>
      <c r="E7" s="16"/>
    </row>
    <row r="8" customFormat="false" ht="15" hidden="false" customHeight="false" outlineLevel="0" collapsed="false">
      <c r="A8" s="5"/>
      <c r="B8" s="7" t="s">
        <v>163</v>
      </c>
      <c r="C8" s="37" t="n">
        <f aca="false">Total_Units*Land_Per_Unit</f>
        <v>5000000</v>
      </c>
      <c r="D8" s="37" t="n">
        <f aca="false">C8/Total_Units</f>
        <v>25000</v>
      </c>
      <c r="E8" s="38" t="n">
        <f aca="false">C8/C18</f>
        <v>0.0987889171075347</v>
      </c>
    </row>
    <row r="9" customFormat="false" ht="15" hidden="false" customHeight="false" outlineLevel="0" collapsed="false">
      <c r="A9" s="5"/>
      <c r="B9" s="7" t="s">
        <v>164</v>
      </c>
      <c r="C9" s="37" t="n">
        <f aca="false">Total_GBA*Hard_Cost_PSF</f>
        <v>32400000</v>
      </c>
      <c r="D9" s="37" t="n">
        <f aca="false">C9/Total_Units</f>
        <v>162000</v>
      </c>
      <c r="E9" s="38" t="n">
        <f aca="false">C9/C18</f>
        <v>0.640152182856825</v>
      </c>
    </row>
    <row r="10" customFormat="false" ht="15" hidden="false" customHeight="false" outlineLevel="0" collapsed="false">
      <c r="A10" s="5"/>
      <c r="B10" s="39" t="s">
        <v>91</v>
      </c>
      <c r="C10" s="37" t="n">
        <f aca="false">C9*Soft_Cost_Pct</f>
        <v>6480000</v>
      </c>
      <c r="D10" s="37" t="n">
        <f aca="false">C10/Total_Units</f>
        <v>32400</v>
      </c>
      <c r="E10" s="38" t="n">
        <f aca="false">C10/C18</f>
        <v>0.128030436571365</v>
      </c>
    </row>
    <row r="11" customFormat="false" ht="15" hidden="false" customHeight="false" outlineLevel="0" collapsed="false">
      <c r="A11" s="5"/>
      <c r="B11" s="39" t="s">
        <v>96</v>
      </c>
      <c r="C11" s="37" t="n">
        <f aca="false">(C9+C10)*Contingency_Pct</f>
        <v>1944000</v>
      </c>
      <c r="D11" s="37" t="n">
        <f aca="false">C11/Total_Units</f>
        <v>9720</v>
      </c>
      <c r="E11" s="38" t="n">
        <f aca="false">C11/C18</f>
        <v>0.0384091309714095</v>
      </c>
    </row>
    <row r="12" customFormat="false" ht="15" hidden="false" customHeight="false" outlineLevel="0" collapsed="false">
      <c r="A12" s="5"/>
      <c r="B12" s="39" t="s">
        <v>94</v>
      </c>
      <c r="C12" s="37" t="n">
        <f aca="false">(C8+C9+C10+C11)*Dev_Fee_Pct</f>
        <v>1832960</v>
      </c>
      <c r="D12" s="37" t="n">
        <f aca="false">C12/Total_Units</f>
        <v>9164.8</v>
      </c>
      <c r="E12" s="38" t="n">
        <f aca="false">C12/C18</f>
        <v>0.0362152267002854</v>
      </c>
    </row>
    <row r="13" customFormat="false" ht="15" hidden="false" customHeight="false" outlineLevel="0" collapsed="false">
      <c r="A13" s="5"/>
      <c r="B13" s="7" t="s">
        <v>98</v>
      </c>
      <c r="C13" s="37" t="n">
        <f aca="false">Oper_Deficit</f>
        <v>500000</v>
      </c>
      <c r="D13" s="37" t="n">
        <f aca="false">C13/Total_Units</f>
        <v>2500</v>
      </c>
      <c r="E13" s="38" t="n">
        <f aca="false">C13/C18</f>
        <v>0.00987889171075347</v>
      </c>
    </row>
    <row r="14" customFormat="false" ht="15" hidden="false" customHeight="false" outlineLevel="0" collapsed="false">
      <c r="A14" s="5"/>
      <c r="B14" s="40" t="s">
        <v>165</v>
      </c>
      <c r="C14" s="41" t="n">
        <f aca="false">SUM(C8:C13)</f>
        <v>48156960</v>
      </c>
      <c r="D14" s="41" t="n">
        <f aca="false">C14/Total_Units</f>
        <v>240784.8</v>
      </c>
      <c r="E14" s="42"/>
    </row>
    <row r="15" customFormat="false" ht="15" hidden="false" customHeight="false" outlineLevel="0" collapsed="false">
      <c r="A15" s="5"/>
      <c r="B15" s="39" t="s">
        <v>138</v>
      </c>
      <c r="C15" s="37" t="n">
        <f aca="false">C14*Constr_LTC*Constr_Fee</f>
        <v>288941.76</v>
      </c>
      <c r="D15" s="37" t="n">
        <f aca="false">C15/Total_Units</f>
        <v>1444.7088</v>
      </c>
      <c r="E15" s="38" t="n">
        <f aca="false">C15/C18</f>
        <v>0.00570884871550904</v>
      </c>
    </row>
    <row r="16" customFormat="false" ht="15" hidden="false" customHeight="false" outlineLevel="0" collapsed="false">
      <c r="A16" s="5"/>
      <c r="B16" s="39" t="s">
        <v>166</v>
      </c>
      <c r="C16" s="37" t="n">
        <f aca="false">C14*Constr_LTC*Constr_Rate*Constr_Duration/24</f>
        <v>2167063.2</v>
      </c>
      <c r="D16" s="37" t="n">
        <f aca="false">C16/Total_Units</f>
        <v>10835.316</v>
      </c>
      <c r="E16" s="38" t="n">
        <f aca="false">C16/C18</f>
        <v>0.0428163653663178</v>
      </c>
    </row>
    <row r="17" customFormat="false" ht="15" hidden="false" customHeight="false" outlineLevel="0" collapsed="false">
      <c r="A17" s="5"/>
      <c r="B17" s="5"/>
      <c r="C17" s="5"/>
      <c r="D17" s="5"/>
      <c r="E17" s="5"/>
    </row>
    <row r="18" customFormat="false" ht="15" hidden="false" customHeight="false" outlineLevel="0" collapsed="false">
      <c r="A18" s="5"/>
      <c r="B18" s="43" t="s">
        <v>167</v>
      </c>
      <c r="C18" s="44" t="n">
        <f aca="false">C14+C15+C16</f>
        <v>50612964.96</v>
      </c>
      <c r="D18" s="44" t="n">
        <f aca="false">C18/Total_Units</f>
        <v>253064.8248</v>
      </c>
      <c r="E18" s="45" t="n">
        <f aca="false">C18/C18</f>
        <v>1</v>
      </c>
    </row>
    <row r="19" customFormat="false" ht="15" hidden="false" customHeight="false" outlineLevel="0" collapsed="false">
      <c r="A19" s="5"/>
      <c r="B19" s="5"/>
      <c r="C19" s="5"/>
      <c r="D19" s="5"/>
      <c r="E19" s="5"/>
    </row>
    <row r="20" customFormat="false" ht="15" hidden="false" customHeight="false" outlineLevel="0" collapsed="false">
      <c r="A20" s="5"/>
      <c r="B20" s="15" t="s">
        <v>168</v>
      </c>
      <c r="C20" s="16"/>
      <c r="D20" s="16"/>
      <c r="E20" s="16"/>
    </row>
    <row r="21" customFormat="false" ht="15" hidden="false" customHeight="false" outlineLevel="0" collapsed="false">
      <c r="A21" s="5"/>
      <c r="B21" s="7" t="s">
        <v>169</v>
      </c>
      <c r="C21" s="37" t="n">
        <f aca="false">C18*Constr_LTC</f>
        <v>30367778.976</v>
      </c>
      <c r="D21" s="37" t="n">
        <f aca="false">C21/Total_Units</f>
        <v>151838.89488</v>
      </c>
      <c r="E21" s="38" t="n">
        <f aca="false">C21/C18</f>
        <v>0.6</v>
      </c>
    </row>
    <row r="22" customFormat="false" ht="15" hidden="false" customHeight="false" outlineLevel="0" collapsed="false">
      <c r="A22" s="5"/>
      <c r="B22" s="7" t="s">
        <v>170</v>
      </c>
      <c r="C22" s="37" t="n">
        <f aca="false">C18-C21</f>
        <v>20245185.984</v>
      </c>
      <c r="D22" s="37" t="n">
        <f aca="false">C22/Total_Units</f>
        <v>101225.92992</v>
      </c>
      <c r="E22" s="38" t="n">
        <f aca="false">C22/C18</f>
        <v>0.4</v>
      </c>
    </row>
    <row r="23" customFormat="false" ht="15" hidden="false" customHeight="false" outlineLevel="0" collapsed="false">
      <c r="A23" s="5"/>
      <c r="B23" s="5"/>
      <c r="C23" s="5"/>
      <c r="D23" s="5"/>
      <c r="E23" s="5"/>
    </row>
    <row r="24" customFormat="false" ht="15" hidden="false" customHeight="false" outlineLevel="0" collapsed="false">
      <c r="A24" s="5"/>
      <c r="B24" s="43" t="s">
        <v>171</v>
      </c>
      <c r="C24" s="44" t="n">
        <f aca="false">C21+C22</f>
        <v>50612964.96</v>
      </c>
      <c r="D24" s="44" t="n">
        <f aca="false">C24/Total_Units</f>
        <v>253064.8248</v>
      </c>
      <c r="E24" s="45" t="n">
        <f aca="false">C24/C18</f>
        <v>1</v>
      </c>
    </row>
    <row r="25" customFormat="false" ht="15" hidden="false" customHeight="false" outlineLevel="0" collapsed="false">
      <c r="A25" s="5"/>
      <c r="B25" s="5"/>
      <c r="C25" s="5"/>
      <c r="D25" s="5"/>
      <c r="E25" s="5"/>
    </row>
    <row r="26" customFormat="false" ht="15" hidden="false" customHeight="false" outlineLevel="0" collapsed="false">
      <c r="A26" s="5"/>
      <c r="B26" s="46" t="s">
        <v>172</v>
      </c>
      <c r="C26" s="47" t="n">
        <f aca="false">C24-C18</f>
        <v>0</v>
      </c>
      <c r="D26" s="5"/>
      <c r="E26" s="48" t="str">
        <f aca="false">IF(ABS(C26)&lt;1,"PASS","FAIL")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Z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26"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row>
    <row r="2" customFormat="false" ht="22.05" hidden="false" customHeight="false" outlineLevel="0" collapsed="false">
      <c r="A2" s="5"/>
      <c r="B2" s="28" t="s">
        <v>173</v>
      </c>
      <c r="C2" s="5"/>
      <c r="D2" s="5"/>
      <c r="E2" s="5"/>
      <c r="F2" s="5"/>
      <c r="G2" s="5"/>
      <c r="H2" s="5"/>
      <c r="I2" s="5"/>
      <c r="J2" s="5"/>
      <c r="K2" s="5"/>
      <c r="L2" s="5"/>
      <c r="M2" s="5"/>
      <c r="N2" s="5"/>
      <c r="O2" s="5"/>
      <c r="P2" s="5"/>
      <c r="Q2" s="5"/>
      <c r="R2" s="5"/>
      <c r="S2" s="5"/>
      <c r="T2" s="5"/>
      <c r="U2" s="5"/>
      <c r="V2" s="5"/>
      <c r="W2" s="5"/>
      <c r="X2" s="5"/>
      <c r="Y2" s="5"/>
      <c r="Z2" s="5"/>
    </row>
    <row r="3" customFormat="false" ht="15" hidden="false" customHeight="false" outlineLevel="0" collapsed="false">
      <c r="A3" s="5"/>
      <c r="B3" s="29" t="s">
        <v>174</v>
      </c>
      <c r="C3" s="5"/>
      <c r="D3" s="5"/>
      <c r="E3" s="5"/>
      <c r="F3" s="5"/>
      <c r="G3" s="5"/>
      <c r="H3" s="5"/>
      <c r="I3" s="5"/>
      <c r="J3" s="5"/>
      <c r="K3" s="5"/>
      <c r="L3" s="5"/>
      <c r="M3" s="5"/>
      <c r="N3" s="5"/>
      <c r="O3" s="5"/>
      <c r="P3" s="5"/>
      <c r="Q3" s="5"/>
      <c r="R3" s="5"/>
      <c r="S3" s="5"/>
      <c r="T3" s="5"/>
      <c r="U3" s="5"/>
      <c r="V3" s="5"/>
      <c r="W3" s="5"/>
      <c r="X3" s="5"/>
      <c r="Y3" s="5"/>
      <c r="Z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row>
    <row r="5" customFormat="false" ht="15" hidden="false" customHeight="false" outlineLevel="0" collapsed="false">
      <c r="A5" s="5"/>
      <c r="B5" s="30" t="s">
        <v>158</v>
      </c>
      <c r="C5" s="31" t="s">
        <v>175</v>
      </c>
      <c r="D5" s="31" t="s">
        <v>176</v>
      </c>
      <c r="E5" s="31" t="s">
        <v>177</v>
      </c>
      <c r="F5" s="31" t="s">
        <v>178</v>
      </c>
      <c r="G5" s="31" t="s">
        <v>179</v>
      </c>
      <c r="H5" s="31" t="s">
        <v>180</v>
      </c>
      <c r="I5" s="31" t="s">
        <v>181</v>
      </c>
      <c r="J5" s="31" t="s">
        <v>182</v>
      </c>
      <c r="K5" s="31" t="s">
        <v>183</v>
      </c>
      <c r="L5" s="31" t="s">
        <v>184</v>
      </c>
      <c r="M5" s="31" t="s">
        <v>185</v>
      </c>
      <c r="N5" s="31" t="s">
        <v>186</v>
      </c>
      <c r="O5" s="31" t="s">
        <v>187</v>
      </c>
      <c r="P5" s="31" t="s">
        <v>188</v>
      </c>
      <c r="Q5" s="31" t="s">
        <v>189</v>
      </c>
      <c r="R5" s="31" t="s">
        <v>190</v>
      </c>
      <c r="S5" s="31" t="s">
        <v>191</v>
      </c>
      <c r="T5" s="31" t="s">
        <v>192</v>
      </c>
      <c r="U5" s="31" t="s">
        <v>193</v>
      </c>
      <c r="V5" s="31" t="s">
        <v>194</v>
      </c>
      <c r="W5" s="31" t="s">
        <v>195</v>
      </c>
      <c r="X5" s="31" t="s">
        <v>196</v>
      </c>
      <c r="Y5" s="31" t="s">
        <v>197</v>
      </c>
      <c r="Z5" s="31" t="s">
        <v>198</v>
      </c>
    </row>
    <row r="6" customFormat="false" ht="15" hidden="false" customHeight="false" outlineLevel="0" collapsed="false">
      <c r="A6" s="5"/>
      <c r="B6" s="49" t="s">
        <v>199</v>
      </c>
      <c r="C6" s="50" t="n">
        <v>1</v>
      </c>
      <c r="D6" s="50" t="n">
        <v>2</v>
      </c>
      <c r="E6" s="50" t="n">
        <v>3</v>
      </c>
      <c r="F6" s="50" t="n">
        <v>4</v>
      </c>
      <c r="G6" s="50" t="n">
        <v>5</v>
      </c>
      <c r="H6" s="50" t="n">
        <v>6</v>
      </c>
      <c r="I6" s="50" t="n">
        <v>7</v>
      </c>
      <c r="J6" s="50" t="n">
        <v>8</v>
      </c>
      <c r="K6" s="50" t="n">
        <v>9</v>
      </c>
      <c r="L6" s="50" t="n">
        <v>10</v>
      </c>
      <c r="M6" s="50" t="n">
        <v>11</v>
      </c>
      <c r="N6" s="50" t="n">
        <v>12</v>
      </c>
      <c r="O6" s="50" t="n">
        <v>13</v>
      </c>
      <c r="P6" s="50" t="n">
        <v>14</v>
      </c>
      <c r="Q6" s="50" t="n">
        <v>15</v>
      </c>
      <c r="R6" s="50" t="n">
        <v>16</v>
      </c>
      <c r="S6" s="50" t="n">
        <v>17</v>
      </c>
      <c r="T6" s="50" t="n">
        <v>18</v>
      </c>
      <c r="U6" s="50" t="n">
        <v>19</v>
      </c>
      <c r="V6" s="50" t="n">
        <v>20</v>
      </c>
      <c r="W6" s="50" t="n">
        <v>21</v>
      </c>
      <c r="X6" s="50" t="n">
        <v>22</v>
      </c>
      <c r="Y6" s="50" t="n">
        <v>23</v>
      </c>
      <c r="Z6" s="50" t="n">
        <v>24</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row>
    <row r="8" customFormat="false" ht="15" hidden="false" customHeight="false" outlineLevel="0" collapsed="false">
      <c r="A8" s="5"/>
      <c r="B8" s="15" t="s">
        <v>84</v>
      </c>
      <c r="C8" s="16"/>
      <c r="D8" s="16"/>
      <c r="E8" s="16"/>
      <c r="F8" s="16"/>
      <c r="G8" s="16"/>
      <c r="H8" s="16"/>
      <c r="I8" s="16"/>
      <c r="J8" s="16"/>
      <c r="K8" s="16"/>
      <c r="L8" s="16"/>
      <c r="M8" s="16"/>
      <c r="N8" s="16"/>
      <c r="O8" s="16"/>
      <c r="P8" s="16"/>
      <c r="Q8" s="16"/>
      <c r="R8" s="16"/>
      <c r="S8" s="16"/>
      <c r="T8" s="16"/>
      <c r="U8" s="16"/>
      <c r="V8" s="16"/>
      <c r="W8" s="16"/>
      <c r="X8" s="16"/>
      <c r="Y8" s="16"/>
      <c r="Z8" s="16"/>
    </row>
    <row r="9" customFormat="false" ht="15" hidden="false" customHeight="false" outlineLevel="0" collapsed="false">
      <c r="A9" s="5"/>
      <c r="B9" s="7" t="s">
        <v>200</v>
      </c>
      <c r="C9" s="37" t="n">
        <f aca="false">IF(C6=1,DB_Land,0)</f>
        <v>5000000</v>
      </c>
      <c r="D9" s="37" t="n">
        <f aca="false">IF(D6=1,DB_Land,0)</f>
        <v>0</v>
      </c>
      <c r="E9" s="37" t="n">
        <f aca="false">IF(E6=1,DB_Land,0)</f>
        <v>0</v>
      </c>
      <c r="F9" s="37" t="n">
        <f aca="false">IF(F6=1,DB_Land,0)</f>
        <v>0</v>
      </c>
      <c r="G9" s="37" t="n">
        <f aca="false">IF(G6=1,DB_Land,0)</f>
        <v>0</v>
      </c>
      <c r="H9" s="37" t="n">
        <f aca="false">IF(H6=1,DB_Land,0)</f>
        <v>0</v>
      </c>
      <c r="I9" s="37" t="n">
        <f aca="false">IF(I6=1,DB_Land,0)</f>
        <v>0</v>
      </c>
      <c r="J9" s="37" t="n">
        <f aca="false">IF(J6=1,DB_Land,0)</f>
        <v>0</v>
      </c>
      <c r="K9" s="37" t="n">
        <f aca="false">IF(K6=1,DB_Land,0)</f>
        <v>0</v>
      </c>
      <c r="L9" s="37" t="n">
        <f aca="false">IF(L6=1,DB_Land,0)</f>
        <v>0</v>
      </c>
      <c r="M9" s="37" t="n">
        <f aca="false">IF(M6=1,DB_Land,0)</f>
        <v>0</v>
      </c>
      <c r="N9" s="37" t="n">
        <f aca="false">IF(N6=1,DB_Land,0)</f>
        <v>0</v>
      </c>
      <c r="O9" s="37" t="n">
        <f aca="false">IF(O6=1,DB_Land,0)</f>
        <v>0</v>
      </c>
      <c r="P9" s="37" t="n">
        <f aca="false">IF(P6=1,DB_Land,0)</f>
        <v>0</v>
      </c>
      <c r="Q9" s="37" t="n">
        <f aca="false">IF(Q6=1,DB_Land,0)</f>
        <v>0</v>
      </c>
      <c r="R9" s="37" t="n">
        <f aca="false">IF(R6=1,DB_Land,0)</f>
        <v>0</v>
      </c>
      <c r="S9" s="37" t="n">
        <f aca="false">IF(S6=1,DB_Land,0)</f>
        <v>0</v>
      </c>
      <c r="T9" s="37" t="n">
        <f aca="false">IF(T6=1,DB_Land,0)</f>
        <v>0</v>
      </c>
      <c r="U9" s="37" t="n">
        <f aca="false">IF(U6=1,DB_Land,0)</f>
        <v>0</v>
      </c>
      <c r="V9" s="37" t="n">
        <f aca="false">IF(V6=1,DB_Land,0)</f>
        <v>0</v>
      </c>
      <c r="W9" s="37" t="n">
        <f aca="false">IF(W6=1,DB_Land,0)</f>
        <v>0</v>
      </c>
      <c r="X9" s="37" t="n">
        <f aca="false">IF(X6=1,DB_Land,0)</f>
        <v>0</v>
      </c>
      <c r="Y9" s="37" t="n">
        <f aca="false">IF(Y6=1,DB_Land,0)</f>
        <v>0</v>
      </c>
      <c r="Z9" s="37" t="n">
        <f aca="false">IF(Z6=1,DB_Land,0)</f>
        <v>0</v>
      </c>
    </row>
    <row r="10" customFormat="false" ht="15" hidden="false" customHeight="false" outlineLevel="0" collapsed="false">
      <c r="A10" s="5"/>
      <c r="B10" s="39" t="s">
        <v>164</v>
      </c>
      <c r="C10" s="37" t="n">
        <f aca="false">DB_Hard/Constr_Duration</f>
        <v>1350000</v>
      </c>
      <c r="D10" s="37" t="n">
        <f aca="false">DB_Hard/Constr_Duration</f>
        <v>1350000</v>
      </c>
      <c r="E10" s="37" t="n">
        <f aca="false">DB_Hard/Constr_Duration</f>
        <v>1350000</v>
      </c>
      <c r="F10" s="37" t="n">
        <f aca="false">DB_Hard/Constr_Duration</f>
        <v>1350000</v>
      </c>
      <c r="G10" s="37" t="n">
        <f aca="false">DB_Hard/Constr_Duration</f>
        <v>1350000</v>
      </c>
      <c r="H10" s="37" t="n">
        <f aca="false">DB_Hard/Constr_Duration</f>
        <v>1350000</v>
      </c>
      <c r="I10" s="37" t="n">
        <f aca="false">DB_Hard/Constr_Duration</f>
        <v>1350000</v>
      </c>
      <c r="J10" s="37" t="n">
        <f aca="false">DB_Hard/Constr_Duration</f>
        <v>1350000</v>
      </c>
      <c r="K10" s="37" t="n">
        <f aca="false">DB_Hard/Constr_Duration</f>
        <v>1350000</v>
      </c>
      <c r="L10" s="37" t="n">
        <f aca="false">DB_Hard/Constr_Duration</f>
        <v>1350000</v>
      </c>
      <c r="M10" s="37" t="n">
        <f aca="false">DB_Hard/Constr_Duration</f>
        <v>1350000</v>
      </c>
      <c r="N10" s="37" t="n">
        <f aca="false">DB_Hard/Constr_Duration</f>
        <v>1350000</v>
      </c>
      <c r="O10" s="37" t="n">
        <f aca="false">DB_Hard/Constr_Duration</f>
        <v>1350000</v>
      </c>
      <c r="P10" s="37" t="n">
        <f aca="false">DB_Hard/Constr_Duration</f>
        <v>1350000</v>
      </c>
      <c r="Q10" s="37" t="n">
        <f aca="false">DB_Hard/Constr_Duration</f>
        <v>1350000</v>
      </c>
      <c r="R10" s="37" t="n">
        <f aca="false">DB_Hard/Constr_Duration</f>
        <v>1350000</v>
      </c>
      <c r="S10" s="37" t="n">
        <f aca="false">DB_Hard/Constr_Duration</f>
        <v>1350000</v>
      </c>
      <c r="T10" s="37" t="n">
        <f aca="false">DB_Hard/Constr_Duration</f>
        <v>1350000</v>
      </c>
      <c r="U10" s="37" t="n">
        <f aca="false">DB_Hard/Constr_Duration</f>
        <v>1350000</v>
      </c>
      <c r="V10" s="37" t="n">
        <f aca="false">DB_Hard/Constr_Duration</f>
        <v>1350000</v>
      </c>
      <c r="W10" s="37" t="n">
        <f aca="false">DB_Hard/Constr_Duration</f>
        <v>1350000</v>
      </c>
      <c r="X10" s="37" t="n">
        <f aca="false">DB_Hard/Constr_Duration</f>
        <v>1350000</v>
      </c>
      <c r="Y10" s="37" t="n">
        <f aca="false">DB_Hard/Constr_Duration</f>
        <v>1350000</v>
      </c>
      <c r="Z10" s="37" t="n">
        <f aca="false">DB_Hard/Constr_Duration</f>
        <v>1350000</v>
      </c>
    </row>
    <row r="11" customFormat="false" ht="15" hidden="false" customHeight="false" outlineLevel="0" collapsed="false">
      <c r="A11" s="5"/>
      <c r="B11" s="39" t="s">
        <v>91</v>
      </c>
      <c r="C11" s="37" t="n">
        <f aca="false">DB_Soft/Constr_Duration</f>
        <v>270000</v>
      </c>
      <c r="D11" s="37" t="n">
        <f aca="false">DB_Soft/Constr_Duration</f>
        <v>270000</v>
      </c>
      <c r="E11" s="37" t="n">
        <f aca="false">DB_Soft/Constr_Duration</f>
        <v>270000</v>
      </c>
      <c r="F11" s="37" t="n">
        <f aca="false">DB_Soft/Constr_Duration</f>
        <v>270000</v>
      </c>
      <c r="G11" s="37" t="n">
        <f aca="false">DB_Soft/Constr_Duration</f>
        <v>270000</v>
      </c>
      <c r="H11" s="37" t="n">
        <f aca="false">DB_Soft/Constr_Duration</f>
        <v>270000</v>
      </c>
      <c r="I11" s="37" t="n">
        <f aca="false">DB_Soft/Constr_Duration</f>
        <v>270000</v>
      </c>
      <c r="J11" s="37" t="n">
        <f aca="false">DB_Soft/Constr_Duration</f>
        <v>270000</v>
      </c>
      <c r="K11" s="37" t="n">
        <f aca="false">DB_Soft/Constr_Duration</f>
        <v>270000</v>
      </c>
      <c r="L11" s="37" t="n">
        <f aca="false">DB_Soft/Constr_Duration</f>
        <v>270000</v>
      </c>
      <c r="M11" s="37" t="n">
        <f aca="false">DB_Soft/Constr_Duration</f>
        <v>270000</v>
      </c>
      <c r="N11" s="37" t="n">
        <f aca="false">DB_Soft/Constr_Duration</f>
        <v>270000</v>
      </c>
      <c r="O11" s="37" t="n">
        <f aca="false">DB_Soft/Constr_Duration</f>
        <v>270000</v>
      </c>
      <c r="P11" s="37" t="n">
        <f aca="false">DB_Soft/Constr_Duration</f>
        <v>270000</v>
      </c>
      <c r="Q11" s="37" t="n">
        <f aca="false">DB_Soft/Constr_Duration</f>
        <v>270000</v>
      </c>
      <c r="R11" s="37" t="n">
        <f aca="false">DB_Soft/Constr_Duration</f>
        <v>270000</v>
      </c>
      <c r="S11" s="37" t="n">
        <f aca="false">DB_Soft/Constr_Duration</f>
        <v>270000</v>
      </c>
      <c r="T11" s="37" t="n">
        <f aca="false">DB_Soft/Constr_Duration</f>
        <v>270000</v>
      </c>
      <c r="U11" s="37" t="n">
        <f aca="false">DB_Soft/Constr_Duration</f>
        <v>270000</v>
      </c>
      <c r="V11" s="37" t="n">
        <f aca="false">DB_Soft/Constr_Duration</f>
        <v>270000</v>
      </c>
      <c r="W11" s="37" t="n">
        <f aca="false">DB_Soft/Constr_Duration</f>
        <v>270000</v>
      </c>
      <c r="X11" s="37" t="n">
        <f aca="false">DB_Soft/Constr_Duration</f>
        <v>270000</v>
      </c>
      <c r="Y11" s="37" t="n">
        <f aca="false">DB_Soft/Constr_Duration</f>
        <v>270000</v>
      </c>
      <c r="Z11" s="37" t="n">
        <f aca="false">DB_Soft/Constr_Duration</f>
        <v>270000</v>
      </c>
    </row>
    <row r="12" customFormat="false" ht="15" hidden="false" customHeight="false" outlineLevel="0" collapsed="false">
      <c r="A12" s="5"/>
      <c r="B12" s="39" t="s">
        <v>96</v>
      </c>
      <c r="C12" s="37" t="n">
        <f aca="false">DB_Contingency/Constr_Duration</f>
        <v>81000</v>
      </c>
      <c r="D12" s="37" t="n">
        <f aca="false">DB_Contingency/Constr_Duration</f>
        <v>81000</v>
      </c>
      <c r="E12" s="37" t="n">
        <f aca="false">DB_Contingency/Constr_Duration</f>
        <v>81000</v>
      </c>
      <c r="F12" s="37" t="n">
        <f aca="false">DB_Contingency/Constr_Duration</f>
        <v>81000</v>
      </c>
      <c r="G12" s="37" t="n">
        <f aca="false">DB_Contingency/Constr_Duration</f>
        <v>81000</v>
      </c>
      <c r="H12" s="37" t="n">
        <f aca="false">DB_Contingency/Constr_Duration</f>
        <v>81000</v>
      </c>
      <c r="I12" s="37" t="n">
        <f aca="false">DB_Contingency/Constr_Duration</f>
        <v>81000</v>
      </c>
      <c r="J12" s="37" t="n">
        <f aca="false">DB_Contingency/Constr_Duration</f>
        <v>81000</v>
      </c>
      <c r="K12" s="37" t="n">
        <f aca="false">DB_Contingency/Constr_Duration</f>
        <v>81000</v>
      </c>
      <c r="L12" s="37" t="n">
        <f aca="false">DB_Contingency/Constr_Duration</f>
        <v>81000</v>
      </c>
      <c r="M12" s="37" t="n">
        <f aca="false">DB_Contingency/Constr_Duration</f>
        <v>81000</v>
      </c>
      <c r="N12" s="37" t="n">
        <f aca="false">DB_Contingency/Constr_Duration</f>
        <v>81000</v>
      </c>
      <c r="O12" s="37" t="n">
        <f aca="false">DB_Contingency/Constr_Duration</f>
        <v>81000</v>
      </c>
      <c r="P12" s="37" t="n">
        <f aca="false">DB_Contingency/Constr_Duration</f>
        <v>81000</v>
      </c>
      <c r="Q12" s="37" t="n">
        <f aca="false">DB_Contingency/Constr_Duration</f>
        <v>81000</v>
      </c>
      <c r="R12" s="37" t="n">
        <f aca="false">DB_Contingency/Constr_Duration</f>
        <v>81000</v>
      </c>
      <c r="S12" s="37" t="n">
        <f aca="false">DB_Contingency/Constr_Duration</f>
        <v>81000</v>
      </c>
      <c r="T12" s="37" t="n">
        <f aca="false">DB_Contingency/Constr_Duration</f>
        <v>81000</v>
      </c>
      <c r="U12" s="37" t="n">
        <f aca="false">DB_Contingency/Constr_Duration</f>
        <v>81000</v>
      </c>
      <c r="V12" s="37" t="n">
        <f aca="false">DB_Contingency/Constr_Duration</f>
        <v>81000</v>
      </c>
      <c r="W12" s="37" t="n">
        <f aca="false">DB_Contingency/Constr_Duration</f>
        <v>81000</v>
      </c>
      <c r="X12" s="37" t="n">
        <f aca="false">DB_Contingency/Constr_Duration</f>
        <v>81000</v>
      </c>
      <c r="Y12" s="37" t="n">
        <f aca="false">DB_Contingency/Constr_Duration</f>
        <v>81000</v>
      </c>
      <c r="Z12" s="37" t="n">
        <f aca="false">DB_Contingency/Constr_Duration</f>
        <v>81000</v>
      </c>
    </row>
    <row r="13" customFormat="false" ht="15" hidden="false" customHeight="false" outlineLevel="0" collapsed="false">
      <c r="A13" s="5"/>
      <c r="B13" s="39" t="s">
        <v>94</v>
      </c>
      <c r="C13" s="37" t="n">
        <f aca="false">DB_Dev_Fee/Constr_Duration</f>
        <v>76373.3333333333</v>
      </c>
      <c r="D13" s="37" t="n">
        <f aca="false">DB_Dev_Fee/Constr_Duration</f>
        <v>76373.3333333333</v>
      </c>
      <c r="E13" s="37" t="n">
        <f aca="false">DB_Dev_Fee/Constr_Duration</f>
        <v>76373.3333333333</v>
      </c>
      <c r="F13" s="37" t="n">
        <f aca="false">DB_Dev_Fee/Constr_Duration</f>
        <v>76373.3333333333</v>
      </c>
      <c r="G13" s="37" t="n">
        <f aca="false">DB_Dev_Fee/Constr_Duration</f>
        <v>76373.3333333333</v>
      </c>
      <c r="H13" s="37" t="n">
        <f aca="false">DB_Dev_Fee/Constr_Duration</f>
        <v>76373.3333333333</v>
      </c>
      <c r="I13" s="37" t="n">
        <f aca="false">DB_Dev_Fee/Constr_Duration</f>
        <v>76373.3333333333</v>
      </c>
      <c r="J13" s="37" t="n">
        <f aca="false">DB_Dev_Fee/Constr_Duration</f>
        <v>76373.3333333333</v>
      </c>
      <c r="K13" s="37" t="n">
        <f aca="false">DB_Dev_Fee/Constr_Duration</f>
        <v>76373.3333333333</v>
      </c>
      <c r="L13" s="37" t="n">
        <f aca="false">DB_Dev_Fee/Constr_Duration</f>
        <v>76373.3333333333</v>
      </c>
      <c r="M13" s="37" t="n">
        <f aca="false">DB_Dev_Fee/Constr_Duration</f>
        <v>76373.3333333333</v>
      </c>
      <c r="N13" s="37" t="n">
        <f aca="false">DB_Dev_Fee/Constr_Duration</f>
        <v>76373.3333333333</v>
      </c>
      <c r="O13" s="37" t="n">
        <f aca="false">DB_Dev_Fee/Constr_Duration</f>
        <v>76373.3333333333</v>
      </c>
      <c r="P13" s="37" t="n">
        <f aca="false">DB_Dev_Fee/Constr_Duration</f>
        <v>76373.3333333333</v>
      </c>
      <c r="Q13" s="37" t="n">
        <f aca="false">DB_Dev_Fee/Constr_Duration</f>
        <v>76373.3333333333</v>
      </c>
      <c r="R13" s="37" t="n">
        <f aca="false">DB_Dev_Fee/Constr_Duration</f>
        <v>76373.3333333333</v>
      </c>
      <c r="S13" s="37" t="n">
        <f aca="false">DB_Dev_Fee/Constr_Duration</f>
        <v>76373.3333333333</v>
      </c>
      <c r="T13" s="37" t="n">
        <f aca="false">DB_Dev_Fee/Constr_Duration</f>
        <v>76373.3333333333</v>
      </c>
      <c r="U13" s="37" t="n">
        <f aca="false">DB_Dev_Fee/Constr_Duration</f>
        <v>76373.3333333333</v>
      </c>
      <c r="V13" s="37" t="n">
        <f aca="false">DB_Dev_Fee/Constr_Duration</f>
        <v>76373.3333333333</v>
      </c>
      <c r="W13" s="37" t="n">
        <f aca="false">DB_Dev_Fee/Constr_Duration</f>
        <v>76373.3333333333</v>
      </c>
      <c r="X13" s="37" t="n">
        <f aca="false">DB_Dev_Fee/Constr_Duration</f>
        <v>76373.3333333333</v>
      </c>
      <c r="Y13" s="37" t="n">
        <f aca="false">DB_Dev_Fee/Constr_Duration</f>
        <v>76373.3333333333</v>
      </c>
      <c r="Z13" s="37" t="n">
        <f aca="false">DB_Dev_Fee/Constr_Duration</f>
        <v>76373.3333333333</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row>
    <row r="15" customFormat="false" ht="15" hidden="false" customHeight="false" outlineLevel="0" collapsed="false">
      <c r="A15" s="5"/>
      <c r="B15" s="40" t="s">
        <v>201</v>
      </c>
      <c r="C15" s="41" t="n">
        <f aca="false">SUM(C9:C13)</f>
        <v>6777373.33333333</v>
      </c>
      <c r="D15" s="41" t="n">
        <f aca="false">SUM(D9:D13)</f>
        <v>1777373.33333333</v>
      </c>
      <c r="E15" s="41" t="n">
        <f aca="false">SUM(E9:E13)</f>
        <v>1777373.33333333</v>
      </c>
      <c r="F15" s="41" t="n">
        <f aca="false">SUM(F9:F13)</f>
        <v>1777373.33333333</v>
      </c>
      <c r="G15" s="41" t="n">
        <f aca="false">SUM(G9:G13)</f>
        <v>1777373.33333333</v>
      </c>
      <c r="H15" s="41" t="n">
        <f aca="false">SUM(H9:H13)</f>
        <v>1777373.33333333</v>
      </c>
      <c r="I15" s="41" t="n">
        <f aca="false">SUM(I9:I13)</f>
        <v>1777373.33333333</v>
      </c>
      <c r="J15" s="41" t="n">
        <f aca="false">SUM(J9:J13)</f>
        <v>1777373.33333333</v>
      </c>
      <c r="K15" s="41" t="n">
        <f aca="false">SUM(K9:K13)</f>
        <v>1777373.33333333</v>
      </c>
      <c r="L15" s="41" t="n">
        <f aca="false">SUM(L9:L13)</f>
        <v>1777373.33333333</v>
      </c>
      <c r="M15" s="41" t="n">
        <f aca="false">SUM(M9:M13)</f>
        <v>1777373.33333333</v>
      </c>
      <c r="N15" s="41" t="n">
        <f aca="false">SUM(N9:N13)</f>
        <v>1777373.33333333</v>
      </c>
      <c r="O15" s="41" t="n">
        <f aca="false">SUM(O9:O13)</f>
        <v>1777373.33333333</v>
      </c>
      <c r="P15" s="41" t="n">
        <f aca="false">SUM(P9:P13)</f>
        <v>1777373.33333333</v>
      </c>
      <c r="Q15" s="41" t="n">
        <f aca="false">SUM(Q9:Q13)</f>
        <v>1777373.33333333</v>
      </c>
      <c r="R15" s="41" t="n">
        <f aca="false">SUM(R9:R13)</f>
        <v>1777373.33333333</v>
      </c>
      <c r="S15" s="41" t="n">
        <f aca="false">SUM(S9:S13)</f>
        <v>1777373.33333333</v>
      </c>
      <c r="T15" s="41" t="n">
        <f aca="false">SUM(T9:T13)</f>
        <v>1777373.33333333</v>
      </c>
      <c r="U15" s="41" t="n">
        <f aca="false">SUM(U9:U13)</f>
        <v>1777373.33333333</v>
      </c>
      <c r="V15" s="41" t="n">
        <f aca="false">SUM(V9:V13)</f>
        <v>1777373.33333333</v>
      </c>
      <c r="W15" s="41" t="n">
        <f aca="false">SUM(W9:W13)</f>
        <v>1777373.33333333</v>
      </c>
      <c r="X15" s="41" t="n">
        <f aca="false">SUM(X9:X13)</f>
        <v>1777373.33333333</v>
      </c>
      <c r="Y15" s="41" t="n">
        <f aca="false">SUM(Y9:Y13)</f>
        <v>1777373.33333333</v>
      </c>
      <c r="Z15" s="41" t="n">
        <f aca="false">SUM(Z9:Z13)</f>
        <v>1777373.33333333</v>
      </c>
    </row>
    <row r="16" customFormat="false" ht="15" hidden="false" customHeight="false" outlineLevel="0" collapsed="false">
      <c r="A16" s="5"/>
      <c r="B16" s="39" t="s">
        <v>202</v>
      </c>
      <c r="C16" s="37" t="n">
        <f aca="false">C15</f>
        <v>6777373.33333333</v>
      </c>
      <c r="D16" s="37" t="n">
        <f aca="false">C16+D15</f>
        <v>8554746.66666667</v>
      </c>
      <c r="E16" s="37" t="n">
        <f aca="false">D16+E15</f>
        <v>10332120</v>
      </c>
      <c r="F16" s="37" t="n">
        <f aca="false">E16+F15</f>
        <v>12109493.3333333</v>
      </c>
      <c r="G16" s="37" t="n">
        <f aca="false">F16+G15</f>
        <v>13886866.6666667</v>
      </c>
      <c r="H16" s="37" t="n">
        <f aca="false">G16+H15</f>
        <v>15664240</v>
      </c>
      <c r="I16" s="37" t="n">
        <f aca="false">H16+I15</f>
        <v>17441613.3333333</v>
      </c>
      <c r="J16" s="37" t="n">
        <f aca="false">I16+J15</f>
        <v>19218986.6666667</v>
      </c>
      <c r="K16" s="37" t="n">
        <f aca="false">J16+K15</f>
        <v>20996360</v>
      </c>
      <c r="L16" s="37" t="n">
        <f aca="false">K16+L15</f>
        <v>22773733.3333333</v>
      </c>
      <c r="M16" s="37" t="n">
        <f aca="false">L16+M15</f>
        <v>24551106.6666667</v>
      </c>
      <c r="N16" s="37" t="n">
        <f aca="false">M16+N15</f>
        <v>26328480</v>
      </c>
      <c r="O16" s="37" t="n">
        <f aca="false">N16+O15</f>
        <v>28105853.3333333</v>
      </c>
      <c r="P16" s="37" t="n">
        <f aca="false">O16+P15</f>
        <v>29883226.6666667</v>
      </c>
      <c r="Q16" s="37" t="n">
        <f aca="false">P16+Q15</f>
        <v>31660600</v>
      </c>
      <c r="R16" s="37" t="n">
        <f aca="false">Q16+R15</f>
        <v>33437973.3333333</v>
      </c>
      <c r="S16" s="37" t="n">
        <f aca="false">R16+S15</f>
        <v>35215346.6666667</v>
      </c>
      <c r="T16" s="37" t="n">
        <f aca="false">S16+T15</f>
        <v>36992720</v>
      </c>
      <c r="U16" s="37" t="n">
        <f aca="false">T16+U15</f>
        <v>38770093.3333333</v>
      </c>
      <c r="V16" s="37" t="n">
        <f aca="false">U16+V15</f>
        <v>40547466.6666667</v>
      </c>
      <c r="W16" s="37" t="n">
        <f aca="false">V16+W15</f>
        <v>42324840</v>
      </c>
      <c r="X16" s="37" t="n">
        <f aca="false">W16+X15</f>
        <v>44102213.3333333</v>
      </c>
      <c r="Y16" s="37" t="n">
        <f aca="false">X16+Y15</f>
        <v>45879586.6666667</v>
      </c>
      <c r="Z16" s="37" t="n">
        <f aca="false">Y16+Z15</f>
        <v>47656960</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row>
    <row r="18" customFormat="false" ht="15" hidden="false" customHeight="false" outlineLevel="0" collapsed="false">
      <c r="A18" s="5"/>
      <c r="B18" s="15" t="s">
        <v>203</v>
      </c>
      <c r="C18" s="16"/>
      <c r="D18" s="16"/>
      <c r="E18" s="16"/>
      <c r="F18" s="16"/>
      <c r="G18" s="16"/>
      <c r="H18" s="16"/>
      <c r="I18" s="16"/>
      <c r="J18" s="16"/>
      <c r="K18" s="16"/>
      <c r="L18" s="16"/>
      <c r="M18" s="16"/>
      <c r="N18" s="16"/>
      <c r="O18" s="16"/>
      <c r="P18" s="16"/>
      <c r="Q18" s="16"/>
      <c r="R18" s="16"/>
      <c r="S18" s="16"/>
      <c r="T18" s="16"/>
      <c r="U18" s="16"/>
      <c r="V18" s="16"/>
      <c r="W18" s="16"/>
      <c r="X18" s="16"/>
      <c r="Y18" s="16"/>
      <c r="Z18" s="16"/>
    </row>
    <row r="19" customFormat="false" ht="15" hidden="false" customHeight="false" outlineLevel="0" collapsed="false">
      <c r="A19" s="5"/>
      <c r="B19" s="7" t="s">
        <v>204</v>
      </c>
      <c r="C19" s="37" t="n">
        <f aca="false">MIN(C15,DB_Equity)</f>
        <v>6777373.33333333</v>
      </c>
      <c r="D19" s="37" t="n">
        <f aca="false">MIN(D15,MAX(0,DB_Equity-C20))</f>
        <v>1777373.33333333</v>
      </c>
      <c r="E19" s="37" t="n">
        <f aca="false">MIN(E15,MAX(0,DB_Equity-D20))</f>
        <v>1777373.33333333</v>
      </c>
      <c r="F19" s="37" t="n">
        <f aca="false">MIN(F15,MAX(0,DB_Equity-E20))</f>
        <v>1777373.33333333</v>
      </c>
      <c r="G19" s="37" t="n">
        <f aca="false">MIN(G15,MAX(0,DB_Equity-F20))</f>
        <v>1777373.33333333</v>
      </c>
      <c r="H19" s="37" t="n">
        <f aca="false">MIN(H15,MAX(0,DB_Equity-G20))</f>
        <v>1777373.33333333</v>
      </c>
      <c r="I19" s="37" t="n">
        <f aca="false">MIN(I15,MAX(0,DB_Equity-H20))</f>
        <v>1777373.33333333</v>
      </c>
      <c r="J19" s="37" t="n">
        <f aca="false">MIN(J15,MAX(0,DB_Equity-I20))</f>
        <v>1777373.33333333</v>
      </c>
      <c r="K19" s="37" t="n">
        <f aca="false">MIN(K15,MAX(0,DB_Equity-J20))</f>
        <v>1026199.31733333</v>
      </c>
      <c r="L19" s="37" t="n">
        <f aca="false">MIN(L15,MAX(0,DB_Equity-K20))</f>
        <v>0</v>
      </c>
      <c r="M19" s="37" t="n">
        <f aca="false">MIN(M15,MAX(0,DB_Equity-L20))</f>
        <v>0</v>
      </c>
      <c r="N19" s="37" t="n">
        <f aca="false">MIN(N15,MAX(0,DB_Equity-M20))</f>
        <v>0</v>
      </c>
      <c r="O19" s="37" t="n">
        <f aca="false">MIN(O15,MAX(0,DB_Equity-N20))</f>
        <v>0</v>
      </c>
      <c r="P19" s="37" t="n">
        <f aca="false">MIN(P15,MAX(0,DB_Equity-O20))</f>
        <v>0</v>
      </c>
      <c r="Q19" s="37" t="n">
        <f aca="false">MIN(Q15,MAX(0,DB_Equity-P20))</f>
        <v>0</v>
      </c>
      <c r="R19" s="37" t="n">
        <f aca="false">MIN(R15,MAX(0,DB_Equity-Q20))</f>
        <v>0</v>
      </c>
      <c r="S19" s="37" t="n">
        <f aca="false">MIN(S15,MAX(0,DB_Equity-R20))</f>
        <v>0</v>
      </c>
      <c r="T19" s="37" t="n">
        <f aca="false">MIN(T15,MAX(0,DB_Equity-S20))</f>
        <v>0</v>
      </c>
      <c r="U19" s="37" t="n">
        <f aca="false">MIN(U15,MAX(0,DB_Equity-T20))</f>
        <v>0</v>
      </c>
      <c r="V19" s="37" t="n">
        <f aca="false">MIN(V15,MAX(0,DB_Equity-U20))</f>
        <v>0</v>
      </c>
      <c r="W19" s="37" t="n">
        <f aca="false">MIN(W15,MAX(0,DB_Equity-V20))</f>
        <v>0</v>
      </c>
      <c r="X19" s="37" t="n">
        <f aca="false">MIN(X15,MAX(0,DB_Equity-W20))</f>
        <v>0</v>
      </c>
      <c r="Y19" s="37" t="n">
        <f aca="false">MIN(Y15,MAX(0,DB_Equity-X20))</f>
        <v>0</v>
      </c>
      <c r="Z19" s="37" t="n">
        <f aca="false">MIN(Z15,MAX(0,DB_Equity-Y20))</f>
        <v>0</v>
      </c>
    </row>
    <row r="20" customFormat="false" ht="15" hidden="false" customHeight="false" outlineLevel="0" collapsed="false">
      <c r="A20" s="5"/>
      <c r="B20" s="39" t="s">
        <v>205</v>
      </c>
      <c r="C20" s="37" t="n">
        <f aca="false">C19</f>
        <v>6777373.33333333</v>
      </c>
      <c r="D20" s="37" t="n">
        <f aca="false">C20+D19</f>
        <v>8554746.66666667</v>
      </c>
      <c r="E20" s="37" t="n">
        <f aca="false">D20+E19</f>
        <v>10332120</v>
      </c>
      <c r="F20" s="37" t="n">
        <f aca="false">E20+F19</f>
        <v>12109493.3333333</v>
      </c>
      <c r="G20" s="37" t="n">
        <f aca="false">F20+G19</f>
        <v>13886866.6666667</v>
      </c>
      <c r="H20" s="37" t="n">
        <f aca="false">G20+H19</f>
        <v>15664240</v>
      </c>
      <c r="I20" s="37" t="n">
        <f aca="false">H20+I19</f>
        <v>17441613.3333333</v>
      </c>
      <c r="J20" s="37" t="n">
        <f aca="false">I20+J19</f>
        <v>19218986.6666667</v>
      </c>
      <c r="K20" s="37" t="n">
        <f aca="false">J20+K19</f>
        <v>20245185.984</v>
      </c>
      <c r="L20" s="37" t="n">
        <f aca="false">K20+L19</f>
        <v>20245185.984</v>
      </c>
      <c r="M20" s="37" t="n">
        <f aca="false">L20+M19</f>
        <v>20245185.984</v>
      </c>
      <c r="N20" s="37" t="n">
        <f aca="false">M20+N19</f>
        <v>20245185.984</v>
      </c>
      <c r="O20" s="37" t="n">
        <f aca="false">N20+O19</f>
        <v>20245185.984</v>
      </c>
      <c r="P20" s="37" t="n">
        <f aca="false">O20+P19</f>
        <v>20245185.984</v>
      </c>
      <c r="Q20" s="37" t="n">
        <f aca="false">P20+Q19</f>
        <v>20245185.984</v>
      </c>
      <c r="R20" s="37" t="n">
        <f aca="false">Q20+R19</f>
        <v>20245185.984</v>
      </c>
      <c r="S20" s="37" t="n">
        <f aca="false">R20+S19</f>
        <v>20245185.984</v>
      </c>
      <c r="T20" s="37" t="n">
        <f aca="false">S20+T19</f>
        <v>20245185.984</v>
      </c>
      <c r="U20" s="37" t="n">
        <f aca="false">T20+U19</f>
        <v>20245185.984</v>
      </c>
      <c r="V20" s="37" t="n">
        <f aca="false">U20+V19</f>
        <v>20245185.984</v>
      </c>
      <c r="W20" s="37" t="n">
        <f aca="false">V20+W19</f>
        <v>20245185.984</v>
      </c>
      <c r="X20" s="37" t="n">
        <f aca="false">W20+X19</f>
        <v>20245185.984</v>
      </c>
      <c r="Y20" s="37" t="n">
        <f aca="false">X20+Y19</f>
        <v>20245185.984</v>
      </c>
      <c r="Z20" s="37" t="n">
        <f aca="false">Y20+Z19</f>
        <v>20245185.984</v>
      </c>
    </row>
    <row r="21" customFormat="false" ht="15" hidden="false" customHeight="false" outlineLevel="0" collapsed="false">
      <c r="A21" s="5"/>
      <c r="B21" s="7" t="s">
        <v>206</v>
      </c>
      <c r="C21" s="37" t="n">
        <f aca="false">C15-C19</f>
        <v>0</v>
      </c>
      <c r="D21" s="37" t="n">
        <f aca="false">D15-D19</f>
        <v>0</v>
      </c>
      <c r="E21" s="37" t="n">
        <f aca="false">E15-E19</f>
        <v>0</v>
      </c>
      <c r="F21" s="37" t="n">
        <f aca="false">F15-F19</f>
        <v>0</v>
      </c>
      <c r="G21" s="37" t="n">
        <f aca="false">G15-G19</f>
        <v>0</v>
      </c>
      <c r="H21" s="37" t="n">
        <f aca="false">H15-H19</f>
        <v>0</v>
      </c>
      <c r="I21" s="37" t="n">
        <f aca="false">I15-I19</f>
        <v>0</v>
      </c>
      <c r="J21" s="37" t="n">
        <f aca="false">J15-J19</f>
        <v>0</v>
      </c>
      <c r="K21" s="37" t="n">
        <f aca="false">K15-K19</f>
        <v>751174.016</v>
      </c>
      <c r="L21" s="37" t="n">
        <f aca="false">L15-L19</f>
        <v>1777373.33333333</v>
      </c>
      <c r="M21" s="37" t="n">
        <f aca="false">M15-M19</f>
        <v>1777373.33333333</v>
      </c>
      <c r="N21" s="37" t="n">
        <f aca="false">N15-N19</f>
        <v>1777373.33333333</v>
      </c>
      <c r="O21" s="37" t="n">
        <f aca="false">O15-O19</f>
        <v>1777373.33333333</v>
      </c>
      <c r="P21" s="37" t="n">
        <f aca="false">P15-P19</f>
        <v>1777373.33333333</v>
      </c>
      <c r="Q21" s="37" t="n">
        <f aca="false">Q15-Q19</f>
        <v>1777373.33333333</v>
      </c>
      <c r="R21" s="37" t="n">
        <f aca="false">R15-R19</f>
        <v>1777373.33333333</v>
      </c>
      <c r="S21" s="37" t="n">
        <f aca="false">S15-S19</f>
        <v>1777373.33333333</v>
      </c>
      <c r="T21" s="37" t="n">
        <f aca="false">T15-T19</f>
        <v>1777373.33333333</v>
      </c>
      <c r="U21" s="37" t="n">
        <f aca="false">U15-U19</f>
        <v>1777373.33333333</v>
      </c>
      <c r="V21" s="37" t="n">
        <f aca="false">V15-V19</f>
        <v>1777373.33333333</v>
      </c>
      <c r="W21" s="37" t="n">
        <f aca="false">W15-W19</f>
        <v>1777373.33333333</v>
      </c>
      <c r="X21" s="37" t="n">
        <f aca="false">X15-X19</f>
        <v>1777373.33333333</v>
      </c>
      <c r="Y21" s="37" t="n">
        <f aca="false">Y15-Y19</f>
        <v>1777373.33333333</v>
      </c>
      <c r="Z21" s="37" t="n">
        <f aca="false">Z15-Z19</f>
        <v>1777373.33333333</v>
      </c>
    </row>
    <row r="22" customFormat="false" ht="15" hidden="false" customHeight="false" outlineLevel="0" collapsed="false">
      <c r="A22" s="5"/>
      <c r="B22" s="39" t="s">
        <v>207</v>
      </c>
      <c r="C22" s="37" t="n">
        <f aca="false">C21</f>
        <v>0</v>
      </c>
      <c r="D22" s="37" t="n">
        <f aca="false">C22+D21</f>
        <v>0</v>
      </c>
      <c r="E22" s="37" t="n">
        <f aca="false">D22+E21</f>
        <v>0</v>
      </c>
      <c r="F22" s="37" t="n">
        <f aca="false">E22+F21</f>
        <v>0</v>
      </c>
      <c r="G22" s="37" t="n">
        <f aca="false">F22+G21</f>
        <v>0</v>
      </c>
      <c r="H22" s="37" t="n">
        <f aca="false">G22+H21</f>
        <v>0</v>
      </c>
      <c r="I22" s="37" t="n">
        <f aca="false">H22+I21</f>
        <v>0</v>
      </c>
      <c r="J22" s="37" t="n">
        <f aca="false">I22+J21</f>
        <v>0</v>
      </c>
      <c r="K22" s="37" t="n">
        <f aca="false">J22+K21</f>
        <v>751174.016</v>
      </c>
      <c r="L22" s="37" t="n">
        <f aca="false">K22+L21</f>
        <v>2528547.34933333</v>
      </c>
      <c r="M22" s="37" t="n">
        <f aca="false">L22+M21</f>
        <v>4305920.68266667</v>
      </c>
      <c r="N22" s="37" t="n">
        <f aca="false">M22+N21</f>
        <v>6083294.016</v>
      </c>
      <c r="O22" s="37" t="n">
        <f aca="false">N22+O21</f>
        <v>7860667.34933333</v>
      </c>
      <c r="P22" s="37" t="n">
        <f aca="false">O22+P21</f>
        <v>9638040.68266667</v>
      </c>
      <c r="Q22" s="37" t="n">
        <f aca="false">P22+Q21</f>
        <v>11415414.016</v>
      </c>
      <c r="R22" s="37" t="n">
        <f aca="false">Q22+R21</f>
        <v>13192787.3493333</v>
      </c>
      <c r="S22" s="37" t="n">
        <f aca="false">R22+S21</f>
        <v>14970160.6826667</v>
      </c>
      <c r="T22" s="37" t="n">
        <f aca="false">S22+T21</f>
        <v>16747534.016</v>
      </c>
      <c r="U22" s="37" t="n">
        <f aca="false">T22+U21</f>
        <v>18524907.3493333</v>
      </c>
      <c r="V22" s="37" t="n">
        <f aca="false">U22+V21</f>
        <v>20302280.6826667</v>
      </c>
      <c r="W22" s="37" t="n">
        <f aca="false">V22+W21</f>
        <v>22079654.016</v>
      </c>
      <c r="X22" s="37" t="n">
        <f aca="false">W22+X21</f>
        <v>23857027.3493333</v>
      </c>
      <c r="Y22" s="37" t="n">
        <f aca="false">X22+Y21</f>
        <v>25634400.6826667</v>
      </c>
      <c r="Z22" s="37" t="n">
        <f aca="false">Y22+Z21</f>
        <v>27411774.016</v>
      </c>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row>
    <row r="24" customFormat="false" ht="15" hidden="false" customHeight="false" outlineLevel="0" collapsed="false">
      <c r="A24" s="5"/>
      <c r="B24" s="15" t="s">
        <v>208</v>
      </c>
      <c r="C24" s="16"/>
      <c r="D24" s="16"/>
      <c r="E24" s="16"/>
      <c r="F24" s="16"/>
      <c r="G24" s="16"/>
      <c r="H24" s="16"/>
      <c r="I24" s="16"/>
      <c r="J24" s="16"/>
      <c r="K24" s="16"/>
      <c r="L24" s="16"/>
      <c r="M24" s="16"/>
      <c r="N24" s="16"/>
      <c r="O24" s="16"/>
      <c r="P24" s="16"/>
      <c r="Q24" s="16"/>
      <c r="R24" s="16"/>
      <c r="S24" s="16"/>
      <c r="T24" s="16"/>
      <c r="U24" s="16"/>
      <c r="V24" s="16"/>
      <c r="W24" s="16"/>
      <c r="X24" s="16"/>
      <c r="Y24" s="16"/>
      <c r="Z24" s="16"/>
    </row>
    <row r="25" customFormat="false" ht="15" hidden="false" customHeight="false" outlineLevel="0" collapsed="false">
      <c r="A25" s="5"/>
      <c r="B25" s="7" t="s">
        <v>209</v>
      </c>
      <c r="C25" s="37" t="n">
        <f aca="false">0</f>
        <v>0</v>
      </c>
      <c r="D25" s="37" t="n">
        <f aca="false">C22</f>
        <v>0</v>
      </c>
      <c r="E25" s="37" t="n">
        <f aca="false">D22</f>
        <v>0</v>
      </c>
      <c r="F25" s="37" t="n">
        <f aca="false">E22</f>
        <v>0</v>
      </c>
      <c r="G25" s="37" t="n">
        <f aca="false">F22</f>
        <v>0</v>
      </c>
      <c r="H25" s="37" t="n">
        <f aca="false">G22</f>
        <v>0</v>
      </c>
      <c r="I25" s="37" t="n">
        <f aca="false">H22</f>
        <v>0</v>
      </c>
      <c r="J25" s="37" t="n">
        <f aca="false">I22</f>
        <v>0</v>
      </c>
      <c r="K25" s="37" t="n">
        <f aca="false">J22</f>
        <v>0</v>
      </c>
      <c r="L25" s="37" t="n">
        <f aca="false">K22</f>
        <v>751174.016</v>
      </c>
      <c r="M25" s="37" t="n">
        <f aca="false">L22</f>
        <v>2528547.34933333</v>
      </c>
      <c r="N25" s="37" t="n">
        <f aca="false">M22</f>
        <v>4305920.68266667</v>
      </c>
      <c r="O25" s="37" t="n">
        <f aca="false">N22</f>
        <v>6083294.016</v>
      </c>
      <c r="P25" s="37" t="n">
        <f aca="false">O22</f>
        <v>7860667.34933333</v>
      </c>
      <c r="Q25" s="37" t="n">
        <f aca="false">P22</f>
        <v>9638040.68266667</v>
      </c>
      <c r="R25" s="37" t="n">
        <f aca="false">Q22</f>
        <v>11415414.016</v>
      </c>
      <c r="S25" s="37" t="n">
        <f aca="false">R22</f>
        <v>13192787.3493333</v>
      </c>
      <c r="T25" s="37" t="n">
        <f aca="false">S22</f>
        <v>14970160.6826667</v>
      </c>
      <c r="U25" s="37" t="n">
        <f aca="false">T22</f>
        <v>16747534.016</v>
      </c>
      <c r="V25" s="37" t="n">
        <f aca="false">U22</f>
        <v>18524907.3493333</v>
      </c>
      <c r="W25" s="37" t="n">
        <f aca="false">V22</f>
        <v>20302280.6826667</v>
      </c>
      <c r="X25" s="37" t="n">
        <f aca="false">W22</f>
        <v>22079654.016</v>
      </c>
      <c r="Y25" s="37" t="n">
        <f aca="false">X22</f>
        <v>23857027.3493333</v>
      </c>
      <c r="Z25" s="37" t="n">
        <f aca="false">Y22</f>
        <v>25634400.6826667</v>
      </c>
    </row>
    <row r="26" customFormat="false" ht="15" hidden="false" customHeight="false" outlineLevel="0" collapsed="false">
      <c r="A26" s="5"/>
      <c r="B26" s="7" t="s">
        <v>210</v>
      </c>
      <c r="C26" s="37" t="n">
        <f aca="false">C25*Constr_Rate/12</f>
        <v>0</v>
      </c>
      <c r="D26" s="37" t="n">
        <f aca="false">D25*Constr_Rate/12</f>
        <v>0</v>
      </c>
      <c r="E26" s="37" t="n">
        <f aca="false">E25*Constr_Rate/12</f>
        <v>0</v>
      </c>
      <c r="F26" s="37" t="n">
        <f aca="false">F25*Constr_Rate/12</f>
        <v>0</v>
      </c>
      <c r="G26" s="37" t="n">
        <f aca="false">G25*Constr_Rate/12</f>
        <v>0</v>
      </c>
      <c r="H26" s="37" t="n">
        <f aca="false">H25*Constr_Rate/12</f>
        <v>0</v>
      </c>
      <c r="I26" s="37" t="n">
        <f aca="false">I25*Constr_Rate/12</f>
        <v>0</v>
      </c>
      <c r="J26" s="37" t="n">
        <f aca="false">J25*Constr_Rate/12</f>
        <v>0</v>
      </c>
      <c r="K26" s="37" t="n">
        <f aca="false">K25*Constr_Rate/12</f>
        <v>0</v>
      </c>
      <c r="L26" s="37" t="n">
        <f aca="false">L25*Constr_Rate/12</f>
        <v>4694.8376</v>
      </c>
      <c r="M26" s="37" t="n">
        <f aca="false">M25*Constr_Rate/12</f>
        <v>15803.4209333333</v>
      </c>
      <c r="N26" s="37" t="n">
        <f aca="false">N25*Constr_Rate/12</f>
        <v>26912.0042666667</v>
      </c>
      <c r="O26" s="37" t="n">
        <f aca="false">O25*Constr_Rate/12</f>
        <v>38020.5876</v>
      </c>
      <c r="P26" s="37" t="n">
        <f aca="false">P25*Constr_Rate/12</f>
        <v>49129.1709333333</v>
      </c>
      <c r="Q26" s="37" t="n">
        <f aca="false">Q25*Constr_Rate/12</f>
        <v>60237.7542666667</v>
      </c>
      <c r="R26" s="37" t="n">
        <f aca="false">R25*Constr_Rate/12</f>
        <v>71346.3376</v>
      </c>
      <c r="S26" s="37" t="n">
        <f aca="false">S25*Constr_Rate/12</f>
        <v>82454.9209333333</v>
      </c>
      <c r="T26" s="37" t="n">
        <f aca="false">T25*Constr_Rate/12</f>
        <v>93563.5042666667</v>
      </c>
      <c r="U26" s="37" t="n">
        <f aca="false">U25*Constr_Rate/12</f>
        <v>104672.0876</v>
      </c>
      <c r="V26" s="37" t="n">
        <f aca="false">V25*Constr_Rate/12</f>
        <v>115780.670933333</v>
      </c>
      <c r="W26" s="37" t="n">
        <f aca="false">W25*Constr_Rate/12</f>
        <v>126889.254266667</v>
      </c>
      <c r="X26" s="37" t="n">
        <f aca="false">X25*Constr_Rate/12</f>
        <v>137997.8376</v>
      </c>
      <c r="Y26" s="37" t="n">
        <f aca="false">Y25*Constr_Rate/12</f>
        <v>149106.420933333</v>
      </c>
      <c r="Z26" s="37" t="n">
        <f aca="false">Z25*Constr_Rate/12</f>
        <v>160215.004266667</v>
      </c>
    </row>
    <row r="27" customFormat="false" ht="15" hidden="false" customHeight="false" outlineLevel="0" collapsed="false">
      <c r="A27" s="5"/>
      <c r="B27" s="39" t="s">
        <v>211</v>
      </c>
      <c r="C27" s="37" t="n">
        <f aca="false">C26</f>
        <v>0</v>
      </c>
      <c r="D27" s="37" t="n">
        <f aca="false">C27+D26</f>
        <v>0</v>
      </c>
      <c r="E27" s="37" t="n">
        <f aca="false">D27+E26</f>
        <v>0</v>
      </c>
      <c r="F27" s="37" t="n">
        <f aca="false">E27+F26</f>
        <v>0</v>
      </c>
      <c r="G27" s="37" t="n">
        <f aca="false">F27+G26</f>
        <v>0</v>
      </c>
      <c r="H27" s="37" t="n">
        <f aca="false">G27+H26</f>
        <v>0</v>
      </c>
      <c r="I27" s="37" t="n">
        <f aca="false">H27+I26</f>
        <v>0</v>
      </c>
      <c r="J27" s="37" t="n">
        <f aca="false">I27+J26</f>
        <v>0</v>
      </c>
      <c r="K27" s="37" t="n">
        <f aca="false">J27+K26</f>
        <v>0</v>
      </c>
      <c r="L27" s="37" t="n">
        <f aca="false">K27+L26</f>
        <v>4694.8376</v>
      </c>
      <c r="M27" s="37" t="n">
        <f aca="false">L27+M26</f>
        <v>20498.2585333333</v>
      </c>
      <c r="N27" s="37" t="n">
        <f aca="false">M27+N26</f>
        <v>47410.2628</v>
      </c>
      <c r="O27" s="37" t="n">
        <f aca="false">N27+O26</f>
        <v>85430.8504</v>
      </c>
      <c r="P27" s="37" t="n">
        <f aca="false">O27+P26</f>
        <v>134560.021333333</v>
      </c>
      <c r="Q27" s="37" t="n">
        <f aca="false">P27+Q26</f>
        <v>194797.7756</v>
      </c>
      <c r="R27" s="37" t="n">
        <f aca="false">Q27+R26</f>
        <v>266144.1132</v>
      </c>
      <c r="S27" s="37" t="n">
        <f aca="false">R27+S26</f>
        <v>348599.034133333</v>
      </c>
      <c r="T27" s="37" t="n">
        <f aca="false">S27+T26</f>
        <v>442162.5384</v>
      </c>
      <c r="U27" s="37" t="n">
        <f aca="false">T27+U26</f>
        <v>546834.626</v>
      </c>
      <c r="V27" s="37" t="n">
        <f aca="false">U27+V26</f>
        <v>662615.296933333</v>
      </c>
      <c r="W27" s="37" t="n">
        <f aca="false">V27+W26</f>
        <v>789504.5512</v>
      </c>
      <c r="X27" s="37" t="n">
        <f aca="false">W27+X26</f>
        <v>927502.3888</v>
      </c>
      <c r="Y27" s="37" t="n">
        <f aca="false">X27+Y26</f>
        <v>1076608.80973333</v>
      </c>
      <c r="Z27" s="37" t="n">
        <f aca="false">Y27+Z26</f>
        <v>1236823.814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T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20"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row>
    <row r="2" customFormat="false" ht="22.05" hidden="false" customHeight="false" outlineLevel="0" collapsed="false">
      <c r="A2" s="5"/>
      <c r="B2" s="28" t="s">
        <v>212</v>
      </c>
      <c r="C2" s="5"/>
      <c r="D2" s="5"/>
      <c r="E2" s="5"/>
      <c r="F2" s="5"/>
      <c r="G2" s="5"/>
      <c r="H2" s="5"/>
      <c r="I2" s="5"/>
      <c r="J2" s="5"/>
      <c r="K2" s="5"/>
      <c r="L2" s="5"/>
      <c r="M2" s="5"/>
      <c r="N2" s="5"/>
      <c r="O2" s="5"/>
      <c r="P2" s="5"/>
      <c r="Q2" s="5"/>
      <c r="R2" s="5"/>
      <c r="S2" s="5"/>
      <c r="T2" s="5"/>
    </row>
    <row r="3" customFormat="false" ht="15" hidden="false" customHeight="false" outlineLevel="0" collapsed="false">
      <c r="A3" s="5"/>
      <c r="B3" s="29" t="s">
        <v>213</v>
      </c>
      <c r="C3" s="5"/>
      <c r="D3" s="5"/>
      <c r="E3" s="5"/>
      <c r="F3" s="5"/>
      <c r="G3" s="5"/>
      <c r="H3" s="5"/>
      <c r="I3" s="5"/>
      <c r="J3" s="5"/>
      <c r="K3" s="5"/>
      <c r="L3" s="5"/>
      <c r="M3" s="5"/>
      <c r="N3" s="5"/>
      <c r="O3" s="5"/>
      <c r="P3" s="5"/>
      <c r="Q3" s="5"/>
      <c r="R3" s="5"/>
      <c r="S3" s="5"/>
      <c r="T3" s="5"/>
    </row>
    <row r="4" customFormat="false" ht="15" hidden="false" customHeight="false" outlineLevel="0" collapsed="false">
      <c r="A4" s="5"/>
      <c r="B4" s="5"/>
      <c r="C4" s="5"/>
      <c r="D4" s="5"/>
      <c r="E4" s="5"/>
      <c r="F4" s="5"/>
      <c r="G4" s="5"/>
      <c r="H4" s="5"/>
      <c r="I4" s="5"/>
      <c r="J4" s="5"/>
      <c r="K4" s="5"/>
      <c r="L4" s="5"/>
      <c r="M4" s="5"/>
      <c r="N4" s="5"/>
      <c r="O4" s="5"/>
      <c r="P4" s="5"/>
      <c r="Q4" s="5"/>
      <c r="R4" s="5"/>
      <c r="S4" s="5"/>
      <c r="T4" s="5"/>
    </row>
    <row r="5" customFormat="false" ht="15" hidden="false" customHeight="false" outlineLevel="0" collapsed="false">
      <c r="A5" s="5"/>
      <c r="B5" s="30" t="s">
        <v>158</v>
      </c>
      <c r="C5" s="31" t="s">
        <v>175</v>
      </c>
      <c r="D5" s="31" t="s">
        <v>176</v>
      </c>
      <c r="E5" s="31" t="s">
        <v>177</v>
      </c>
      <c r="F5" s="31" t="s">
        <v>178</v>
      </c>
      <c r="G5" s="31" t="s">
        <v>179</v>
      </c>
      <c r="H5" s="31" t="s">
        <v>180</v>
      </c>
      <c r="I5" s="31" t="s">
        <v>181</v>
      </c>
      <c r="J5" s="31" t="s">
        <v>182</v>
      </c>
      <c r="K5" s="31" t="s">
        <v>183</v>
      </c>
      <c r="L5" s="31" t="s">
        <v>184</v>
      </c>
      <c r="M5" s="31" t="s">
        <v>185</v>
      </c>
      <c r="N5" s="31" t="s">
        <v>186</v>
      </c>
      <c r="O5" s="31" t="s">
        <v>187</v>
      </c>
      <c r="P5" s="31" t="s">
        <v>188</v>
      </c>
      <c r="Q5" s="31" t="s">
        <v>189</v>
      </c>
      <c r="R5" s="31" t="s">
        <v>190</v>
      </c>
      <c r="S5" s="31" t="s">
        <v>191</v>
      </c>
      <c r="T5" s="31" t="s">
        <v>192</v>
      </c>
    </row>
    <row r="6" customFormat="false" ht="15" hidden="false" customHeight="false" outlineLevel="0" collapsed="false">
      <c r="A6" s="5"/>
      <c r="B6" s="49" t="s">
        <v>199</v>
      </c>
      <c r="C6" s="50" t="n">
        <v>1</v>
      </c>
      <c r="D6" s="50" t="n">
        <v>2</v>
      </c>
      <c r="E6" s="50" t="n">
        <v>3</v>
      </c>
      <c r="F6" s="50" t="n">
        <v>4</v>
      </c>
      <c r="G6" s="50" t="n">
        <v>5</v>
      </c>
      <c r="H6" s="50" t="n">
        <v>6</v>
      </c>
      <c r="I6" s="50" t="n">
        <v>7</v>
      </c>
      <c r="J6" s="50" t="n">
        <v>8</v>
      </c>
      <c r="K6" s="50" t="n">
        <v>9</v>
      </c>
      <c r="L6" s="50" t="n">
        <v>10</v>
      </c>
      <c r="M6" s="50" t="n">
        <v>11</v>
      </c>
      <c r="N6" s="50" t="n">
        <v>12</v>
      </c>
      <c r="O6" s="50" t="n">
        <v>13</v>
      </c>
      <c r="P6" s="50" t="n">
        <v>14</v>
      </c>
      <c r="Q6" s="50" t="n">
        <v>15</v>
      </c>
      <c r="R6" s="50" t="n">
        <v>16</v>
      </c>
      <c r="S6" s="50" t="n">
        <v>17</v>
      </c>
      <c r="T6" s="50" t="n">
        <v>18</v>
      </c>
    </row>
    <row r="7" customFormat="false" ht="15" hidden="false" customHeight="false" outlineLevel="0" collapsed="false">
      <c r="A7" s="5"/>
      <c r="B7" s="5"/>
      <c r="C7" s="5"/>
      <c r="D7" s="5"/>
      <c r="E7" s="5"/>
      <c r="F7" s="5"/>
      <c r="G7" s="5"/>
      <c r="H7" s="5"/>
      <c r="I7" s="5"/>
      <c r="J7" s="5"/>
      <c r="K7" s="5"/>
      <c r="L7" s="5"/>
      <c r="M7" s="5"/>
      <c r="N7" s="5"/>
      <c r="O7" s="5"/>
      <c r="P7" s="5"/>
      <c r="Q7" s="5"/>
      <c r="R7" s="5"/>
      <c r="S7" s="5"/>
      <c r="T7" s="5"/>
    </row>
    <row r="8" customFormat="false" ht="15" hidden="false" customHeight="false" outlineLevel="0" collapsed="false">
      <c r="A8" s="5"/>
      <c r="B8" s="15" t="s">
        <v>214</v>
      </c>
      <c r="C8" s="16"/>
      <c r="D8" s="16"/>
      <c r="E8" s="16"/>
      <c r="F8" s="16"/>
      <c r="G8" s="16"/>
      <c r="H8" s="16"/>
      <c r="I8" s="16"/>
      <c r="J8" s="16"/>
      <c r="K8" s="16"/>
      <c r="L8" s="16"/>
      <c r="M8" s="16"/>
      <c r="N8" s="16"/>
      <c r="O8" s="16"/>
      <c r="P8" s="16"/>
      <c r="Q8" s="16"/>
      <c r="R8" s="16"/>
      <c r="S8" s="16"/>
      <c r="T8" s="16"/>
    </row>
    <row r="9" customFormat="false" ht="15" hidden="false" customHeight="false" outlineLevel="0" collapsed="false">
      <c r="A9" s="5"/>
      <c r="B9" s="7" t="s">
        <v>215</v>
      </c>
      <c r="C9" s="51" t="n">
        <f aca="false">MIN(Leaseup_Units,Total_Units)</f>
        <v>15</v>
      </c>
      <c r="D9" s="51" t="n">
        <f aca="false">MIN(Leaseup_Units,MAX(0,Total_Units-C10))</f>
        <v>15</v>
      </c>
      <c r="E9" s="51" t="n">
        <f aca="false">MIN(Leaseup_Units,MAX(0,Total_Units-D10))</f>
        <v>15</v>
      </c>
      <c r="F9" s="51" t="n">
        <f aca="false">MIN(Leaseup_Units,MAX(0,Total_Units-E10))</f>
        <v>15</v>
      </c>
      <c r="G9" s="51" t="n">
        <f aca="false">MIN(Leaseup_Units,MAX(0,Total_Units-F10))</f>
        <v>15</v>
      </c>
      <c r="H9" s="51" t="n">
        <f aca="false">MIN(Leaseup_Units,MAX(0,Total_Units-G10))</f>
        <v>15</v>
      </c>
      <c r="I9" s="51" t="n">
        <f aca="false">MIN(Leaseup_Units,MAX(0,Total_Units-H10))</f>
        <v>15</v>
      </c>
      <c r="J9" s="51" t="n">
        <f aca="false">MIN(Leaseup_Units,MAX(0,Total_Units-I10))</f>
        <v>15</v>
      </c>
      <c r="K9" s="51" t="n">
        <f aca="false">MIN(Leaseup_Units,MAX(0,Total_Units-J10))</f>
        <v>15</v>
      </c>
      <c r="L9" s="51" t="n">
        <f aca="false">MIN(Leaseup_Units,MAX(0,Total_Units-K10))</f>
        <v>15</v>
      </c>
      <c r="M9" s="51" t="n">
        <f aca="false">MIN(Leaseup_Units,MAX(0,Total_Units-L10))</f>
        <v>15</v>
      </c>
      <c r="N9" s="51" t="n">
        <f aca="false">MIN(Leaseup_Units,MAX(0,Total_Units-M10))</f>
        <v>15</v>
      </c>
      <c r="O9" s="51" t="n">
        <f aca="false">MIN(Leaseup_Units,MAX(0,Total_Units-N10))</f>
        <v>15</v>
      </c>
      <c r="P9" s="51" t="n">
        <f aca="false">MIN(Leaseup_Units,MAX(0,Total_Units-O10))</f>
        <v>5</v>
      </c>
      <c r="Q9" s="51" t="n">
        <f aca="false">MIN(Leaseup_Units,MAX(0,Total_Units-P10))</f>
        <v>0</v>
      </c>
      <c r="R9" s="51" t="n">
        <f aca="false">MIN(Leaseup_Units,MAX(0,Total_Units-Q10))</f>
        <v>0</v>
      </c>
      <c r="S9" s="51" t="n">
        <f aca="false">MIN(Leaseup_Units,MAX(0,Total_Units-R10))</f>
        <v>0</v>
      </c>
      <c r="T9" s="51" t="n">
        <f aca="false">MIN(Leaseup_Units,MAX(0,Total_Units-S10))</f>
        <v>0</v>
      </c>
    </row>
    <row r="10" customFormat="false" ht="15" hidden="false" customHeight="false" outlineLevel="0" collapsed="false">
      <c r="A10" s="5"/>
      <c r="B10" s="39" t="s">
        <v>216</v>
      </c>
      <c r="C10" s="51" t="n">
        <f aca="false">C9</f>
        <v>15</v>
      </c>
      <c r="D10" s="51" t="n">
        <f aca="false">MIN(Total_Units,C10+D9)</f>
        <v>30</v>
      </c>
      <c r="E10" s="51" t="n">
        <f aca="false">MIN(Total_Units,D10+E9)</f>
        <v>45</v>
      </c>
      <c r="F10" s="51" t="n">
        <f aca="false">MIN(Total_Units,E10+F9)</f>
        <v>60</v>
      </c>
      <c r="G10" s="51" t="n">
        <f aca="false">MIN(Total_Units,F10+G9)</f>
        <v>75</v>
      </c>
      <c r="H10" s="51" t="n">
        <f aca="false">MIN(Total_Units,G10+H9)</f>
        <v>90</v>
      </c>
      <c r="I10" s="51" t="n">
        <f aca="false">MIN(Total_Units,H10+I9)</f>
        <v>105</v>
      </c>
      <c r="J10" s="51" t="n">
        <f aca="false">MIN(Total_Units,I10+J9)</f>
        <v>120</v>
      </c>
      <c r="K10" s="51" t="n">
        <f aca="false">MIN(Total_Units,J10+K9)</f>
        <v>135</v>
      </c>
      <c r="L10" s="51" t="n">
        <f aca="false">MIN(Total_Units,K10+L9)</f>
        <v>150</v>
      </c>
      <c r="M10" s="51" t="n">
        <f aca="false">MIN(Total_Units,L10+M9)</f>
        <v>165</v>
      </c>
      <c r="N10" s="51" t="n">
        <f aca="false">MIN(Total_Units,M10+N9)</f>
        <v>180</v>
      </c>
      <c r="O10" s="51" t="n">
        <f aca="false">MIN(Total_Units,N10+O9)</f>
        <v>195</v>
      </c>
      <c r="P10" s="51" t="n">
        <f aca="false">MIN(Total_Units,O10+P9)</f>
        <v>200</v>
      </c>
      <c r="Q10" s="51" t="n">
        <f aca="false">MIN(Total_Units,P10+Q9)</f>
        <v>200</v>
      </c>
      <c r="R10" s="51" t="n">
        <f aca="false">MIN(Total_Units,Q10+R9)</f>
        <v>200</v>
      </c>
      <c r="S10" s="51" t="n">
        <f aca="false">MIN(Total_Units,R10+S9)</f>
        <v>200</v>
      </c>
      <c r="T10" s="51" t="n">
        <f aca="false">MIN(Total_Units,S10+T9)</f>
        <v>200</v>
      </c>
    </row>
    <row r="11" customFormat="false" ht="15" hidden="false" customHeight="false" outlineLevel="0" collapsed="false">
      <c r="A11" s="5"/>
      <c r="B11" s="7" t="s">
        <v>217</v>
      </c>
      <c r="C11" s="38" t="n">
        <f aca="false">C10/Total_Units</f>
        <v>0.075</v>
      </c>
      <c r="D11" s="38" t="n">
        <f aca="false">D10/Total_Units</f>
        <v>0.15</v>
      </c>
      <c r="E11" s="38" t="n">
        <f aca="false">E10/Total_Units</f>
        <v>0.225</v>
      </c>
      <c r="F11" s="38" t="n">
        <f aca="false">F10/Total_Units</f>
        <v>0.3</v>
      </c>
      <c r="G11" s="38" t="n">
        <f aca="false">G10/Total_Units</f>
        <v>0.375</v>
      </c>
      <c r="H11" s="38" t="n">
        <f aca="false">H10/Total_Units</f>
        <v>0.45</v>
      </c>
      <c r="I11" s="38" t="n">
        <f aca="false">I10/Total_Units</f>
        <v>0.525</v>
      </c>
      <c r="J11" s="38" t="n">
        <f aca="false">J10/Total_Units</f>
        <v>0.6</v>
      </c>
      <c r="K11" s="38" t="n">
        <f aca="false">K10/Total_Units</f>
        <v>0.675</v>
      </c>
      <c r="L11" s="38" t="n">
        <f aca="false">L10/Total_Units</f>
        <v>0.75</v>
      </c>
      <c r="M11" s="38" t="n">
        <f aca="false">M10/Total_Units</f>
        <v>0.825</v>
      </c>
      <c r="N11" s="38" t="n">
        <f aca="false">N10/Total_Units</f>
        <v>0.9</v>
      </c>
      <c r="O11" s="38" t="n">
        <f aca="false">O10/Total_Units</f>
        <v>0.975</v>
      </c>
      <c r="P11" s="38" t="n">
        <f aca="false">P10/Total_Units</f>
        <v>1</v>
      </c>
      <c r="Q11" s="38" t="n">
        <f aca="false">Q10/Total_Units</f>
        <v>1</v>
      </c>
      <c r="R11" s="38" t="n">
        <f aca="false">R10/Total_Units</f>
        <v>1</v>
      </c>
      <c r="S11" s="38" t="n">
        <f aca="false">S10/Total_Units</f>
        <v>1</v>
      </c>
      <c r="T11" s="38" t="n">
        <f aca="false">T10/Total_Units</f>
        <v>1</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row>
    <row r="13" customFormat="false" ht="15" hidden="false" customHeight="false" outlineLevel="0" collapsed="false">
      <c r="A13" s="5"/>
      <c r="B13" s="15" t="s">
        <v>101</v>
      </c>
      <c r="C13" s="16"/>
      <c r="D13" s="16"/>
      <c r="E13" s="16"/>
      <c r="F13" s="16"/>
      <c r="G13" s="16"/>
      <c r="H13" s="16"/>
      <c r="I13" s="16"/>
      <c r="J13" s="16"/>
      <c r="K13" s="16"/>
      <c r="L13" s="16"/>
      <c r="M13" s="16"/>
      <c r="N13" s="16"/>
      <c r="O13" s="16"/>
      <c r="P13" s="16"/>
      <c r="Q13" s="16"/>
      <c r="R13" s="16"/>
      <c r="S13" s="16"/>
      <c r="T13" s="16"/>
    </row>
    <row r="14" customFormat="false" ht="15" hidden="false" customHeight="false" outlineLevel="0" collapsed="false">
      <c r="A14" s="5"/>
      <c r="B14" s="7" t="s">
        <v>218</v>
      </c>
      <c r="C14" s="37" t="n">
        <f aca="false">C10*Avg_Rent_PSF*Avg_Unit_SF</f>
        <v>30375</v>
      </c>
      <c r="D14" s="37" t="n">
        <f aca="false">D10*Avg_Rent_PSF*Avg_Unit_SF</f>
        <v>60750</v>
      </c>
      <c r="E14" s="37" t="n">
        <f aca="false">E10*Avg_Rent_PSF*Avg_Unit_SF</f>
        <v>91125</v>
      </c>
      <c r="F14" s="37" t="n">
        <f aca="false">F10*Avg_Rent_PSF*Avg_Unit_SF</f>
        <v>121500</v>
      </c>
      <c r="G14" s="37" t="n">
        <f aca="false">G10*Avg_Rent_PSF*Avg_Unit_SF</f>
        <v>151875</v>
      </c>
      <c r="H14" s="37" t="n">
        <f aca="false">H10*Avg_Rent_PSF*Avg_Unit_SF</f>
        <v>182250</v>
      </c>
      <c r="I14" s="37" t="n">
        <f aca="false">I10*Avg_Rent_PSF*Avg_Unit_SF</f>
        <v>212625</v>
      </c>
      <c r="J14" s="37" t="n">
        <f aca="false">J10*Avg_Rent_PSF*Avg_Unit_SF</f>
        <v>243000</v>
      </c>
      <c r="K14" s="37" t="n">
        <f aca="false">K10*Avg_Rent_PSF*Avg_Unit_SF</f>
        <v>273375</v>
      </c>
      <c r="L14" s="37" t="n">
        <f aca="false">L10*Avg_Rent_PSF*Avg_Unit_SF</f>
        <v>303750</v>
      </c>
      <c r="M14" s="37" t="n">
        <f aca="false">M10*Avg_Rent_PSF*Avg_Unit_SF</f>
        <v>334125</v>
      </c>
      <c r="N14" s="37" t="n">
        <f aca="false">N10*Avg_Rent_PSF*Avg_Unit_SF</f>
        <v>364500</v>
      </c>
      <c r="O14" s="37" t="n">
        <f aca="false">O10*Avg_Rent_PSF*Avg_Unit_SF</f>
        <v>394875</v>
      </c>
      <c r="P14" s="37" t="n">
        <f aca="false">P10*Avg_Rent_PSF*Avg_Unit_SF</f>
        <v>405000</v>
      </c>
      <c r="Q14" s="37" t="n">
        <f aca="false">Q10*Avg_Rent_PSF*Avg_Unit_SF</f>
        <v>405000</v>
      </c>
      <c r="R14" s="37" t="n">
        <f aca="false">R10*Avg_Rent_PSF*Avg_Unit_SF</f>
        <v>405000</v>
      </c>
      <c r="S14" s="37" t="n">
        <f aca="false">S10*Avg_Rent_PSF*Avg_Unit_SF</f>
        <v>405000</v>
      </c>
      <c r="T14" s="37" t="n">
        <f aca="false">T10*Avg_Rent_PSF*Avg_Unit_SF</f>
        <v>405000</v>
      </c>
    </row>
    <row r="15" customFormat="false" ht="15" hidden="false" customHeight="false" outlineLevel="0" collapsed="false">
      <c r="A15" s="5"/>
      <c r="B15" s="39" t="s">
        <v>116</v>
      </c>
      <c r="C15" s="37" t="n">
        <f aca="false">-C9*Avg_Rent_PSF*Avg_Unit_SF*Concession_Mo/12</f>
        <v>-2531.25</v>
      </c>
      <c r="D15" s="37" t="n">
        <f aca="false">-D9*Avg_Rent_PSF*Avg_Unit_SF*Concession_Mo/12</f>
        <v>-2531.25</v>
      </c>
      <c r="E15" s="37" t="n">
        <f aca="false">-E9*Avg_Rent_PSF*Avg_Unit_SF*Concession_Mo/12</f>
        <v>-2531.25</v>
      </c>
      <c r="F15" s="37" t="n">
        <f aca="false">-F9*Avg_Rent_PSF*Avg_Unit_SF*Concession_Mo/12</f>
        <v>-2531.25</v>
      </c>
      <c r="G15" s="37" t="n">
        <f aca="false">-G9*Avg_Rent_PSF*Avg_Unit_SF*Concession_Mo/12</f>
        <v>-2531.25</v>
      </c>
      <c r="H15" s="37" t="n">
        <f aca="false">-H9*Avg_Rent_PSF*Avg_Unit_SF*Concession_Mo/12</f>
        <v>-2531.25</v>
      </c>
      <c r="I15" s="37" t="n">
        <f aca="false">-I9*Avg_Rent_PSF*Avg_Unit_SF*Concession_Mo/12</f>
        <v>-2531.25</v>
      </c>
      <c r="J15" s="37" t="n">
        <f aca="false">-J9*Avg_Rent_PSF*Avg_Unit_SF*Concession_Mo/12</f>
        <v>-2531.25</v>
      </c>
      <c r="K15" s="37" t="n">
        <f aca="false">-K9*Avg_Rent_PSF*Avg_Unit_SF*Concession_Mo/12</f>
        <v>-2531.25</v>
      </c>
      <c r="L15" s="37" t="n">
        <f aca="false">-L9*Avg_Rent_PSF*Avg_Unit_SF*Concession_Mo/12</f>
        <v>-2531.25</v>
      </c>
      <c r="M15" s="37" t="n">
        <f aca="false">-M9*Avg_Rent_PSF*Avg_Unit_SF*Concession_Mo/12</f>
        <v>-2531.25</v>
      </c>
      <c r="N15" s="37" t="n">
        <f aca="false">-N9*Avg_Rent_PSF*Avg_Unit_SF*Concession_Mo/12</f>
        <v>-2531.25</v>
      </c>
      <c r="O15" s="37" t="n">
        <f aca="false">-O9*Avg_Rent_PSF*Avg_Unit_SF*Concession_Mo/12</f>
        <v>-2531.25</v>
      </c>
      <c r="P15" s="37" t="n">
        <f aca="false">-P9*Avg_Rent_PSF*Avg_Unit_SF*Concession_Mo/12</f>
        <v>-843.75</v>
      </c>
      <c r="Q15" s="37" t="n">
        <f aca="false">-Q9*Avg_Rent_PSF*Avg_Unit_SF*Concession_Mo/12</f>
        <v>-0</v>
      </c>
      <c r="R15" s="37" t="n">
        <f aca="false">-R9*Avg_Rent_PSF*Avg_Unit_SF*Concession_Mo/12</f>
        <v>-0</v>
      </c>
      <c r="S15" s="37" t="n">
        <f aca="false">-S9*Avg_Rent_PSF*Avg_Unit_SF*Concession_Mo/12</f>
        <v>-0</v>
      </c>
      <c r="T15" s="37" t="n">
        <f aca="false">-T9*Avg_Rent_PSF*Avg_Unit_SF*Concession_Mo/12</f>
        <v>-0</v>
      </c>
    </row>
    <row r="16" customFormat="false" ht="15" hidden="false" customHeight="false" outlineLevel="0" collapsed="false">
      <c r="A16" s="5"/>
      <c r="B16" s="39" t="s">
        <v>219</v>
      </c>
      <c r="C16" s="37" t="n">
        <f aca="false">C10*Other_Inc_Unit</f>
        <v>2250</v>
      </c>
      <c r="D16" s="37" t="n">
        <f aca="false">D10*Other_Inc_Unit</f>
        <v>4500</v>
      </c>
      <c r="E16" s="37" t="n">
        <f aca="false">E10*Other_Inc_Unit</f>
        <v>6750</v>
      </c>
      <c r="F16" s="37" t="n">
        <f aca="false">F10*Other_Inc_Unit</f>
        <v>9000</v>
      </c>
      <c r="G16" s="37" t="n">
        <f aca="false">G10*Other_Inc_Unit</f>
        <v>11250</v>
      </c>
      <c r="H16" s="37" t="n">
        <f aca="false">H10*Other_Inc_Unit</f>
        <v>13500</v>
      </c>
      <c r="I16" s="37" t="n">
        <f aca="false">I10*Other_Inc_Unit</f>
        <v>15750</v>
      </c>
      <c r="J16" s="37" t="n">
        <f aca="false">J10*Other_Inc_Unit</f>
        <v>18000</v>
      </c>
      <c r="K16" s="37" t="n">
        <f aca="false">K10*Other_Inc_Unit</f>
        <v>20250</v>
      </c>
      <c r="L16" s="37" t="n">
        <f aca="false">L10*Other_Inc_Unit</f>
        <v>22500</v>
      </c>
      <c r="M16" s="37" t="n">
        <f aca="false">M10*Other_Inc_Unit</f>
        <v>24750</v>
      </c>
      <c r="N16" s="37" t="n">
        <f aca="false">N10*Other_Inc_Unit</f>
        <v>27000</v>
      </c>
      <c r="O16" s="37" t="n">
        <f aca="false">O10*Other_Inc_Unit</f>
        <v>29250</v>
      </c>
      <c r="P16" s="37" t="n">
        <f aca="false">P10*Other_Inc_Unit</f>
        <v>30000</v>
      </c>
      <c r="Q16" s="37" t="n">
        <f aca="false">Q10*Other_Inc_Unit</f>
        <v>30000</v>
      </c>
      <c r="R16" s="37" t="n">
        <f aca="false">R10*Other_Inc_Unit</f>
        <v>30000</v>
      </c>
      <c r="S16" s="37" t="n">
        <f aca="false">S10*Other_Inc_Unit</f>
        <v>30000</v>
      </c>
      <c r="T16" s="37" t="n">
        <f aca="false">T10*Other_Inc_Unit</f>
        <v>30000</v>
      </c>
    </row>
    <row r="17" customFormat="false" ht="15" hidden="false" customHeight="false" outlineLevel="0" collapsed="false">
      <c r="A17" s="5"/>
      <c r="B17" s="40" t="s">
        <v>220</v>
      </c>
      <c r="C17" s="41" t="n">
        <f aca="false">C14+C15+C16</f>
        <v>30093.75</v>
      </c>
      <c r="D17" s="41" t="n">
        <f aca="false">D14+D15+D16</f>
        <v>62718.75</v>
      </c>
      <c r="E17" s="41" t="n">
        <f aca="false">E14+E15+E16</f>
        <v>95343.75</v>
      </c>
      <c r="F17" s="41" t="n">
        <f aca="false">F14+F15+F16</f>
        <v>127968.75</v>
      </c>
      <c r="G17" s="41" t="n">
        <f aca="false">G14+G15+G16</f>
        <v>160593.75</v>
      </c>
      <c r="H17" s="41" t="n">
        <f aca="false">H14+H15+H16</f>
        <v>193218.75</v>
      </c>
      <c r="I17" s="41" t="n">
        <f aca="false">I14+I15+I16</f>
        <v>225843.75</v>
      </c>
      <c r="J17" s="41" t="n">
        <f aca="false">J14+J15+J16</f>
        <v>258468.75</v>
      </c>
      <c r="K17" s="41" t="n">
        <f aca="false">K14+K15+K16</f>
        <v>291093.75</v>
      </c>
      <c r="L17" s="41" t="n">
        <f aca="false">L14+L15+L16</f>
        <v>323718.75</v>
      </c>
      <c r="M17" s="41" t="n">
        <f aca="false">M14+M15+M16</f>
        <v>356343.75</v>
      </c>
      <c r="N17" s="41" t="n">
        <f aca="false">N14+N15+N16</f>
        <v>388968.75</v>
      </c>
      <c r="O17" s="41" t="n">
        <f aca="false">O14+O15+O16</f>
        <v>421593.75</v>
      </c>
      <c r="P17" s="41" t="n">
        <f aca="false">P14+P15+P16</f>
        <v>434156.25</v>
      </c>
      <c r="Q17" s="41" t="n">
        <f aca="false">Q14+Q15+Q16</f>
        <v>435000</v>
      </c>
      <c r="R17" s="41" t="n">
        <f aca="false">R14+R15+R16</f>
        <v>435000</v>
      </c>
      <c r="S17" s="41" t="n">
        <f aca="false">S14+S15+S16</f>
        <v>435000</v>
      </c>
      <c r="T17" s="41" t="n">
        <f aca="false">T14+T15+T16</f>
        <v>435000</v>
      </c>
    </row>
    <row r="18" customFormat="false" ht="15" hidden="false" customHeight="false" outlineLevel="0" collapsed="false">
      <c r="A18" s="5"/>
      <c r="B18" s="39" t="s">
        <v>221</v>
      </c>
      <c r="C18" s="37" t="n">
        <f aca="false">C17</f>
        <v>30093.75</v>
      </c>
      <c r="D18" s="37" t="n">
        <f aca="false">C18+D17</f>
        <v>92812.5</v>
      </c>
      <c r="E18" s="37" t="n">
        <f aca="false">D18+E17</f>
        <v>188156.25</v>
      </c>
      <c r="F18" s="37" t="n">
        <f aca="false">E18+F17</f>
        <v>316125</v>
      </c>
      <c r="G18" s="37" t="n">
        <f aca="false">F18+G17</f>
        <v>476718.75</v>
      </c>
      <c r="H18" s="37" t="n">
        <f aca="false">G18+H17</f>
        <v>669937.5</v>
      </c>
      <c r="I18" s="37" t="n">
        <f aca="false">H18+I17</f>
        <v>895781.25</v>
      </c>
      <c r="J18" s="37" t="n">
        <f aca="false">I18+J17</f>
        <v>1154250</v>
      </c>
      <c r="K18" s="37" t="n">
        <f aca="false">J18+K17</f>
        <v>1445343.75</v>
      </c>
      <c r="L18" s="37" t="n">
        <f aca="false">K18+L17</f>
        <v>1769062.5</v>
      </c>
      <c r="M18" s="37" t="n">
        <f aca="false">L18+M17</f>
        <v>2125406.25</v>
      </c>
      <c r="N18" s="37" t="n">
        <f aca="false">M18+N17</f>
        <v>2514375</v>
      </c>
      <c r="O18" s="37" t="n">
        <f aca="false">N18+O17</f>
        <v>2935968.75</v>
      </c>
      <c r="P18" s="37" t="n">
        <f aca="false">O18+P17</f>
        <v>3370125</v>
      </c>
      <c r="Q18" s="37" t="n">
        <f aca="false">P18+Q17</f>
        <v>3805125</v>
      </c>
      <c r="R18" s="37" t="n">
        <f aca="false">Q18+R17</f>
        <v>4240125</v>
      </c>
      <c r="S18" s="37" t="n">
        <f aca="false">R18+S17</f>
        <v>4675125</v>
      </c>
      <c r="T18" s="37" t="n">
        <f aca="false">S18+T17</f>
        <v>5110125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222</v>
      </c>
      <c r="C2" s="5"/>
      <c r="D2" s="5"/>
      <c r="E2" s="5"/>
      <c r="F2" s="5"/>
      <c r="G2" s="5"/>
    </row>
    <row r="3" customFormat="false" ht="15" hidden="false" customHeight="false" outlineLevel="0" collapsed="false">
      <c r="A3" s="5"/>
      <c r="B3" s="29" t="s">
        <v>223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158</v>
      </c>
      <c r="C5" s="52" t="n">
        <f aca="false">Model_Start+Constr_Duration/12+0</f>
        <v>2027</v>
      </c>
      <c r="D5" s="52" t="n">
        <f aca="false">Model_Start+Constr_Duration/12+1</f>
        <v>2028</v>
      </c>
      <c r="E5" s="52" t="n">
        <f aca="false">Model_Start+Constr_Duration/12+2</f>
        <v>2029</v>
      </c>
      <c r="F5" s="52" t="n">
        <f aca="false">Model_Start+Constr_Duration/12+3</f>
        <v>2030</v>
      </c>
      <c r="G5" s="52" t="n">
        <f aca="false">Model_Start+Constr_Duration/12+4</f>
        <v>2031</v>
      </c>
    </row>
    <row r="6" customFormat="false" ht="15" hidden="false" customHeight="false" outlineLevel="0" collapsed="false">
      <c r="A6" s="5"/>
      <c r="B6" s="49" t="s">
        <v>224</v>
      </c>
      <c r="C6" s="50" t="n">
        <v>1</v>
      </c>
      <c r="D6" s="50" t="n">
        <v>2</v>
      </c>
      <c r="E6" s="50" t="n">
        <v>3</v>
      </c>
      <c r="F6" s="50" t="n">
        <v>4</v>
      </c>
      <c r="G6" s="50" t="n">
        <v>5</v>
      </c>
    </row>
    <row r="7" customFormat="false" ht="15" hidden="false" customHeight="false" outlineLevel="0" collapsed="false">
      <c r="A7" s="5"/>
      <c r="B7" s="5"/>
      <c r="C7" s="5"/>
      <c r="D7" s="5"/>
      <c r="E7" s="5"/>
      <c r="F7" s="5"/>
      <c r="G7" s="5"/>
    </row>
    <row r="8" customFormat="false" ht="15" hidden="false" customHeight="false" outlineLevel="0" collapsed="false">
      <c r="A8" s="5"/>
      <c r="B8" s="15" t="s">
        <v>101</v>
      </c>
      <c r="C8" s="16"/>
      <c r="D8" s="16"/>
      <c r="E8" s="16"/>
      <c r="F8" s="16"/>
      <c r="G8" s="16"/>
    </row>
    <row r="9" customFormat="false" ht="15" hidden="false" customHeight="false" outlineLevel="0" collapsed="false">
      <c r="A9" s="5"/>
      <c r="B9" s="7" t="s">
        <v>225</v>
      </c>
      <c r="C9" s="37" t="n">
        <f aca="false">Total_Units*Avg_Rent_PSF*Avg_Unit_SF*12*(1+Rent_Escalation)^0</f>
        <v>4860000</v>
      </c>
      <c r="D9" s="37" t="n">
        <f aca="false">Total_Units*Avg_Rent_PSF*Avg_Unit_SF*12*(1+Rent_Escalation)^1</f>
        <v>5005800</v>
      </c>
      <c r="E9" s="37" t="n">
        <f aca="false">Total_Units*Avg_Rent_PSF*Avg_Unit_SF*12*(1+Rent_Escalation)^2</f>
        <v>5155974</v>
      </c>
      <c r="F9" s="37" t="n">
        <f aca="false">Total_Units*Avg_Rent_PSF*Avg_Unit_SF*12*(1+Rent_Escalation)^3</f>
        <v>5310653.22</v>
      </c>
      <c r="G9" s="37" t="n">
        <f aca="false">Total_Units*Avg_Rent_PSF*Avg_Unit_SF*12*(1+Rent_Escalation)^4</f>
        <v>5469972.8166</v>
      </c>
    </row>
    <row r="10" customFormat="false" ht="15" hidden="false" customHeight="false" outlineLevel="0" collapsed="false">
      <c r="A10" s="5"/>
      <c r="B10" s="39" t="s">
        <v>226</v>
      </c>
      <c r="C10" s="37" t="n">
        <f aca="false">-C9*Stab_Vacancy</f>
        <v>-243000</v>
      </c>
      <c r="D10" s="37" t="n">
        <f aca="false">-D9*Stab_Vacancy</f>
        <v>-250290</v>
      </c>
      <c r="E10" s="37" t="n">
        <f aca="false">-E9*Stab_Vacancy</f>
        <v>-257798.7</v>
      </c>
      <c r="F10" s="37" t="n">
        <f aca="false">-F9*Stab_Vacancy</f>
        <v>-265532.661</v>
      </c>
      <c r="G10" s="37" t="n">
        <f aca="false">-G9*Stab_Vacancy</f>
        <v>-273498.64083</v>
      </c>
    </row>
    <row r="11" customFormat="false" ht="15" hidden="false" customHeight="false" outlineLevel="0" collapsed="false">
      <c r="A11" s="5"/>
      <c r="B11" s="39" t="s">
        <v>219</v>
      </c>
      <c r="C11" s="37" t="n">
        <f aca="false">Total_Units*Other_Inc_Unit*12*(1+Rent_Escalation)^0</f>
        <v>360000</v>
      </c>
      <c r="D11" s="37" t="n">
        <f aca="false">Total_Units*Other_Inc_Unit*12*(1+Rent_Escalation)^1</f>
        <v>370800</v>
      </c>
      <c r="E11" s="37" t="n">
        <f aca="false">Total_Units*Other_Inc_Unit*12*(1+Rent_Escalation)^2</f>
        <v>381924</v>
      </c>
      <c r="F11" s="37" t="n">
        <f aca="false">Total_Units*Other_Inc_Unit*12*(1+Rent_Escalation)^3</f>
        <v>393381.72</v>
      </c>
      <c r="G11" s="37" t="n">
        <f aca="false">Total_Units*Other_Inc_Unit*12*(1+Rent_Escalation)^4</f>
        <v>405183.1716</v>
      </c>
    </row>
    <row r="12" customFormat="false" ht="15" hidden="false" customHeight="false" outlineLevel="0" collapsed="false">
      <c r="A12" s="5"/>
      <c r="B12" s="5"/>
      <c r="C12" s="5"/>
      <c r="D12" s="5"/>
      <c r="E12" s="5"/>
      <c r="F12" s="5"/>
      <c r="G12" s="5"/>
    </row>
    <row r="13" customFormat="false" ht="15" hidden="false" customHeight="false" outlineLevel="0" collapsed="false">
      <c r="A13" s="5"/>
      <c r="B13" s="40" t="s">
        <v>227</v>
      </c>
      <c r="C13" s="41" t="n">
        <f aca="false">C9+C10+C11</f>
        <v>4977000</v>
      </c>
      <c r="D13" s="41" t="n">
        <f aca="false">D9+D10+D11</f>
        <v>5126310</v>
      </c>
      <c r="E13" s="41" t="n">
        <f aca="false">E9+E10+E11</f>
        <v>5280099.3</v>
      </c>
      <c r="F13" s="41" t="n">
        <f aca="false">F9+F10+F11</f>
        <v>5438502.279</v>
      </c>
      <c r="G13" s="41" t="n">
        <f aca="false">G9+G10+G11</f>
        <v>5601657.34737</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15" t="s">
        <v>119</v>
      </c>
      <c r="C15" s="16"/>
      <c r="D15" s="16"/>
      <c r="E15" s="16"/>
      <c r="F15" s="16"/>
      <c r="G15" s="16"/>
    </row>
    <row r="16" customFormat="false" ht="15" hidden="false" customHeight="false" outlineLevel="0" collapsed="false">
      <c r="A16" s="5"/>
      <c r="B16" s="39" t="s">
        <v>228</v>
      </c>
      <c r="C16" s="37" t="n">
        <f aca="false">Total_Units*Prop_Tax_Unit*(1+OpEx_Escalation)^0</f>
        <v>600000</v>
      </c>
      <c r="D16" s="37" t="n">
        <f aca="false">Total_Units*Prop_Tax_Unit*(1+OpEx_Escalation)^1</f>
        <v>615000</v>
      </c>
      <c r="E16" s="37" t="n">
        <f aca="false">Total_Units*Prop_Tax_Unit*(1+OpEx_Escalation)^2</f>
        <v>630375</v>
      </c>
      <c r="F16" s="37" t="n">
        <f aca="false">Total_Units*Prop_Tax_Unit*(1+OpEx_Escalation)^3</f>
        <v>646134.375</v>
      </c>
      <c r="G16" s="37" t="n">
        <f aca="false">Total_Units*Prop_Tax_Unit*(1+OpEx_Escalation)^4</f>
        <v>662287.734375</v>
      </c>
    </row>
    <row r="17" customFormat="false" ht="15" hidden="false" customHeight="false" outlineLevel="0" collapsed="false">
      <c r="A17" s="5"/>
      <c r="B17" s="39" t="s">
        <v>229</v>
      </c>
      <c r="C17" s="37" t="n">
        <f aca="false">Total_Units*Insurance_Unit*(1+OpEx_Escalation)^0</f>
        <v>140000</v>
      </c>
      <c r="D17" s="37" t="n">
        <f aca="false">Total_Units*Insurance_Unit*(1+OpEx_Escalation)^1</f>
        <v>143500</v>
      </c>
      <c r="E17" s="37" t="n">
        <f aca="false">Total_Units*Insurance_Unit*(1+OpEx_Escalation)^2</f>
        <v>147087.5</v>
      </c>
      <c r="F17" s="37" t="n">
        <f aca="false">Total_Units*Insurance_Unit*(1+OpEx_Escalation)^3</f>
        <v>150764.6875</v>
      </c>
      <c r="G17" s="37" t="n">
        <f aca="false">Total_Units*Insurance_Unit*(1+OpEx_Escalation)^4</f>
        <v>154533.8046875</v>
      </c>
    </row>
    <row r="18" customFormat="false" ht="15" hidden="false" customHeight="false" outlineLevel="0" collapsed="false">
      <c r="A18" s="5"/>
      <c r="B18" s="39" t="s">
        <v>127</v>
      </c>
      <c r="C18" s="37" t="n">
        <f aca="false">C13*Mgmt_Fee_Pct</f>
        <v>199080</v>
      </c>
      <c r="D18" s="37" t="n">
        <f aca="false">D13*Mgmt_Fee_Pct</f>
        <v>205052.4</v>
      </c>
      <c r="E18" s="37" t="n">
        <f aca="false">E13*Mgmt_Fee_Pct</f>
        <v>211203.972</v>
      </c>
      <c r="F18" s="37" t="n">
        <f aca="false">F13*Mgmt_Fee_Pct</f>
        <v>217540.09116</v>
      </c>
      <c r="G18" s="37" t="n">
        <f aca="false">G13*Mgmt_Fee_Pct</f>
        <v>224066.2938948</v>
      </c>
    </row>
    <row r="19" customFormat="false" ht="15" hidden="false" customHeight="false" outlineLevel="0" collapsed="false">
      <c r="A19" s="5"/>
      <c r="B19" s="39" t="s">
        <v>230</v>
      </c>
      <c r="C19" s="37" t="n">
        <f aca="false">C13*OpEx_Pct_EGI-C16-C17-C18</f>
        <v>1051720</v>
      </c>
      <c r="D19" s="37" t="n">
        <f aca="false">D13*OpEx_Pct_EGI-D16-D17-D18</f>
        <v>1086971.6</v>
      </c>
      <c r="E19" s="37" t="n">
        <f aca="false">E13*OpEx_Pct_EGI-E16-E17-E18</f>
        <v>1123373.248</v>
      </c>
      <c r="F19" s="37" t="n">
        <f aca="false">F13*OpEx_Pct_EGI-F16-F17-F18</f>
        <v>1160961.75794</v>
      </c>
      <c r="G19" s="37" t="n">
        <f aca="false">G13*OpEx_Pct_EGI-G16-G17-G18</f>
        <v>1199775.1059907</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40" t="s">
        <v>231</v>
      </c>
      <c r="C21" s="41" t="n">
        <f aca="false">C16+C17+C18+C19</f>
        <v>1990800</v>
      </c>
      <c r="D21" s="41" t="n">
        <f aca="false">D16+D17+D18+D19</f>
        <v>2050524</v>
      </c>
      <c r="E21" s="41" t="n">
        <f aca="false">E16+E17+E18+E19</f>
        <v>2112039.72</v>
      </c>
      <c r="F21" s="41" t="n">
        <f aca="false">F16+F17+F18+F19</f>
        <v>2175400.9116</v>
      </c>
      <c r="G21" s="41" t="n">
        <f aca="false">G16+G17+G18+G19</f>
        <v>2240662.938948</v>
      </c>
    </row>
    <row r="22" customFormat="false" ht="15" hidden="false" customHeight="false" outlineLevel="0" collapsed="false">
      <c r="A22" s="5"/>
      <c r="B22" s="5"/>
      <c r="C22" s="5"/>
      <c r="D22" s="5"/>
      <c r="E22" s="5"/>
      <c r="F22" s="5"/>
      <c r="G22" s="5"/>
    </row>
    <row r="23" customFormat="false" ht="15" hidden="false" customHeight="false" outlineLevel="0" collapsed="false">
      <c r="A23" s="5"/>
      <c r="B23" s="43" t="s">
        <v>232</v>
      </c>
      <c r="C23" s="44" t="n">
        <f aca="false">C13-C21</f>
        <v>2986200</v>
      </c>
      <c r="D23" s="44" t="n">
        <f aca="false">D13-D21</f>
        <v>3075786</v>
      </c>
      <c r="E23" s="44" t="n">
        <f aca="false">E13-E21</f>
        <v>3168059.58</v>
      </c>
      <c r="F23" s="44" t="n">
        <f aca="false">F13-F21</f>
        <v>3263101.3674</v>
      </c>
      <c r="G23" s="44" t="n">
        <f aca="false">G13-G21</f>
        <v>3360994.408422</v>
      </c>
    </row>
    <row r="24" customFormat="false" ht="15" hidden="false" customHeight="false" outlineLevel="0" collapsed="false">
      <c r="A24" s="5"/>
      <c r="B24" s="39" t="s">
        <v>233</v>
      </c>
      <c r="C24" s="38" t="n">
        <f aca="false">IFERROR(C23/C13,0)</f>
        <v>0.6</v>
      </c>
      <c r="D24" s="38" t="n">
        <f aca="false">IFERROR(D23/D13,0)</f>
        <v>0.6</v>
      </c>
      <c r="E24" s="38" t="n">
        <f aca="false">IFERROR(E23/E13,0)</f>
        <v>0.6</v>
      </c>
      <c r="F24" s="38" t="n">
        <f aca="false">IFERROR(F23/F13,0)</f>
        <v>0.6</v>
      </c>
      <c r="G24" s="38" t="n">
        <f aca="false">IFERROR(G23/G13,0)</f>
        <v>0.6</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7" t="s">
        <v>129</v>
      </c>
      <c r="C26" s="37" t="n">
        <f aca="false">Total_Units*Cap_Reserve*(1+OpEx_Escalation)^0</f>
        <v>50000</v>
      </c>
      <c r="D26" s="37" t="n">
        <f aca="false">Total_Units*Cap_Reserve*(1+OpEx_Escalation)^1</f>
        <v>51250</v>
      </c>
      <c r="E26" s="37" t="n">
        <f aca="false">Total_Units*Cap_Reserve*(1+OpEx_Escalation)^2</f>
        <v>52531.25</v>
      </c>
      <c r="F26" s="37" t="n">
        <f aca="false">Total_Units*Cap_Reserve*(1+OpEx_Escalation)^3</f>
        <v>53844.53125</v>
      </c>
      <c r="G26" s="37" t="n">
        <f aca="false">Total_Units*Cap_Reserve*(1+OpEx_Escalation)^4</f>
        <v>55190.64453125</v>
      </c>
    </row>
    <row r="27" customFormat="false" ht="15" hidden="false" customHeight="false" outlineLevel="0" collapsed="false">
      <c r="A27" s="5"/>
      <c r="B27" s="40" t="s">
        <v>234</v>
      </c>
      <c r="C27" s="41" t="n">
        <f aca="false">C23-C26</f>
        <v>2936200</v>
      </c>
      <c r="D27" s="41" t="n">
        <f aca="false">D23-D26</f>
        <v>3024536</v>
      </c>
      <c r="E27" s="41" t="n">
        <f aca="false">E23-E26</f>
        <v>3115528.33</v>
      </c>
      <c r="F27" s="41" t="n">
        <f aca="false">F23-F26</f>
        <v>3209256.83615</v>
      </c>
      <c r="G27" s="41" t="n">
        <f aca="false">G23-G26</f>
        <v>3305803.76389075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235</v>
      </c>
      <c r="C2" s="5"/>
      <c r="D2" s="5"/>
      <c r="E2" s="5"/>
      <c r="F2" s="5"/>
      <c r="G2" s="5"/>
    </row>
    <row r="3" customFormat="false" ht="15" hidden="false" customHeight="false" outlineLevel="0" collapsed="false">
      <c r="A3" s="5"/>
      <c r="B3" s="29" t="s">
        <v>236</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158</v>
      </c>
      <c r="C5" s="52" t="n">
        <f aca="false">Model_Start+Constr_Duration/12+0</f>
        <v>2027</v>
      </c>
      <c r="D5" s="52" t="n">
        <f aca="false">Model_Start+Constr_Duration/12+1</f>
        <v>2028</v>
      </c>
      <c r="E5" s="52" t="n">
        <f aca="false">Model_Start+Constr_Duration/12+2</f>
        <v>2029</v>
      </c>
      <c r="F5" s="52" t="n">
        <f aca="false">Model_Start+Constr_Duration/12+3</f>
        <v>2030</v>
      </c>
      <c r="G5" s="52" t="n">
        <f aca="false">Model_Start+Constr_Duration/12+4</f>
        <v>2031</v>
      </c>
    </row>
    <row r="6" customFormat="false" ht="15" hidden="false" customHeight="false" outlineLevel="0" collapsed="false">
      <c r="A6" s="5"/>
      <c r="B6" s="49" t="s">
        <v>224</v>
      </c>
      <c r="C6" s="50" t="n">
        <v>1</v>
      </c>
      <c r="D6" s="50" t="n">
        <v>2</v>
      </c>
      <c r="E6" s="50" t="n">
        <v>3</v>
      </c>
      <c r="F6" s="50" t="n">
        <v>4</v>
      </c>
      <c r="G6" s="50" t="n">
        <v>5</v>
      </c>
    </row>
    <row r="7" customFormat="false" ht="15" hidden="false" customHeight="false" outlineLevel="0" collapsed="false">
      <c r="A7" s="5"/>
      <c r="B7" s="5"/>
      <c r="C7" s="5"/>
      <c r="D7" s="5"/>
      <c r="E7" s="5"/>
      <c r="F7" s="5"/>
      <c r="G7" s="5"/>
    </row>
    <row r="8" customFormat="false" ht="15" hidden="false" customHeight="false" outlineLevel="0" collapsed="false">
      <c r="A8" s="5"/>
      <c r="B8" s="15" t="s">
        <v>237</v>
      </c>
      <c r="C8" s="16"/>
      <c r="D8" s="16"/>
      <c r="E8" s="16"/>
      <c r="F8" s="16"/>
      <c r="G8" s="16"/>
    </row>
    <row r="9" customFormat="false" ht="15" hidden="false" customHeight="false" outlineLevel="0" collapsed="false">
      <c r="A9" s="5"/>
      <c r="B9" s="7" t="s">
        <v>238</v>
      </c>
      <c r="C9" s="37" t="n">
        <f aca="false">OP_NOI</f>
        <v>2986200</v>
      </c>
      <c r="D9" s="37" t="n">
        <f aca="false">OP_NOI</f>
        <v>3075786</v>
      </c>
      <c r="E9" s="37" t="n">
        <f aca="false">OP_NOI</f>
        <v>3168059.58</v>
      </c>
      <c r="F9" s="37" t="n">
        <f aca="false">OP_NOI</f>
        <v>3263101.3674</v>
      </c>
      <c r="G9" s="37" t="n">
        <f aca="false">OP_NOI</f>
        <v>3360994.408422</v>
      </c>
    </row>
    <row r="10" customFormat="false" ht="15" hidden="false" customHeight="false" outlineLevel="0" collapsed="false">
      <c r="A10" s="5"/>
      <c r="B10" s="7" t="s">
        <v>239</v>
      </c>
      <c r="C10" s="37" t="n">
        <f aca="false">C9/Exit_Cap_Rate</f>
        <v>56880000</v>
      </c>
      <c r="D10" s="37" t="n">
        <f aca="false">D9/Exit_Cap_Rate</f>
        <v>58586400</v>
      </c>
      <c r="E10" s="37" t="n">
        <f aca="false">E9/Exit_Cap_Rate</f>
        <v>60343992</v>
      </c>
      <c r="F10" s="37" t="n">
        <f aca="false">F9/Exit_Cap_Rate</f>
        <v>62154311.76</v>
      </c>
      <c r="G10" s="37" t="n">
        <f aca="false">G9/Exit_Cap_Rate</f>
        <v>64018941.1128</v>
      </c>
    </row>
    <row r="11" customFormat="false" ht="15" hidden="false" customHeight="false" outlineLevel="0" collapsed="false">
      <c r="A11" s="5"/>
      <c r="B11" s="46" t="s">
        <v>240</v>
      </c>
      <c r="C11" s="47" t="n">
        <f aca="false">C10*Perm_LTV</f>
        <v>36972000</v>
      </c>
      <c r="D11" s="37" t="n">
        <f aca="false">C11</f>
        <v>36972000</v>
      </c>
      <c r="E11" s="37" t="n">
        <f aca="false">C11</f>
        <v>36972000</v>
      </c>
      <c r="F11" s="37" t="n">
        <f aca="false">C11</f>
        <v>36972000</v>
      </c>
      <c r="G11" s="37" t="n">
        <f aca="false">C11</f>
        <v>36972000</v>
      </c>
    </row>
    <row r="12" customFormat="false" ht="15" hidden="false" customHeight="false" outlineLevel="0" collapsed="false">
      <c r="A12" s="5"/>
      <c r="B12" s="5"/>
      <c r="C12" s="5"/>
      <c r="D12" s="5"/>
      <c r="E12" s="5"/>
      <c r="F12" s="5"/>
      <c r="G12" s="5"/>
    </row>
    <row r="13" customFormat="false" ht="15" hidden="false" customHeight="false" outlineLevel="0" collapsed="false">
      <c r="A13" s="5"/>
      <c r="B13" s="15" t="s">
        <v>241</v>
      </c>
      <c r="C13" s="16"/>
      <c r="D13" s="16"/>
      <c r="E13" s="16"/>
      <c r="F13" s="16"/>
      <c r="G13" s="16"/>
    </row>
    <row r="14" customFormat="false" ht="15" hidden="false" customHeight="false" outlineLevel="0" collapsed="false">
      <c r="A14" s="5"/>
      <c r="B14" s="7" t="s">
        <v>242</v>
      </c>
      <c r="C14" s="37" t="n">
        <f aca="false">C11</f>
        <v>36972000</v>
      </c>
      <c r="D14" s="37" t="n">
        <f aca="false">C16</f>
        <v>36461587.1327736</v>
      </c>
      <c r="E14" s="37" t="n">
        <f aca="false">D16</f>
        <v>35923101.5578498</v>
      </c>
      <c r="F14" s="37" t="n">
        <f aca="false">E16</f>
        <v>35354999.2763051</v>
      </c>
      <c r="G14" s="37" t="n">
        <f aca="false">F16</f>
        <v>34755651.3692755</v>
      </c>
    </row>
    <row r="15" customFormat="false" ht="15" hidden="false" customHeight="false" outlineLevel="0" collapsed="false">
      <c r="A15" s="5"/>
      <c r="B15" s="39" t="s">
        <v>243</v>
      </c>
      <c r="C15" s="37" t="n">
        <f aca="false">-PPMT(Perm_Rate,1,Perm_Amort,C11)</f>
        <v>510412.867226391</v>
      </c>
      <c r="D15" s="37" t="n">
        <f aca="false">-PPMT(Perm_Rate,2,Perm_Amort,C11)</f>
        <v>538485.574923843</v>
      </c>
      <c r="E15" s="37" t="n">
        <f aca="false">-PPMT(Perm_Rate,3,Perm_Amort,C11)</f>
        <v>568102.281544654</v>
      </c>
      <c r="F15" s="37" t="n">
        <f aca="false">-PPMT(Perm_Rate,4,Perm_Amort,C11)</f>
        <v>599347.90702961</v>
      </c>
      <c r="G15" s="37" t="n">
        <f aca="false">-PPMT(Perm_Rate,5,Perm_Amort,C11)</f>
        <v>632312.041916238</v>
      </c>
    </row>
    <row r="16" customFormat="false" ht="15" hidden="false" customHeight="false" outlineLevel="0" collapsed="false">
      <c r="A16" s="5"/>
      <c r="B16" s="40" t="s">
        <v>244</v>
      </c>
      <c r="C16" s="41" t="n">
        <f aca="false">C14-C15</f>
        <v>36461587.1327736</v>
      </c>
      <c r="D16" s="41" t="n">
        <f aca="false">D14-D15</f>
        <v>35923101.5578498</v>
      </c>
      <c r="E16" s="41" t="n">
        <f aca="false">E14-E15</f>
        <v>35354999.2763051</v>
      </c>
      <c r="F16" s="41" t="n">
        <f aca="false">F14-F15</f>
        <v>34755651.3692755</v>
      </c>
      <c r="G16" s="41" t="n">
        <f aca="false">G14-G15</f>
        <v>34123339.3273593</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15" t="s">
        <v>208</v>
      </c>
      <c r="C18" s="16"/>
      <c r="D18" s="16"/>
      <c r="E18" s="16"/>
      <c r="F18" s="16"/>
      <c r="G18" s="16"/>
    </row>
    <row r="19" customFormat="false" ht="15" hidden="false" customHeight="false" outlineLevel="0" collapsed="false">
      <c r="A19" s="5"/>
      <c r="B19" s="7" t="s">
        <v>245</v>
      </c>
      <c r="C19" s="37" t="n">
        <f aca="false">-IPMT(Perm_Rate,1,Perm_Amort,C11)</f>
        <v>2033460</v>
      </c>
      <c r="D19" s="37" t="n">
        <f aca="false">-IPMT(Perm_Rate,2,Perm_Amort,C11)</f>
        <v>2005387.29230255</v>
      </c>
      <c r="E19" s="37" t="n">
        <f aca="false">-IPMT(Perm_Rate,3,Perm_Amort,C11)</f>
        <v>1975770.58568174</v>
      </c>
      <c r="F19" s="37" t="n">
        <f aca="false">-IPMT(Perm_Rate,4,Perm_Amort,C11)</f>
        <v>1944524.96019678</v>
      </c>
      <c r="G19" s="37" t="n">
        <f aca="false">-IPMT(Perm_Rate,5,Perm_Amort,C11)</f>
        <v>1911560.82531015</v>
      </c>
    </row>
    <row r="20" customFormat="false" ht="15" hidden="false" customHeight="false" outlineLevel="0" collapsed="false">
      <c r="A20" s="5"/>
      <c r="B20" s="40" t="s">
        <v>246</v>
      </c>
      <c r="C20" s="41" t="n">
        <f aca="false">C15+C19</f>
        <v>2543872.86722639</v>
      </c>
      <c r="D20" s="41" t="n">
        <f aca="false">D15+D19</f>
        <v>2543872.86722639</v>
      </c>
      <c r="E20" s="41" t="n">
        <f aca="false">E15+E19</f>
        <v>2543872.86722639</v>
      </c>
      <c r="F20" s="41" t="n">
        <f aca="false">F15+F19</f>
        <v>2543872.86722639</v>
      </c>
      <c r="G20" s="41" t="n">
        <f aca="false">G15+G19</f>
        <v>2543872.86722639</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15" t="s">
        <v>247</v>
      </c>
      <c r="C22" s="16"/>
      <c r="D22" s="16"/>
      <c r="E22" s="16"/>
      <c r="F22" s="16"/>
      <c r="G22" s="16"/>
    </row>
    <row r="23" customFormat="false" ht="15" hidden="false" customHeight="false" outlineLevel="0" collapsed="false">
      <c r="A23" s="5"/>
      <c r="B23" s="7" t="s">
        <v>248</v>
      </c>
      <c r="C23" s="53" t="n">
        <f aca="false">IFERROR(OP_NOI/C20,0)</f>
        <v>1.17387941766755</v>
      </c>
      <c r="D23" s="53" t="n">
        <f aca="false">IFERROR(OP_NOI/D20,0)</f>
        <v>1.20909580019758</v>
      </c>
      <c r="E23" s="53" t="n">
        <f aca="false">IFERROR(OP_NOI/E20,0)</f>
        <v>1.24536867420351</v>
      </c>
      <c r="F23" s="53" t="n">
        <f aca="false">IFERROR(OP_NOI/F20,0)</f>
        <v>1.28272973442961</v>
      </c>
      <c r="G23" s="53" t="n">
        <f aca="false">IFERROR(OP_NOI/G20,0)</f>
        <v>1.3212116264625</v>
      </c>
    </row>
    <row r="24" customFormat="false" ht="15" hidden="false" customHeight="false" outlineLevel="0" collapsed="false">
      <c r="A24" s="5"/>
      <c r="B24" s="7" t="s">
        <v>249</v>
      </c>
      <c r="C24" s="38" t="n">
        <f aca="false">IFERROR(OP_NOI/C16,0)</f>
        <v>0.0818998906746943</v>
      </c>
      <c r="D24" s="38" t="n">
        <f aca="false">IFERROR(OP_NOI/D16,0)</f>
        <v>0.085621393104012</v>
      </c>
      <c r="E24" s="38" t="n">
        <f aca="false">IFERROR(OP_NOI/E16,0)</f>
        <v>0.0896071176594036</v>
      </c>
      <c r="F24" s="38" t="n">
        <f aca="false">IFERROR(OP_NOI/F16,0)</f>
        <v>0.0938869288545295</v>
      </c>
      <c r="G24" s="38" t="n">
        <f aca="false">IFERROR(OP_NOI/G16,0)</f>
        <v>0.0984954718580909</v>
      </c>
    </row>
    <row r="25" customFormat="false" ht="15" hidden="false" customHeight="false" outlineLevel="0" collapsed="false">
      <c r="A25" s="5"/>
      <c r="B25" s="7" t="s">
        <v>250</v>
      </c>
      <c r="C25" s="38" t="n">
        <f aca="false">IFERROR(C16/C10,0)</f>
        <v>0.641026496708397</v>
      </c>
      <c r="D25" s="38" t="n">
        <f aca="false">IFERROR(D16/D10,0)</f>
        <v>0.613164515277432</v>
      </c>
      <c r="E25" s="38" t="n">
        <f aca="false">IFERROR(E16/E10,0)</f>
        <v>0.585890957898594</v>
      </c>
      <c r="F25" s="38" t="n">
        <f aca="false">IFERROR(F16/F10,0)</f>
        <v>0.559183271202157</v>
      </c>
      <c r="G25" s="38" t="n">
        <f aca="false">IFERROR(G16/G10,0)</f>
        <v>0.533019427285351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H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6"/>
  </cols>
  <sheetData>
    <row r="1" customFormat="false" ht="15" hidden="false" customHeight="false" outlineLevel="0" collapsed="false">
      <c r="A1" s="5"/>
      <c r="B1" s="5"/>
      <c r="C1" s="5"/>
      <c r="D1" s="5"/>
      <c r="E1" s="5"/>
      <c r="F1" s="5"/>
      <c r="G1" s="5"/>
      <c r="H1" s="5"/>
    </row>
    <row r="2" customFormat="false" ht="22.05" hidden="false" customHeight="false" outlineLevel="0" collapsed="false">
      <c r="A2" s="5"/>
      <c r="B2" s="28" t="s">
        <v>251</v>
      </c>
      <c r="C2" s="5"/>
      <c r="D2" s="5"/>
      <c r="E2" s="5"/>
      <c r="F2" s="5"/>
      <c r="G2" s="5"/>
      <c r="H2" s="5"/>
    </row>
    <row r="3" customFormat="false" ht="15" hidden="false" customHeight="false" outlineLevel="0" collapsed="false">
      <c r="A3" s="5"/>
      <c r="B3" s="29" t="s">
        <v>19</v>
      </c>
      <c r="C3" s="5"/>
      <c r="D3" s="5"/>
      <c r="E3" s="5"/>
      <c r="F3" s="5"/>
      <c r="G3" s="5"/>
      <c r="H3" s="5"/>
    </row>
    <row r="4" customFormat="false" ht="15" hidden="false" customHeight="false" outlineLevel="0" collapsed="false">
      <c r="A4" s="5"/>
      <c r="B4" s="5"/>
      <c r="C4" s="5"/>
      <c r="D4" s="5"/>
      <c r="E4" s="5"/>
      <c r="F4" s="5"/>
      <c r="G4" s="5"/>
      <c r="H4" s="5"/>
    </row>
    <row r="5" customFormat="false" ht="15" hidden="false" customHeight="false" outlineLevel="0" collapsed="false">
      <c r="A5" s="5"/>
      <c r="B5" s="30" t="s">
        <v>158</v>
      </c>
      <c r="C5" s="31" t="s">
        <v>252</v>
      </c>
      <c r="D5" s="52" t="n">
        <f aca="false">Model_Start+Constr_Duration/12+0</f>
        <v>2027</v>
      </c>
      <c r="E5" s="52" t="n">
        <f aca="false">Model_Start+Constr_Duration/12+1</f>
        <v>2028</v>
      </c>
      <c r="F5" s="52" t="n">
        <f aca="false">Model_Start+Constr_Duration/12+2</f>
        <v>2029</v>
      </c>
      <c r="G5" s="52" t="n">
        <f aca="false">Model_Start+Constr_Duration/12+3</f>
        <v>2030</v>
      </c>
      <c r="H5" s="52" t="n">
        <f aca="false">Model_Start+Constr_Duration/12+4</f>
        <v>2031</v>
      </c>
    </row>
    <row r="6" customFormat="false" ht="15" hidden="false" customHeight="false" outlineLevel="0" collapsed="false">
      <c r="A6" s="5"/>
      <c r="B6" s="49" t="s">
        <v>224</v>
      </c>
      <c r="C6" s="50" t="n">
        <v>0</v>
      </c>
      <c r="D6" s="50" t="n">
        <v>1</v>
      </c>
      <c r="E6" s="50" t="n">
        <v>2</v>
      </c>
      <c r="F6" s="50" t="n">
        <v>3</v>
      </c>
      <c r="G6" s="50" t="n">
        <v>4</v>
      </c>
      <c r="H6" s="50" t="n">
        <v>5</v>
      </c>
    </row>
    <row r="7" customFormat="false" ht="15" hidden="false" customHeight="false" outlineLevel="0" collapsed="false">
      <c r="A7" s="5"/>
      <c r="B7" s="5"/>
      <c r="C7" s="5"/>
      <c r="D7" s="5"/>
      <c r="E7" s="5"/>
      <c r="F7" s="5"/>
      <c r="G7" s="5"/>
      <c r="H7" s="5"/>
    </row>
    <row r="8" customFormat="false" ht="15" hidden="false" customHeight="false" outlineLevel="0" collapsed="false">
      <c r="A8" s="5"/>
      <c r="B8" s="15" t="s">
        <v>253</v>
      </c>
      <c r="C8" s="16"/>
      <c r="D8" s="16"/>
      <c r="E8" s="16"/>
      <c r="F8" s="16"/>
      <c r="G8" s="16"/>
      <c r="H8" s="16"/>
    </row>
    <row r="9" customFormat="false" ht="15" hidden="false" customHeight="false" outlineLevel="0" collapsed="false">
      <c r="A9" s="5"/>
      <c r="B9" s="7" t="s">
        <v>232</v>
      </c>
      <c r="C9" s="37" t="n">
        <f aca="false">0</f>
        <v>0</v>
      </c>
      <c r="D9" s="37" t="n">
        <f aca="false">INDEX(OP_NOI,1,D6)</f>
        <v>2986200</v>
      </c>
      <c r="E9" s="37" t="n">
        <f aca="false">INDEX(OP_NOI,1,E6)</f>
        <v>3075786</v>
      </c>
      <c r="F9" s="37" t="n">
        <f aca="false">INDEX(OP_NOI,1,F6)</f>
        <v>3168059.58</v>
      </c>
      <c r="G9" s="37" t="n">
        <f aca="false">INDEX(OP_NOI,1,G6)</f>
        <v>3263101.3674</v>
      </c>
      <c r="H9" s="37" t="n">
        <f aca="false">INDEX(OP_NOI,1,H6)</f>
        <v>3360994.408422</v>
      </c>
    </row>
    <row r="10" customFormat="false" ht="15" hidden="false" customHeight="false" outlineLevel="0" collapsed="false">
      <c r="A10" s="5"/>
      <c r="B10" s="39" t="s">
        <v>129</v>
      </c>
      <c r="C10" s="37" t="n">
        <f aca="false">0</f>
        <v>0</v>
      </c>
      <c r="D10" s="37" t="n">
        <f aca="false">-INDEX(OP_Cap_Res,1,D6)</f>
        <v>-50000</v>
      </c>
      <c r="E10" s="37" t="n">
        <f aca="false">-INDEX(OP_Cap_Res,1,E6)</f>
        <v>-51250</v>
      </c>
      <c r="F10" s="37" t="n">
        <f aca="false">-INDEX(OP_Cap_Res,1,F6)</f>
        <v>-52531.25</v>
      </c>
      <c r="G10" s="37" t="n">
        <f aca="false">-INDEX(OP_Cap_Res,1,G6)</f>
        <v>-53844.53125</v>
      </c>
      <c r="H10" s="37" t="n">
        <f aca="false">-INDEX(OP_Cap_Res,1,H6)</f>
        <v>-55190.64453125</v>
      </c>
    </row>
    <row r="11" customFormat="false" ht="15" hidden="false" customHeight="false" outlineLevel="0" collapsed="false">
      <c r="A11" s="5"/>
      <c r="B11" s="7" t="s">
        <v>254</v>
      </c>
      <c r="C11" s="37" t="n">
        <f aca="false">-DB_Total_Uses</f>
        <v>-50612964.96</v>
      </c>
      <c r="D11" s="37" t="n">
        <f aca="false">0</f>
        <v>0</v>
      </c>
      <c r="E11" s="37" t="n">
        <f aca="false">0</f>
        <v>0</v>
      </c>
      <c r="F11" s="37" t="n">
        <f aca="false">0</f>
        <v>0</v>
      </c>
      <c r="G11" s="37" t="n">
        <f aca="false">0</f>
        <v>0</v>
      </c>
      <c r="H11" s="37" t="n">
        <f aca="false">0</f>
        <v>0</v>
      </c>
    </row>
    <row r="12" customFormat="false" ht="15" hidden="false" customHeight="false" outlineLevel="0" collapsed="false">
      <c r="A12" s="5"/>
      <c r="B12" s="5"/>
      <c r="C12" s="5"/>
      <c r="D12" s="5"/>
      <c r="E12" s="5"/>
      <c r="F12" s="5"/>
      <c r="G12" s="5"/>
      <c r="H12" s="5"/>
    </row>
    <row r="13" customFormat="false" ht="15" hidden="false" customHeight="false" outlineLevel="0" collapsed="false">
      <c r="A13" s="5"/>
      <c r="B13" s="40" t="s">
        <v>255</v>
      </c>
      <c r="C13" s="41" t="n">
        <f aca="false">C9+C10+C11</f>
        <v>-50612964.96</v>
      </c>
      <c r="D13" s="41" t="n">
        <f aca="false">D9+D10+D11</f>
        <v>2936200</v>
      </c>
      <c r="E13" s="41" t="n">
        <f aca="false">E9+E10+E11</f>
        <v>3024536</v>
      </c>
      <c r="F13" s="41" t="n">
        <f aca="false">F9+F10+F11</f>
        <v>3115528.33</v>
      </c>
      <c r="G13" s="41" t="n">
        <f aca="false">G9+G10+G11</f>
        <v>3209256.83615</v>
      </c>
      <c r="H13" s="41" t="n">
        <f aca="false">H9+H10+H11</f>
        <v>3305803.76389075</v>
      </c>
    </row>
    <row r="14" customFormat="false" ht="15" hidden="false" customHeight="false" outlineLevel="0" collapsed="false">
      <c r="A14" s="5"/>
      <c r="B14" s="5"/>
      <c r="C14" s="5"/>
      <c r="D14" s="5"/>
      <c r="E14" s="5"/>
      <c r="F14" s="5"/>
      <c r="G14" s="5"/>
      <c r="H14" s="5"/>
    </row>
    <row r="15" customFormat="false" ht="15" hidden="false" customHeight="false" outlineLevel="0" collapsed="false">
      <c r="A15" s="5"/>
      <c r="B15" s="15" t="s">
        <v>256</v>
      </c>
      <c r="C15" s="16"/>
      <c r="D15" s="16"/>
      <c r="E15" s="16"/>
      <c r="F15" s="16"/>
      <c r="G15" s="16"/>
      <c r="H15" s="16"/>
    </row>
    <row r="16" customFormat="false" ht="15" hidden="false" customHeight="false" outlineLevel="0" collapsed="false">
      <c r="A16" s="5"/>
      <c r="B16" s="7" t="s">
        <v>257</v>
      </c>
      <c r="C16" s="37" t="n">
        <f aca="false">0</f>
        <v>0</v>
      </c>
      <c r="D16" s="37" t="n">
        <f aca="false">0</f>
        <v>0</v>
      </c>
      <c r="E16" s="37" t="n">
        <f aca="false">0</f>
        <v>0</v>
      </c>
      <c r="F16" s="37" t="n">
        <f aca="false">0</f>
        <v>0</v>
      </c>
      <c r="G16" s="37" t="n">
        <f aca="false">0</f>
        <v>0</v>
      </c>
      <c r="H16" s="37" t="n">
        <f aca="false">INDEX(OP_NOI,1,H6)*(1+Rent_Escalation)</f>
        <v>3461824.24067466</v>
      </c>
    </row>
    <row r="17" customFormat="false" ht="15" hidden="false" customHeight="false" outlineLevel="0" collapsed="false">
      <c r="A17" s="5"/>
      <c r="B17" s="7" t="s">
        <v>258</v>
      </c>
      <c r="C17" s="37" t="n">
        <f aca="false">0</f>
        <v>0</v>
      </c>
      <c r="D17" s="37" t="n">
        <f aca="false">0</f>
        <v>0</v>
      </c>
      <c r="E17" s="37" t="n">
        <f aca="false">0</f>
        <v>0</v>
      </c>
      <c r="F17" s="37" t="n">
        <f aca="false">0</f>
        <v>0</v>
      </c>
      <c r="G17" s="37" t="n">
        <f aca="false">0</f>
        <v>0</v>
      </c>
      <c r="H17" s="37" t="n">
        <f aca="false">H16/Exit_Cap_Rate</f>
        <v>65939509.346184</v>
      </c>
    </row>
    <row r="18" customFormat="false" ht="15" hidden="false" customHeight="false" outlineLevel="0" collapsed="false">
      <c r="A18" s="5"/>
      <c r="B18" s="39" t="s">
        <v>149</v>
      </c>
      <c r="C18" s="37" t="n">
        <f aca="false">0</f>
        <v>0</v>
      </c>
      <c r="D18" s="37" t="n">
        <f aca="false">0</f>
        <v>0</v>
      </c>
      <c r="E18" s="37" t="n">
        <f aca="false">0</f>
        <v>0</v>
      </c>
      <c r="F18" s="37" t="n">
        <f aca="false">0</f>
        <v>0</v>
      </c>
      <c r="G18" s="37" t="n">
        <f aca="false">0</f>
        <v>0</v>
      </c>
      <c r="H18" s="37" t="n">
        <f aca="false">-H17*Selling_Cost_Pct</f>
        <v>-1318790.18692368</v>
      </c>
    </row>
    <row r="19" customFormat="false" ht="15" hidden="false" customHeight="false" outlineLevel="0" collapsed="false">
      <c r="A19" s="5"/>
      <c r="B19" s="40" t="s">
        <v>259</v>
      </c>
      <c r="C19" s="41" t="n">
        <f aca="false">C17+C18</f>
        <v>0</v>
      </c>
      <c r="D19" s="41" t="n">
        <f aca="false">D17+D18</f>
        <v>0</v>
      </c>
      <c r="E19" s="41" t="n">
        <f aca="false">E17+E18</f>
        <v>0</v>
      </c>
      <c r="F19" s="41" t="n">
        <f aca="false">F17+F18</f>
        <v>0</v>
      </c>
      <c r="G19" s="41" t="n">
        <f aca="false">G17+G18</f>
        <v>0</v>
      </c>
      <c r="H19" s="41" t="n">
        <f aca="false">H17+H18</f>
        <v>64620719.1592603</v>
      </c>
    </row>
    <row r="20" customFormat="false" ht="15" hidden="false" customHeight="false" outlineLevel="0" collapsed="false">
      <c r="A20" s="5"/>
      <c r="B20" s="5"/>
      <c r="C20" s="5"/>
      <c r="D20" s="5"/>
      <c r="E20" s="5"/>
      <c r="F20" s="5"/>
      <c r="G20" s="5"/>
      <c r="H20" s="5"/>
    </row>
    <row r="21" customFormat="false" ht="15" hidden="false" customHeight="false" outlineLevel="0" collapsed="false">
      <c r="A21" s="5"/>
      <c r="B21" s="15" t="s">
        <v>260</v>
      </c>
      <c r="C21" s="16"/>
      <c r="D21" s="16"/>
      <c r="E21" s="16"/>
      <c r="F21" s="16"/>
      <c r="G21" s="16"/>
      <c r="H21" s="16"/>
    </row>
    <row r="22" customFormat="false" ht="15" hidden="false" customHeight="false" outlineLevel="0" collapsed="false">
      <c r="A22" s="5"/>
      <c r="B22" s="7" t="s">
        <v>261</v>
      </c>
      <c r="C22" s="37" t="n">
        <f aca="false">-DB_Equity</f>
        <v>-20245185.984</v>
      </c>
      <c r="D22" s="37" t="n">
        <f aca="false">0</f>
        <v>0</v>
      </c>
      <c r="E22" s="37" t="n">
        <f aca="false">0</f>
        <v>0</v>
      </c>
      <c r="F22" s="37" t="n">
        <f aca="false">0</f>
        <v>0</v>
      </c>
      <c r="G22" s="37" t="n">
        <f aca="false">0</f>
        <v>0</v>
      </c>
      <c r="H22" s="37" t="n">
        <f aca="false">0</f>
        <v>0</v>
      </c>
    </row>
    <row r="23" customFormat="false" ht="15" hidden="false" customHeight="false" outlineLevel="0" collapsed="false">
      <c r="A23" s="5"/>
      <c r="B23" s="7" t="s">
        <v>262</v>
      </c>
      <c r="C23" s="37" t="n">
        <f aca="false">DB_Constr_Loan</f>
        <v>30367778.976</v>
      </c>
      <c r="D23" s="37" t="n">
        <f aca="false">-DB_Constr_Loan-CD_Total_Interest</f>
        <v>-31604602.79</v>
      </c>
      <c r="E23" s="37" t="n">
        <f aca="false">0</f>
        <v>0</v>
      </c>
      <c r="F23" s="37" t="n">
        <f aca="false">0</f>
        <v>0</v>
      </c>
      <c r="G23" s="37" t="n">
        <f aca="false">0</f>
        <v>0</v>
      </c>
      <c r="H23" s="37" t="n">
        <f aca="false">0</f>
        <v>0</v>
      </c>
    </row>
    <row r="24" customFormat="false" ht="15" hidden="false" customHeight="false" outlineLevel="0" collapsed="false">
      <c r="A24" s="5"/>
      <c r="B24" s="7" t="s">
        <v>263</v>
      </c>
      <c r="C24" s="37" t="n">
        <f aca="false">0</f>
        <v>0</v>
      </c>
      <c r="D24" s="37" t="n">
        <f aca="false">INDEX(DS_Perm_Loan,1,1)</f>
        <v>36972000</v>
      </c>
      <c r="E24" s="37" t="n">
        <f aca="false">0</f>
        <v>0</v>
      </c>
      <c r="F24" s="37" t="n">
        <f aca="false">0</f>
        <v>0</v>
      </c>
      <c r="G24" s="37" t="n">
        <f aca="false">0</f>
        <v>0</v>
      </c>
      <c r="H24" s="37" t="n">
        <f aca="false">0</f>
        <v>0</v>
      </c>
    </row>
    <row r="25" customFormat="false" ht="15" hidden="false" customHeight="false" outlineLevel="0" collapsed="false">
      <c r="A25" s="5"/>
      <c r="B25" s="39" t="s">
        <v>264</v>
      </c>
      <c r="C25" s="37" t="n">
        <f aca="false">0</f>
        <v>0</v>
      </c>
      <c r="D25" s="37" t="n">
        <f aca="false">-INDEX(DS_Total_DS,1,D6)</f>
        <v>-2543872.86722639</v>
      </c>
      <c r="E25" s="37" t="n">
        <f aca="false">-INDEX(DS_Total_DS,1,E6)</f>
        <v>-2543872.86722639</v>
      </c>
      <c r="F25" s="37" t="n">
        <f aca="false">-INDEX(DS_Total_DS,1,F6)</f>
        <v>-2543872.86722639</v>
      </c>
      <c r="G25" s="37" t="n">
        <f aca="false">-INDEX(DS_Total_DS,1,G6)</f>
        <v>-2543872.86722639</v>
      </c>
      <c r="H25" s="37" t="n">
        <f aca="false">-INDEX(DS_Total_DS,1,H6)</f>
        <v>-2543872.86722639</v>
      </c>
    </row>
    <row r="26" customFormat="false" ht="15" hidden="false" customHeight="false" outlineLevel="0" collapsed="false">
      <c r="A26" s="5"/>
      <c r="B26" s="7" t="s">
        <v>265</v>
      </c>
      <c r="C26" s="37" t="n">
        <f aca="false">0</f>
        <v>0</v>
      </c>
      <c r="D26" s="37" t="n">
        <f aca="false">0</f>
        <v>0</v>
      </c>
      <c r="E26" s="37" t="n">
        <f aca="false">0</f>
        <v>0</v>
      </c>
      <c r="F26" s="37" t="n">
        <f aca="false">0</f>
        <v>0</v>
      </c>
      <c r="G26" s="37" t="n">
        <f aca="false">0</f>
        <v>0</v>
      </c>
      <c r="H26" s="37" t="n">
        <f aca="false">-INDEX(DS_Closing,1,H6)</f>
        <v>-34123339.3273593</v>
      </c>
    </row>
    <row r="27" customFormat="false" ht="15" hidden="false" customHeight="false" outlineLevel="0" collapsed="false">
      <c r="A27" s="5"/>
      <c r="B27" s="5"/>
      <c r="C27" s="5"/>
      <c r="D27" s="5"/>
      <c r="E27" s="5"/>
      <c r="F27" s="5"/>
      <c r="G27" s="5"/>
      <c r="H27" s="5"/>
    </row>
    <row r="28" customFormat="false" ht="15" hidden="false" customHeight="false" outlineLevel="0" collapsed="false">
      <c r="A28" s="5"/>
      <c r="B28" s="43" t="s">
        <v>266</v>
      </c>
      <c r="C28" s="44" t="n">
        <f aca="false">C22</f>
        <v>-20245185.984</v>
      </c>
      <c r="D28" s="44" t="n">
        <f aca="false">D9+D10+D19+D25+D26</f>
        <v>392327.132773609</v>
      </c>
      <c r="E28" s="44" t="n">
        <f aca="false">E9+E10+E19+E25+E26</f>
        <v>480663.132773609</v>
      </c>
      <c r="F28" s="44" t="n">
        <f aca="false">F9+F10+F19+F25+F26</f>
        <v>571655.462773609</v>
      </c>
      <c r="G28" s="44" t="n">
        <f aca="false">G9+G10+G19+G25+G26</f>
        <v>665383.968923608</v>
      </c>
      <c r="H28" s="44" t="n">
        <f aca="false">H9+H10+H19+H25+H26</f>
        <v>31259310.7285654</v>
      </c>
    </row>
    <row r="29" customFormat="false" ht="15" hidden="false" customHeight="false" outlineLevel="0" collapsed="false">
      <c r="A29" s="5"/>
      <c r="B29" s="5"/>
      <c r="C29" s="5"/>
      <c r="D29" s="5"/>
      <c r="E29" s="5"/>
      <c r="F29" s="5"/>
      <c r="G29" s="5"/>
      <c r="H29" s="5"/>
    </row>
    <row r="30" customFormat="false" ht="15" hidden="false" customHeight="false" outlineLevel="0" collapsed="false">
      <c r="A30" s="5"/>
      <c r="B30" s="15" t="s">
        <v>267</v>
      </c>
      <c r="C30" s="16"/>
      <c r="D30" s="16"/>
      <c r="E30" s="16"/>
      <c r="F30" s="16"/>
      <c r="G30" s="16"/>
      <c r="H30" s="16"/>
    </row>
    <row r="31" customFormat="false" ht="15" hidden="false" customHeight="false" outlineLevel="0" collapsed="false">
      <c r="A31" s="5"/>
      <c r="B31" s="7" t="s">
        <v>268</v>
      </c>
      <c r="C31" s="37" t="n">
        <f aca="false">C13+C19</f>
        <v>-50612964.96</v>
      </c>
      <c r="D31" s="37" t="n">
        <f aca="false">D13+D19</f>
        <v>2936200</v>
      </c>
      <c r="E31" s="37" t="n">
        <f aca="false">E13+E19</f>
        <v>3024536</v>
      </c>
      <c r="F31" s="37" t="n">
        <f aca="false">F13+F19</f>
        <v>3115528.33</v>
      </c>
      <c r="G31" s="37" t="n">
        <f aca="false">G13+G19</f>
        <v>3209256.83615</v>
      </c>
      <c r="H31" s="37" t="n">
        <f aca="false">H13+H19</f>
        <v>67926522.9231511</v>
      </c>
    </row>
    <row r="32" customFormat="false" ht="15" hidden="false" customHeight="false" outlineLevel="0" collapsed="false">
      <c r="A32" s="5"/>
      <c r="B32" s="7" t="s">
        <v>269</v>
      </c>
      <c r="C32" s="37" t="n">
        <f aca="false">C28</f>
        <v>-20245185.984</v>
      </c>
      <c r="D32" s="37" t="n">
        <f aca="false">D28</f>
        <v>392327.132773609</v>
      </c>
      <c r="E32" s="37" t="n">
        <f aca="false">E28</f>
        <v>480663.132773609</v>
      </c>
      <c r="F32" s="37" t="n">
        <f aca="false">F28</f>
        <v>571655.462773609</v>
      </c>
      <c r="G32" s="37" t="n">
        <f aca="false">G28</f>
        <v>665383.968923608</v>
      </c>
      <c r="H32" s="37" t="n">
        <f aca="false">H28</f>
        <v>31259310.7285654</v>
      </c>
    </row>
    <row r="33" customFormat="false" ht="15" hidden="false" customHeight="false" outlineLevel="0" collapsed="false">
      <c r="A33" s="5"/>
      <c r="B33" s="5"/>
      <c r="C33" s="5"/>
      <c r="D33" s="5"/>
      <c r="E33" s="5"/>
      <c r="F33" s="5"/>
      <c r="G33" s="5"/>
      <c r="H33" s="5"/>
    </row>
    <row r="34" customFormat="false" ht="15" hidden="false" customHeight="false" outlineLevel="0" collapsed="false">
      <c r="A34" s="5"/>
      <c r="B34" s="46" t="s">
        <v>270</v>
      </c>
      <c r="C34" s="54" t="n">
        <f aca="false">IFERROR(IRR(C31:H31),0)</f>
        <v>0.106035685285428</v>
      </c>
      <c r="D34" s="5"/>
      <c r="E34" s="5"/>
      <c r="F34" s="5"/>
      <c r="G34" s="5"/>
      <c r="H34" s="5"/>
    </row>
    <row r="35" customFormat="false" ht="15" hidden="false" customHeight="false" outlineLevel="0" collapsed="false">
      <c r="A35" s="5"/>
      <c r="B35" s="46" t="s">
        <v>271</v>
      </c>
      <c r="C35" s="54" t="n">
        <f aca="false">IFERROR(IRR(C32:H32),0)</f>
        <v>0.108921200552949</v>
      </c>
      <c r="D35" s="5"/>
      <c r="E35" s="5"/>
      <c r="F35" s="5"/>
      <c r="G35" s="5"/>
      <c r="H35" s="5"/>
    </row>
    <row r="36" customFormat="false" ht="15" hidden="false" customHeight="false" outlineLevel="0" collapsed="false">
      <c r="A36" s="5"/>
      <c r="B36" s="46" t="s">
        <v>272</v>
      </c>
      <c r="C36" s="55" t="n">
        <f aca="false">IFERROR(SUM(D32:H32)/(-C32),0)</f>
        <v>1.64826050262922</v>
      </c>
      <c r="D36" s="5"/>
      <c r="E36" s="5"/>
      <c r="F36" s="5"/>
      <c r="G36" s="5"/>
      <c r="H3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2026-05-15T18:52:55Z</dcterms:created>
  <dc:creator>openpyxl</dc:creator>
  <dc:description/>
  <dc:language>en-GB</dc:language>
  <cp:lastModifiedBy/>
  <dcterms:modified xsi:type="dcterms:W3CDTF">2026-05-15T18:52:56Z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