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rtfolio" sheetId="3" state="visible" r:id="rId5"/>
    <sheet name="Fund_Cash_Flows" sheetId="4" state="visible" r:id="rId6"/>
    <sheet name="Waterfall" sheetId="5" state="visible" r:id="rId7"/>
    <sheet name="Returns" sheetId="6" state="visible" r:id="rId8"/>
    <sheet name="Checks" sheetId="7" state="visible" r:id="rId9"/>
    <sheet name="Disclaimer" sheetId="8" state="visible" r:id="rId10"/>
  </sheets>
  <definedNames>
    <definedName function="false" hidden="false" name="Admin_Cost_Pct" vbProcedure="false">Assumptions!$C$13</definedName>
    <definedName function="false" hidden="false" name="Appreciation_Rate" vbProcedure="false">Assumptions!$C$30</definedName>
    <definedName function="false" hidden="false" name="Asset_1_EV" vbProcedure="false">Assumptions!$C$15</definedName>
    <definedName function="false" hidden="false" name="Asset_1_ExitYr" vbProcedure="false">Assumptions!$C$25</definedName>
    <definedName function="false" hidden="false" name="Asset_1_Mult" vbProcedure="false">Assumptions!$C$20</definedName>
    <definedName function="false" hidden="false" name="Asset_2_EV" vbProcedure="false">Assumptions!$C$16</definedName>
    <definedName function="false" hidden="false" name="Asset_2_ExitYr" vbProcedure="false">Assumptions!$C$26</definedName>
    <definedName function="false" hidden="false" name="Asset_2_Mult" vbProcedure="false">Assumptions!$C$21</definedName>
    <definedName function="false" hidden="false" name="Asset_3_EV" vbProcedure="false">Assumptions!$C$17</definedName>
    <definedName function="false" hidden="false" name="Asset_3_ExitYr" vbProcedure="false">Assumptions!$C$27</definedName>
    <definedName function="false" hidden="false" name="Asset_3_Mult" vbProcedure="false">Assumptions!$C$22</definedName>
    <definedName function="false" hidden="false" name="Asset_4_EV" vbProcedure="false">Assumptions!$C$18</definedName>
    <definedName function="false" hidden="false" name="Asset_4_ExitYr" vbProcedure="false">Assumptions!$C$28</definedName>
    <definedName function="false" hidden="false" name="Asset_4_Mult" vbProcedure="false">Assumptions!$C$23</definedName>
    <definedName function="false" hidden="false" name="Asset_5_EV" vbProcedure="false">Assumptions!$C$19</definedName>
    <definedName function="false" hidden="false" name="Asset_5_ExitYr" vbProcedure="false">Assumptions!$C$29</definedName>
    <definedName function="false" hidden="false" name="Asset_5_Mult" vbProcedure="false">Assumptions!$C$24</definedName>
    <definedName function="false" hidden="false" name="Call_Pct_Y1" vbProcedure="false">Assumptions!$C$38</definedName>
    <definedName function="false" hidden="false" name="Call_Pct_Y2" vbProcedure="false">Assumptions!$C$39</definedName>
    <definedName function="false" hidden="false" name="Call_Pct_Y3" vbProcedure="false">Assumptions!$C$40</definedName>
    <definedName function="false" hidden="false" name="Call_Pct_Y4" vbProcedure="false">Assumptions!$C$41</definedName>
    <definedName function="false" hidden="false" name="Call_Pct_Y5" vbProcedure="false">Assumptions!$C$42</definedName>
    <definedName function="false" hidden="false" name="Carry_Rate" vbProcedure="false">Assumptions!$C$35</definedName>
    <definedName function="false" hidden="false" name="Catchup_Rate" vbProcedure="false">Assumptions!$C$36</definedName>
    <definedName function="false" hidden="false" name="FCF_Cumul_Called" vbProcedure="false">Fund_Cash_Flows!$C$8</definedName>
    <definedName function="false" hidden="false" name="FCF_Net_Distributable" vbProcedure="false">Fund_Cash_Flows!$C$19</definedName>
    <definedName function="false" hidden="false" name="Fee_Buffer" vbProcedure="false">Assumptions!$C$11</definedName>
    <definedName function="false" hidden="false" name="Follow_On_Reserve" vbProcedure="false">Assumptions!$C$10</definedName>
    <definedName function="false" hidden="false" name="Fund_Size" vbProcedure="false">Assumptions!$C$7</definedName>
    <definedName function="false" hidden="false" name="GP_Commit_Pct" vbProcedure="false">Assumptions!$C$8</definedName>
    <definedName function="false" hidden="false" name="Hurdle_Rate" vbProcedure="false">Assumptions!$C$34</definedName>
    <definedName function="false" hidden="false" name="Inv_Period_Fee_Rate" vbProcedure="false">Assumptions!$C$32</definedName>
    <definedName function="false" hidden="false" name="Port_NAV_Closing" vbProcedure="false">Portfolio!$C$19</definedName>
    <definedName function="false" hidden="false" name="Port_Net_Proceeds" vbProcedure="false">Portfolio!$C$12</definedName>
    <definedName function="false" hidden="false" name="Post_Inv_Fee_Rate" vbProcedure="false">Assumptions!$C$33</definedName>
    <definedName function="false" hidden="false" name="Transfer_Price" vbProcedure="false">Assumptions!$C$9</definedName>
    <definedName function="false" hidden="false" name="Txn_Cost_Pct" vbProcedure="false">Assumptions!$C$12</definedName>
    <definedName function="false" hidden="false" name="WF_GP_Distribution" vbProcedure="false">Waterfall!$C$27</definedName>
    <definedName function="false" hidden="false" name="WF_LP_Distribution" vbProcedure="false">Waterfall!$C$26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<sst xmlns="http://schemas.openxmlformats.org/spreadsheetml/2006/main" count="286" uniqueCount="234">
  <si>
    <t xml:space="preserve">CONTINUATION FUND</t>
  </si>
  <si>
    <t xml:space="preserve">FINAMODEL.com</t>
  </si>
  <si>
    <t xml:space="preserve">GP-Led Secondary — Financial Model</t>
  </si>
  <si>
    <t xml:space="preserve">General Partner:</t>
  </si>
  <si>
    <t xml:space="preserve">Vintage Year:</t>
  </si>
  <si>
    <t xml:space="preserve">2025</t>
  </si>
  <si>
    <t xml:space="preserve">Fund Size ($M):</t>
  </si>
  <si>
    <t xml:space="preserve">300</t>
  </si>
  <si>
    <t xml:space="preserve">SIGN CONVENTION</t>
  </si>
  <si>
    <t xml:space="preserve">Capital calls:</t>
  </si>
  <si>
    <t xml:space="preserve">Negative (cash leaving LP)</t>
  </si>
  <si>
    <t xml:space="preserve">Distributions:</t>
  </si>
  <si>
    <t xml:space="preserve">Positive (cash returning to LP)</t>
  </si>
  <si>
    <t xml:space="preserve">NAV:</t>
  </si>
  <si>
    <t xml:space="preserve">Positive (fair value of portfolio)</t>
  </si>
  <si>
    <t xml:space="preserve">IRR stream:</t>
  </si>
  <si>
    <t xml:space="preserve">Calls = negative, Distributions = positive</t>
  </si>
  <si>
    <t xml:space="preserve">Model date:</t>
  </si>
  <si>
    <t xml:space="preserve">About this model</t>
  </si>
  <si>
    <t xml:space="preserve">This continuation fund (GP-led secondary) model evaluates a fund structure where a General Partner transfers high-performing assets from a maturing fund into a new vehicle, offering Rolling LPs a choice to stay or exit at a transfer price, while raising new capital from New LPs. The model sizes the fund ($300M), establishes the transfer price ($260M for a five-asset portfolio), and projects asset appreciation and realisation across a 5-year hold period. It calculates gross proceeds from exit multiples applied to asset entry values; deducts management fees, transaction costs, and administrative drag; and feeds the net distributable amount into a waterfall that calculates returns to Rolling LPs and New LPs at different transfer price entry points.
The model includes a portfolio schedule showing each asset's entry equity value, appreciation rate (15% base case annual), exit year, exit multiple, and gross/net proceeds after transaction costs. A fund cash flow sheet tracks capital calls (87% in Year 1 for the transfer price, remainder for follow-on reserves and fees), management fees that switch from committed capital in Years 1â2 to invested capital (NAV) in Years 3â5, and distributions. A waterfall section implements a European whole-fund carry structure with 8% hurdle, 100% GP catch-up, and 20% carry. Returns sheets calculate LP IRR and MOIC separately from the transfer price perspective.
This model is used by secondary fund managers evaluating GP-led secondary opportunities, institutional LPs assessing the fairness of proposed transfer prices, and continuation fund sponsors modelling LP economics across scenarios. It ensures fund sizing covers the transfer price and preserves carry incentives for the GP, preventing the common error of undercapitalisation that plagued prior builds.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</si>
  <si>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</si>
  <si>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</si>
  <si>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</si>
  <si>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</si>
  <si>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</si>
  <si>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Continuation Fund — GP-Led Secondary</t>
  </si>
  <si>
    <t xml:space="preserve">Parameter</t>
  </si>
  <si>
    <t xml:space="preserve">Value</t>
  </si>
  <si>
    <t xml:space="preserve">Unit</t>
  </si>
  <si>
    <t xml:space="preserve">Notes</t>
  </si>
  <si>
    <t xml:space="preserve">Fund Structure (rows 5-6 reserved for scenario toggle)</t>
  </si>
  <si>
    <t xml:space="preserve">Fund Size</t>
  </si>
  <si>
    <t xml:space="preserve">$</t>
  </si>
  <si>
    <t xml:space="preserve">Total committed capital</t>
  </si>
  <si>
    <t xml:space="preserve">GP Commit %</t>
  </si>
  <si>
    <t xml:space="preserve">%</t>
  </si>
  <si>
    <t xml:space="preserve">GP co-invest as % of Fund_Size</t>
  </si>
  <si>
    <t xml:space="preserve">Transfer Price</t>
  </si>
  <si>
    <t xml:space="preserve">Sum of 5 asset entry EVs</t>
  </si>
  <si>
    <t xml:space="preserve">Follow-On Reserve</t>
  </si>
  <si>
    <t xml:space="preserve">Capital for follow-on investments</t>
  </si>
  <si>
    <t xml:space="preserve">Fee Buffer</t>
  </si>
  <si>
    <t xml:space="preserve">Buffer for fees from committed capital</t>
  </si>
  <si>
    <t xml:space="preserve">Txn Cost %</t>
  </si>
  <si>
    <t xml:space="preserve">Exit transaction costs as % of gross proceeds</t>
  </si>
  <si>
    <t xml:space="preserve">Admin Cost %</t>
  </si>
  <si>
    <t xml:space="preserve">Annual admin/legal/audit as % of Fund_Size</t>
  </si>
  <si>
    <t xml:space="preserve">Asset Entry Values, Exit Multiples &amp; Exit Years</t>
  </si>
  <si>
    <t xml:space="preserve">Asset 1 Entry EV (TechCo)</t>
  </si>
  <si>
    <t xml:space="preserve">TechCo entry equity value</t>
  </si>
  <si>
    <t xml:space="preserve">Asset 2 Entry EV (HealthCo)</t>
  </si>
  <si>
    <t xml:space="preserve">HealthCo entry equity value</t>
  </si>
  <si>
    <t xml:space="preserve">Asset 3 Entry EV (IndustrialCo)</t>
  </si>
  <si>
    <t xml:space="preserve">IndustrialCo entry equity value</t>
  </si>
  <si>
    <t xml:space="preserve">Asset 4 Entry EV (ConsumerCo)</t>
  </si>
  <si>
    <t xml:space="preserve">ConsumerCo entry equity value</t>
  </si>
  <si>
    <t xml:space="preserve">Asset 5 Entry EV (ServiceCo)</t>
  </si>
  <si>
    <t xml:space="preserve">ServiceCo entry equity value</t>
  </si>
  <si>
    <t xml:space="preserve">Asset 1 Exit Multiple</t>
  </si>
  <si>
    <t xml:space="preserve">x</t>
  </si>
  <si>
    <t xml:space="preserve">TechCo exit multiple on entry EV</t>
  </si>
  <si>
    <t xml:space="preserve">Asset 2 Exit Multiple</t>
  </si>
  <si>
    <t xml:space="preserve">HealthCo exit multiple</t>
  </si>
  <si>
    <t xml:space="preserve">Asset 3 Exit Multiple</t>
  </si>
  <si>
    <t xml:space="preserve">IndustrialCo exit multiple</t>
  </si>
  <si>
    <t xml:space="preserve">Asset 4 Exit Multiple</t>
  </si>
  <si>
    <t xml:space="preserve">ConsumerCo exit multiple</t>
  </si>
  <si>
    <t xml:space="preserve">Asset 5 Exit Multiple</t>
  </si>
  <si>
    <t xml:space="preserve">ServiceCo exit multiple</t>
  </si>
  <si>
    <t xml:space="preserve">Asset 1 Exit Year</t>
  </si>
  <si>
    <t xml:space="preserve">yr</t>
  </si>
  <si>
    <t xml:space="preserve">TechCo exits in Year 3</t>
  </si>
  <si>
    <t xml:space="preserve">Asset 2 Exit Year</t>
  </si>
  <si>
    <t xml:space="preserve">HealthCo exits in Year 4</t>
  </si>
  <si>
    <t xml:space="preserve">Asset 3 Exit Year</t>
  </si>
  <si>
    <t xml:space="preserve">IndustrialCo exits in Year 5</t>
  </si>
  <si>
    <t xml:space="preserve">Asset 4 Exit Year</t>
  </si>
  <si>
    <t xml:space="preserve">ConsumerCo exits in Year 4</t>
  </si>
  <si>
    <t xml:space="preserve">Asset 5 Exit Year</t>
  </si>
  <si>
    <t xml:space="preserve">ServiceCo exits in Year 2</t>
  </si>
  <si>
    <t xml:space="preserve">Annual Appreciation Rate</t>
  </si>
  <si>
    <t xml:space="preserve">Annual NAV appreciation on unrealised assets</t>
  </si>
  <si>
    <t xml:space="preserve">Fees &amp; Waterfall Terms</t>
  </si>
  <si>
    <t xml:space="preserve">Investment Period Fee Rate</t>
  </si>
  <si>
    <t xml:space="preserve">Mgmt fee on committed capital, Yrs 1-2</t>
  </si>
  <si>
    <t xml:space="preserve">Post-Invest Fee Rate</t>
  </si>
  <si>
    <t xml:space="preserve">Mgmt fee on prior-year NAV, Yrs 3-5</t>
  </si>
  <si>
    <t xml:space="preserve">Hurdle Rate</t>
  </si>
  <si>
    <t xml:space="preserve">Annual preferred return hurdle</t>
  </si>
  <si>
    <t xml:space="preserve">Carry Rate</t>
  </si>
  <si>
    <t xml:space="preserve">GP carried interest rate</t>
  </si>
  <si>
    <t xml:space="preserve">Catch-Up Rate</t>
  </si>
  <si>
    <t xml:space="preserve">100% catch-up to GP</t>
  </si>
  <si>
    <t xml:space="preserve">Capital Call Schedule (must sum to 100%)</t>
  </si>
  <si>
    <t xml:space="preserve">Call % Year 1</t>
  </si>
  <si>
    <t xml:space="preserve">Year 1 call as % of commitment</t>
  </si>
  <si>
    <t xml:space="preserve">Call % Year 2</t>
  </si>
  <si>
    <t xml:space="preserve">Year 2 call</t>
  </si>
  <si>
    <t xml:space="preserve">Call % Year 3</t>
  </si>
  <si>
    <t xml:space="preserve">Year 3 call</t>
  </si>
  <si>
    <t xml:space="preserve">Call % Year 4</t>
  </si>
  <si>
    <t xml:space="preserve">Year 4 call</t>
  </si>
  <si>
    <t xml:space="preserve">Call % Year 5</t>
  </si>
  <si>
    <t xml:space="preserve">Year 5 call — must sum to 100%</t>
  </si>
  <si>
    <t xml:space="preserve">Call % Sum Check</t>
  </si>
  <si>
    <t xml:space="preserve">Expected: 100%</t>
  </si>
  <si>
    <t xml:space="preserve">Transfer Price Check</t>
  </si>
  <si>
    <t xml:space="preserve">Must equal Transfer_Price ($260M)</t>
  </si>
  <si>
    <t xml:space="preserve">Fund Size Surplus</t>
  </si>
  <si>
    <t xml:space="preserve">Must be &gt;= 0 (underfunded if negative)</t>
  </si>
  <si>
    <t xml:space="preserve">Portfolio</t>
  </si>
  <si>
    <t xml:space="preserve">Asset gross exit proceeds and NAV roll-forward</t>
  </si>
  <si>
    <t xml:space="preserve">Gross Exit Proceeds by Asset</t>
  </si>
  <si>
    <t xml:space="preserve">Year 1</t>
  </si>
  <si>
    <t xml:space="preserve">Year 2</t>
  </si>
  <si>
    <t xml:space="preserve">Year 3</t>
  </si>
  <si>
    <t xml:space="preserve">Year 4</t>
  </si>
  <si>
    <t xml:space="preserve">Year 5</t>
  </si>
  <si>
    <t xml:space="preserve">  Asset 1 Gross (TechCo)</t>
  </si>
  <si>
    <t xml:space="preserve">  Asset 2 Gross (HealthCo)</t>
  </si>
  <si>
    <t xml:space="preserve">  Asset 3 Gross (IndustrialCo)</t>
  </si>
  <si>
    <t xml:space="preserve">  Asset 4 Gross (ConsumerCo)</t>
  </si>
  <si>
    <t xml:space="preserve">  Asset 5 Gross (ServiceCo)</t>
  </si>
  <si>
    <t xml:space="preserve">Total Gross Exits</t>
  </si>
  <si>
    <t xml:space="preserve">Net Exit Proceeds</t>
  </si>
  <si>
    <t xml:space="preserve">NAV Roll-Forward (Unrealised Portfolio)</t>
  </si>
  <si>
    <t xml:space="preserve">Opening NAV</t>
  </si>
  <si>
    <t xml:space="preserve">Less: Exits at Cost</t>
  </si>
  <si>
    <t xml:space="preserve">Add: Follow-On</t>
  </si>
  <si>
    <t xml:space="preserve">Appreciation</t>
  </si>
  <si>
    <t xml:space="preserve">Closing NAV</t>
  </si>
  <si>
    <t xml:space="preserve">Fund Cash Flows</t>
  </si>
  <si>
    <t xml:space="preserve">Capital calls, fees, and net distributable proceeds</t>
  </si>
  <si>
    <t xml:space="preserve">Capital Calls</t>
  </si>
  <si>
    <t xml:space="preserve">Target Call</t>
  </si>
  <si>
    <t xml:space="preserve">Uncalled Commitment</t>
  </si>
  <si>
    <t xml:space="preserve">Capital Called</t>
  </si>
  <si>
    <t xml:space="preserve">Cumul Called</t>
  </si>
  <si>
    <t xml:space="preserve">Uncalled (check)</t>
  </si>
  <si>
    <t xml:space="preserve">Management Fees &amp; Costs</t>
  </si>
  <si>
    <t xml:space="preserve">Management Fee</t>
  </si>
  <si>
    <t xml:space="preserve">Admin / Legal</t>
  </si>
  <si>
    <t xml:space="preserve">Total Fund Costs</t>
  </si>
  <si>
    <t xml:space="preserve">Net Distributable (Waterfall Input — NET of all costs)</t>
  </si>
  <si>
    <t xml:space="preserve">Gross Exit Proceeds</t>
  </si>
  <si>
    <t xml:space="preserve">Txn Costs (exits)</t>
  </si>
  <si>
    <t xml:space="preserve">Net Distributable</t>
  </si>
  <si>
    <t xml:space="preserve">LP / GP Capital Call Split</t>
  </si>
  <si>
    <t xml:space="preserve">LP Capital Call</t>
  </si>
  <si>
    <t xml:space="preserve">GP Capital Call</t>
  </si>
  <si>
    <t xml:space="preserve">Total Call (check)</t>
  </si>
  <si>
    <t xml:space="preserve">Waterfall</t>
  </si>
  <si>
    <t xml:space="preserve">European: ROC → Preferred Return → GP Catch-Up → Residual 80/20</t>
  </si>
  <si>
    <t xml:space="preserve">Waterfall Inputs</t>
  </si>
  <si>
    <t xml:space="preserve">Cumul Net Distributable</t>
  </si>
  <si>
    <t xml:space="preserve">Cumul Called (ref)</t>
  </si>
  <si>
    <t xml:space="preserve">Tier 1: Return of Capital</t>
  </si>
  <si>
    <t xml:space="preserve">T1 Threshold (ROC)</t>
  </si>
  <si>
    <t xml:space="preserve">T1 Cumul Allocated</t>
  </si>
  <si>
    <t xml:space="preserve">T1 Periodic (ROC)</t>
  </si>
  <si>
    <t xml:space="preserve">Tier 2: Preferred Return (8% Compounding Accrued on Capital Called)</t>
  </si>
  <si>
    <t xml:space="preserve">Accrued Pref Return</t>
  </si>
  <si>
    <t xml:space="preserve">T2 Threshold (Pref Return)</t>
  </si>
  <si>
    <t xml:space="preserve">T2 Cumul Allocated</t>
  </si>
  <si>
    <t xml:space="preserve">T2 Periodic (Pref)</t>
  </si>
  <si>
    <t xml:space="preserve">Tier 3: GP Catch-Up (100% to GP)</t>
  </si>
  <si>
    <t xml:space="preserve">T3 Threshold (Catch-Up)</t>
  </si>
  <si>
    <t xml:space="preserve">T3 Cumul Allocated</t>
  </si>
  <si>
    <t xml:space="preserve">T3 Periodic (Catch-Up)</t>
  </si>
  <si>
    <t xml:space="preserve">Tier 4: Residual Split (80% LP / 20% GP)</t>
  </si>
  <si>
    <t xml:space="preserve">T4 Cumul Residual</t>
  </si>
  <si>
    <t xml:space="preserve">T4 Periodic (Residual)</t>
  </si>
  <si>
    <t xml:space="preserve">LP / GP Distribution Summary</t>
  </si>
  <si>
    <t xml:space="preserve">LP Distribution</t>
  </si>
  <si>
    <t xml:space="preserve">GP Distribution</t>
  </si>
  <si>
    <t xml:space="preserve">Total Dist (check)</t>
  </si>
  <si>
    <t xml:space="preserve">Returns</t>
  </si>
  <si>
    <t xml:space="preserve">LP and GP return metrics: IRR, MOIC, DPI, RVPI, TVPI</t>
  </si>
  <si>
    <t xml:space="preserve">LP Net Cash Flow (for IRR)</t>
  </si>
  <si>
    <t xml:space="preserve">LP Net CF</t>
  </si>
  <si>
    <t xml:space="preserve">LP Cumul Net CF</t>
  </si>
  <si>
    <t xml:space="preserve">GP Net Cash Flow</t>
  </si>
  <si>
    <t xml:space="preserve">GP Co-Invest Return</t>
  </si>
  <si>
    <t xml:space="preserve">GP Carry Distribution</t>
  </si>
  <si>
    <t xml:space="preserve">GP Net CF</t>
  </si>
  <si>
    <t xml:space="preserve">Gross IRR (Fund-Level, Before Fees)</t>
  </si>
  <si>
    <t xml:space="preserve">Gross Fund CF</t>
  </si>
  <si>
    <t xml:space="preserve">Gross IRR</t>
  </si>
  <si>
    <t xml:space="preserve">Net Return Metrics</t>
  </si>
  <si>
    <t xml:space="preserve">LP Net IRR</t>
  </si>
  <si>
    <t xml:space="preserve">LP MOIC</t>
  </si>
  <si>
    <t xml:space="preserve">GP MOIC</t>
  </si>
  <si>
    <t xml:space="preserve">Gross IRR (ref)</t>
  </si>
  <si>
    <t xml:space="preserve">DPI / RVPI / TVPI (per period)</t>
  </si>
  <si>
    <t xml:space="preserve">DPI</t>
  </si>
  <si>
    <t xml:space="preserve">RVPI</t>
  </si>
  <si>
    <t xml:space="preserve">TVPI</t>
  </si>
  <si>
    <t xml:space="preserve">Checks</t>
  </si>
  <si>
    <t xml:space="preserve">Model integrity — all rows must show PASS</t>
  </si>
  <si>
    <t xml:space="preserve">Check</t>
  </si>
  <si>
    <t xml:space="preserve">Formula Result</t>
  </si>
  <si>
    <t xml:space="preserve">Status</t>
  </si>
  <si>
    <t xml:space="preserve">Asset EVs must sum to Transfer_Price ($260M)</t>
  </si>
  <si>
    <t xml:space="preserve">Fund Size &gt;= Transfer+Reserves</t>
  </si>
  <si>
    <t xml:space="preserve">Fund must cover transfer price + follow-on + fee buffer</t>
  </si>
  <si>
    <t xml:space="preserve">Total Called &lt;= Commitment</t>
  </si>
  <si>
    <t xml:space="preserve">Total capital called cannot exceed Fund_Size</t>
  </si>
  <si>
    <t xml:space="preserve">LP+GP Dist = Net Distributable</t>
  </si>
  <si>
    <t xml:space="preserve">LP+GP distributions must equal Net Distributable (tolerance $1)</t>
  </si>
  <si>
    <t xml:space="preserve">Gross IRR &gt; Net IRR</t>
  </si>
  <si>
    <t xml:space="preserve">Gross IRR must exceed Net IRR — fee drag test</t>
  </si>
  <si>
    <t xml:space="preserve">IRR Sign Change (LP Net CF)</t>
  </si>
  <si>
    <t xml:space="preserve">LP Net CF must have at least one negative and one positive</t>
  </si>
  <si>
    <t xml:space="preserve">NAV &gt;= 0 All Periods</t>
  </si>
  <si>
    <t xml:space="preserve">Closing NAV must be non-negative in all periods</t>
  </si>
  <si>
    <t xml:space="preserve">TVPI = DPI + RVPI (Yr 5)</t>
  </si>
  <si>
    <t xml:space="preserve">TVPI must equal DPI + RVPI in Year 5</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</si>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</sst>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dd/mm/yyyy"/>
    <numFmt numFmtId="166" formatCode="#,##0.00"/>
    <numFmt numFmtId="167" formatCode="0.00%"/>
    <numFmt numFmtId="168" formatCode="0.00\x"/>
    <numFmt numFmtId="169" formatCode="0"/>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2"/>
      <color theme="0"/>
      <name val="Arial"/>
      <family val="0"/>
      <charset val="1"/>
    </font>
    <font>
      <sz val="11"/>
      <color theme="1"/>
      <name val="Arial"/>
      <family val="0"/>
      <charset val="1"/>
    </font>
    <font>
      <b val="true"/>
      <sz val="9"/>
      <name val="Arial"/>
      <family val="0"/>
      <charset val="1"/>
    </font>
    <font>
      <sz val="9"/>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1"/>
      <color theme="0"/>
      <name val="Arial"/>
      <family val="0"/>
      <charset val="1"/>
    </font>
    <font>
      <b val="true"/>
      <sz val="9"/>
      <color theme="0"/>
      <name val="Arial"/>
      <family val="0"/>
      <charset val="1"/>
    </font>
    <font>
      <b val="true"/>
      <sz val="9"/>
      <color theme="3"/>
      <name val="Arial"/>
      <family val="0"/>
      <charset val="1"/>
    </font>
    <font>
      <sz val="9"/>
      <color theme="3"/>
      <name val="Arial"/>
      <family val="0"/>
      <charset val="1"/>
    </font>
    <font>
      <sz val="9"/>
      <color rgb="FF0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9" fillId="4"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6" fontId="20" fillId="5" borderId="0" xfId="0" applyFont="true" applyBorder="false" applyAlignment="false" applyProtection="false">
      <alignment horizontal="general" vertical="bottom" textRotation="0" wrapText="false" indent="0" shrinkToFit="false"/>
      <protection locked="true" hidden="false"/>
    </xf>
    <xf numFmtId="167" fontId="20" fillId="5" borderId="0" xfId="0" applyFont="true" applyBorder="false" applyAlignment="false" applyProtection="false">
      <alignment horizontal="general" vertical="bottom" textRotation="0" wrapText="false" indent="0" shrinkToFit="false"/>
      <protection locked="true" hidden="false"/>
    </xf>
    <xf numFmtId="168" fontId="20" fillId="5" borderId="0" xfId="0" applyFont="true" applyBorder="false" applyAlignment="false" applyProtection="false">
      <alignment horizontal="general" vertical="bottom" textRotation="0" wrapText="false" indent="0" shrinkToFit="false"/>
      <protection locked="true" hidden="false"/>
    </xf>
    <xf numFmtId="169" fontId="20" fillId="5" borderId="0" xfId="0" applyFont="true" applyBorder="false" applyAlignment="false" applyProtection="false">
      <alignment horizontal="general" vertical="bottom" textRotation="0" wrapText="false" indent="0" shrinkToFit="false"/>
      <protection locked="true" hidden="false"/>
    </xf>
    <xf numFmtId="167" fontId="21" fillId="0" borderId="0" xfId="0" applyFont="true" applyBorder="false" applyAlignment="false" applyProtection="false">
      <alignment horizontal="general" vertical="bottom" textRotation="0" wrapText="false" indent="0" shrinkToFit="false"/>
      <protection locked="true" hidden="false"/>
    </xf>
    <xf numFmtId="166" fontId="21" fillId="0"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6" fontId="10" fillId="0" borderId="1" xfId="0" applyFont="true" applyBorder="tru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8" fontId="21"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23" fillId="6"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6" fillId="7"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375623"/>
        <sz val="9"/>
      </font>
      <fill>
        <patternFill>
          <bgColor rgb="FFC6EFCE"/>
        </patternFill>
      </fill>
    </dxf>
    <dxf>
      <font>
        <name val="Arial"/>
        <charset val="1"/>
        <family val="0"/>
        <b val="1"/>
        <color rgb="FF9C0006"/>
        <sz val="9"/>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6EFCE"/>
      <rgbColor rgb="FFFFFF99"/>
      <rgbColor rgb="FF9DC3E6"/>
      <rgbColor rgb="FFFF99CC"/>
      <rgbColor rgb="FFCC99FF"/>
      <rgbColor rgb="FFFFC7CE"/>
      <rgbColor rgb="FF3366FF"/>
      <rgbColor rgb="FF33CCCC"/>
      <rgbColor rgb="FF99CC00"/>
      <rgbColor rgb="FFFFCC00"/>
      <rgbColor rgb="FFFF9900"/>
      <rgbColor rgb="FFED7D31"/>
      <rgbColor rgb="FF595959"/>
      <rgbColor rgb="FF70AD47"/>
      <rgbColor rgb="FF1F4E79"/>
      <rgbColor rgb="FF339966"/>
      <rgbColor rgb="FF375623"/>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3" min="3" style="0" width="38"/>
    <col collapsed="false" customWidth="true" hidden="false" outlineLevel="0" max="7" min="4"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7" t="s">
        <v>3</v>
      </c>
      <c r="C5" s="8"/>
      <c r="D5" s="6"/>
      <c r="E5" s="6"/>
      <c r="F5" s="6"/>
      <c r="G5" s="6"/>
    </row>
    <row r="6" customFormat="false" ht="15" hidden="false" customHeight="false" outlineLevel="0" collapsed="false">
      <c r="A6" s="6"/>
      <c r="B6" s="7" t="s">
        <v>4</v>
      </c>
      <c r="C6" s="8" t="s">
        <v>5</v>
      </c>
      <c r="D6" s="6"/>
      <c r="E6" s="6"/>
      <c r="F6" s="6"/>
      <c r="G6" s="6"/>
    </row>
    <row r="7" customFormat="false" ht="15" hidden="false" customHeight="false" outlineLevel="0" collapsed="false">
      <c r="A7" s="6"/>
      <c r="B7" s="7" t="s">
        <v>6</v>
      </c>
      <c r="C7" s="8" t="s">
        <v>7</v>
      </c>
      <c r="D7" s="6"/>
      <c r="E7" s="6"/>
      <c r="F7" s="6"/>
      <c r="G7" s="6"/>
    </row>
    <row r="8" customFormat="false" ht="15" hidden="false" customHeight="false" outlineLevel="0" collapsed="false">
      <c r="A8" s="6"/>
      <c r="B8" s="6"/>
      <c r="C8" s="6"/>
      <c r="D8" s="6"/>
      <c r="E8" s="6"/>
      <c r="F8" s="6"/>
      <c r="G8" s="6"/>
    </row>
    <row r="9" customFormat="false" ht="15" hidden="false" customHeight="false" outlineLevel="0" collapsed="false">
      <c r="A9" s="6"/>
      <c r="B9" s="7" t="s">
        <v>8</v>
      </c>
      <c r="C9" s="6"/>
      <c r="D9" s="6"/>
      <c r="E9" s="6"/>
      <c r="F9" s="6"/>
      <c r="G9" s="6"/>
    </row>
    <row r="10" customFormat="false" ht="15" hidden="false" customHeight="false" outlineLevel="0" collapsed="false">
      <c r="A10" s="6"/>
      <c r="B10" s="8" t="s">
        <v>9</v>
      </c>
      <c r="C10" s="8" t="s">
        <v>10</v>
      </c>
      <c r="D10" s="6"/>
      <c r="E10" s="6"/>
      <c r="F10" s="6"/>
      <c r="G10" s="6"/>
    </row>
    <row r="11" customFormat="false" ht="15" hidden="false" customHeight="false" outlineLevel="0" collapsed="false">
      <c r="A11" s="6"/>
      <c r="B11" s="8" t="s">
        <v>11</v>
      </c>
      <c r="C11" s="8" t="s">
        <v>12</v>
      </c>
      <c r="D11" s="6"/>
      <c r="E11" s="6"/>
      <c r="F11" s="6"/>
      <c r="G11" s="6"/>
    </row>
    <row r="12" customFormat="false" ht="15" hidden="false" customHeight="false" outlineLevel="0" collapsed="false">
      <c r="A12" s="6"/>
      <c r="B12" s="8" t="s">
        <v>13</v>
      </c>
      <c r="C12" s="8" t="s">
        <v>14</v>
      </c>
      <c r="D12" s="6"/>
      <c r="E12" s="6"/>
      <c r="F12" s="6"/>
      <c r="G12" s="6"/>
    </row>
    <row r="13" customFormat="false" ht="15" hidden="false" customHeight="false" outlineLevel="0" collapsed="false">
      <c r="A13" s="6"/>
      <c r="B13" s="8" t="s">
        <v>15</v>
      </c>
      <c r="C13" s="8" t="s">
        <v>16</v>
      </c>
      <c r="D13" s="6"/>
      <c r="E13" s="6"/>
      <c r="F13" s="6"/>
      <c r="G13" s="6"/>
    </row>
    <row r="14" customFormat="false" ht="15" hidden="false" customHeight="false" outlineLevel="0" collapsed="false">
      <c r="A14" s="6"/>
      <c r="B14" s="6"/>
      <c r="C14" s="6"/>
      <c r="D14" s="6"/>
      <c r="E14" s="6"/>
      <c r="F14" s="6"/>
      <c r="G14" s="6"/>
    </row>
    <row r="15" customFormat="false" ht="15" hidden="false" customHeight="false" outlineLevel="0" collapsed="false">
      <c r="A15" s="6"/>
      <c r="B15" s="8" t="s">
        <v>17</v>
      </c>
      <c r="C15" s="9" t="n">
        <f aca="true">TODAY()</f>
        <v>46157</v>
      </c>
      <c r="D15" s="6"/>
      <c r="E15" s="6"/>
      <c r="F15" s="6"/>
      <c r="G15" s="6"/>
    </row>
    <row r="18" customFormat="false" ht="19.5" hidden="false" customHeight="true" outlineLevel="0" collapsed="false">
      <c r="B18" s="10" t="s">
        <v>18</v>
      </c>
      <c r="C18" s="11"/>
      <c r="D18" s="11"/>
      <c r="E18" s="11"/>
      <c r="F18" s="11"/>
      <c r="G18" s="11"/>
    </row>
    <row r="19" customFormat="false" ht="246" hidden="false" customHeight="true" outlineLevel="0" collapsed="false">
      <c r="B19" s="12" t="s">
        <v>19</v>
      </c>
      <c r="C19" s="12"/>
      <c r="D19" s="12"/>
      <c r="E19" s="12"/>
      <c r="F19" s="12"/>
      <c r="G19" s="12"/>
    </row>
    <row r="21" customFormat="false" ht="19.5" hidden="false" customHeight="true" outlineLevel="0" collapsed="false">
      <c r="B21" s="10" t="s">
        <v>20</v>
      </c>
      <c r="C21" s="11"/>
      <c r="D21" s="11"/>
      <c r="E21" s="11"/>
      <c r="F21" s="11"/>
      <c r="G21" s="11"/>
    </row>
    <row r="22" customFormat="false" ht="57" hidden="false" customHeight="true" outlineLevel="0" collapsed="false">
      <c r="B22" s="12" t="s">
        <v>21</v>
      </c>
      <c r="C22" s="12"/>
      <c r="D22" s="12"/>
      <c r="E22" s="12"/>
      <c r="F22" s="12"/>
      <c r="G22" s="12"/>
    </row>
    <row r="23" customFormat="false" ht="15" hidden="false" customHeight="false" outlineLevel="0" collapsed="false">
      <c r="B23" s="13" t="s">
        <v>22</v>
      </c>
      <c r="C23" s="13"/>
      <c r="D23" s="13"/>
      <c r="E23" s="13"/>
      <c r="F23" s="13"/>
      <c r="G23" s="13"/>
    </row>
    <row r="24" customFormat="false" ht="15" hidden="false" customHeight="false" outlineLevel="0" collapsed="false">
      <c r="B24" s="14" t="s">
        <v>23</v>
      </c>
    </row>
  </sheetData>
  <mergeCells count="3">
    <mergeCell ref="B19:G19"/>
    <mergeCell ref="B22:G22"/>
    <mergeCell ref="B23:G23"/>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DC3E6"/>
    <pageSetUpPr fitToPage="false"/>
  </sheetPr>
  <dimension ref="A1:AD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3" min="3" style="0" width="18"/>
    <col collapsed="false" customWidth="true" hidden="false" outlineLevel="0" max="4" min="4" style="0" width="8"/>
    <col collapsed="false" customWidth="true" hidden="false" outlineLevel="0" max="5" min="5" style="0" width="4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24</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25</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7" t="s">
        <v>26</v>
      </c>
      <c r="C4" s="17" t="s">
        <v>27</v>
      </c>
      <c r="D4" s="17" t="s">
        <v>28</v>
      </c>
      <c r="E4" s="17" t="s">
        <v>29</v>
      </c>
    </row>
    <row r="5" customFormat="false" ht="15" hidden="false" customHeight="false" outlineLevel="0" collapsed="false">
      <c r="A5" s="6"/>
      <c r="B5" s="18" t="s">
        <v>30</v>
      </c>
      <c r="C5" s="19"/>
      <c r="D5" s="6"/>
      <c r="E5" s="6"/>
    </row>
    <row r="6" customFormat="false" ht="15" hidden="false" customHeight="false" outlineLevel="0" collapsed="false">
      <c r="A6" s="6"/>
      <c r="B6" s="6"/>
      <c r="C6" s="6"/>
      <c r="D6" s="6"/>
      <c r="E6" s="6"/>
    </row>
    <row r="7" customFormat="false" ht="15" hidden="false" customHeight="false" outlineLevel="0" collapsed="false">
      <c r="A7" s="6"/>
      <c r="B7" s="8" t="s">
        <v>31</v>
      </c>
      <c r="C7" s="20" t="n">
        <v>300000000</v>
      </c>
      <c r="D7" s="8" t="s">
        <v>32</v>
      </c>
      <c r="E7" s="8" t="s">
        <v>33</v>
      </c>
    </row>
    <row r="8" customFormat="false" ht="15" hidden="false" customHeight="false" outlineLevel="0" collapsed="false">
      <c r="A8" s="6"/>
      <c r="B8" s="8" t="s">
        <v>34</v>
      </c>
      <c r="C8" s="21" t="n">
        <v>0.03</v>
      </c>
      <c r="D8" s="8" t="s">
        <v>35</v>
      </c>
      <c r="E8" s="8" t="s">
        <v>36</v>
      </c>
    </row>
    <row r="9" customFormat="false" ht="15" hidden="false" customHeight="false" outlineLevel="0" collapsed="false">
      <c r="A9" s="6"/>
      <c r="B9" s="8" t="s">
        <v>37</v>
      </c>
      <c r="C9" s="20" t="n">
        <v>260000000</v>
      </c>
      <c r="D9" s="8" t="s">
        <v>32</v>
      </c>
      <c r="E9" s="8" t="s">
        <v>38</v>
      </c>
    </row>
    <row r="10" customFormat="false" ht="15" hidden="false" customHeight="false" outlineLevel="0" collapsed="false">
      <c r="A10" s="6"/>
      <c r="B10" s="8" t="s">
        <v>39</v>
      </c>
      <c r="C10" s="20" t="n">
        <v>25000000</v>
      </c>
      <c r="D10" s="8" t="s">
        <v>32</v>
      </c>
      <c r="E10" s="8" t="s">
        <v>40</v>
      </c>
    </row>
    <row r="11" customFormat="false" ht="15" hidden="false" customHeight="false" outlineLevel="0" collapsed="false">
      <c r="A11" s="6"/>
      <c r="B11" s="8" t="s">
        <v>41</v>
      </c>
      <c r="C11" s="20" t="n">
        <v>15000000</v>
      </c>
      <c r="D11" s="8" t="s">
        <v>32</v>
      </c>
      <c r="E11" s="8" t="s">
        <v>42</v>
      </c>
    </row>
    <row r="12" customFormat="false" ht="15" hidden="false" customHeight="false" outlineLevel="0" collapsed="false">
      <c r="A12" s="6"/>
      <c r="B12" s="8" t="s">
        <v>43</v>
      </c>
      <c r="C12" s="21" t="n">
        <v>0.02</v>
      </c>
      <c r="D12" s="8" t="s">
        <v>35</v>
      </c>
      <c r="E12" s="8" t="s">
        <v>44</v>
      </c>
    </row>
    <row r="13" customFormat="false" ht="15" hidden="false" customHeight="false" outlineLevel="0" collapsed="false">
      <c r="A13" s="6"/>
      <c r="B13" s="8" t="s">
        <v>45</v>
      </c>
      <c r="C13" s="21" t="n">
        <v>0.002</v>
      </c>
      <c r="D13" s="8" t="s">
        <v>35</v>
      </c>
      <c r="E13" s="8" t="s">
        <v>46</v>
      </c>
    </row>
    <row r="14" customFormat="false" ht="15" hidden="false" customHeight="false" outlineLevel="0" collapsed="false">
      <c r="A14" s="6"/>
      <c r="B14" s="18" t="s">
        <v>47</v>
      </c>
      <c r="C14" s="19"/>
      <c r="D14" s="6"/>
      <c r="E14" s="6"/>
    </row>
    <row r="15" customFormat="false" ht="15" hidden="false" customHeight="false" outlineLevel="0" collapsed="false">
      <c r="A15" s="6"/>
      <c r="B15" s="8" t="s">
        <v>48</v>
      </c>
      <c r="C15" s="20" t="n">
        <v>70000000</v>
      </c>
      <c r="D15" s="8" t="s">
        <v>32</v>
      </c>
      <c r="E15" s="8" t="s">
        <v>49</v>
      </c>
    </row>
    <row r="16" customFormat="false" ht="15" hidden="false" customHeight="false" outlineLevel="0" collapsed="false">
      <c r="A16" s="6"/>
      <c r="B16" s="8" t="s">
        <v>50</v>
      </c>
      <c r="C16" s="20" t="n">
        <v>55000000</v>
      </c>
      <c r="D16" s="8" t="s">
        <v>32</v>
      </c>
      <c r="E16" s="8" t="s">
        <v>51</v>
      </c>
    </row>
    <row r="17" customFormat="false" ht="15" hidden="false" customHeight="false" outlineLevel="0" collapsed="false">
      <c r="A17" s="6"/>
      <c r="B17" s="8" t="s">
        <v>52</v>
      </c>
      <c r="C17" s="20" t="n">
        <v>50000000</v>
      </c>
      <c r="D17" s="8" t="s">
        <v>32</v>
      </c>
      <c r="E17" s="8" t="s">
        <v>53</v>
      </c>
    </row>
    <row r="18" customFormat="false" ht="15" hidden="false" customHeight="false" outlineLevel="0" collapsed="false">
      <c r="A18" s="6"/>
      <c r="B18" s="8" t="s">
        <v>54</v>
      </c>
      <c r="C18" s="20" t="n">
        <v>45000000</v>
      </c>
      <c r="D18" s="8" t="s">
        <v>32</v>
      </c>
      <c r="E18" s="8" t="s">
        <v>55</v>
      </c>
    </row>
    <row r="19" customFormat="false" ht="15" hidden="false" customHeight="false" outlineLevel="0" collapsed="false">
      <c r="A19" s="6"/>
      <c r="B19" s="8" t="s">
        <v>56</v>
      </c>
      <c r="C19" s="20" t="n">
        <v>40000000</v>
      </c>
      <c r="D19" s="8" t="s">
        <v>32</v>
      </c>
      <c r="E19" s="8" t="s">
        <v>57</v>
      </c>
    </row>
    <row r="20" customFormat="false" ht="15" hidden="false" customHeight="false" outlineLevel="0" collapsed="false">
      <c r="A20" s="6"/>
      <c r="B20" s="8" t="s">
        <v>58</v>
      </c>
      <c r="C20" s="22" t="n">
        <v>2.5</v>
      </c>
      <c r="D20" s="8" t="s">
        <v>59</v>
      </c>
      <c r="E20" s="8" t="s">
        <v>60</v>
      </c>
    </row>
    <row r="21" customFormat="false" ht="15" hidden="false" customHeight="false" outlineLevel="0" collapsed="false">
      <c r="A21" s="6"/>
      <c r="B21" s="8" t="s">
        <v>61</v>
      </c>
      <c r="C21" s="22" t="n">
        <v>2.2</v>
      </c>
      <c r="D21" s="8" t="s">
        <v>59</v>
      </c>
      <c r="E21" s="8" t="s">
        <v>62</v>
      </c>
    </row>
    <row r="22" customFormat="false" ht="15" hidden="false" customHeight="false" outlineLevel="0" collapsed="false">
      <c r="A22" s="6"/>
      <c r="B22" s="8" t="s">
        <v>63</v>
      </c>
      <c r="C22" s="22" t="n">
        <v>2</v>
      </c>
      <c r="D22" s="8" t="s">
        <v>59</v>
      </c>
      <c r="E22" s="8" t="s">
        <v>64</v>
      </c>
    </row>
    <row r="23" customFormat="false" ht="15" hidden="false" customHeight="false" outlineLevel="0" collapsed="false">
      <c r="A23" s="6"/>
      <c r="B23" s="8" t="s">
        <v>65</v>
      </c>
      <c r="C23" s="22" t="n">
        <v>1.8</v>
      </c>
      <c r="D23" s="8" t="s">
        <v>59</v>
      </c>
      <c r="E23" s="8" t="s">
        <v>66</v>
      </c>
    </row>
    <row r="24" customFormat="false" ht="15" hidden="false" customHeight="false" outlineLevel="0" collapsed="false">
      <c r="A24" s="6"/>
      <c r="B24" s="8" t="s">
        <v>67</v>
      </c>
      <c r="C24" s="22" t="n">
        <v>2.3</v>
      </c>
      <c r="D24" s="8" t="s">
        <v>59</v>
      </c>
      <c r="E24" s="8" t="s">
        <v>68</v>
      </c>
    </row>
    <row r="25" customFormat="false" ht="15" hidden="false" customHeight="false" outlineLevel="0" collapsed="false">
      <c r="A25" s="6"/>
      <c r="B25" s="8" t="s">
        <v>69</v>
      </c>
      <c r="C25" s="23" t="n">
        <v>3</v>
      </c>
      <c r="D25" s="8" t="s">
        <v>70</v>
      </c>
      <c r="E25" s="8" t="s">
        <v>71</v>
      </c>
    </row>
    <row r="26" customFormat="false" ht="15" hidden="false" customHeight="false" outlineLevel="0" collapsed="false">
      <c r="A26" s="6"/>
      <c r="B26" s="8" t="s">
        <v>72</v>
      </c>
      <c r="C26" s="23" t="n">
        <v>4</v>
      </c>
      <c r="D26" s="8" t="s">
        <v>70</v>
      </c>
      <c r="E26" s="8" t="s">
        <v>73</v>
      </c>
    </row>
    <row r="27" customFormat="false" ht="15" hidden="false" customHeight="false" outlineLevel="0" collapsed="false">
      <c r="A27" s="6"/>
      <c r="B27" s="8" t="s">
        <v>74</v>
      </c>
      <c r="C27" s="23" t="n">
        <v>5</v>
      </c>
      <c r="D27" s="8" t="s">
        <v>70</v>
      </c>
      <c r="E27" s="8" t="s">
        <v>75</v>
      </c>
    </row>
    <row r="28" customFormat="false" ht="15" hidden="false" customHeight="false" outlineLevel="0" collapsed="false">
      <c r="A28" s="6"/>
      <c r="B28" s="8" t="s">
        <v>76</v>
      </c>
      <c r="C28" s="23" t="n">
        <v>4</v>
      </c>
      <c r="D28" s="8" t="s">
        <v>70</v>
      </c>
      <c r="E28" s="8" t="s">
        <v>77</v>
      </c>
    </row>
    <row r="29" customFormat="false" ht="15" hidden="false" customHeight="false" outlineLevel="0" collapsed="false">
      <c r="A29" s="6"/>
      <c r="B29" s="8" t="s">
        <v>78</v>
      </c>
      <c r="C29" s="23" t="n">
        <v>2</v>
      </c>
      <c r="D29" s="8" t="s">
        <v>70</v>
      </c>
      <c r="E29" s="8" t="s">
        <v>79</v>
      </c>
    </row>
    <row r="30" customFormat="false" ht="15" hidden="false" customHeight="false" outlineLevel="0" collapsed="false">
      <c r="A30" s="6"/>
      <c r="B30" s="8" t="s">
        <v>80</v>
      </c>
      <c r="C30" s="21" t="n">
        <v>0.15</v>
      </c>
      <c r="D30" s="8" t="s">
        <v>35</v>
      </c>
      <c r="E30" s="8" t="s">
        <v>81</v>
      </c>
    </row>
    <row r="31" customFormat="false" ht="15" hidden="false" customHeight="false" outlineLevel="0" collapsed="false">
      <c r="A31" s="6"/>
      <c r="B31" s="18" t="s">
        <v>82</v>
      </c>
      <c r="C31" s="19"/>
      <c r="D31" s="6"/>
      <c r="E31" s="6"/>
    </row>
    <row r="32" customFormat="false" ht="15" hidden="false" customHeight="false" outlineLevel="0" collapsed="false">
      <c r="A32" s="6"/>
      <c r="B32" s="8" t="s">
        <v>83</v>
      </c>
      <c r="C32" s="21" t="n">
        <v>0.0175</v>
      </c>
      <c r="D32" s="8" t="s">
        <v>35</v>
      </c>
      <c r="E32" s="8" t="s">
        <v>84</v>
      </c>
    </row>
    <row r="33" customFormat="false" ht="15" hidden="false" customHeight="false" outlineLevel="0" collapsed="false">
      <c r="A33" s="6"/>
      <c r="B33" s="8" t="s">
        <v>85</v>
      </c>
      <c r="C33" s="21" t="n">
        <v>0.0125</v>
      </c>
      <c r="D33" s="8" t="s">
        <v>35</v>
      </c>
      <c r="E33" s="8" t="s">
        <v>86</v>
      </c>
    </row>
    <row r="34" customFormat="false" ht="15" hidden="false" customHeight="false" outlineLevel="0" collapsed="false">
      <c r="A34" s="6"/>
      <c r="B34" s="8" t="s">
        <v>87</v>
      </c>
      <c r="C34" s="21" t="n">
        <v>0.08</v>
      </c>
      <c r="D34" s="8" t="s">
        <v>35</v>
      </c>
      <c r="E34" s="8" t="s">
        <v>88</v>
      </c>
    </row>
    <row r="35" customFormat="false" ht="15" hidden="false" customHeight="false" outlineLevel="0" collapsed="false">
      <c r="A35" s="6"/>
      <c r="B35" s="8" t="s">
        <v>89</v>
      </c>
      <c r="C35" s="21" t="n">
        <v>0.2</v>
      </c>
      <c r="D35" s="8" t="s">
        <v>35</v>
      </c>
      <c r="E35" s="8" t="s">
        <v>90</v>
      </c>
    </row>
    <row r="36" customFormat="false" ht="15" hidden="false" customHeight="false" outlineLevel="0" collapsed="false">
      <c r="A36" s="6"/>
      <c r="B36" s="8" t="s">
        <v>91</v>
      </c>
      <c r="C36" s="21" t="n">
        <v>1</v>
      </c>
      <c r="D36" s="8" t="s">
        <v>35</v>
      </c>
      <c r="E36" s="8" t="s">
        <v>92</v>
      </c>
    </row>
    <row r="37" customFormat="false" ht="15" hidden="false" customHeight="false" outlineLevel="0" collapsed="false">
      <c r="A37" s="6"/>
      <c r="B37" s="18" t="s">
        <v>93</v>
      </c>
      <c r="C37" s="19"/>
      <c r="D37" s="6"/>
      <c r="E37" s="6"/>
    </row>
    <row r="38" customFormat="false" ht="15" hidden="false" customHeight="false" outlineLevel="0" collapsed="false">
      <c r="A38" s="6"/>
      <c r="B38" s="8" t="s">
        <v>94</v>
      </c>
      <c r="C38" s="21" t="n">
        <v>0.87</v>
      </c>
      <c r="D38" s="8" t="s">
        <v>35</v>
      </c>
      <c r="E38" s="8" t="s">
        <v>95</v>
      </c>
    </row>
    <row r="39" customFormat="false" ht="15" hidden="false" customHeight="false" outlineLevel="0" collapsed="false">
      <c r="A39" s="6"/>
      <c r="B39" s="8" t="s">
        <v>96</v>
      </c>
      <c r="C39" s="21" t="n">
        <v>0.05</v>
      </c>
      <c r="D39" s="8" t="s">
        <v>35</v>
      </c>
      <c r="E39" s="8" t="s">
        <v>97</v>
      </c>
    </row>
    <row r="40" customFormat="false" ht="15" hidden="false" customHeight="false" outlineLevel="0" collapsed="false">
      <c r="A40" s="6"/>
      <c r="B40" s="8" t="s">
        <v>98</v>
      </c>
      <c r="C40" s="21" t="n">
        <v>0.03</v>
      </c>
      <c r="D40" s="8" t="s">
        <v>35</v>
      </c>
      <c r="E40" s="8" t="s">
        <v>99</v>
      </c>
    </row>
    <row r="41" customFormat="false" ht="15" hidden="false" customHeight="false" outlineLevel="0" collapsed="false">
      <c r="A41" s="6"/>
      <c r="B41" s="8" t="s">
        <v>100</v>
      </c>
      <c r="C41" s="21" t="n">
        <v>0.03</v>
      </c>
      <c r="D41" s="8" t="s">
        <v>35</v>
      </c>
      <c r="E41" s="8" t="s">
        <v>101</v>
      </c>
    </row>
    <row r="42" customFormat="false" ht="15" hidden="false" customHeight="false" outlineLevel="0" collapsed="false">
      <c r="A42" s="6"/>
      <c r="B42" s="8" t="s">
        <v>102</v>
      </c>
      <c r="C42" s="21" t="n">
        <v>0.02</v>
      </c>
      <c r="D42" s="8" t="s">
        <v>35</v>
      </c>
      <c r="E42" s="8" t="s">
        <v>103</v>
      </c>
    </row>
    <row r="43" customFormat="false" ht="15" hidden="false" customHeight="false" outlineLevel="0" collapsed="false">
      <c r="A43" s="6"/>
      <c r="B43" s="7" t="s">
        <v>104</v>
      </c>
      <c r="C43" s="24" t="n">
        <f aca="false">Call_Pct_Y1+Call_Pct_Y2+Call_Pct_Y3+Call_Pct_Y4+Call_Pct_Y5</f>
        <v>1</v>
      </c>
      <c r="D43" s="8" t="s">
        <v>35</v>
      </c>
      <c r="E43" s="8" t="s">
        <v>105</v>
      </c>
    </row>
    <row r="44" customFormat="false" ht="15" hidden="false" customHeight="false" outlineLevel="0" collapsed="false">
      <c r="A44" s="6"/>
      <c r="B44" s="7" t="s">
        <v>106</v>
      </c>
      <c r="C44" s="25" t="n">
        <f aca="false">Asset_1_EV+Asset_2_EV+Asset_3_EV+Asset_4_EV+Asset_5_EV</f>
        <v>260000000</v>
      </c>
      <c r="D44" s="6"/>
      <c r="E44" s="8" t="s">
        <v>107</v>
      </c>
    </row>
    <row r="45" customFormat="false" ht="15" hidden="false" customHeight="false" outlineLevel="0" collapsed="false">
      <c r="A45" s="6"/>
      <c r="B45" s="7" t="s">
        <v>108</v>
      </c>
      <c r="C45" s="25" t="n">
        <f aca="false">Fund_Size-Transfer_Price-Follow_On_Reserve-Fee_Buffer</f>
        <v>0</v>
      </c>
      <c r="D45" s="6"/>
      <c r="E45" s="8" t="s">
        <v>109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110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111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8" t="s">
        <v>112</v>
      </c>
      <c r="C4" s="26" t="s">
        <v>113</v>
      </c>
      <c r="D4" s="26" t="s">
        <v>114</v>
      </c>
      <c r="E4" s="26" t="s">
        <v>115</v>
      </c>
      <c r="F4" s="26" t="s">
        <v>116</v>
      </c>
      <c r="G4" s="26" t="s">
        <v>117</v>
      </c>
    </row>
    <row r="5" customFormat="false" ht="15" hidden="false" customHeight="false" outlineLevel="0" collapsed="false">
      <c r="A5" s="6"/>
      <c r="B5" s="27" t="s">
        <v>118</v>
      </c>
      <c r="C5" s="28" t="n">
        <f aca="false">IF(1=Asset_1_ExitYr,Asset_1_EV*Asset_1_Mult,0)</f>
        <v>0</v>
      </c>
      <c r="D5" s="28" t="n">
        <f aca="false">IF(2=Asset_1_ExitYr,Asset_1_EV*Asset_1_Mult,0)</f>
        <v>0</v>
      </c>
      <c r="E5" s="28" t="n">
        <f aca="false">IF(3=Asset_1_ExitYr,Asset_1_EV*Asset_1_Mult,0)</f>
        <v>175000000</v>
      </c>
      <c r="F5" s="28" t="n">
        <f aca="false">IF(4=Asset_1_ExitYr,Asset_1_EV*Asset_1_Mult,0)</f>
        <v>0</v>
      </c>
      <c r="G5" s="28" t="n">
        <f aca="false">IF(5=Asset_1_ExitYr,Asset_1_EV*Asset_1_Mult,0)</f>
        <v>0</v>
      </c>
    </row>
    <row r="6" customFormat="false" ht="15" hidden="false" customHeight="false" outlineLevel="0" collapsed="false">
      <c r="A6" s="6"/>
      <c r="B6" s="27" t="s">
        <v>119</v>
      </c>
      <c r="C6" s="28" t="n">
        <f aca="false">IF(1=Asset_2_ExitYr,Asset_2_EV*Asset_2_Mult,0)</f>
        <v>0</v>
      </c>
      <c r="D6" s="28" t="n">
        <f aca="false">IF(2=Asset_2_ExitYr,Asset_2_EV*Asset_2_Mult,0)</f>
        <v>0</v>
      </c>
      <c r="E6" s="28" t="n">
        <f aca="false">IF(3=Asset_2_ExitYr,Asset_2_EV*Asset_2_Mult,0)</f>
        <v>0</v>
      </c>
      <c r="F6" s="28" t="n">
        <f aca="false">IF(4=Asset_2_ExitYr,Asset_2_EV*Asset_2_Mult,0)</f>
        <v>121000000</v>
      </c>
      <c r="G6" s="28" t="n">
        <f aca="false">IF(5=Asset_2_ExitYr,Asset_2_EV*Asset_2_Mult,0)</f>
        <v>0</v>
      </c>
    </row>
    <row r="7" customFormat="false" ht="15" hidden="false" customHeight="false" outlineLevel="0" collapsed="false">
      <c r="A7" s="6"/>
      <c r="B7" s="27" t="s">
        <v>120</v>
      </c>
      <c r="C7" s="28" t="n">
        <f aca="false">IF(1=Asset_3_ExitYr,Asset_3_EV*Asset_3_Mult,0)</f>
        <v>0</v>
      </c>
      <c r="D7" s="28" t="n">
        <f aca="false">IF(2=Asset_3_ExitYr,Asset_3_EV*Asset_3_Mult,0)</f>
        <v>0</v>
      </c>
      <c r="E7" s="28" t="n">
        <f aca="false">IF(3=Asset_3_ExitYr,Asset_3_EV*Asset_3_Mult,0)</f>
        <v>0</v>
      </c>
      <c r="F7" s="28" t="n">
        <f aca="false">IF(4=Asset_3_ExitYr,Asset_3_EV*Asset_3_Mult,0)</f>
        <v>0</v>
      </c>
      <c r="G7" s="28" t="n">
        <f aca="false">IF(5=Asset_3_ExitYr,Asset_3_EV*Asset_3_Mult,0)</f>
        <v>100000000</v>
      </c>
    </row>
    <row r="8" customFormat="false" ht="15" hidden="false" customHeight="false" outlineLevel="0" collapsed="false">
      <c r="A8" s="6"/>
      <c r="B8" s="27" t="s">
        <v>121</v>
      </c>
      <c r="C8" s="28" t="n">
        <f aca="false">IF(1=Asset_4_ExitYr,Asset_4_EV*Asset_4_Mult,0)</f>
        <v>0</v>
      </c>
      <c r="D8" s="28" t="n">
        <f aca="false">IF(2=Asset_4_ExitYr,Asset_4_EV*Asset_4_Mult,0)</f>
        <v>0</v>
      </c>
      <c r="E8" s="28" t="n">
        <f aca="false">IF(3=Asset_4_ExitYr,Asset_4_EV*Asset_4_Mult,0)</f>
        <v>0</v>
      </c>
      <c r="F8" s="28" t="n">
        <f aca="false">IF(4=Asset_4_ExitYr,Asset_4_EV*Asset_4_Mult,0)</f>
        <v>81000000</v>
      </c>
      <c r="G8" s="28" t="n">
        <f aca="false">IF(5=Asset_4_ExitYr,Asset_4_EV*Asset_4_Mult,0)</f>
        <v>0</v>
      </c>
    </row>
    <row r="9" customFormat="false" ht="15" hidden="false" customHeight="false" outlineLevel="0" collapsed="false">
      <c r="A9" s="6"/>
      <c r="B9" s="27" t="s">
        <v>122</v>
      </c>
      <c r="C9" s="28" t="n">
        <f aca="false">IF(1=Asset_5_ExitYr,Asset_5_EV*Asset_5_Mult,0)</f>
        <v>0</v>
      </c>
      <c r="D9" s="28" t="n">
        <f aca="false">IF(2=Asset_5_ExitYr,Asset_5_EV*Asset_5_Mult,0)</f>
        <v>92000000</v>
      </c>
      <c r="E9" s="28" t="n">
        <f aca="false">IF(3=Asset_5_ExitYr,Asset_5_EV*Asset_5_Mult,0)</f>
        <v>0</v>
      </c>
      <c r="F9" s="28" t="n">
        <f aca="false">IF(4=Asset_5_ExitYr,Asset_5_EV*Asset_5_Mult,0)</f>
        <v>0</v>
      </c>
      <c r="G9" s="28" t="n">
        <f aca="false">IF(5=Asset_5_ExitYr,Asset_5_EV*Asset_5_Mult,0)</f>
        <v>0</v>
      </c>
    </row>
    <row r="10" customFormat="false" ht="15" hidden="false" customHeight="false" outlineLevel="0" collapsed="false">
      <c r="A10" s="6"/>
      <c r="B10" s="29" t="s">
        <v>123</v>
      </c>
      <c r="C10" s="30" t="n">
        <f aca="false">C5+C6+C7+C8+C9</f>
        <v>0</v>
      </c>
      <c r="D10" s="30" t="n">
        <f aca="false">D5+D6+D7+D8+D9</f>
        <v>92000000</v>
      </c>
      <c r="E10" s="30" t="n">
        <f aca="false">E5+E6+E7+E8+E9</f>
        <v>175000000</v>
      </c>
      <c r="F10" s="30" t="n">
        <f aca="false">F5+F6+F7+F8+F9</f>
        <v>202000000</v>
      </c>
      <c r="G10" s="30" t="n">
        <f aca="false">G5+G6+G7+G8+G9</f>
        <v>100000000</v>
      </c>
    </row>
    <row r="11" customFormat="false" ht="15" hidden="false" customHeight="false" outlineLevel="0" collapsed="false">
      <c r="A11" s="6"/>
      <c r="B11" s="18" t="s">
        <v>124</v>
      </c>
      <c r="C11" s="19"/>
      <c r="D11" s="19"/>
      <c r="E11" s="19"/>
      <c r="F11" s="19"/>
      <c r="G11" s="19"/>
    </row>
    <row r="12" customFormat="false" ht="15" hidden="false" customHeight="false" outlineLevel="0" collapsed="false">
      <c r="A12" s="6"/>
      <c r="B12" s="27" t="s">
        <v>124</v>
      </c>
      <c r="C12" s="28" t="n">
        <f aca="false">C10*(1-Txn_Cost_Pct)</f>
        <v>0</v>
      </c>
      <c r="D12" s="28" t="n">
        <f aca="false">D10*(1-Txn_Cost_Pct)</f>
        <v>90160000</v>
      </c>
      <c r="E12" s="28" t="n">
        <f aca="false">E10*(1-Txn_Cost_Pct)</f>
        <v>171500000</v>
      </c>
      <c r="F12" s="28" t="n">
        <f aca="false">F10*(1-Txn_Cost_Pct)</f>
        <v>197960000</v>
      </c>
      <c r="G12" s="28" t="n">
        <f aca="false">G10*(1-Txn_Cost_Pct)</f>
        <v>98000000</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18" t="s">
        <v>125</v>
      </c>
      <c r="C14" s="19"/>
      <c r="D14" s="19"/>
      <c r="E14" s="19"/>
      <c r="F14" s="19"/>
      <c r="G14" s="19"/>
    </row>
    <row r="15" customFormat="false" ht="15" hidden="false" customHeight="false" outlineLevel="0" collapsed="false">
      <c r="A15" s="6"/>
      <c r="B15" s="8" t="s">
        <v>126</v>
      </c>
      <c r="C15" s="28" t="n">
        <f aca="false">Transfer_Price</f>
        <v>260000000</v>
      </c>
      <c r="D15" s="28" t="n">
        <f aca="false">C19</f>
        <v>299000000</v>
      </c>
      <c r="E15" s="28" t="n">
        <f aca="false">D19</f>
        <v>312225000</v>
      </c>
      <c r="F15" s="28" t="n">
        <f aca="false">E19</f>
        <v>292933750</v>
      </c>
      <c r="G15" s="28" t="n">
        <f aca="false">F19</f>
        <v>221873812.5</v>
      </c>
    </row>
    <row r="16" customFormat="false" ht="15" hidden="false" customHeight="false" outlineLevel="0" collapsed="false">
      <c r="A16" s="6"/>
      <c r="B16" s="8" t="s">
        <v>127</v>
      </c>
      <c r="C16" s="28" t="n">
        <f aca="false">-(IF(1=Asset_1_ExitYr,Asset_1_EV,0)+IF(1=Asset_2_ExitYr,Asset_2_EV,0)+IF(1=Asset_3_ExitYr,Asset_3_EV,0)+IF(1=Asset_4_ExitYr,Asset_4_EV,0)+IF(1=Asset_5_ExitYr,Asset_5_EV,0))</f>
        <v>-0</v>
      </c>
      <c r="D16" s="28" t="n">
        <f aca="false">-(IF(2=Asset_1_ExitYr,Asset_1_EV,0)+IF(2=Asset_2_ExitYr,Asset_2_EV,0)+IF(2=Asset_3_ExitYr,Asset_3_EV,0)+IF(2=Asset_4_ExitYr,Asset_4_EV,0)+IF(2=Asset_5_ExitYr,Asset_5_EV,0))</f>
        <v>-40000000</v>
      </c>
      <c r="E16" s="28" t="n">
        <f aca="false">-(IF(3=Asset_1_ExitYr,Asset_1_EV,0)+IF(3=Asset_2_ExitYr,Asset_2_EV,0)+IF(3=Asset_3_ExitYr,Asset_3_EV,0)+IF(3=Asset_4_ExitYr,Asset_4_EV,0)+IF(3=Asset_5_ExitYr,Asset_5_EV,0))</f>
        <v>-70000000</v>
      </c>
      <c r="F16" s="28" t="n">
        <f aca="false">-(IF(4=Asset_1_ExitYr,Asset_1_EV,0)+IF(4=Asset_2_ExitYr,Asset_2_EV,0)+IF(4=Asset_3_ExitYr,Asset_3_EV,0)+IF(4=Asset_4_ExitYr,Asset_4_EV,0)+IF(4=Asset_5_ExitYr,Asset_5_EV,0))</f>
        <v>-100000000</v>
      </c>
      <c r="G16" s="28" t="n">
        <f aca="false">-(IF(5=Asset_1_ExitYr,Asset_1_EV,0)+IF(5=Asset_2_ExitYr,Asset_2_EV,0)+IF(5=Asset_3_ExitYr,Asset_3_EV,0)+IF(5=Asset_4_ExitYr,Asset_4_EV,0)+IF(5=Asset_5_ExitYr,Asset_5_EV,0))</f>
        <v>-50000000</v>
      </c>
    </row>
    <row r="17" customFormat="false" ht="15" hidden="false" customHeight="false" outlineLevel="0" collapsed="false">
      <c r="A17" s="6"/>
      <c r="B17" s="8" t="s">
        <v>128</v>
      </c>
      <c r="C17" s="28" t="n">
        <f aca="false">0</f>
        <v>0</v>
      </c>
      <c r="D17" s="28" t="n">
        <f aca="false">MIN(Follow_On_Reserve*0.5,Fund_Cash_Flows!D6)</f>
        <v>12500000</v>
      </c>
      <c r="E17" s="28" t="n">
        <f aca="false">MIN(Follow_On_Reserve*0.5,Fund_Cash_Flows!E6)</f>
        <v>12500000</v>
      </c>
      <c r="F17" s="28" t="n">
        <f aca="false">0</f>
        <v>0</v>
      </c>
      <c r="G17" s="28" t="n">
        <f aca="false">0</f>
        <v>0</v>
      </c>
    </row>
    <row r="18" customFormat="false" ht="15" hidden="false" customHeight="false" outlineLevel="0" collapsed="false">
      <c r="A18" s="6"/>
      <c r="B18" s="27" t="s">
        <v>129</v>
      </c>
      <c r="C18" s="28" t="n">
        <f aca="false">(C15+C16+C17)*Appreciation_Rate</f>
        <v>39000000</v>
      </c>
      <c r="D18" s="28" t="n">
        <f aca="false">(D15+D16+D17)*Appreciation_Rate</f>
        <v>40725000</v>
      </c>
      <c r="E18" s="28" t="n">
        <f aca="false">(E15+E16+E17)*Appreciation_Rate</f>
        <v>38208750</v>
      </c>
      <c r="F18" s="28" t="n">
        <f aca="false">(F15+F16+F17)*Appreciation_Rate</f>
        <v>28940062.5</v>
      </c>
      <c r="G18" s="28" t="n">
        <f aca="false">(G15+G16+G17)*Appreciation_Rate</f>
        <v>25781071.875</v>
      </c>
    </row>
    <row r="19" customFormat="false" ht="15" hidden="false" customHeight="false" outlineLevel="0" collapsed="false">
      <c r="A19" s="6"/>
      <c r="B19" s="29" t="s">
        <v>130</v>
      </c>
      <c r="C19" s="30" t="n">
        <f aca="false">C15+C16+C17+C18</f>
        <v>299000000</v>
      </c>
      <c r="D19" s="30" t="n">
        <f aca="false">D15+D16+D17+D18</f>
        <v>312225000</v>
      </c>
      <c r="E19" s="30" t="n">
        <f aca="false">E15+E16+E17+E18</f>
        <v>292933750</v>
      </c>
      <c r="F19" s="30" t="n">
        <f aca="false">F15+F16+F17+F18</f>
        <v>221873812.5</v>
      </c>
      <c r="G19" s="30" t="n">
        <f aca="false">G15+G16+G17+G18</f>
        <v>197654884.375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131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132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8" t="s">
        <v>133</v>
      </c>
      <c r="C4" s="26" t="s">
        <v>113</v>
      </c>
      <c r="D4" s="26" t="s">
        <v>114</v>
      </c>
      <c r="E4" s="26" t="s">
        <v>115</v>
      </c>
      <c r="F4" s="26" t="s">
        <v>116</v>
      </c>
      <c r="G4" s="26" t="s">
        <v>117</v>
      </c>
    </row>
    <row r="5" customFormat="false" ht="15" hidden="false" customHeight="false" outlineLevel="0" collapsed="false">
      <c r="A5" s="6"/>
      <c r="B5" s="8" t="s">
        <v>134</v>
      </c>
      <c r="C5" s="28" t="n">
        <f aca="false">Fund_Size*Call_Pct_Y1</f>
        <v>261000000</v>
      </c>
      <c r="D5" s="28" t="n">
        <f aca="false">Fund_Size*Call_Pct_Y2</f>
        <v>15000000</v>
      </c>
      <c r="E5" s="28" t="n">
        <f aca="false">Fund_Size*Call_Pct_Y3</f>
        <v>9000000</v>
      </c>
      <c r="F5" s="28" t="n">
        <f aca="false">Fund_Size*Call_Pct_Y4</f>
        <v>9000000</v>
      </c>
      <c r="G5" s="28" t="n">
        <f aca="false">Fund_Size*Call_Pct_Y5</f>
        <v>6000000</v>
      </c>
    </row>
    <row r="6" customFormat="false" ht="15" hidden="false" customHeight="false" outlineLevel="0" collapsed="false">
      <c r="A6" s="6"/>
      <c r="B6" s="8" t="s">
        <v>135</v>
      </c>
      <c r="C6" s="28" t="n">
        <f aca="false">Fund_Size</f>
        <v>300000000</v>
      </c>
      <c r="D6" s="28" t="n">
        <f aca="false">Fund_Size-C8</f>
        <v>39000000</v>
      </c>
      <c r="E6" s="28" t="n">
        <f aca="false">Fund_Size-D8</f>
        <v>24000000</v>
      </c>
      <c r="F6" s="28" t="n">
        <f aca="false">Fund_Size-E8</f>
        <v>15000000</v>
      </c>
      <c r="G6" s="28" t="n">
        <f aca="false">Fund_Size-F8</f>
        <v>6000000</v>
      </c>
    </row>
    <row r="7" customFormat="false" ht="15" hidden="false" customHeight="false" outlineLevel="0" collapsed="false">
      <c r="A7" s="6"/>
      <c r="B7" s="27" t="s">
        <v>136</v>
      </c>
      <c r="C7" s="28" t="n">
        <f aca="false">MIN(C5,C6)</f>
        <v>261000000</v>
      </c>
      <c r="D7" s="28" t="n">
        <f aca="false">MIN(D5,D6)</f>
        <v>15000000</v>
      </c>
      <c r="E7" s="28" t="n">
        <f aca="false">MIN(E5,E6)</f>
        <v>9000000</v>
      </c>
      <c r="F7" s="28" t="n">
        <f aca="false">MIN(F5,F6)</f>
        <v>9000000</v>
      </c>
      <c r="G7" s="28" t="n">
        <f aca="false">MIN(G5,G6)</f>
        <v>6000000</v>
      </c>
    </row>
    <row r="8" customFormat="false" ht="15" hidden="false" customHeight="false" outlineLevel="0" collapsed="false">
      <c r="A8" s="6"/>
      <c r="B8" s="8" t="s">
        <v>137</v>
      </c>
      <c r="C8" s="28" t="n">
        <f aca="false">C7</f>
        <v>261000000</v>
      </c>
      <c r="D8" s="28" t="n">
        <f aca="false">C8+D7</f>
        <v>276000000</v>
      </c>
      <c r="E8" s="28" t="n">
        <f aca="false">D8+E7</f>
        <v>285000000</v>
      </c>
      <c r="F8" s="28" t="n">
        <f aca="false">E8+F7</f>
        <v>294000000</v>
      </c>
      <c r="G8" s="28" t="n">
        <f aca="false">F8+G7</f>
        <v>300000000</v>
      </c>
    </row>
    <row r="9" customFormat="false" ht="15" hidden="false" customHeight="false" outlineLevel="0" collapsed="false">
      <c r="A9" s="6"/>
      <c r="B9" s="27" t="s">
        <v>138</v>
      </c>
      <c r="C9" s="28" t="n">
        <f aca="false">Fund_Size-C8</f>
        <v>39000000</v>
      </c>
      <c r="D9" s="28" t="n">
        <f aca="false">Fund_Size-D8</f>
        <v>24000000</v>
      </c>
      <c r="E9" s="28" t="n">
        <f aca="false">Fund_Size-E8</f>
        <v>15000000</v>
      </c>
      <c r="F9" s="28" t="n">
        <f aca="false">Fund_Size-F8</f>
        <v>6000000</v>
      </c>
      <c r="G9" s="28" t="n">
        <f aca="false">Fund_Size-G8</f>
        <v>0</v>
      </c>
    </row>
    <row r="10" customFormat="false" ht="15" hidden="false" customHeight="false" outlineLevel="0" collapsed="false">
      <c r="A10" s="6"/>
      <c r="B10" s="6"/>
      <c r="C10" s="6"/>
      <c r="D10" s="6"/>
      <c r="E10" s="6"/>
      <c r="F10" s="6"/>
      <c r="G10" s="6"/>
    </row>
    <row r="11" customFormat="false" ht="15" hidden="false" customHeight="false" outlineLevel="0" collapsed="false">
      <c r="A11" s="6"/>
      <c r="B11" s="18" t="s">
        <v>139</v>
      </c>
      <c r="C11" s="19"/>
      <c r="D11" s="19"/>
      <c r="E11" s="19"/>
      <c r="F11" s="19"/>
      <c r="G11" s="19"/>
    </row>
    <row r="12" customFormat="false" ht="15" hidden="false" customHeight="false" outlineLevel="0" collapsed="false">
      <c r="A12" s="6"/>
      <c r="B12" s="8" t="s">
        <v>140</v>
      </c>
      <c r="C12" s="28" t="n">
        <f aca="false">-(Fund_Size*Inv_Period_Fee_Rate)</f>
        <v>-5250000</v>
      </c>
      <c r="D12" s="28" t="n">
        <f aca="false">-(Fund_Size*Inv_Period_Fee_Rate)</f>
        <v>-5250000</v>
      </c>
      <c r="E12" s="28" t="n">
        <f aca="false">-(Portfolio!D19*Post_Inv_Fee_Rate)</f>
        <v>-3902812.5</v>
      </c>
      <c r="F12" s="28" t="n">
        <f aca="false">-(Portfolio!E19*Post_Inv_Fee_Rate)</f>
        <v>-3661671.875</v>
      </c>
      <c r="G12" s="28" t="n">
        <f aca="false">-(Portfolio!F19*Post_Inv_Fee_Rate)</f>
        <v>-2773422.65625</v>
      </c>
    </row>
    <row r="13" customFormat="false" ht="15" hidden="false" customHeight="false" outlineLevel="0" collapsed="false">
      <c r="A13" s="6"/>
      <c r="B13" s="27" t="s">
        <v>141</v>
      </c>
      <c r="C13" s="28" t="n">
        <f aca="false">-(Fund_Size*Admin_Cost_Pct)</f>
        <v>-600000</v>
      </c>
      <c r="D13" s="28" t="n">
        <f aca="false">-(Fund_Size*Admin_Cost_Pct)</f>
        <v>-600000</v>
      </c>
      <c r="E13" s="28" t="n">
        <f aca="false">-(Fund_Size*Admin_Cost_Pct)</f>
        <v>-600000</v>
      </c>
      <c r="F13" s="28" t="n">
        <f aca="false">-(Fund_Size*Admin_Cost_Pct)</f>
        <v>-600000</v>
      </c>
      <c r="G13" s="28" t="n">
        <f aca="false">-(Fund_Size*Admin_Cost_Pct)</f>
        <v>-600000</v>
      </c>
    </row>
    <row r="14" customFormat="false" ht="15" hidden="false" customHeight="false" outlineLevel="0" collapsed="false">
      <c r="A14" s="6"/>
      <c r="B14" s="29" t="s">
        <v>142</v>
      </c>
      <c r="C14" s="30" t="n">
        <f aca="false">C12+C13</f>
        <v>-5850000</v>
      </c>
      <c r="D14" s="30" t="n">
        <f aca="false">D12+D13</f>
        <v>-5850000</v>
      </c>
      <c r="E14" s="30" t="n">
        <f aca="false">E12+E13</f>
        <v>-4502812.5</v>
      </c>
      <c r="F14" s="30" t="n">
        <f aca="false">F12+F13</f>
        <v>-4261671.875</v>
      </c>
      <c r="G14" s="30" t="n">
        <f aca="false">G12+G13</f>
        <v>-3373422.65625</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18" t="s">
        <v>143</v>
      </c>
      <c r="C16" s="19"/>
      <c r="D16" s="19"/>
      <c r="E16" s="19"/>
      <c r="F16" s="19"/>
      <c r="G16" s="19"/>
    </row>
    <row r="17" customFormat="false" ht="15" hidden="false" customHeight="false" outlineLevel="0" collapsed="false">
      <c r="A17" s="6"/>
      <c r="B17" s="27" t="s">
        <v>144</v>
      </c>
      <c r="C17" s="28" t="n">
        <f aca="false">Portfolio!C10</f>
        <v>0</v>
      </c>
      <c r="D17" s="28" t="n">
        <f aca="false">Portfolio!D10</f>
        <v>92000000</v>
      </c>
      <c r="E17" s="28" t="n">
        <f aca="false">Portfolio!E10</f>
        <v>175000000</v>
      </c>
      <c r="F17" s="28" t="n">
        <f aca="false">Portfolio!F10</f>
        <v>202000000</v>
      </c>
      <c r="G17" s="28" t="n">
        <f aca="false">Portfolio!G10</f>
        <v>100000000</v>
      </c>
    </row>
    <row r="18" customFormat="false" ht="15" hidden="false" customHeight="false" outlineLevel="0" collapsed="false">
      <c r="A18" s="6"/>
      <c r="B18" s="27" t="s">
        <v>145</v>
      </c>
      <c r="C18" s="28" t="n">
        <f aca="false">-(Portfolio!C10*Txn_Cost_Pct)</f>
        <v>-0</v>
      </c>
      <c r="D18" s="28" t="n">
        <f aca="false">-(Portfolio!D10*Txn_Cost_Pct)</f>
        <v>-1840000</v>
      </c>
      <c r="E18" s="28" t="n">
        <f aca="false">-(Portfolio!E10*Txn_Cost_Pct)</f>
        <v>-3500000</v>
      </c>
      <c r="F18" s="28" t="n">
        <f aca="false">-(Portfolio!F10*Txn_Cost_Pct)</f>
        <v>-4040000</v>
      </c>
      <c r="G18" s="28" t="n">
        <f aca="false">-(Portfolio!G10*Txn_Cost_Pct)</f>
        <v>-2000000</v>
      </c>
    </row>
    <row r="19" customFormat="false" ht="15" hidden="false" customHeight="false" outlineLevel="0" collapsed="false">
      <c r="A19" s="6"/>
      <c r="B19" s="29" t="s">
        <v>146</v>
      </c>
      <c r="C19" s="30" t="n">
        <f aca="false">C17+C18+C14</f>
        <v>-5850000</v>
      </c>
      <c r="D19" s="30" t="n">
        <f aca="false">D17+D18+D14</f>
        <v>84310000</v>
      </c>
      <c r="E19" s="30" t="n">
        <f aca="false">E17+E18+E14</f>
        <v>166997187.5</v>
      </c>
      <c r="F19" s="30" t="n">
        <f aca="false">F17+F18+F14</f>
        <v>193698328.125</v>
      </c>
      <c r="G19" s="30" t="n">
        <f aca="false">G17+G18+G14</f>
        <v>94626577.34375</v>
      </c>
    </row>
    <row r="20" customFormat="false" ht="15" hidden="false" customHeight="false" outlineLevel="0" collapsed="false">
      <c r="A20" s="6"/>
      <c r="B20" s="18" t="s">
        <v>147</v>
      </c>
      <c r="C20" s="19"/>
      <c r="D20" s="19"/>
      <c r="E20" s="19"/>
      <c r="F20" s="19"/>
      <c r="G20" s="19"/>
    </row>
    <row r="21" customFormat="false" ht="15" hidden="false" customHeight="false" outlineLevel="0" collapsed="false">
      <c r="A21" s="6"/>
      <c r="B21" s="27" t="s">
        <v>148</v>
      </c>
      <c r="C21" s="28" t="n">
        <f aca="false">-(C7*(1-GP_Commit_Pct))</f>
        <v>-253170000</v>
      </c>
      <c r="D21" s="28" t="n">
        <f aca="false">-(D7*(1-GP_Commit_Pct))</f>
        <v>-14550000</v>
      </c>
      <c r="E21" s="28" t="n">
        <f aca="false">-(E7*(1-GP_Commit_Pct))</f>
        <v>-8730000</v>
      </c>
      <c r="F21" s="28" t="n">
        <f aca="false">-(F7*(1-GP_Commit_Pct))</f>
        <v>-8730000</v>
      </c>
      <c r="G21" s="28" t="n">
        <f aca="false">-(G7*(1-GP_Commit_Pct))</f>
        <v>-5820000</v>
      </c>
    </row>
    <row r="22" customFormat="false" ht="15" hidden="false" customHeight="false" outlineLevel="0" collapsed="false">
      <c r="A22" s="6"/>
      <c r="B22" s="27" t="s">
        <v>149</v>
      </c>
      <c r="C22" s="28" t="n">
        <f aca="false">-(C7*GP_Commit_Pct)</f>
        <v>-7830000</v>
      </c>
      <c r="D22" s="28" t="n">
        <f aca="false">-(D7*GP_Commit_Pct)</f>
        <v>-450000</v>
      </c>
      <c r="E22" s="28" t="n">
        <f aca="false">-(E7*GP_Commit_Pct)</f>
        <v>-270000</v>
      </c>
      <c r="F22" s="28" t="n">
        <f aca="false">-(F7*GP_Commit_Pct)</f>
        <v>-270000</v>
      </c>
      <c r="G22" s="28" t="n">
        <f aca="false">-(G7*GP_Commit_Pct)</f>
        <v>-180000</v>
      </c>
    </row>
    <row r="23" customFormat="false" ht="15" hidden="false" customHeight="false" outlineLevel="0" collapsed="false">
      <c r="A23" s="6"/>
      <c r="B23" s="29" t="s">
        <v>150</v>
      </c>
      <c r="C23" s="30" t="n">
        <f aca="false">C21+C22</f>
        <v>-261000000</v>
      </c>
      <c r="D23" s="30" t="n">
        <f aca="false">D21+D22</f>
        <v>-15000000</v>
      </c>
      <c r="E23" s="30" t="n">
        <f aca="false">E21+E22</f>
        <v>-9000000</v>
      </c>
      <c r="F23" s="30" t="n">
        <f aca="false">F21+F22</f>
        <v>-9000000</v>
      </c>
      <c r="G23" s="30" t="n">
        <f aca="false">G21+G22</f>
        <v>-6000000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151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152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8" t="s">
        <v>153</v>
      </c>
      <c r="C4" s="26" t="s">
        <v>113</v>
      </c>
      <c r="D4" s="26" t="s">
        <v>114</v>
      </c>
      <c r="E4" s="26" t="s">
        <v>115</v>
      </c>
      <c r="F4" s="26" t="s">
        <v>116</v>
      </c>
      <c r="G4" s="26" t="s">
        <v>117</v>
      </c>
    </row>
    <row r="5" customFormat="false" ht="15" hidden="false" customHeight="false" outlineLevel="0" collapsed="false">
      <c r="A5" s="6"/>
      <c r="B5" s="27" t="s">
        <v>146</v>
      </c>
      <c r="C5" s="28" t="n">
        <f aca="false">Fund_Cash_Flows!C19</f>
        <v>-5850000</v>
      </c>
      <c r="D5" s="28" t="n">
        <f aca="false">Fund_Cash_Flows!D19</f>
        <v>84310000</v>
      </c>
      <c r="E5" s="28" t="n">
        <f aca="false">Fund_Cash_Flows!E19</f>
        <v>166997187.5</v>
      </c>
      <c r="F5" s="28" t="n">
        <f aca="false">Fund_Cash_Flows!F19</f>
        <v>193698328.125</v>
      </c>
      <c r="G5" s="28" t="n">
        <f aca="false">Fund_Cash_Flows!G19</f>
        <v>94626577.34375</v>
      </c>
    </row>
    <row r="6" customFormat="false" ht="15" hidden="false" customHeight="false" outlineLevel="0" collapsed="false">
      <c r="A6" s="6"/>
      <c r="B6" s="8" t="s">
        <v>154</v>
      </c>
      <c r="C6" s="28" t="n">
        <f aca="false">C5</f>
        <v>-5850000</v>
      </c>
      <c r="D6" s="28" t="n">
        <f aca="false">C6+D5</f>
        <v>78460000</v>
      </c>
      <c r="E6" s="28" t="n">
        <f aca="false">D6+E5</f>
        <v>245457187.5</v>
      </c>
      <c r="F6" s="28" t="n">
        <f aca="false">E6+F5</f>
        <v>439155515.625</v>
      </c>
      <c r="G6" s="28" t="n">
        <f aca="false">F6+G5</f>
        <v>533782092.96875</v>
      </c>
    </row>
    <row r="7" customFormat="false" ht="15" hidden="false" customHeight="false" outlineLevel="0" collapsed="false">
      <c r="A7" s="6"/>
      <c r="B7" s="27" t="s">
        <v>155</v>
      </c>
      <c r="C7" s="28" t="n">
        <f aca="false">Fund_Cash_Flows!C8</f>
        <v>261000000</v>
      </c>
      <c r="D7" s="28" t="n">
        <f aca="false">Fund_Cash_Flows!D8</f>
        <v>276000000</v>
      </c>
      <c r="E7" s="28" t="n">
        <f aca="false">Fund_Cash_Flows!E8</f>
        <v>285000000</v>
      </c>
      <c r="F7" s="28" t="n">
        <f aca="false">Fund_Cash_Flows!F8</f>
        <v>294000000</v>
      </c>
      <c r="G7" s="28" t="n">
        <f aca="false">Fund_Cash_Flows!G8</f>
        <v>300000000</v>
      </c>
    </row>
    <row r="8" customFormat="false" ht="15" hidden="false" customHeight="false" outlineLevel="0" collapsed="false">
      <c r="A8" s="6"/>
      <c r="B8" s="18" t="s">
        <v>156</v>
      </c>
      <c r="C8" s="19"/>
      <c r="D8" s="19"/>
      <c r="E8" s="19"/>
      <c r="F8" s="19"/>
      <c r="G8" s="19"/>
    </row>
    <row r="9" customFormat="false" ht="15" hidden="false" customHeight="false" outlineLevel="0" collapsed="false">
      <c r="A9" s="6"/>
      <c r="B9" s="27" t="s">
        <v>157</v>
      </c>
      <c r="C9" s="28" t="n">
        <f aca="false">Fund_Cash_Flows!C8</f>
        <v>261000000</v>
      </c>
      <c r="D9" s="28" t="n">
        <f aca="false">Fund_Cash_Flows!D8</f>
        <v>276000000</v>
      </c>
      <c r="E9" s="28" t="n">
        <f aca="false">Fund_Cash_Flows!E8</f>
        <v>285000000</v>
      </c>
      <c r="F9" s="28" t="n">
        <f aca="false">Fund_Cash_Flows!F8</f>
        <v>294000000</v>
      </c>
      <c r="G9" s="28" t="n">
        <f aca="false">Fund_Cash_Flows!G8</f>
        <v>300000000</v>
      </c>
    </row>
    <row r="10" customFormat="false" ht="15" hidden="false" customHeight="false" outlineLevel="0" collapsed="false">
      <c r="A10" s="6"/>
      <c r="B10" s="27" t="s">
        <v>158</v>
      </c>
      <c r="C10" s="28" t="n">
        <f aca="false">MIN(C6,C9)</f>
        <v>-5850000</v>
      </c>
      <c r="D10" s="28" t="n">
        <f aca="false">MIN(D6,D9)</f>
        <v>78460000</v>
      </c>
      <c r="E10" s="28" t="n">
        <f aca="false">MIN(E6,E9)</f>
        <v>245457187.5</v>
      </c>
      <c r="F10" s="28" t="n">
        <f aca="false">MIN(F6,F9)</f>
        <v>294000000</v>
      </c>
      <c r="G10" s="28" t="n">
        <f aca="false">MIN(G6,G9)</f>
        <v>300000000</v>
      </c>
    </row>
    <row r="11" customFormat="false" ht="15" hidden="false" customHeight="false" outlineLevel="0" collapsed="false">
      <c r="A11" s="6"/>
      <c r="B11" s="8" t="s">
        <v>159</v>
      </c>
      <c r="C11" s="28" t="n">
        <f aca="false">C10</f>
        <v>-5850000</v>
      </c>
      <c r="D11" s="28" t="n">
        <f aca="false">D10-C10</f>
        <v>84310000</v>
      </c>
      <c r="E11" s="28" t="n">
        <f aca="false">E10-D10</f>
        <v>166997187.5</v>
      </c>
      <c r="F11" s="28" t="n">
        <f aca="false">F10-E10</f>
        <v>48542812.5</v>
      </c>
      <c r="G11" s="28" t="n">
        <f aca="false">G10-F10</f>
        <v>6000000</v>
      </c>
    </row>
    <row r="12" customFormat="false" ht="15" hidden="false" customHeight="false" outlineLevel="0" collapsed="false">
      <c r="A12" s="6"/>
      <c r="B12" s="18" t="s">
        <v>160</v>
      </c>
      <c r="C12" s="19"/>
      <c r="D12" s="19"/>
      <c r="E12" s="19"/>
      <c r="F12" s="19"/>
      <c r="G12" s="19"/>
    </row>
    <row r="13" customFormat="false" ht="15" hidden="false" customHeight="false" outlineLevel="0" collapsed="false">
      <c r="A13" s="6"/>
      <c r="B13" s="8" t="s">
        <v>161</v>
      </c>
      <c r="C13" s="28" t="n">
        <f aca="false">Fund_Cash_Flows!C7*Hurdle_Rate</f>
        <v>20880000</v>
      </c>
      <c r="D13" s="28" t="n">
        <f aca="false">(C13+Fund_Cash_Flows!D7)*(1+Hurdle_Rate)-Fund_Cash_Flows!D7</f>
        <v>23750400</v>
      </c>
      <c r="E13" s="28" t="n">
        <f aca="false">(D13+Fund_Cash_Flows!E7)*(1+Hurdle_Rate)-Fund_Cash_Flows!E7</f>
        <v>26370432</v>
      </c>
      <c r="F13" s="28" t="n">
        <f aca="false">(E13+Fund_Cash_Flows!F7)*(1+Hurdle_Rate)-Fund_Cash_Flows!F7</f>
        <v>29200066.56</v>
      </c>
      <c r="G13" s="28" t="n">
        <f aca="false">(F13+Fund_Cash_Flows!G7)*(1+Hurdle_Rate)-Fund_Cash_Flows!G7</f>
        <v>32016071.8848</v>
      </c>
    </row>
    <row r="14" customFormat="false" ht="15" hidden="false" customHeight="false" outlineLevel="0" collapsed="false">
      <c r="A14" s="6"/>
      <c r="B14" s="27" t="s">
        <v>162</v>
      </c>
      <c r="C14" s="28" t="n">
        <f aca="false">C9+C13</f>
        <v>281880000</v>
      </c>
      <c r="D14" s="28" t="n">
        <f aca="false">D9+D13</f>
        <v>299750400</v>
      </c>
      <c r="E14" s="28" t="n">
        <f aca="false">E9+E13</f>
        <v>311370432</v>
      </c>
      <c r="F14" s="28" t="n">
        <f aca="false">F9+F13</f>
        <v>323200066.56</v>
      </c>
      <c r="G14" s="28" t="n">
        <f aca="false">G9+G13</f>
        <v>332016071.8848</v>
      </c>
    </row>
    <row r="15" customFormat="false" ht="15" hidden="false" customHeight="false" outlineLevel="0" collapsed="false">
      <c r="A15" s="6"/>
      <c r="B15" s="27" t="s">
        <v>163</v>
      </c>
      <c r="C15" s="28" t="n">
        <f aca="false">MAX(0,MIN(C6,C14)-C10)</f>
        <v>0</v>
      </c>
      <c r="D15" s="28" t="n">
        <f aca="false">MAX(0,MIN(D6,D14)-D10)</f>
        <v>0</v>
      </c>
      <c r="E15" s="28" t="n">
        <f aca="false">MAX(0,MIN(E6,E14)-E10)</f>
        <v>0</v>
      </c>
      <c r="F15" s="28" t="n">
        <f aca="false">MAX(0,MIN(F6,F14)-F10)</f>
        <v>29200066.56</v>
      </c>
      <c r="G15" s="28" t="n">
        <f aca="false">MAX(0,MIN(G6,G14)-G10)</f>
        <v>32016071.8848</v>
      </c>
    </row>
    <row r="16" customFormat="false" ht="15" hidden="false" customHeight="false" outlineLevel="0" collapsed="false">
      <c r="A16" s="6"/>
      <c r="B16" s="8" t="s">
        <v>164</v>
      </c>
      <c r="C16" s="28" t="n">
        <f aca="false">C15</f>
        <v>0</v>
      </c>
      <c r="D16" s="28" t="n">
        <f aca="false">D15-C15</f>
        <v>0</v>
      </c>
      <c r="E16" s="28" t="n">
        <f aca="false">E15-D15</f>
        <v>0</v>
      </c>
      <c r="F16" s="28" t="n">
        <f aca="false">F15-E15</f>
        <v>29200066.56</v>
      </c>
      <c r="G16" s="28" t="n">
        <f aca="false">G15-F15</f>
        <v>2816005.32480001</v>
      </c>
    </row>
    <row r="17" customFormat="false" ht="15" hidden="false" customHeight="false" outlineLevel="0" collapsed="false">
      <c r="A17" s="6"/>
      <c r="B17" s="18" t="s">
        <v>165</v>
      </c>
      <c r="C17" s="19"/>
      <c r="D17" s="19"/>
      <c r="E17" s="19"/>
      <c r="F17" s="19"/>
      <c r="G17" s="19"/>
    </row>
    <row r="18" customFormat="false" ht="15" hidden="false" customHeight="false" outlineLevel="0" collapsed="false">
      <c r="A18" s="6"/>
      <c r="B18" s="27" t="s">
        <v>166</v>
      </c>
      <c r="C18" s="28" t="n">
        <f aca="false">(C10+C15)*Catchup_Rate*Carry_Rate/(1-Carry_Rate)</f>
        <v>-1462500</v>
      </c>
      <c r="D18" s="28" t="n">
        <f aca="false">(D10+D15)*Catchup_Rate*Carry_Rate/(1-Carry_Rate)</f>
        <v>19615000</v>
      </c>
      <c r="E18" s="28" t="n">
        <f aca="false">(E10+E15)*Catchup_Rate*Carry_Rate/(1-Carry_Rate)</f>
        <v>61364296.875</v>
      </c>
      <c r="F18" s="28" t="n">
        <f aca="false">(F10+F15)*Catchup_Rate*Carry_Rate/(1-Carry_Rate)</f>
        <v>80800016.64</v>
      </c>
      <c r="G18" s="28" t="n">
        <f aca="false">(G10+G15)*Catchup_Rate*Carry_Rate/(1-Carry_Rate)</f>
        <v>83004017.9712</v>
      </c>
    </row>
    <row r="19" customFormat="false" ht="15" hidden="false" customHeight="false" outlineLevel="0" collapsed="false">
      <c r="A19" s="6"/>
      <c r="B19" s="27" t="s">
        <v>167</v>
      </c>
      <c r="C19" s="28" t="n">
        <f aca="false">MAX(0,MIN(C6,C10+C15+C18)-C10-C15)</f>
        <v>0</v>
      </c>
      <c r="D19" s="28" t="n">
        <f aca="false">MAX(0,MIN(D6,D10+D15+D18)-D10-D15)</f>
        <v>0</v>
      </c>
      <c r="E19" s="28" t="n">
        <f aca="false">MAX(0,MIN(E6,E10+E15+E18)-E10-E15)</f>
        <v>0</v>
      </c>
      <c r="F19" s="28" t="n">
        <f aca="false">MAX(0,MIN(F6,F10+F15+F18)-F10-F15)</f>
        <v>80800016.64</v>
      </c>
      <c r="G19" s="28" t="n">
        <f aca="false">MAX(0,MIN(G6,G10+G15+G18)-G10-G15)</f>
        <v>83004017.9712</v>
      </c>
    </row>
    <row r="20" customFormat="false" ht="15" hidden="false" customHeight="false" outlineLevel="0" collapsed="false">
      <c r="A20" s="6"/>
      <c r="B20" s="8" t="s">
        <v>168</v>
      </c>
      <c r="C20" s="28" t="n">
        <f aca="false">C19</f>
        <v>0</v>
      </c>
      <c r="D20" s="28" t="n">
        <f aca="false">D19-C19</f>
        <v>0</v>
      </c>
      <c r="E20" s="28" t="n">
        <f aca="false">E19-D19</f>
        <v>0</v>
      </c>
      <c r="F20" s="28" t="n">
        <f aca="false">F19-E19</f>
        <v>80800016.64</v>
      </c>
      <c r="G20" s="28" t="n">
        <f aca="false">G19-F19</f>
        <v>2204001.3312</v>
      </c>
    </row>
    <row r="21" customFormat="false" ht="15" hidden="false" customHeight="false" outlineLevel="0" collapsed="false">
      <c r="A21" s="6"/>
      <c r="B21" s="18" t="s">
        <v>169</v>
      </c>
      <c r="C21" s="19"/>
      <c r="D21" s="19"/>
      <c r="E21" s="19"/>
      <c r="F21" s="19"/>
      <c r="G21" s="19"/>
    </row>
    <row r="22" customFormat="false" ht="15" hidden="false" customHeight="false" outlineLevel="0" collapsed="false">
      <c r="A22" s="6"/>
      <c r="B22" s="27" t="s">
        <v>170</v>
      </c>
      <c r="C22" s="28" t="n">
        <f aca="false">MAX(0,C6-C10-C15-C19)</f>
        <v>0</v>
      </c>
      <c r="D22" s="28" t="n">
        <f aca="false">MAX(0,D6-D10-D15-D19)</f>
        <v>0</v>
      </c>
      <c r="E22" s="28" t="n">
        <f aca="false">MAX(0,E6-E10-E15-E19)</f>
        <v>0</v>
      </c>
      <c r="F22" s="28" t="n">
        <f aca="false">MAX(0,F6-F10-F15-F19)</f>
        <v>35155432.425</v>
      </c>
      <c r="G22" s="28" t="n">
        <f aca="false">MAX(0,G6-G10-G15-G19)</f>
        <v>118762003.11275</v>
      </c>
    </row>
    <row r="23" customFormat="false" ht="15" hidden="false" customHeight="false" outlineLevel="0" collapsed="false">
      <c r="A23" s="6"/>
      <c r="B23" s="8" t="s">
        <v>171</v>
      </c>
      <c r="C23" s="28" t="n">
        <f aca="false">C22</f>
        <v>0</v>
      </c>
      <c r="D23" s="28" t="n">
        <f aca="false">D22-C22</f>
        <v>0</v>
      </c>
      <c r="E23" s="28" t="n">
        <f aca="false">E22-D22</f>
        <v>0</v>
      </c>
      <c r="F23" s="28" t="n">
        <f aca="false">F22-E22</f>
        <v>35155432.425</v>
      </c>
      <c r="G23" s="28" t="n">
        <f aca="false">G22-F22</f>
        <v>83606570.68775</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18" t="s">
        <v>172</v>
      </c>
      <c r="C25" s="19"/>
      <c r="D25" s="19"/>
      <c r="E25" s="19"/>
      <c r="F25" s="19"/>
      <c r="G25" s="19"/>
    </row>
    <row r="26" customFormat="false" ht="15" hidden="false" customHeight="false" outlineLevel="0" collapsed="false">
      <c r="A26" s="6"/>
      <c r="B26" s="29" t="s">
        <v>173</v>
      </c>
      <c r="C26" s="31" t="n">
        <f aca="false">C11+C16+(1-Carry_Rate)*C23</f>
        <v>-5850000</v>
      </c>
      <c r="D26" s="31" t="n">
        <f aca="false">D11+D16+(1-Carry_Rate)*D23</f>
        <v>84310000</v>
      </c>
      <c r="E26" s="31" t="n">
        <f aca="false">E11+E16+(1-Carry_Rate)*E23</f>
        <v>166997187.5</v>
      </c>
      <c r="F26" s="31" t="n">
        <f aca="false">F11+F16+(1-Carry_Rate)*F23</f>
        <v>105867225</v>
      </c>
      <c r="G26" s="31" t="n">
        <f aca="false">G11+G16+(1-Carry_Rate)*G23</f>
        <v>75701261.875</v>
      </c>
    </row>
    <row r="27" customFormat="false" ht="15" hidden="false" customHeight="false" outlineLevel="0" collapsed="false">
      <c r="A27" s="6"/>
      <c r="B27" s="29" t="s">
        <v>174</v>
      </c>
      <c r="C27" s="31" t="n">
        <f aca="false">C20+Carry_Rate*C23</f>
        <v>0</v>
      </c>
      <c r="D27" s="31" t="n">
        <f aca="false">D20+Carry_Rate*D23</f>
        <v>0</v>
      </c>
      <c r="E27" s="31" t="n">
        <f aca="false">E20+Carry_Rate*E23</f>
        <v>0</v>
      </c>
      <c r="F27" s="31" t="n">
        <f aca="false">F20+Carry_Rate*F23</f>
        <v>87831103.125</v>
      </c>
      <c r="G27" s="31" t="n">
        <f aca="false">G20+Carry_Rate*G23</f>
        <v>18925315.46875</v>
      </c>
    </row>
    <row r="28" customFormat="false" ht="15" hidden="false" customHeight="false" outlineLevel="0" collapsed="false">
      <c r="A28" s="6"/>
      <c r="B28" s="29" t="s">
        <v>175</v>
      </c>
      <c r="C28" s="30" t="n">
        <f aca="false">C26+C27</f>
        <v>-5850000</v>
      </c>
      <c r="D28" s="30" t="n">
        <f aca="false">D26+D27</f>
        <v>84310000</v>
      </c>
      <c r="E28" s="30" t="n">
        <f aca="false">E26+E27</f>
        <v>166997187.5</v>
      </c>
      <c r="F28" s="30" t="n">
        <f aca="false">F26+F27</f>
        <v>193698328.125</v>
      </c>
      <c r="G28" s="30" t="n">
        <f aca="false">G26+G27</f>
        <v>94626577.34375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176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177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8" t="s">
        <v>178</v>
      </c>
      <c r="C4" s="26" t="s">
        <v>113</v>
      </c>
      <c r="D4" s="26" t="s">
        <v>114</v>
      </c>
      <c r="E4" s="26" t="s">
        <v>115</v>
      </c>
      <c r="F4" s="26" t="s">
        <v>116</v>
      </c>
      <c r="G4" s="26" t="s">
        <v>117</v>
      </c>
    </row>
    <row r="5" customFormat="false" ht="15" hidden="false" customHeight="false" outlineLevel="0" collapsed="false">
      <c r="A5" s="6"/>
      <c r="B5" s="27" t="s">
        <v>148</v>
      </c>
      <c r="C5" s="28" t="n">
        <f aca="false">Fund_Cash_Flows!C21</f>
        <v>-253170000</v>
      </c>
      <c r="D5" s="28" t="n">
        <f aca="false">Fund_Cash_Flows!D21</f>
        <v>-14550000</v>
      </c>
      <c r="E5" s="28" t="n">
        <f aca="false">Fund_Cash_Flows!E21</f>
        <v>-8730000</v>
      </c>
      <c r="F5" s="28" t="n">
        <f aca="false">Fund_Cash_Flows!F21</f>
        <v>-8730000</v>
      </c>
      <c r="G5" s="28" t="n">
        <f aca="false">Fund_Cash_Flows!G21</f>
        <v>-5820000</v>
      </c>
    </row>
    <row r="6" customFormat="false" ht="15" hidden="false" customHeight="false" outlineLevel="0" collapsed="false">
      <c r="A6" s="6"/>
      <c r="B6" s="27" t="s">
        <v>173</v>
      </c>
      <c r="C6" s="28" t="n">
        <f aca="false">Waterfall!C26*(1-GP_Commit_Pct)</f>
        <v>-5674500</v>
      </c>
      <c r="D6" s="28" t="n">
        <f aca="false">Waterfall!D26*(1-GP_Commit_Pct)</f>
        <v>81780700</v>
      </c>
      <c r="E6" s="28" t="n">
        <f aca="false">Waterfall!E26*(1-GP_Commit_Pct)</f>
        <v>161987271.875</v>
      </c>
      <c r="F6" s="28" t="n">
        <f aca="false">Waterfall!F26*(1-GP_Commit_Pct)</f>
        <v>102691208.25</v>
      </c>
      <c r="G6" s="28" t="n">
        <f aca="false">Waterfall!G26*(1-GP_Commit_Pct)</f>
        <v>73430224.01875</v>
      </c>
    </row>
    <row r="7" customFormat="false" ht="15" hidden="false" customHeight="false" outlineLevel="0" collapsed="false">
      <c r="A7" s="6"/>
      <c r="B7" s="29" t="s">
        <v>179</v>
      </c>
      <c r="C7" s="31" t="n">
        <f aca="false">C5+C6</f>
        <v>-258844500</v>
      </c>
      <c r="D7" s="31" t="n">
        <f aca="false">D5+D6</f>
        <v>67230700</v>
      </c>
      <c r="E7" s="31" t="n">
        <f aca="false">E5+E6</f>
        <v>153257271.875</v>
      </c>
      <c r="F7" s="31" t="n">
        <f aca="false">F5+F6</f>
        <v>93961208.25</v>
      </c>
      <c r="G7" s="31" t="n">
        <f aca="false">G5+G6</f>
        <v>67610224.01875</v>
      </c>
    </row>
    <row r="8" customFormat="false" ht="15" hidden="false" customHeight="false" outlineLevel="0" collapsed="false">
      <c r="A8" s="6"/>
      <c r="B8" s="8" t="s">
        <v>180</v>
      </c>
      <c r="C8" s="28" t="n">
        <f aca="false">C7</f>
        <v>-258844500</v>
      </c>
      <c r="D8" s="28" t="n">
        <f aca="false">C8+D7</f>
        <v>-191613800</v>
      </c>
      <c r="E8" s="28" t="n">
        <f aca="false">D8+E7</f>
        <v>-38356528.125</v>
      </c>
      <c r="F8" s="28" t="n">
        <f aca="false">E8+F7</f>
        <v>55604680.125</v>
      </c>
      <c r="G8" s="28" t="n">
        <f aca="false">F8+G7</f>
        <v>123214904.14375</v>
      </c>
    </row>
    <row r="9" customFormat="false" ht="15" hidden="false" customHeight="false" outlineLevel="0" collapsed="false">
      <c r="A9" s="6"/>
      <c r="B9" s="18" t="s">
        <v>181</v>
      </c>
      <c r="C9" s="19"/>
      <c r="D9" s="19"/>
      <c r="E9" s="19"/>
      <c r="F9" s="19"/>
      <c r="G9" s="19"/>
    </row>
    <row r="10" customFormat="false" ht="15" hidden="false" customHeight="false" outlineLevel="0" collapsed="false">
      <c r="A10" s="6"/>
      <c r="B10" s="27" t="s">
        <v>149</v>
      </c>
      <c r="C10" s="28" t="n">
        <f aca="false">Fund_Cash_Flows!C22</f>
        <v>-7830000</v>
      </c>
      <c r="D10" s="28" t="n">
        <f aca="false">Fund_Cash_Flows!D22</f>
        <v>-450000</v>
      </c>
      <c r="E10" s="28" t="n">
        <f aca="false">Fund_Cash_Flows!E22</f>
        <v>-270000</v>
      </c>
      <c r="F10" s="28" t="n">
        <f aca="false">Fund_Cash_Flows!F22</f>
        <v>-270000</v>
      </c>
      <c r="G10" s="28" t="n">
        <f aca="false">Fund_Cash_Flows!G22</f>
        <v>-180000</v>
      </c>
    </row>
    <row r="11" customFormat="false" ht="15" hidden="false" customHeight="false" outlineLevel="0" collapsed="false">
      <c r="A11" s="6"/>
      <c r="B11" s="27" t="s">
        <v>182</v>
      </c>
      <c r="C11" s="28" t="n">
        <f aca="false">Waterfall!C26*GP_Commit_Pct</f>
        <v>-175500</v>
      </c>
      <c r="D11" s="28" t="n">
        <f aca="false">Waterfall!D26*GP_Commit_Pct</f>
        <v>2529300</v>
      </c>
      <c r="E11" s="28" t="n">
        <f aca="false">Waterfall!E26*GP_Commit_Pct</f>
        <v>5009915.625</v>
      </c>
      <c r="F11" s="28" t="n">
        <f aca="false">Waterfall!F26*GP_Commit_Pct</f>
        <v>3176016.75</v>
      </c>
      <c r="G11" s="28" t="n">
        <f aca="false">Waterfall!G26*GP_Commit_Pct</f>
        <v>2271037.85625</v>
      </c>
    </row>
    <row r="12" customFormat="false" ht="15" hidden="false" customHeight="false" outlineLevel="0" collapsed="false">
      <c r="A12" s="6"/>
      <c r="B12" s="27" t="s">
        <v>183</v>
      </c>
      <c r="C12" s="28" t="n">
        <f aca="false">Waterfall!C27</f>
        <v>0</v>
      </c>
      <c r="D12" s="28" t="n">
        <f aca="false">Waterfall!D27</f>
        <v>0</v>
      </c>
      <c r="E12" s="28" t="n">
        <f aca="false">Waterfall!E27</f>
        <v>0</v>
      </c>
      <c r="F12" s="28" t="n">
        <f aca="false">Waterfall!F27</f>
        <v>87831103.125</v>
      </c>
      <c r="G12" s="28" t="n">
        <f aca="false">Waterfall!G27</f>
        <v>18925315.46875</v>
      </c>
    </row>
    <row r="13" customFormat="false" ht="15" hidden="false" customHeight="false" outlineLevel="0" collapsed="false">
      <c r="A13" s="6"/>
      <c r="B13" s="29" t="s">
        <v>184</v>
      </c>
      <c r="C13" s="31" t="n">
        <f aca="false">C10+C11+C12</f>
        <v>-8005500</v>
      </c>
      <c r="D13" s="31" t="n">
        <f aca="false">D10+D11+D12</f>
        <v>2079300</v>
      </c>
      <c r="E13" s="31" t="n">
        <f aca="false">E10+E11+E12</f>
        <v>4739915.625</v>
      </c>
      <c r="F13" s="31" t="n">
        <f aca="false">F10+F11+F12</f>
        <v>90737119.875</v>
      </c>
      <c r="G13" s="31" t="n">
        <f aca="false">G10+G11+G12</f>
        <v>21016353.325</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18" t="s">
        <v>185</v>
      </c>
      <c r="C15" s="19"/>
      <c r="D15" s="19"/>
      <c r="E15" s="19"/>
      <c r="F15" s="19"/>
      <c r="G15" s="19"/>
    </row>
    <row r="16" customFormat="false" ht="15" hidden="false" customHeight="false" outlineLevel="0" collapsed="false">
      <c r="A16" s="6"/>
      <c r="B16" s="27" t="s">
        <v>186</v>
      </c>
      <c r="C16" s="28" t="n">
        <f aca="false">-Fund_Cash_Flows!C7+Portfolio!C10</f>
        <v>-261000000</v>
      </c>
      <c r="D16" s="28" t="n">
        <f aca="false">-Fund_Cash_Flows!D7+Portfolio!D10</f>
        <v>77000000</v>
      </c>
      <c r="E16" s="28" t="n">
        <f aca="false">-Fund_Cash_Flows!E7+Portfolio!E10</f>
        <v>166000000</v>
      </c>
      <c r="F16" s="28" t="n">
        <f aca="false">-Fund_Cash_Flows!F7+Portfolio!F10</f>
        <v>193000000</v>
      </c>
      <c r="G16" s="28" t="n">
        <f aca="false">-Fund_Cash_Flows!G7+Portfolio!G10</f>
        <v>94000000</v>
      </c>
    </row>
    <row r="17" customFormat="false" ht="15" hidden="false" customHeight="false" outlineLevel="0" collapsed="false">
      <c r="A17" s="6"/>
      <c r="B17" s="7" t="s">
        <v>187</v>
      </c>
      <c r="C17" s="32" t="n">
        <f aca="false">IFERROR(IRR(C16:G16),"N/A")</f>
        <v>0.336172601957087</v>
      </c>
      <c r="D17" s="6"/>
      <c r="E17" s="6"/>
      <c r="F17" s="6"/>
      <c r="G17" s="6"/>
    </row>
    <row r="18" customFormat="false" ht="15" hidden="false" customHeight="false" outlineLevel="0" collapsed="false">
      <c r="A18" s="6"/>
      <c r="B18" s="6"/>
      <c r="C18" s="6"/>
      <c r="D18" s="6"/>
      <c r="E18" s="6"/>
      <c r="F18" s="6"/>
      <c r="G18" s="6"/>
    </row>
    <row r="19" customFormat="false" ht="15" hidden="false" customHeight="false" outlineLevel="0" collapsed="false">
      <c r="A19" s="6"/>
      <c r="B19" s="18" t="s">
        <v>188</v>
      </c>
      <c r="C19" s="19"/>
      <c r="D19" s="19"/>
      <c r="E19" s="19"/>
      <c r="F19" s="19"/>
      <c r="G19" s="19"/>
    </row>
    <row r="20" customFormat="false" ht="15" hidden="false" customHeight="false" outlineLevel="0" collapsed="false">
      <c r="A20" s="6"/>
      <c r="B20" s="7" t="s">
        <v>189</v>
      </c>
      <c r="C20" s="32" t="n">
        <f aca="false">IFERROR(IRR(C7:G7),"N/A - check sign change")</f>
        <v>0.180517927323582</v>
      </c>
      <c r="D20" s="6"/>
      <c r="E20" s="6"/>
      <c r="F20" s="6"/>
      <c r="G20" s="6"/>
    </row>
    <row r="21" customFormat="false" ht="15" hidden="false" customHeight="false" outlineLevel="0" collapsed="false">
      <c r="A21" s="6"/>
      <c r="B21" s="7" t="s">
        <v>190</v>
      </c>
      <c r="C21" s="33" t="n">
        <f aca="false">IFERROR(SUM(C6:G6)/SUM(C5:G5)*(-1),"N/A")</f>
        <v>1.42341891458333</v>
      </c>
      <c r="D21" s="6"/>
      <c r="E21" s="6"/>
      <c r="F21" s="6"/>
      <c r="G21" s="6"/>
    </row>
    <row r="22" customFormat="false" ht="15" hidden="false" customHeight="false" outlineLevel="0" collapsed="false">
      <c r="A22" s="6"/>
      <c r="B22" s="7" t="s">
        <v>191</v>
      </c>
      <c r="C22" s="33" t="n">
        <f aca="false">IFERROR((SUM(C11:G11)+SUM(C12:G12))/(SUM(C10:G10)*(-1)),"N/A")</f>
        <v>13.2852432027778</v>
      </c>
      <c r="D22" s="6"/>
      <c r="E22" s="6"/>
      <c r="F22" s="6"/>
      <c r="G22" s="6"/>
    </row>
    <row r="23" customFormat="false" ht="15" hidden="false" customHeight="false" outlineLevel="0" collapsed="false">
      <c r="A23" s="6"/>
      <c r="B23" s="8" t="s">
        <v>192</v>
      </c>
      <c r="C23" s="32" t="n">
        <f aca="false">C17</f>
        <v>0.336172601957087</v>
      </c>
      <c r="D23" s="6"/>
      <c r="E23" s="6"/>
      <c r="F23" s="6"/>
      <c r="G23" s="6"/>
    </row>
    <row r="24" customFormat="false" ht="15" hidden="false" customHeight="false" outlineLevel="0" collapsed="false">
      <c r="A24" s="6"/>
      <c r="B24" s="6"/>
      <c r="C24" s="6"/>
      <c r="D24" s="6"/>
      <c r="E24" s="6"/>
      <c r="F24" s="6"/>
      <c r="G24" s="6"/>
    </row>
    <row r="25" customFormat="false" ht="15" hidden="false" customHeight="false" outlineLevel="0" collapsed="false">
      <c r="A25" s="6"/>
      <c r="B25" s="18" t="s">
        <v>193</v>
      </c>
      <c r="C25" s="19"/>
      <c r="D25" s="19"/>
      <c r="E25" s="19"/>
      <c r="F25" s="19"/>
      <c r="G25" s="19"/>
    </row>
    <row r="26" customFormat="false" ht="15" hidden="false" customHeight="false" outlineLevel="0" collapsed="false">
      <c r="A26" s="6"/>
      <c r="B26" s="8" t="s">
        <v>194</v>
      </c>
      <c r="C26" s="33" t="n">
        <f aca="false">IFERROR(SUM($C6:C6)/SUM($C5:C5)*(-1),0)</f>
        <v>-0.0224137931034483</v>
      </c>
      <c r="D26" s="33" t="n">
        <f aca="false">IFERROR(SUM($C6:D6)/SUM($C5:D5)*(-1),0)</f>
        <v>0.284275362318841</v>
      </c>
      <c r="E26" s="33" t="n">
        <f aca="false">IFERROR(SUM($C6:E6)/SUM($C5:E5)*(-1),0)</f>
        <v>0.861253289473684</v>
      </c>
      <c r="F26" s="33" t="n">
        <f aca="false">IFERROR(SUM($C6:F6)/SUM($C5:F5)*(-1),0)</f>
        <v>1.19498099489796</v>
      </c>
      <c r="G26" s="33" t="n">
        <f aca="false">IFERROR(SUM($C6:G6)/SUM($C5:G5)*(-1),0)</f>
        <v>1.42341891458333</v>
      </c>
    </row>
    <row r="27" customFormat="false" ht="15" hidden="false" customHeight="false" outlineLevel="0" collapsed="false">
      <c r="A27" s="6"/>
      <c r="B27" s="8" t="s">
        <v>195</v>
      </c>
      <c r="C27" s="33" t="n">
        <f aca="false">IFERROR(Portfolio!C19/SUM($C5:C5)*(-1),0)</f>
        <v>1.18102460797093</v>
      </c>
      <c r="D27" s="33" t="n">
        <f aca="false">IFERROR(Portfolio!D19/SUM($C5:D5)*(-1),0)</f>
        <v>1.16623711340206</v>
      </c>
      <c r="E27" s="33" t="n">
        <f aca="false">IFERROR(Portfolio!E19/SUM($C5:E5)*(-1),0)</f>
        <v>1.05962651474046</v>
      </c>
      <c r="F27" s="33" t="n">
        <f aca="false">IFERROR(Portfolio!F19/SUM($C5:F5)*(-1),0)</f>
        <v>0.778013228487271</v>
      </c>
      <c r="G27" s="33" t="n">
        <f aca="false">IFERROR(Portfolio!G19/SUM($C5:G5)*(-1),0)</f>
        <v>0.679226406786942</v>
      </c>
    </row>
    <row r="28" customFormat="false" ht="15" hidden="false" customHeight="false" outlineLevel="0" collapsed="false">
      <c r="A28" s="6"/>
      <c r="B28" s="29" t="s">
        <v>196</v>
      </c>
      <c r="C28" s="34" t="n">
        <f aca="false">C26+C27</f>
        <v>1.15861081486748</v>
      </c>
      <c r="D28" s="34" t="n">
        <f aca="false">D26+D27</f>
        <v>1.4505124757209</v>
      </c>
      <c r="E28" s="34" t="n">
        <f aca="false">E26+E27</f>
        <v>1.92087980421414</v>
      </c>
      <c r="F28" s="34" t="n">
        <f aca="false">F26+F27</f>
        <v>1.97299422338523</v>
      </c>
      <c r="G28" s="34" t="n">
        <f aca="false">G26+G27</f>
        <v>2.10264532137028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3" min="3" style="0" width="24"/>
    <col collapsed="false" customWidth="true" hidden="false" outlineLevel="0" max="4" min="4" style="0" width="10"/>
    <col collapsed="false" customWidth="true" hidden="false" outlineLevel="0" max="5" min="5" style="0" width="5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197</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198</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7" t="s">
        <v>199</v>
      </c>
      <c r="C4" s="17" t="s">
        <v>200</v>
      </c>
      <c r="D4" s="17" t="s">
        <v>201</v>
      </c>
      <c r="E4" s="17" t="s">
        <v>29</v>
      </c>
    </row>
    <row r="5" customFormat="false" ht="15" hidden="false" customHeight="false" outlineLevel="0" collapsed="false">
      <c r="A5" s="6"/>
      <c r="B5" s="7" t="s">
        <v>106</v>
      </c>
      <c r="C5" s="35" t="b">
        <f aca="false">ABS((Assumptions!C15+Assumptions!C16+Assumptions!C17+Assumptions!C18+Assumptions!C19)-Assumptions!C9)&lt;1</f>
        <v>1</v>
      </c>
      <c r="D5" s="36" t="str">
        <f aca="false">IF(C5,"PASS","FAIL")</f>
        <v>PASS</v>
      </c>
      <c r="E5" s="8" t="s">
        <v>202</v>
      </c>
    </row>
    <row r="6" customFormat="false" ht="15" hidden="false" customHeight="false" outlineLevel="0" collapsed="false">
      <c r="A6" s="6"/>
      <c r="B6" s="7" t="s">
        <v>203</v>
      </c>
      <c r="C6" s="35" t="b">
        <f aca="false">Assumptions!C7&gt;=(Assumptions!C9+Assumptions!C10+Assumptions!C11)</f>
        <v>1</v>
      </c>
      <c r="D6" s="36" t="str">
        <f aca="false">IF(C6,"PASS","FAIL")</f>
        <v>PASS</v>
      </c>
      <c r="E6" s="8" t="s">
        <v>204</v>
      </c>
    </row>
    <row r="7" customFormat="false" ht="15" hidden="false" customHeight="false" outlineLevel="0" collapsed="false">
      <c r="A7" s="6"/>
      <c r="B7" s="7" t="s">
        <v>205</v>
      </c>
      <c r="C7" s="35" t="b">
        <f aca="false">SUM(Fund_Cash_Flows!C7:G7)&lt;=Assumptions!C7</f>
        <v>1</v>
      </c>
      <c r="D7" s="36" t="str">
        <f aca="false">IF(C7,"PASS","FAIL")</f>
        <v>PASS</v>
      </c>
      <c r="E7" s="8" t="s">
        <v>206</v>
      </c>
    </row>
    <row r="8" customFormat="false" ht="15" hidden="false" customHeight="false" outlineLevel="0" collapsed="false">
      <c r="A8" s="6"/>
      <c r="B8" s="7" t="s">
        <v>207</v>
      </c>
      <c r="C8" s="35" t="b">
        <f aca="false">ABS(SUM(Waterfall!C26:G26)+SUM(Waterfall!C27:G27)-SUM(Waterfall!C5:G5))&lt;1</f>
        <v>1</v>
      </c>
      <c r="D8" s="36" t="str">
        <f aca="false">IF(C8,"PASS","FAIL")</f>
        <v>PASS</v>
      </c>
      <c r="E8" s="8" t="s">
        <v>208</v>
      </c>
    </row>
    <row r="9" customFormat="false" ht="15" hidden="false" customHeight="false" outlineLevel="0" collapsed="false">
      <c r="A9" s="6"/>
      <c r="B9" s="7" t="s">
        <v>209</v>
      </c>
      <c r="C9" s="35" t="b">
        <f aca="false">Returns!C17&gt;Returns!C20</f>
        <v>1</v>
      </c>
      <c r="D9" s="36" t="str">
        <f aca="false">IF(C9,"PASS","FAIL")</f>
        <v>PASS</v>
      </c>
      <c r="E9" s="8" t="s">
        <v>210</v>
      </c>
    </row>
    <row r="10" customFormat="false" ht="15" hidden="false" customHeight="false" outlineLevel="0" collapsed="false">
      <c r="A10" s="6"/>
      <c r="B10" s="7" t="s">
        <v>211</v>
      </c>
      <c r="C10" s="35" t="b">
        <f aca="false">AND(MIN(Returns!C7:G7)&lt;0,MAX(Returns!C7:G7)&gt;0)</f>
        <v>1</v>
      </c>
      <c r="D10" s="36" t="str">
        <f aca="false">IF(C10,"PASS","FAIL")</f>
        <v>PASS</v>
      </c>
      <c r="E10" s="8" t="s">
        <v>212</v>
      </c>
    </row>
    <row r="11" customFormat="false" ht="15" hidden="false" customHeight="false" outlineLevel="0" collapsed="false">
      <c r="A11" s="6"/>
      <c r="B11" s="7" t="s">
        <v>213</v>
      </c>
      <c r="C11" s="35" t="b">
        <f aca="false">MIN(Portfolio!C19:G19)&gt;=0</f>
        <v>1</v>
      </c>
      <c r="D11" s="36" t="str">
        <f aca="false">IF(C11,"PASS","FAIL")</f>
        <v>PASS</v>
      </c>
      <c r="E11" s="8" t="s">
        <v>214</v>
      </c>
    </row>
    <row r="12" customFormat="false" ht="15" hidden="false" customHeight="false" outlineLevel="0" collapsed="false">
      <c r="A12" s="6"/>
      <c r="B12" s="7" t="s">
        <v>215</v>
      </c>
      <c r="C12" s="35" t="b">
        <f aca="false">ROUND(Returns!G28-Returns!G26-Returns!G27,4)=0</f>
        <v>1</v>
      </c>
      <c r="D12" s="36" t="str">
        <f aca="false">IF(C12,"PASS","FAIL")</f>
        <v>PASS</v>
      </c>
      <c r="E12" s="8" t="s">
        <v>216</v>
      </c>
    </row>
  </sheetData>
  <conditionalFormatting sqref="D5">
    <cfRule type="expression" priority="2" aboveAverage="0" equalAverage="0" bottom="0" percent="0" rank="0" text="" dxfId="0">
      <formula>D5="PASS"</formula>
    </cfRule>
    <cfRule type="expression" priority="3" aboveAverage="0" equalAverage="0" bottom="0" percent="0" rank="0" text="" dxfId="1">
      <formula>D5="FAIL"</formula>
    </cfRule>
  </conditionalFormatting>
  <conditionalFormatting sqref="D6">
    <cfRule type="expression" priority="4" aboveAverage="0" equalAverage="0" bottom="0" percent="0" rank="0" text="" dxfId="0">
      <formula>D6="PASS"</formula>
    </cfRule>
    <cfRule type="expression" priority="5" aboveAverage="0" equalAverage="0" bottom="0" percent="0" rank="0" text="" dxfId="1">
      <formula>D6="FAIL"</formula>
    </cfRule>
  </conditionalFormatting>
  <conditionalFormatting sqref="D7">
    <cfRule type="expression" priority="6" aboveAverage="0" equalAverage="0" bottom="0" percent="0" rank="0" text="" dxfId="0">
      <formula>D7="PASS"</formula>
    </cfRule>
    <cfRule type="expression" priority="7" aboveAverage="0" equalAverage="0" bottom="0" percent="0" rank="0" text="" dxfId="1">
      <formula>D7="FAIL"</formula>
    </cfRule>
  </conditionalFormatting>
  <conditionalFormatting sqref="D8">
    <cfRule type="expression" priority="8" aboveAverage="0" equalAverage="0" bottom="0" percent="0" rank="0" text="" dxfId="0">
      <formula>D8="PASS"</formula>
    </cfRule>
    <cfRule type="expression" priority="9" aboveAverage="0" equalAverage="0" bottom="0" percent="0" rank="0" text="" dxfId="1">
      <formula>D8="FAIL"</formula>
    </cfRule>
  </conditionalFormatting>
  <conditionalFormatting sqref="D9">
    <cfRule type="expression" priority="10" aboveAverage="0" equalAverage="0" bottom="0" percent="0" rank="0" text="" dxfId="0">
      <formula>D9="PASS"</formula>
    </cfRule>
    <cfRule type="expression" priority="11" aboveAverage="0" equalAverage="0" bottom="0" percent="0" rank="0" text="" dxfId="1">
      <formula>D9="FAIL"</formula>
    </cfRule>
  </conditionalFormatting>
  <conditionalFormatting sqref="D10">
    <cfRule type="expression" priority="12" aboveAverage="0" equalAverage="0" bottom="0" percent="0" rank="0" text="" dxfId="0">
      <formula>D10="PASS"</formula>
    </cfRule>
    <cfRule type="expression" priority="13" aboveAverage="0" equalAverage="0" bottom="0" percent="0" rank="0" text="" dxfId="1">
      <formula>D10="FAIL"</formula>
    </cfRule>
  </conditionalFormatting>
  <conditionalFormatting sqref="D11">
    <cfRule type="expression" priority="14" aboveAverage="0" equalAverage="0" bottom="0" percent="0" rank="0" text="" dxfId="0">
      <formula>D11="PASS"</formula>
    </cfRule>
    <cfRule type="expression" priority="15" aboveAverage="0" equalAverage="0" bottom="0" percent="0" rank="0" text="" dxfId="1">
      <formula>D11="FAIL"</formula>
    </cfRule>
  </conditionalFormatting>
  <conditionalFormatting sqref="D12">
    <cfRule type="expression" priority="16" aboveAverage="0" equalAverage="0" bottom="0" percent="0" rank="0" text="" dxfId="0">
      <formula>D12="PASS"</formula>
    </cfRule>
    <cfRule type="expression" priority="17" aboveAverage="0" equalAverage="0" bottom="0" percent="0" rank="0" text="" dxfId="1">
      <formula>D12="FAIL"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7" t="s">
        <v>217</v>
      </c>
    </row>
    <row r="3" customFormat="false" ht="3.75" hidden="false" customHeight="true" outlineLevel="0" collapsed="false">
      <c r="B3" s="38"/>
    </row>
    <row r="5" customFormat="false" ht="19.5" hidden="false" customHeight="true" outlineLevel="0" collapsed="false">
      <c r="B5" s="39" t="s">
        <v>218</v>
      </c>
    </row>
    <row r="6" customFormat="false" ht="48" hidden="false" customHeight="true" outlineLevel="0" collapsed="false">
      <c r="B6" s="40" t="s">
        <v>219</v>
      </c>
    </row>
    <row r="8" customFormat="false" ht="19.5" hidden="false" customHeight="true" outlineLevel="0" collapsed="false">
      <c r="B8" s="39" t="s">
        <v>220</v>
      </c>
    </row>
    <row r="9" customFormat="false" ht="61.5" hidden="false" customHeight="true" outlineLevel="0" collapsed="false">
      <c r="B9" s="40" t="s">
        <v>221</v>
      </c>
    </row>
    <row r="11" customFormat="false" ht="19.5" hidden="false" customHeight="true" outlineLevel="0" collapsed="false">
      <c r="B11" s="39" t="s">
        <v>222</v>
      </c>
    </row>
    <row r="12" customFormat="false" ht="75.75" hidden="false" customHeight="true" outlineLevel="0" collapsed="false">
      <c r="B12" s="40" t="s">
        <v>223</v>
      </c>
    </row>
    <row r="14" customFormat="false" ht="19.5" hidden="false" customHeight="true" outlineLevel="0" collapsed="false">
      <c r="B14" s="39" t="s">
        <v>224</v>
      </c>
    </row>
    <row r="15" customFormat="false" ht="61.5" hidden="false" customHeight="true" outlineLevel="0" collapsed="false">
      <c r="B15" s="40" t="s">
        <v>225</v>
      </c>
    </row>
    <row r="17" customFormat="false" ht="19.5" hidden="false" customHeight="true" outlineLevel="0" collapsed="false">
      <c r="B17" s="39" t="s">
        <v>226</v>
      </c>
    </row>
    <row r="18" customFormat="false" ht="33.75" hidden="false" customHeight="true" outlineLevel="0" collapsed="false">
      <c r="B18" s="40" t="s">
        <v>227</v>
      </c>
    </row>
    <row r="20" customFormat="false" ht="19.5" hidden="false" customHeight="true" outlineLevel="0" collapsed="false">
      <c r="B20" s="39" t="s">
        <v>228</v>
      </c>
    </row>
    <row r="21" customFormat="false" ht="33.75" hidden="false" customHeight="true" outlineLevel="0" collapsed="false">
      <c r="B21" s="40" t="s">
        <v>229</v>
      </c>
    </row>
    <row r="23" customFormat="false" ht="21.75" hidden="false" customHeight="true" outlineLevel="0" collapsed="false">
      <c r="B23" s="41" t="s">
        <v>230</v>
      </c>
    </row>
    <row r="25" customFormat="false" ht="18" hidden="false" customHeight="true" outlineLevel="0" collapsed="false">
      <c r="B25" s="42" t="s">
        <v>231</v>
      </c>
    </row>
    <row r="26" customFormat="false" ht="201.75" hidden="false" customHeight="true" outlineLevel="0" collapsed="false">
      <c r="B26" s="43" t="s">
        <v>232</v>
      </c>
    </row>
    <row r="28" customFormat="false" ht="18" hidden="false" customHeight="true" outlineLevel="0" collapsed="false">
      <c r="B28" s="44" t="s">
        <v>233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2026-05-15T18:52:56Z</dcterms:created>
  <dc:creator>openpyxl</dc:creator>
  <dc:description/>
  <dc:language>en-GB</dc:language>
  <cp:lastModifiedBy/>
  <dcterms:modified xsi:type="dcterms:W3CDTF">2026-05-15T18:52:56Z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