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Instrument_Schedule" sheetId="3" state="visible" r:id="rId5"/>
    <sheet name="Cap_Table" sheetId="4" state="visible" r:id="rId6"/>
    <sheet name="Waterfall" sheetId="5" state="visible" r:id="rId7"/>
    <sheet name="Returns" sheetId="6" state="visible" r:id="rId8"/>
    <sheet name="Checks" sheetId="7" state="visible" r:id="rId9"/>
    <sheet name="Disclaimer" sheetId="8" state="visible" r:id="rId10"/>
  </sheets>
  <definedNames>
    <definedName function="false" hidden="false" name="CN_Cap" vbProcedure="false">Assumptions!$C$31</definedName>
    <definedName function="false" hidden="false" name="CN_Discount" vbProcedure="false">Assumptions!$C$32</definedName>
    <definedName function="false" hidden="false" name="CN_Investor" vbProcedure="false">Assumptions!$C$27</definedName>
    <definedName function="false" hidden="false" name="CN_Principal" vbProcedure="false">Assumptions!$C$28</definedName>
    <definedName function="false" hidden="false" name="CN_Rate" vbProcedure="false">Assumptions!$C$29</definedName>
    <definedName function="false" hidden="false" name="CN_Term_Months" vbProcedure="false">Assumptions!$C$30</definedName>
    <definedName function="false" hidden="false" name="CT_CN_Shares" vbProcedure="false">Cap_Table!$G$17</definedName>
    <definedName function="false" hidden="false" name="CT_ESOP_Shares" vbProcedure="false">Cap_Table!$G$12</definedName>
    <definedName function="false" hidden="false" name="CT_F1_Shares" vbProcedure="false">Cap_Table!$G$8</definedName>
    <definedName function="false" hidden="false" name="CT_F2_Shares" vbProcedure="false">Cap_Table!$G$9</definedName>
    <definedName function="false" hidden="false" name="CT_PPS" vbProcedure="false">Cap_Table!$G$25</definedName>
    <definedName function="false" hidden="false" name="CT_SAFE1_Shares" vbProcedure="false">Cap_Table!$G$15</definedName>
    <definedName function="false" hidden="false" name="CT_SAFE2_Shares" vbProcedure="false">Cap_Table!$G$16</definedName>
    <definedName function="false" hidden="false" name="CT_SA_Shares" vbProcedure="false">Cap_Table!$G$20</definedName>
    <definedName function="false" hidden="false" name="CT_Total_Shares" vbProcedure="false">Cap_Table!$G$22</definedName>
    <definedName function="false" hidden="false" name="Exit_1" vbProcedure="false">Assumptions!$C$41</definedName>
    <definedName function="false" hidden="false" name="Exit_2" vbProcedure="false">Assumptions!$C$42</definedName>
    <definedName function="false" hidden="false" name="Exit_3" vbProcedure="false">Assumptions!$C$43</definedName>
    <definedName function="false" hidden="false" name="Exit_4" vbProcedure="false">Assumptions!$C$44</definedName>
    <definedName function="false" hidden="false" name="Exit_5" vbProcedure="false">Assumptions!$C$45</definedName>
    <definedName function="false" hidden="false" name="Exit_6" vbProcedure="false">Assumptions!$C$46</definedName>
    <definedName function="false" hidden="false" name="Founder1_Name" vbProcedure="false">Assumptions!$C$7</definedName>
    <definedName function="false" hidden="false" name="Founder1_Shares" vbProcedure="false">Assumptions!$C$8</definedName>
    <definedName function="false" hidden="false" name="Founder2_Name" vbProcedure="false">Assumptions!$C$9</definedName>
    <definedName function="false" hidden="false" name="Founder2_Shares" vbProcedure="false">Assumptions!$C$10</definedName>
    <definedName function="false" hidden="false" name="Initial_ESOP_Pct" vbProcedure="false">Assumptions!$C$11</definedName>
    <definedName function="false" hidden="false" name="IS_CN_Shares" vbProcedure="false">Instrument_Schedule!$C$30</definedName>
    <definedName function="false" hidden="false" name="IS_SAFE1_Shares" vbProcedure="false">Instrument_Schedule!$C$10</definedName>
    <definedName function="false" hidden="false" name="IS_SAFE2_Shares" vbProcedure="false">Instrument_Schedule!$C$19</definedName>
    <definedName function="false" hidden="false" name="IS_Total_Conv" vbProcedure="false">Instrument_Schedule!$C$33</definedName>
    <definedName function="false" hidden="false" name="SAFE1_Amount" vbProcedure="false">Assumptions!$C$15</definedName>
    <definedName function="false" hidden="false" name="SAFE1_Cap" vbProcedure="false">Assumptions!$C$16</definedName>
    <definedName function="false" hidden="false" name="SAFE1_Investor" vbProcedure="false">Assumptions!$C$14</definedName>
    <definedName function="false" hidden="false" name="SAFE1_Type" vbProcedure="false">Assumptions!$C$17</definedName>
    <definedName function="false" hidden="false" name="SAFE2_Amount" vbProcedure="false">Assumptions!$C$21</definedName>
    <definedName function="false" hidden="false" name="SAFE2_Cap" vbProcedure="false">Assumptions!$C$22</definedName>
    <definedName function="false" hidden="false" name="SAFE2_Discount" vbProcedure="false">Assumptions!$C$23</definedName>
    <definedName function="false" hidden="false" name="SAFE2_Investor" vbProcedure="false">Assumptions!$C$20</definedName>
    <definedName function="false" hidden="false" name="SAFE2_Type" vbProcedure="false">Assumptions!$C$24</definedName>
    <definedName function="false" hidden="false" name="SA_ESOP_Target" vbProcedure="false">Assumptions!$C$38</definedName>
    <definedName function="false" hidden="false" name="SA_Investment" vbProcedure="false">Assumptions!$C$36</definedName>
    <definedName function="false" hidden="false" name="SA_Liq_Pref" vbProcedure="false">Assumptions!$C$37</definedName>
    <definedName function="false" hidden="false" name="SA_PreMoney" vbProcedure="false">Assumptions!$C$35</definedName>
    <definedName function="false" hidden="false" name="WF_CN_Dist" vbProcedure="false">OFFSET(Waterfall!$C$20,0,0,1,6)</definedName>
    <definedName function="false" hidden="false" name="WF_ESOP_Dist" vbProcedure="false">OFFSET(Waterfall!$C$27,0,0,1,6)</definedName>
    <definedName function="false" hidden="false" name="WF_F1_Dist" vbProcedure="false">OFFSET(Waterfall!$C$25,0,0,1,6)</definedName>
    <definedName function="false" hidden="false" name="WF_F2_Dist" vbProcedure="false">OFFSET(Waterfall!$C$26,0,0,1,6)</definedName>
    <definedName function="false" hidden="false" name="WF_SAFE1_Dist" vbProcedure="false">OFFSET(Waterfall!$C$18,0,0,1,6)</definedName>
    <definedName function="false" hidden="false" name="WF_SAFE2_Dist" vbProcedure="false">OFFSET(Waterfall!$C$19,0,0,1,6)</definedName>
    <definedName function="false" hidden="false" name="WF_SA_Dist" vbProcedure="false">OFFSET(Waterfall!$C$17,0,0,1,6)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<sst xmlns="http://schemas.openxmlformats.org/spreadsheetml/2006/main" count="277" uniqueCount="205">
  <si>
    <t xml:space="preserve">Convertible &amp; SAFE Model</t>
  </si>
  <si>
    <t xml:space="preserve">FINAMODEL.com</t>
  </si>
  <si>
    <t xml:space="preserve">Conversion &amp; dilution analysis</t>
  </si>
  <si>
    <t xml:space="preserve">Template</t>
  </si>
  <si>
    <t xml:space="preserve">Convertible &amp; SAFE</t>
  </si>
  <si>
    <t xml:space="preserve">Version</t>
  </si>
  <si>
    <t xml:space="preserve">v13</t>
  </si>
  <si>
    <t xml:space="preserve">Currency</t>
  </si>
  <si>
    <t xml:space="preserve">USD</t>
  </si>
  <si>
    <t xml:space="preserve">Sheet</t>
  </si>
  <si>
    <t xml:space="preserve">Description</t>
  </si>
  <si>
    <t xml:space="preserve">Assumptions</t>
  </si>
  <si>
    <t xml:space="preserve">Instrument terms &amp; round parameters</t>
  </si>
  <si>
    <t xml:space="preserve">Instrument_Schedule</t>
  </si>
  <si>
    <t xml:space="preserve">Conversion mechanics per instrument</t>
  </si>
  <si>
    <t xml:space="preserve">Cap_Table</t>
  </si>
  <si>
    <t xml:space="preserve">Ownership pre &amp; post conversion</t>
  </si>
  <si>
    <t xml:space="preserve">Waterfall</t>
  </si>
  <si>
    <t xml:space="preserve">Exit distribution analysis</t>
  </si>
  <si>
    <t xml:space="preserve">Returns</t>
  </si>
  <si>
    <t xml:space="preserve">Investor MOIC by scenario</t>
  </si>
  <si>
    <t xml:space="preserve">Checks</t>
  </si>
  <si>
    <t xml:space="preserve">Model validation</t>
  </si>
  <si>
    <t xml:space="preserve">Tab Colour</t>
  </si>
  <si>
    <t xml:space="preserve">Category</t>
  </si>
  <si>
    <t xml:space="preserve">Cover</t>
  </si>
  <si>
    <t xml:space="preserve">Conversion Schedule</t>
  </si>
  <si>
    <t xml:space="preserve">Cap Table / Waterfall</t>
  </si>
  <si>
    <t xml:space="preserve">Returns / Checks</t>
  </si>
  <si>
    <t xml:space="preserve">About this model</t>
  </si>
  <si>
    <t xml:space="preserve">This convertible note and SAFE model projects early-stage company funding rounds and tracks how convertible instruments (SAFEs and convertible notes) convert into equity at each priced round. It models the cap table evolution across seed, Series A, Series B funding, showing dilution to founders and early investors as new capital is raised and convertibles convert at the priced round valuation. The model calculates IRR and MOIC for each investor cohort based on their entry valuation, conversion terms (valuation cap, discount rate), and eventual exit valuation.
The model includes a sources-and-uses statement for each funding round; a pro forma cap table (fully diluted) at each closing showing share counts and ownership percentages; a trigger analysis showing when conversion occurs (priced round, time-based maturity, acquisition); and conversion math comparing the cap-capped vs. discount-capped valuation for each instrument. A returns waterfall prioritises payment on exit: safe holders and note holders convert into preferred stock, which then receives preferred return before common equity distribution. Sensitivity tables show how holder returns vary with exit valuation and pre-seed cap assumptions.
This model is used by founders and startups planning capital raises and understanding future dilution; early-stage investors and syndicates evaluating SAFE and convertible note terms; and venture debt providers modelling conversion probability and equity upside. It clarifies the complex conversion mechanics that often confuse entrepreneurs evaluating term sheets.</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</si>
  <si>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</si>
  <si>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</si>
  <si>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</si>
  <si>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</si>
  <si>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Model parameters</t>
  </si>
  <si>
    <t xml:space="preserve">Parameter</t>
  </si>
  <si>
    <t xml:space="preserve">Value</t>
  </si>
  <si>
    <t xml:space="preserve">Unit</t>
  </si>
  <si>
    <t xml:space="preserve">Notes</t>
  </si>
  <si>
    <t xml:space="preserve">Founders</t>
  </si>
  <si>
    <t xml:space="preserve">Founder 1 Name</t>
  </si>
  <si>
    <t xml:space="preserve">Alex</t>
  </si>
  <si>
    <t xml:space="preserve">CEO / Lead founder</t>
  </si>
  <si>
    <t xml:space="preserve">Founder 1 Shares</t>
  </si>
  <si>
    <t xml:space="preserve">#</t>
  </si>
  <si>
    <t xml:space="preserve">Common at incorporation</t>
  </si>
  <si>
    <t xml:space="preserve">Founder 2 Name</t>
  </si>
  <si>
    <t xml:space="preserve">Jordan</t>
  </si>
  <si>
    <t xml:space="preserve">CTO</t>
  </si>
  <si>
    <t xml:space="preserve">Founder 2 Shares</t>
  </si>
  <si>
    <t xml:space="preserve">Initial ESOP Pool</t>
  </si>
  <si>
    <t xml:space="preserve">%</t>
  </si>
  <si>
    <t xml:space="preserve">Pre-seed option pool</t>
  </si>
  <si>
    <t xml:space="preserve">SAFE 1 (Post-Money)</t>
  </si>
  <si>
    <t xml:space="preserve">Investor Name</t>
  </si>
  <si>
    <t xml:space="preserve">Angel Fund I</t>
  </si>
  <si>
    <t xml:space="preserve">Lead angel</t>
  </si>
  <si>
    <t xml:space="preserve">Investment Amount</t>
  </si>
  <si>
    <t xml:space="preserve">$</t>
  </si>
  <si>
    <t xml:space="preserve">Valuation Cap</t>
  </si>
  <si>
    <t xml:space="preserve">Post-money cap</t>
  </si>
  <si>
    <t xml:space="preserve">SAFE Type</t>
  </si>
  <si>
    <t xml:space="preserve">1=Post-money, 2=Pre-money</t>
  </si>
  <si>
    <t xml:space="preserve">SAFE 2 (Pre-Money + Discount)</t>
  </si>
  <si>
    <t xml:space="preserve">Pre-Seed VC</t>
  </si>
  <si>
    <t xml:space="preserve">Institutional pre-seed</t>
  </si>
  <si>
    <t xml:space="preserve">Pre-money cap</t>
  </si>
  <si>
    <t xml:space="preserve">Discount Rate</t>
  </si>
  <si>
    <t xml:space="preserve">20% discount to Series A PPS</t>
  </si>
  <si>
    <t xml:space="preserve">Convertible Note</t>
  </si>
  <si>
    <t xml:space="preserve">Bridge Fund</t>
  </si>
  <si>
    <t xml:space="preserve">Bridge lender</t>
  </si>
  <si>
    <t xml:space="preserve">Principal</t>
  </si>
  <si>
    <t xml:space="preserve">Interest Rate</t>
  </si>
  <si>
    <t xml:space="preserve">Simple interest, annual</t>
  </si>
  <si>
    <t xml:space="preserve">Term to Conversion</t>
  </si>
  <si>
    <t xml:space="preserve">mo</t>
  </si>
  <si>
    <t xml:space="preserve">Months until priced round</t>
  </si>
  <si>
    <t xml:space="preserve">Series A (Priced Round)</t>
  </si>
  <si>
    <t xml:space="preserve">Pre-Money Valuation</t>
  </si>
  <si>
    <t xml:space="preserve">New money</t>
  </si>
  <si>
    <t xml:space="preserve">Liq Pref Multiple</t>
  </si>
  <si>
    <t xml:space="preserve">x</t>
  </si>
  <si>
    <t xml:space="preserve">1x non-participating</t>
  </si>
  <si>
    <t xml:space="preserve">ESOP Target Post</t>
  </si>
  <si>
    <t xml:space="preserve">Post-round ESOP target</t>
  </si>
  <si>
    <t xml:space="preserve">Exit Scenarios</t>
  </si>
  <si>
    <t xml:space="preserve">Exit Scenario 1</t>
  </si>
  <si>
    <t xml:space="preserve">Below pref stack</t>
  </si>
  <si>
    <t xml:space="preserve">Exit Scenario 2</t>
  </si>
  <si>
    <t xml:space="preserve">At post-money</t>
  </si>
  <si>
    <t xml:space="preserve">Exit Scenario 3</t>
  </si>
  <si>
    <t xml:space="preserve">Moderate exit</t>
  </si>
  <si>
    <t xml:space="preserve">Exit Scenario 4</t>
  </si>
  <si>
    <t xml:space="preserve">Strong exit</t>
  </si>
  <si>
    <t xml:space="preserve">Exit Scenario 5</t>
  </si>
  <si>
    <t xml:space="preserve">Exceptional exit</t>
  </si>
  <si>
    <t xml:space="preserve">Exit Scenario 6</t>
  </si>
  <si>
    <t xml:space="preserve">Unicorn exit</t>
  </si>
  <si>
    <t xml:space="preserve">Instrument Schedule</t>
  </si>
  <si>
    <t xml:space="preserve">Conversion mechanics</t>
  </si>
  <si>
    <t xml:space="preserve">Line Item</t>
  </si>
  <si>
    <t xml:space="preserve">Post-Money Cap</t>
  </si>
  <si>
    <t xml:space="preserve">Implied Ownership</t>
  </si>
  <si>
    <t xml:space="preserve">Shares Issued</t>
  </si>
  <si>
    <t xml:space="preserve">shares</t>
  </si>
  <si>
    <t xml:space="preserve">Pre-Money Cap</t>
  </si>
  <si>
    <t xml:space="preserve">Cap Price/Share</t>
  </si>
  <si>
    <t xml:space="preserve">Discount Price/Share</t>
  </si>
  <si>
    <t xml:space="preserve">Conversion Price</t>
  </si>
  <si>
    <t xml:space="preserve">Term (Months)</t>
  </si>
  <si>
    <t xml:space="preserve">Accrued Interest</t>
  </si>
  <si>
    <t xml:space="preserve">Conversion Amount</t>
  </si>
  <si>
    <t xml:space="preserve">Summary</t>
  </si>
  <si>
    <t xml:space="preserve">TOTAL CONV SHARES</t>
  </si>
  <si>
    <t xml:space="preserve">Capitalisation Table</t>
  </si>
  <si>
    <t xml:space="preserve">Ownership analysis</t>
  </si>
  <si>
    <t xml:space="preserve">Pre-SAFE</t>
  </si>
  <si>
    <t xml:space="preserve">Post-Conversion</t>
  </si>
  <si>
    <t xml:space="preserve">Post-Series A</t>
  </si>
  <si>
    <t xml:space="preserve">Shareholder</t>
  </si>
  <si>
    <t xml:space="preserve">Shares</t>
  </si>
  <si>
    <t xml:space="preserve">Ownership</t>
  </si>
  <si>
    <t xml:space="preserve">Total Founders</t>
  </si>
  <si>
    <t xml:space="preserve">Option Pool</t>
  </si>
  <si>
    <t xml:space="preserve">ESOP Pool</t>
  </si>
  <si>
    <t xml:space="preserve">Convertible Instruments</t>
  </si>
  <si>
    <t xml:space="preserve">Total Convertible</t>
  </si>
  <si>
    <t xml:space="preserve">Series A</t>
  </si>
  <si>
    <t xml:space="preserve">Series A Investor</t>
  </si>
  <si>
    <t xml:space="preserve">TOTAL SHARES</t>
  </si>
  <si>
    <t xml:space="preserve">Metrics</t>
  </si>
  <si>
    <t xml:space="preserve">Price Per Share</t>
  </si>
  <si>
    <t xml:space="preserve">Post-Money Valuation</t>
  </si>
  <si>
    <t xml:space="preserve">Total Capital Raised</t>
  </si>
  <si>
    <t xml:space="preserve">Liquidation Waterfall</t>
  </si>
  <si>
    <t xml:space="preserve">Preference Stack</t>
  </si>
  <si>
    <t xml:space="preserve">Series A Liq Pref</t>
  </si>
  <si>
    <t xml:space="preserve">Total Preferences</t>
  </si>
  <si>
    <t xml:space="preserve">Pro-Rata Values</t>
  </si>
  <si>
    <t xml:space="preserve">Series A Pro-Rata</t>
  </si>
  <si>
    <t xml:space="preserve">SAFE 1 Pro-Rata</t>
  </si>
  <si>
    <t xml:space="preserve">SAFE 2 Pro-Rata</t>
  </si>
  <si>
    <t xml:space="preserve">Conv Note Pro-Rata</t>
  </si>
  <si>
    <t xml:space="preserve">Investor Distributions</t>
  </si>
  <si>
    <t xml:space="preserve">SAFE 1</t>
  </si>
  <si>
    <t xml:space="preserve">SAFE 2</t>
  </si>
  <si>
    <t xml:space="preserve">Conv Note</t>
  </si>
  <si>
    <t xml:space="preserve">Total Investor Dist</t>
  </si>
  <si>
    <t xml:space="preserve">Common Distributions</t>
  </si>
  <si>
    <t xml:space="preserve">Remaining Proceeds</t>
  </si>
  <si>
    <t xml:space="preserve">Total Common Dist</t>
  </si>
  <si>
    <t xml:space="preserve">Totals</t>
  </si>
  <si>
    <t xml:space="preserve">TOTAL DISTRIBUTED</t>
  </si>
  <si>
    <t xml:space="preserve">Check (should = 0)</t>
  </si>
  <si>
    <t xml:space="preserve">Investor Returns</t>
  </si>
  <si>
    <t xml:space="preserve">MOIC by exit scenario</t>
  </si>
  <si>
    <t xml:space="preserve">Investment Summary</t>
  </si>
  <si>
    <t xml:space="preserve">Total Invested</t>
  </si>
  <si>
    <t xml:space="preserve">Distributions</t>
  </si>
  <si>
    <t xml:space="preserve">MOIC (Multiple on Invested Capital)</t>
  </si>
  <si>
    <t xml:space="preserve">Series A MOIC</t>
  </si>
  <si>
    <t xml:space="preserve">SAFE 1 MOIC</t>
  </si>
  <si>
    <t xml:space="preserve">SAFE 2 MOIC</t>
  </si>
  <si>
    <t xml:space="preserve">Conv Note MOIC</t>
  </si>
  <si>
    <t xml:space="preserve">Ownership at Exit (Post-Series A)</t>
  </si>
  <si>
    <t xml:space="preserve">Founder 1</t>
  </si>
  <si>
    <t xml:space="preserve">Founder 2</t>
  </si>
  <si>
    <t xml:space="preserve">TOTAL OWNERSHIP</t>
  </si>
  <si>
    <t xml:space="preserve">Effective Price Per Share</t>
  </si>
  <si>
    <t xml:space="preserve">SAFE 1 Eff PPS</t>
  </si>
  <si>
    <t xml:space="preserve">SAFE 2 Eff PPS</t>
  </si>
  <si>
    <t xml:space="preserve">Conv Note Eff PPS</t>
  </si>
  <si>
    <t xml:space="preserve">Series A PPS</t>
  </si>
  <si>
    <t xml:space="preserve">Validation Checks</t>
  </si>
  <si>
    <t xml:space="preserve">Model integrity</t>
  </si>
  <si>
    <t xml:space="preserve">Check</t>
  </si>
  <si>
    <t xml:space="preserve">Status</t>
  </si>
  <si>
    <t xml:space="preserve">Ownership Checks</t>
  </si>
  <si>
    <t xml:space="preserve">Post-Series A Ownership Sum</t>
  </si>
  <si>
    <t xml:space="preserve">Ownership = 100%?</t>
  </si>
  <si>
    <t xml:space="preserve">Distribution Checks</t>
  </si>
  <si>
    <t xml:space="preserve">Scenario 1 Dist Check</t>
  </si>
  <si>
    <t xml:space="preserve">All Distributions = Exit?</t>
  </si>
  <si>
    <t xml:space="preserve">Conversion Checks</t>
  </si>
  <si>
    <t xml:space="preserve">IS Total Conv = CT Total Conv?</t>
  </si>
  <si>
    <t xml:space="preserve">Conversion Reconciles?</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</si>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</sst>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8">
    <numFmt numFmtId="164" formatCode="General"/>
    <numFmt numFmtId="165" formatCode="@"/>
    <numFmt numFmtId="166" formatCode="#,##0.00"/>
    <numFmt numFmtId="167" formatCode="0.00%"/>
    <numFmt numFmtId="168" formatCode="\$#,##0.00"/>
    <numFmt numFmtId="169" formatCode="0"/>
    <numFmt numFmtId="170" formatCode="0.00\x"/>
    <numFmt numFmtId="171" formatCode="\$#,##0.0000"/>
  </numFmts>
  <fonts count="26">
    <font>
      <sz val="11"/>
      <name val="Arial"/>
      <family val="0"/>
      <charset val="1"/>
    </font>
    <font>
      <sz val="10"/>
      <name val="Arial"/>
      <family val="0"/>
    </font>
    <font>
      <sz val="10"/>
      <name val="Arial"/>
      <family val="0"/>
    </font>
    <font>
      <sz val="10"/>
      <name val="Arial"/>
      <family val="0"/>
    </font>
    <font>
      <sz val="11"/>
      <color theme="0"/>
      <name val="Arial"/>
      <family val="0"/>
      <charset val="1"/>
    </font>
    <font>
      <sz val="11"/>
      <color theme="0"/>
      <name val="Calibri"/>
      <family val="0"/>
      <charset val="1"/>
    </font>
    <font>
      <b val="true"/>
      <sz val="18"/>
      <color theme="0"/>
      <name val="Arial"/>
      <family val="0"/>
      <charset val="1"/>
    </font>
    <font>
      <b val="true"/>
      <u val="single"/>
      <sz val="11"/>
      <color theme="0"/>
      <name val="Arial"/>
      <family val="0"/>
      <charset val="1"/>
    </font>
    <font>
      <i val="true"/>
      <sz val="11"/>
      <color theme="0"/>
      <name val="Arial"/>
      <family val="0"/>
      <charset val="1"/>
    </font>
    <font>
      <sz val="11"/>
      <color theme="1"/>
      <name val="Arial"/>
      <family val="0"/>
      <charset val="1"/>
    </font>
    <font>
      <sz val="10"/>
      <color rgb="FF000000"/>
      <name val="Arial"/>
      <family val="0"/>
      <charset val="1"/>
    </font>
    <font>
      <b val="true"/>
      <sz val="10"/>
      <color theme="0"/>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1"/>
      <color theme="0"/>
      <name val="Arial"/>
      <family val="0"/>
      <charset val="1"/>
    </font>
    <font>
      <sz val="10"/>
      <color theme="3"/>
      <name val="Arial"/>
      <family val="0"/>
      <charset val="1"/>
    </font>
    <font>
      <i val="true"/>
      <sz val="10"/>
      <color rgb="FF808080"/>
      <name val="Arial"/>
      <family val="0"/>
      <charset val="1"/>
    </font>
    <font>
      <b val="true"/>
      <sz val="10"/>
      <color rgb="FF000000"/>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s>
  <fills count="12">
    <fill>
      <patternFill patternType="none"/>
    </fill>
    <fill>
      <patternFill patternType="gray125"/>
    </fill>
    <fill>
      <patternFill patternType="solid">
        <fgColor theme="3"/>
        <bgColor rgb="FF1F4E79"/>
      </patternFill>
    </fill>
    <fill>
      <patternFill patternType="solid">
        <fgColor rgb="FF5B9BD5"/>
        <bgColor rgb="FF808080"/>
      </patternFill>
    </fill>
    <fill>
      <patternFill patternType="solid">
        <fgColor rgb="FF70AD47"/>
        <bgColor rgb="FF99CC00"/>
      </patternFill>
    </fill>
    <fill>
      <patternFill patternType="solid">
        <fgColor rgb="FFED7D31"/>
        <bgColor rgb="FFFF8080"/>
      </patternFill>
    </fill>
    <fill>
      <patternFill patternType="solid">
        <fgColor rgb="FFA5A5A5"/>
        <bgColor rgb="FFC0C0C0"/>
      </patternFill>
    </fill>
    <fill>
      <patternFill patternType="solid">
        <fgColor rgb="FFD6E4F0"/>
        <bgColor rgb="FFC6D9F1"/>
      </patternFill>
    </fill>
    <fill>
      <patternFill patternType="solid">
        <fgColor rgb="FFFFF2CC"/>
        <bgColor rgb="FFF2F2F2"/>
      </patternFill>
    </fill>
    <fill>
      <patternFill patternType="solid">
        <fgColor theme="3" tint="0.8"/>
        <bgColor rgb="FFD6E4F0"/>
      </patternFill>
    </fill>
    <fill>
      <patternFill patternType="solid">
        <fgColor rgb="FF1F4E79"/>
        <bgColor rgb="FF1F497D"/>
      </patternFill>
    </fill>
    <fill>
      <patternFill patternType="solid">
        <fgColor rgb="FFF2F2F2"/>
        <bgColor rgb="FFFFFFFF"/>
      </patternFill>
    </fill>
  </fills>
  <borders count="4">
    <border diagonalUp="false" diagonalDown="false">
      <left/>
      <right/>
      <top/>
      <bottom/>
      <diagonal/>
    </border>
    <border diagonalUp="false" diagonalDown="false">
      <left/>
      <right/>
      <top style="thin"/>
      <bottom/>
      <diagonal/>
    </border>
    <border diagonalUp="false" diagonalDown="false">
      <left/>
      <right/>
      <top style="double"/>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4" fontId="11"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9" fillId="3" borderId="0" xfId="0" applyFont="true" applyBorder="false" applyAlignment="false" applyProtection="false">
      <alignment horizontal="general" vertical="bottom" textRotation="0" wrapText="false" indent="0" shrinkToFit="false"/>
      <protection locked="true" hidden="false"/>
    </xf>
    <xf numFmtId="164" fontId="9" fillId="4" borderId="0" xfId="0" applyFont="true" applyBorder="false" applyAlignment="false" applyProtection="false">
      <alignment horizontal="general" vertical="bottom" textRotation="0" wrapText="false" indent="0" shrinkToFit="false"/>
      <protection locked="true" hidden="false"/>
    </xf>
    <xf numFmtId="164" fontId="9" fillId="5" borderId="0" xfId="0" applyFont="true" applyBorder="false" applyAlignment="false" applyProtection="false">
      <alignment horizontal="general" vertical="bottom" textRotation="0" wrapText="false" indent="0" shrinkToFit="false"/>
      <protection locked="true" hidden="false"/>
    </xf>
    <xf numFmtId="164" fontId="9" fillId="6" borderId="0" xfId="0" applyFont="true" applyBorder="false" applyAlignment="false" applyProtection="false">
      <alignment horizontal="general" vertical="bottom" textRotation="0" wrapText="false" indent="0" shrinkToFit="false"/>
      <protection locked="true" hidden="false"/>
    </xf>
    <xf numFmtId="164" fontId="12" fillId="7" borderId="0" xfId="0" applyFont="true" applyBorder="false" applyAlignment="true" applyProtection="false">
      <alignment horizontal="left" vertical="center" textRotation="0" wrapText="false" indent="0" shrinkToFit="false"/>
      <protection locked="true" hidden="false"/>
    </xf>
    <xf numFmtId="164" fontId="13" fillId="7"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top" textRotation="0" wrapText="true" indent="0" shrinkToFit="false"/>
      <protection locked="true" hidden="false"/>
    </xf>
    <xf numFmtId="164" fontId="15" fillId="0" borderId="0" xfId="0" applyFont="true" applyBorder="tru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1" fillId="2" borderId="0" xfId="0" applyFont="true" applyBorder="false" applyAlignment="true" applyProtection="false">
      <alignment horizontal="center" vertical="center" textRotation="0" wrapText="false" indent="0" shrinkToFit="false"/>
      <protection locked="true" hidden="false"/>
    </xf>
    <xf numFmtId="164" fontId="17" fillId="2" borderId="0" xfId="0" applyFont="true" applyBorder="false" applyAlignment="true" applyProtection="false">
      <alignment horizontal="left" vertical="center" textRotation="0" wrapText="false" indent="0" shrinkToFit="false"/>
      <protection locked="true" hidden="false"/>
    </xf>
    <xf numFmtId="165" fontId="18" fillId="8" borderId="0" xfId="0" applyFont="true" applyBorder="false" applyAlignment="true" applyProtection="false">
      <alignment horizontal="right" vertical="center" textRotation="0" wrapText="false" indent="0" shrinkToFit="false"/>
      <protection locked="true" hidden="false"/>
    </xf>
    <xf numFmtId="164" fontId="19" fillId="0" borderId="0" xfId="0" applyFont="true" applyBorder="false" applyAlignment="true" applyProtection="false">
      <alignment horizontal="left" vertical="center" textRotation="0" wrapText="false" indent="0" shrinkToFit="false"/>
      <protection locked="true" hidden="false"/>
    </xf>
    <xf numFmtId="166" fontId="18" fillId="8" borderId="0" xfId="0" applyFont="true" applyBorder="false" applyAlignment="true" applyProtection="false">
      <alignment horizontal="right" vertical="center" textRotation="0" wrapText="false" indent="0" shrinkToFit="false"/>
      <protection locked="true" hidden="false"/>
    </xf>
    <xf numFmtId="167" fontId="18" fillId="8" borderId="0" xfId="0" applyFont="true" applyBorder="false" applyAlignment="true" applyProtection="false">
      <alignment horizontal="right" vertical="center" textRotation="0" wrapText="false" indent="0" shrinkToFit="false"/>
      <protection locked="true" hidden="false"/>
    </xf>
    <xf numFmtId="168" fontId="18" fillId="8" borderId="0" xfId="0" applyFont="true" applyBorder="false" applyAlignment="true" applyProtection="false">
      <alignment horizontal="right" vertical="center" textRotation="0" wrapText="false" indent="0" shrinkToFit="false"/>
      <protection locked="true" hidden="false"/>
    </xf>
    <xf numFmtId="169" fontId="18" fillId="8" borderId="0" xfId="0" applyFont="true" applyBorder="false" applyAlignment="true" applyProtection="false">
      <alignment horizontal="right" vertical="center" textRotation="0" wrapText="false" indent="0" shrinkToFit="false"/>
      <protection locked="true" hidden="false"/>
    </xf>
    <xf numFmtId="170" fontId="18" fillId="8" borderId="0" xfId="0" applyFont="true" applyBorder="false" applyAlignment="true" applyProtection="false">
      <alignment horizontal="right"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1" shrinkToFit="false"/>
      <protection locked="true" hidden="false"/>
    </xf>
    <xf numFmtId="168" fontId="10" fillId="0" borderId="0" xfId="0" applyFont="true" applyBorder="false" applyAlignment="true" applyProtection="false">
      <alignment horizontal="right" vertical="center" textRotation="0" wrapText="false" indent="0" shrinkToFit="false"/>
      <protection locked="true" hidden="false"/>
    </xf>
    <xf numFmtId="167" fontId="10" fillId="0" borderId="0" xfId="0" applyFont="true" applyBorder="false" applyAlignment="true" applyProtection="false">
      <alignment horizontal="right" vertical="center" textRotation="0" wrapText="false" indent="0" shrinkToFit="false"/>
      <protection locked="true" hidden="false"/>
    </xf>
    <xf numFmtId="166" fontId="10" fillId="0" borderId="0" xfId="0" applyFont="true" applyBorder="false" applyAlignment="true" applyProtection="false">
      <alignment horizontal="right" vertical="center"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71" fontId="10" fillId="0" borderId="0" xfId="0" applyFont="true" applyBorder="false" applyAlignment="true" applyProtection="false">
      <alignment horizontal="right" vertical="center" textRotation="0" wrapText="false" indent="0" shrinkToFit="false"/>
      <protection locked="true" hidden="false"/>
    </xf>
    <xf numFmtId="164" fontId="20" fillId="0" borderId="0" xfId="0" applyFont="true" applyBorder="false" applyAlignment="true" applyProtection="false">
      <alignment horizontal="left" vertical="center" textRotation="0" wrapText="false" indent="1" shrinkToFit="false"/>
      <protection locked="true" hidden="false"/>
    </xf>
    <xf numFmtId="168" fontId="20" fillId="0" borderId="1" xfId="0" applyFont="true" applyBorder="true" applyAlignment="true" applyProtection="false">
      <alignment horizontal="right" vertical="center"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6" fontId="20" fillId="0" borderId="2" xfId="0" applyFont="true" applyBorder="true" applyAlignment="true" applyProtection="false">
      <alignment horizontal="right" vertical="center" textRotation="0" wrapText="false" indent="0" shrinkToFit="false"/>
      <protection locked="true" hidden="false"/>
    </xf>
    <xf numFmtId="164" fontId="9" fillId="2" borderId="0" xfId="0" applyFont="true" applyBorder="false" applyAlignment="true" applyProtection="false">
      <alignment horizontal="center" vertical="center" textRotation="0" wrapText="false" indent="0" shrinkToFit="false"/>
      <protection locked="true" hidden="false"/>
    </xf>
    <xf numFmtId="164" fontId="20" fillId="9" borderId="0" xfId="0" applyFont="true" applyBorder="false" applyAlignment="false" applyProtection="false">
      <alignment horizontal="general" vertical="bottom" textRotation="0" wrapText="false" indent="0" shrinkToFit="false"/>
      <protection locked="true" hidden="false"/>
    </xf>
    <xf numFmtId="164" fontId="20" fillId="9" borderId="0" xfId="0" applyFont="true" applyBorder="false" applyAlignment="true" applyProtection="false">
      <alignment horizontal="right" vertical="center" textRotation="0" wrapText="false" indent="0" shrinkToFit="false"/>
      <protection locked="true" hidden="false"/>
    </xf>
    <xf numFmtId="164" fontId="10" fillId="0" borderId="0" xfId="0" applyFont="true" applyBorder="false" applyAlignment="true" applyProtection="false">
      <alignment horizontal="general" vertical="bottom" textRotation="0" wrapText="false" indent="1" shrinkToFit="false"/>
      <protection locked="true" hidden="false"/>
    </xf>
    <xf numFmtId="166" fontId="9" fillId="0" borderId="0" xfId="0" applyFont="true" applyBorder="false" applyAlignment="true" applyProtection="false">
      <alignment horizontal="right" vertical="center" textRotation="0" wrapText="false" indent="0" shrinkToFit="false"/>
      <protection locked="true" hidden="false"/>
    </xf>
    <xf numFmtId="167" fontId="9" fillId="0" borderId="0" xfId="0" applyFont="true" applyBorder="false" applyAlignment="true" applyProtection="false">
      <alignment horizontal="right" vertical="center" textRotation="0" wrapText="false" indent="0" shrinkToFit="false"/>
      <protection locked="true" hidden="false"/>
    </xf>
    <xf numFmtId="166" fontId="9" fillId="0" borderId="1" xfId="0" applyFont="true" applyBorder="true" applyAlignment="true" applyProtection="false">
      <alignment horizontal="right" vertical="center" textRotation="0" wrapText="false" indent="0" shrinkToFit="false"/>
      <protection locked="true" hidden="false"/>
    </xf>
    <xf numFmtId="167" fontId="9" fillId="0" borderId="1" xfId="0" applyFont="true" applyBorder="true" applyAlignment="true" applyProtection="false">
      <alignment horizontal="right" vertical="center" textRotation="0" wrapText="false" indent="0" shrinkToFit="false"/>
      <protection locked="true" hidden="false"/>
    </xf>
    <xf numFmtId="167" fontId="20" fillId="0" borderId="2" xfId="0" applyFont="true" applyBorder="true" applyAlignment="true" applyProtection="false">
      <alignment horizontal="right" vertical="center" textRotation="0" wrapText="false" indent="0" shrinkToFit="false"/>
      <protection locked="true" hidden="false"/>
    </xf>
    <xf numFmtId="171" fontId="9" fillId="0" borderId="0" xfId="0" applyFont="true" applyBorder="false" applyAlignment="true" applyProtection="false">
      <alignment horizontal="right" vertical="center" textRotation="0" wrapText="false" indent="0" shrinkToFit="false"/>
      <protection locked="true" hidden="false"/>
    </xf>
    <xf numFmtId="165" fontId="9" fillId="0" borderId="0" xfId="0" applyFont="true" applyBorder="false" applyAlignment="true" applyProtection="false">
      <alignment horizontal="right" vertical="center" textRotation="0" wrapText="false" indent="0" shrinkToFit="false"/>
      <protection locked="true" hidden="false"/>
    </xf>
    <xf numFmtId="168" fontId="9" fillId="0" borderId="0" xfId="0" applyFont="true" applyBorder="false" applyAlignment="true" applyProtection="false">
      <alignment horizontal="right" vertical="center" textRotation="0" wrapText="false" indent="0" shrinkToFit="false"/>
      <protection locked="true" hidden="false"/>
    </xf>
    <xf numFmtId="168" fontId="11" fillId="2" borderId="0" xfId="0" applyFont="true" applyBorder="false" applyAlignment="true" applyProtection="false">
      <alignment horizontal="center" vertical="center" textRotation="0" wrapText="false" indent="0" shrinkToFit="false"/>
      <protection locked="true" hidden="false"/>
    </xf>
    <xf numFmtId="168" fontId="9" fillId="0" borderId="1" xfId="0" applyFont="true" applyBorder="true" applyAlignment="true" applyProtection="false">
      <alignment horizontal="right" vertical="center" textRotation="0" wrapText="false" indent="0" shrinkToFit="false"/>
      <protection locked="true" hidden="false"/>
    </xf>
    <xf numFmtId="168" fontId="20" fillId="0" borderId="2" xfId="0" applyFont="true" applyBorder="true" applyAlignment="true" applyProtection="false">
      <alignment horizontal="right" vertical="center" textRotation="0" wrapText="false" indent="0" shrinkToFit="false"/>
      <protection locked="true" hidden="false"/>
    </xf>
    <xf numFmtId="168" fontId="19" fillId="0" borderId="0" xfId="0" applyFont="true" applyBorder="false" applyAlignment="true" applyProtection="false">
      <alignment horizontal="right" vertical="center" textRotation="0" wrapText="false" indent="0" shrinkToFit="false"/>
      <protection locked="true" hidden="false"/>
    </xf>
    <xf numFmtId="170" fontId="10" fillId="0" borderId="0" xfId="0" applyFont="true" applyBorder="false" applyAlignment="true" applyProtection="false">
      <alignment horizontal="right" vertical="center" textRotation="0" wrapText="false" indent="0" shrinkToFit="false"/>
      <protection locked="true" hidden="false"/>
    </xf>
    <xf numFmtId="164" fontId="20" fillId="0" borderId="0" xfId="0" applyFont="true" applyBorder="false" applyAlignment="true" applyProtection="false">
      <alignment horizontal="left" vertical="center" textRotation="0" wrapText="false" indent="0" shrinkToFit="false"/>
      <protection locked="true" hidden="false"/>
    </xf>
    <xf numFmtId="164" fontId="21" fillId="0" borderId="0" xfId="0" applyFont="true" applyBorder="false" applyAlignment="true" applyProtection="false">
      <alignment horizontal="left" vertical="center" textRotation="0" wrapText="false" indent="0" shrinkToFit="false"/>
      <protection locked="true" hidden="false"/>
    </xf>
    <xf numFmtId="164" fontId="13" fillId="0" borderId="3" xfId="0" applyFont="true" applyBorder="true" applyAlignment="false" applyProtection="false">
      <alignment horizontal="general" vertical="bottom" textRotation="0" wrapText="false" indent="0" shrinkToFit="false"/>
      <protection locked="true" hidden="false"/>
    </xf>
    <xf numFmtId="164" fontId="22" fillId="10" borderId="0" xfId="0" applyFont="true" applyBorder="false" applyAlignment="true" applyProtection="false">
      <alignment horizontal="left" vertical="center" textRotation="0" wrapText="false" indent="1" shrinkToFit="false"/>
      <protection locked="true" hidden="false"/>
    </xf>
    <xf numFmtId="164" fontId="23" fillId="0" borderId="0" xfId="0" applyFont="true" applyBorder="false" applyAlignment="true" applyProtection="false">
      <alignment horizontal="left" vertical="top" textRotation="0" wrapText="true" indent="1" shrinkToFit="false"/>
      <protection locked="true" hidden="false"/>
    </xf>
    <xf numFmtId="164" fontId="24" fillId="0" borderId="0" xfId="0" applyFont="true" applyBorder="false" applyAlignment="true" applyProtection="false">
      <alignment horizontal="left" vertical="center" textRotation="0" wrapText="false" indent="1" shrinkToFit="false"/>
      <protection locked="true" hidden="false"/>
    </xf>
    <xf numFmtId="164" fontId="12" fillId="0" borderId="0" xfId="0" applyFont="true" applyBorder="false" applyAlignment="true" applyProtection="false">
      <alignment horizontal="left" vertical="center" textRotation="0" wrapText="false" indent="1" shrinkToFit="false"/>
      <protection locked="true" hidden="false"/>
    </xf>
    <xf numFmtId="164" fontId="25" fillId="11" borderId="0" xfId="0" applyFont="true" applyBorder="false" applyAlignment="true" applyProtection="false">
      <alignment horizontal="left" vertical="top" textRotation="0" wrapText="true" indent="1" shrinkToFit="false"/>
      <protection locked="true" hidden="false"/>
    </xf>
    <xf numFmtId="164" fontId="19"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FF2CC"/>
      <rgbColor rgb="FFD6E4F0"/>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F2F2F2"/>
      <rgbColor rgb="FFCCFFCC"/>
      <rgbColor rgb="FFFFFF99"/>
      <rgbColor rgb="FF99CCFF"/>
      <rgbColor rgb="FFFF99CC"/>
      <rgbColor rgb="FFCC99FF"/>
      <rgbColor rgb="FFFFCC99"/>
      <rgbColor rgb="FF3366FF"/>
      <rgbColor rgb="FF33CCCC"/>
      <rgbColor rgb="FF99CC00"/>
      <rgbColor rgb="FFFFCC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31"/>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3" min="3" style="0" width="30"/>
    <col collapsed="false" customWidth="true" hidden="false" outlineLevel="0" max="4" min="4" style="0" width="20"/>
  </cols>
  <sheetData>
    <row r="1" customFormat="false" ht="15" hidden="false" customHeight="false" outlineLevel="0" collapsed="false">
      <c r="A1" s="1"/>
      <c r="B1" s="1"/>
      <c r="C1" s="1"/>
      <c r="D1" s="2"/>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0</v>
      </c>
      <c r="C2" s="1"/>
      <c r="D2" s="4" t="s">
        <v>1</v>
      </c>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v>
      </c>
      <c r="C3" s="1"/>
      <c r="D3" s="2"/>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row>
    <row r="5" customFormat="false" ht="15" hidden="false" customHeight="false" outlineLevel="0" collapsed="false">
      <c r="A5" s="6"/>
      <c r="B5" s="7" t="s">
        <v>3</v>
      </c>
      <c r="C5" s="7" t="s">
        <v>4</v>
      </c>
    </row>
    <row r="6" customFormat="false" ht="15" hidden="false" customHeight="false" outlineLevel="0" collapsed="false">
      <c r="A6" s="6"/>
      <c r="B6" s="7" t="s">
        <v>5</v>
      </c>
      <c r="C6" s="7" t="s">
        <v>6</v>
      </c>
    </row>
    <row r="7" customFormat="false" ht="15" hidden="false" customHeight="false" outlineLevel="0" collapsed="false">
      <c r="A7" s="6"/>
      <c r="B7" s="7" t="s">
        <v>7</v>
      </c>
      <c r="C7" s="7" t="s">
        <v>8</v>
      </c>
    </row>
    <row r="8" customFormat="false" ht="15" hidden="false" customHeight="false" outlineLevel="0" collapsed="false">
      <c r="A8" s="6"/>
      <c r="B8" s="6"/>
      <c r="C8" s="6"/>
    </row>
    <row r="9" customFormat="false" ht="15" hidden="false" customHeight="false" outlineLevel="0" collapsed="false">
      <c r="A9" s="6"/>
      <c r="B9" s="8" t="s">
        <v>9</v>
      </c>
      <c r="C9" s="8" t="s">
        <v>10</v>
      </c>
    </row>
    <row r="10" customFormat="false" ht="15" hidden="false" customHeight="false" outlineLevel="0" collapsed="false">
      <c r="A10" s="6"/>
      <c r="B10" s="7" t="s">
        <v>11</v>
      </c>
      <c r="C10" s="7" t="s">
        <v>12</v>
      </c>
    </row>
    <row r="11" customFormat="false" ht="15" hidden="false" customHeight="false" outlineLevel="0" collapsed="false">
      <c r="A11" s="6"/>
      <c r="B11" s="7" t="s">
        <v>13</v>
      </c>
      <c r="C11" s="7" t="s">
        <v>14</v>
      </c>
    </row>
    <row r="12" customFormat="false" ht="15" hidden="false" customHeight="false" outlineLevel="0" collapsed="false">
      <c r="A12" s="6"/>
      <c r="B12" s="7" t="s">
        <v>15</v>
      </c>
      <c r="C12" s="7" t="s">
        <v>16</v>
      </c>
    </row>
    <row r="13" customFormat="false" ht="15" hidden="false" customHeight="false" outlineLevel="0" collapsed="false">
      <c r="A13" s="6"/>
      <c r="B13" s="7" t="s">
        <v>17</v>
      </c>
      <c r="C13" s="7" t="s">
        <v>18</v>
      </c>
    </row>
    <row r="14" customFormat="false" ht="15" hidden="false" customHeight="false" outlineLevel="0" collapsed="false">
      <c r="A14" s="6"/>
      <c r="B14" s="7" t="s">
        <v>19</v>
      </c>
      <c r="C14" s="7" t="s">
        <v>20</v>
      </c>
    </row>
    <row r="15" customFormat="false" ht="15" hidden="false" customHeight="false" outlineLevel="0" collapsed="false">
      <c r="A15" s="6"/>
      <c r="B15" s="7" t="s">
        <v>21</v>
      </c>
      <c r="C15" s="7" t="s">
        <v>22</v>
      </c>
    </row>
    <row r="16" customFormat="false" ht="15" hidden="false" customHeight="false" outlineLevel="0" collapsed="false">
      <c r="A16" s="6"/>
      <c r="B16" s="6"/>
      <c r="C16" s="6"/>
    </row>
    <row r="17" customFormat="false" ht="15" hidden="false" customHeight="false" outlineLevel="0" collapsed="false">
      <c r="A17" s="6"/>
      <c r="B17" s="8" t="s">
        <v>23</v>
      </c>
      <c r="C17" s="8" t="s">
        <v>24</v>
      </c>
    </row>
    <row r="18" customFormat="false" ht="15" hidden="false" customHeight="false" outlineLevel="0" collapsed="false">
      <c r="A18" s="6"/>
      <c r="B18" s="9"/>
      <c r="C18" s="7" t="s">
        <v>25</v>
      </c>
    </row>
    <row r="19" customFormat="false" ht="15" hidden="false" customHeight="false" outlineLevel="0" collapsed="false">
      <c r="A19" s="6"/>
      <c r="B19" s="10"/>
      <c r="C19" s="7" t="s">
        <v>11</v>
      </c>
    </row>
    <row r="20" customFormat="false" ht="15" hidden="false" customHeight="false" outlineLevel="0" collapsed="false">
      <c r="A20" s="6"/>
      <c r="B20" s="11"/>
      <c r="C20" s="7" t="s">
        <v>26</v>
      </c>
    </row>
    <row r="21" customFormat="false" ht="15" hidden="false" customHeight="false" outlineLevel="0" collapsed="false">
      <c r="A21" s="6"/>
      <c r="B21" s="12"/>
      <c r="C21" s="7" t="s">
        <v>27</v>
      </c>
    </row>
    <row r="22" customFormat="false" ht="15" hidden="false" customHeight="false" outlineLevel="0" collapsed="false">
      <c r="A22" s="6"/>
      <c r="B22" s="13"/>
      <c r="C22" s="7" t="s">
        <v>28</v>
      </c>
    </row>
    <row r="25" customFormat="false" ht="19.5" hidden="false" customHeight="true" outlineLevel="0" collapsed="false">
      <c r="B25" s="14" t="s">
        <v>29</v>
      </c>
      <c r="C25" s="15"/>
      <c r="D25" s="15"/>
      <c r="E25" s="15"/>
      <c r="F25" s="15"/>
      <c r="G25" s="15"/>
    </row>
    <row r="26" customFormat="false" ht="233.25" hidden="false" customHeight="true" outlineLevel="0" collapsed="false">
      <c r="B26" s="16" t="s">
        <v>30</v>
      </c>
      <c r="C26" s="16"/>
      <c r="D26" s="16"/>
      <c r="E26" s="16"/>
      <c r="F26" s="16"/>
      <c r="G26" s="16"/>
    </row>
    <row r="28" customFormat="false" ht="19.5" hidden="false" customHeight="true" outlineLevel="0" collapsed="false">
      <c r="B28" s="14" t="s">
        <v>31</v>
      </c>
      <c r="C28" s="15"/>
      <c r="D28" s="15"/>
      <c r="E28" s="15"/>
      <c r="F28" s="15"/>
      <c r="G28" s="15"/>
    </row>
    <row r="29" customFormat="false" ht="57" hidden="false" customHeight="true" outlineLevel="0" collapsed="false">
      <c r="B29" s="16" t="s">
        <v>32</v>
      </c>
      <c r="C29" s="16"/>
      <c r="D29" s="16"/>
      <c r="E29" s="16"/>
      <c r="F29" s="16"/>
      <c r="G29" s="16"/>
    </row>
    <row r="30" customFormat="false" ht="15" hidden="false" customHeight="false" outlineLevel="0" collapsed="false">
      <c r="B30" s="17" t="s">
        <v>33</v>
      </c>
      <c r="C30" s="17"/>
      <c r="D30" s="17"/>
      <c r="E30" s="17"/>
      <c r="F30" s="17"/>
      <c r="G30" s="17"/>
    </row>
    <row r="31" customFormat="false" ht="15" hidden="false" customHeight="false" outlineLevel="0" collapsed="false">
      <c r="B31" s="18" t="s">
        <v>34</v>
      </c>
    </row>
  </sheetData>
  <mergeCells count="3">
    <mergeCell ref="B26:G26"/>
    <mergeCell ref="B29:G29"/>
    <mergeCell ref="B30:G30"/>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4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3" min="3" style="0" width="20"/>
    <col collapsed="false" customWidth="true" hidden="false" outlineLevel="0" max="4" min="4" style="0" width="10"/>
    <col collapsed="false" customWidth="true" hidden="false" outlineLevel="0" max="5" min="5" style="0" width="40"/>
  </cols>
  <sheetData>
    <row r="1" customFormat="false" ht="15" hidden="false" customHeight="false" outlineLevel="0" collapsed="false">
      <c r="A1" s="1"/>
      <c r="B1" s="1"/>
      <c r="C1" s="1"/>
      <c r="D1" s="1"/>
      <c r="E1" s="1"/>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11</v>
      </c>
      <c r="C2" s="1"/>
      <c r="D2" s="1"/>
      <c r="E2" s="1"/>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35</v>
      </c>
      <c r="C3" s="1"/>
      <c r="D3" s="1"/>
      <c r="E3" s="1"/>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row>
    <row r="5" customFormat="false" ht="15" hidden="false" customHeight="false" outlineLevel="0" collapsed="false">
      <c r="A5" s="6"/>
      <c r="B5" s="19" t="s">
        <v>36</v>
      </c>
      <c r="C5" s="19" t="s">
        <v>37</v>
      </c>
      <c r="D5" s="19" t="s">
        <v>38</v>
      </c>
      <c r="E5" s="19" t="s">
        <v>39</v>
      </c>
    </row>
    <row r="6" customFormat="false" ht="15" hidden="false" customHeight="false" outlineLevel="0" collapsed="false">
      <c r="A6" s="6"/>
      <c r="B6" s="20" t="s">
        <v>40</v>
      </c>
      <c r="C6" s="9"/>
      <c r="D6" s="9"/>
      <c r="E6" s="9"/>
    </row>
    <row r="7" customFormat="false" ht="15" hidden="false" customHeight="false" outlineLevel="0" collapsed="false">
      <c r="A7" s="6"/>
      <c r="B7" s="7" t="s">
        <v>41</v>
      </c>
      <c r="C7" s="21" t="s">
        <v>42</v>
      </c>
      <c r="D7" s="22"/>
      <c r="E7" s="22" t="s">
        <v>43</v>
      </c>
    </row>
    <row r="8" customFormat="false" ht="15" hidden="false" customHeight="false" outlineLevel="0" collapsed="false">
      <c r="A8" s="6"/>
      <c r="B8" s="7" t="s">
        <v>44</v>
      </c>
      <c r="C8" s="23" t="n">
        <v>6000000</v>
      </c>
      <c r="D8" s="22" t="s">
        <v>45</v>
      </c>
      <c r="E8" s="22" t="s">
        <v>46</v>
      </c>
    </row>
    <row r="9" customFormat="false" ht="15" hidden="false" customHeight="false" outlineLevel="0" collapsed="false">
      <c r="A9" s="6"/>
      <c r="B9" s="7" t="s">
        <v>47</v>
      </c>
      <c r="C9" s="21" t="s">
        <v>48</v>
      </c>
      <c r="D9" s="22"/>
      <c r="E9" s="22" t="s">
        <v>49</v>
      </c>
    </row>
    <row r="10" customFormat="false" ht="15" hidden="false" customHeight="false" outlineLevel="0" collapsed="false">
      <c r="A10" s="6"/>
      <c r="B10" s="7" t="s">
        <v>50</v>
      </c>
      <c r="C10" s="23" t="n">
        <v>4000000</v>
      </c>
      <c r="D10" s="22" t="s">
        <v>45</v>
      </c>
      <c r="E10" s="22" t="s">
        <v>46</v>
      </c>
    </row>
    <row r="11" customFormat="false" ht="15" hidden="false" customHeight="false" outlineLevel="0" collapsed="false">
      <c r="A11" s="6"/>
      <c r="B11" s="7" t="s">
        <v>51</v>
      </c>
      <c r="C11" s="24" t="n">
        <v>0.1</v>
      </c>
      <c r="D11" s="22" t="s">
        <v>52</v>
      </c>
      <c r="E11" s="22" t="s">
        <v>53</v>
      </c>
    </row>
    <row r="12" customFormat="false" ht="15" hidden="false" customHeight="false" outlineLevel="0" collapsed="false">
      <c r="A12" s="6"/>
      <c r="B12" s="6"/>
      <c r="C12" s="6"/>
      <c r="D12" s="6"/>
      <c r="E12" s="6"/>
    </row>
    <row r="13" customFormat="false" ht="15" hidden="false" customHeight="false" outlineLevel="0" collapsed="false">
      <c r="A13" s="6"/>
      <c r="B13" s="20" t="s">
        <v>54</v>
      </c>
      <c r="C13" s="9"/>
      <c r="D13" s="9"/>
      <c r="E13" s="9"/>
    </row>
    <row r="14" customFormat="false" ht="15" hidden="false" customHeight="false" outlineLevel="0" collapsed="false">
      <c r="A14" s="6"/>
      <c r="B14" s="7" t="s">
        <v>55</v>
      </c>
      <c r="C14" s="21" t="s">
        <v>56</v>
      </c>
      <c r="D14" s="22"/>
      <c r="E14" s="22" t="s">
        <v>57</v>
      </c>
    </row>
    <row r="15" customFormat="false" ht="15" hidden="false" customHeight="false" outlineLevel="0" collapsed="false">
      <c r="A15" s="6"/>
      <c r="B15" s="7" t="s">
        <v>58</v>
      </c>
      <c r="C15" s="25" t="n">
        <v>500000</v>
      </c>
      <c r="D15" s="22" t="s">
        <v>59</v>
      </c>
      <c r="E15" s="22"/>
    </row>
    <row r="16" customFormat="false" ht="15" hidden="false" customHeight="false" outlineLevel="0" collapsed="false">
      <c r="A16" s="6"/>
      <c r="B16" s="7" t="s">
        <v>60</v>
      </c>
      <c r="C16" s="25" t="n">
        <v>8000000</v>
      </c>
      <c r="D16" s="22" t="s">
        <v>59</v>
      </c>
      <c r="E16" s="22" t="s">
        <v>61</v>
      </c>
    </row>
    <row r="17" customFormat="false" ht="15" hidden="false" customHeight="false" outlineLevel="0" collapsed="false">
      <c r="A17" s="6"/>
      <c r="B17" s="7" t="s">
        <v>62</v>
      </c>
      <c r="C17" s="26" t="n">
        <v>1</v>
      </c>
      <c r="D17" s="22"/>
      <c r="E17" s="22" t="s">
        <v>63</v>
      </c>
    </row>
    <row r="18" customFormat="false" ht="15" hidden="false" customHeight="false" outlineLevel="0" collapsed="false">
      <c r="A18" s="6"/>
      <c r="B18" s="6"/>
      <c r="C18" s="6"/>
      <c r="D18" s="6"/>
      <c r="E18" s="6"/>
    </row>
    <row r="19" customFormat="false" ht="15" hidden="false" customHeight="false" outlineLevel="0" collapsed="false">
      <c r="A19" s="6"/>
      <c r="B19" s="20" t="s">
        <v>64</v>
      </c>
      <c r="C19" s="9"/>
      <c r="D19" s="9"/>
      <c r="E19" s="9"/>
    </row>
    <row r="20" customFormat="false" ht="15" hidden="false" customHeight="false" outlineLevel="0" collapsed="false">
      <c r="A20" s="6"/>
      <c r="B20" s="7" t="s">
        <v>55</v>
      </c>
      <c r="C20" s="21" t="s">
        <v>65</v>
      </c>
      <c r="D20" s="22"/>
      <c r="E20" s="22" t="s">
        <v>66</v>
      </c>
    </row>
    <row r="21" customFormat="false" ht="15" hidden="false" customHeight="false" outlineLevel="0" collapsed="false">
      <c r="A21" s="6"/>
      <c r="B21" s="7" t="s">
        <v>58</v>
      </c>
      <c r="C21" s="25" t="n">
        <v>750000</v>
      </c>
      <c r="D21" s="22" t="s">
        <v>59</v>
      </c>
      <c r="E21" s="22"/>
    </row>
    <row r="22" customFormat="false" ht="15" hidden="false" customHeight="false" outlineLevel="0" collapsed="false">
      <c r="A22" s="6"/>
      <c r="B22" s="7" t="s">
        <v>60</v>
      </c>
      <c r="C22" s="25" t="n">
        <v>6000000</v>
      </c>
      <c r="D22" s="22" t="s">
        <v>59</v>
      </c>
      <c r="E22" s="22" t="s">
        <v>67</v>
      </c>
    </row>
    <row r="23" customFormat="false" ht="15" hidden="false" customHeight="false" outlineLevel="0" collapsed="false">
      <c r="A23" s="6"/>
      <c r="B23" s="7" t="s">
        <v>68</v>
      </c>
      <c r="C23" s="24" t="n">
        <v>0.2</v>
      </c>
      <c r="D23" s="22" t="s">
        <v>52</v>
      </c>
      <c r="E23" s="22" t="s">
        <v>69</v>
      </c>
    </row>
    <row r="24" customFormat="false" ht="15" hidden="false" customHeight="false" outlineLevel="0" collapsed="false">
      <c r="A24" s="6"/>
      <c r="B24" s="7" t="s">
        <v>62</v>
      </c>
      <c r="C24" s="26" t="n">
        <v>2</v>
      </c>
      <c r="D24" s="22"/>
      <c r="E24" s="22" t="s">
        <v>63</v>
      </c>
    </row>
    <row r="25" customFormat="false" ht="15" hidden="false" customHeight="false" outlineLevel="0" collapsed="false">
      <c r="A25" s="6"/>
      <c r="B25" s="6"/>
      <c r="C25" s="6"/>
      <c r="D25" s="6"/>
      <c r="E25" s="6"/>
    </row>
    <row r="26" customFormat="false" ht="15" hidden="false" customHeight="false" outlineLevel="0" collapsed="false">
      <c r="A26" s="6"/>
      <c r="B26" s="20" t="s">
        <v>70</v>
      </c>
      <c r="C26" s="9"/>
      <c r="D26" s="9"/>
      <c r="E26" s="9"/>
    </row>
    <row r="27" customFormat="false" ht="15" hidden="false" customHeight="false" outlineLevel="0" collapsed="false">
      <c r="A27" s="6"/>
      <c r="B27" s="7" t="s">
        <v>55</v>
      </c>
      <c r="C27" s="21" t="s">
        <v>71</v>
      </c>
      <c r="D27" s="22"/>
      <c r="E27" s="22" t="s">
        <v>72</v>
      </c>
    </row>
    <row r="28" customFormat="false" ht="15" hidden="false" customHeight="false" outlineLevel="0" collapsed="false">
      <c r="A28" s="6"/>
      <c r="B28" s="7" t="s">
        <v>73</v>
      </c>
      <c r="C28" s="25" t="n">
        <v>250000</v>
      </c>
      <c r="D28" s="22" t="s">
        <v>59</v>
      </c>
      <c r="E28" s="22"/>
    </row>
    <row r="29" customFormat="false" ht="15" hidden="false" customHeight="false" outlineLevel="0" collapsed="false">
      <c r="A29" s="6"/>
      <c r="B29" s="7" t="s">
        <v>74</v>
      </c>
      <c r="C29" s="24" t="n">
        <v>0.06</v>
      </c>
      <c r="D29" s="22" t="s">
        <v>52</v>
      </c>
      <c r="E29" s="22" t="s">
        <v>75</v>
      </c>
    </row>
    <row r="30" customFormat="false" ht="15" hidden="false" customHeight="false" outlineLevel="0" collapsed="false">
      <c r="A30" s="6"/>
      <c r="B30" s="7" t="s">
        <v>76</v>
      </c>
      <c r="C30" s="23" t="n">
        <v>18</v>
      </c>
      <c r="D30" s="22" t="s">
        <v>77</v>
      </c>
      <c r="E30" s="22" t="s">
        <v>78</v>
      </c>
    </row>
    <row r="31" customFormat="false" ht="15" hidden="false" customHeight="false" outlineLevel="0" collapsed="false">
      <c r="A31" s="6"/>
      <c r="B31" s="7" t="s">
        <v>60</v>
      </c>
      <c r="C31" s="25" t="n">
        <v>7000000</v>
      </c>
      <c r="D31" s="22" t="s">
        <v>59</v>
      </c>
      <c r="E31" s="22" t="s">
        <v>67</v>
      </c>
    </row>
    <row r="32" customFormat="false" ht="15" hidden="false" customHeight="false" outlineLevel="0" collapsed="false">
      <c r="A32" s="6"/>
      <c r="B32" s="7" t="s">
        <v>68</v>
      </c>
      <c r="C32" s="24" t="n">
        <v>0.2</v>
      </c>
      <c r="D32" s="22" t="s">
        <v>52</v>
      </c>
      <c r="E32" s="22" t="s">
        <v>69</v>
      </c>
    </row>
    <row r="33" customFormat="false" ht="15" hidden="false" customHeight="false" outlineLevel="0" collapsed="false">
      <c r="A33" s="6"/>
      <c r="B33" s="6"/>
      <c r="C33" s="6"/>
      <c r="D33" s="6"/>
      <c r="E33" s="6"/>
    </row>
    <row r="34" customFormat="false" ht="15" hidden="false" customHeight="false" outlineLevel="0" collapsed="false">
      <c r="A34" s="6"/>
      <c r="B34" s="20" t="s">
        <v>79</v>
      </c>
      <c r="C34" s="9"/>
      <c r="D34" s="9"/>
      <c r="E34" s="9"/>
    </row>
    <row r="35" customFormat="false" ht="15" hidden="false" customHeight="false" outlineLevel="0" collapsed="false">
      <c r="A35" s="6"/>
      <c r="B35" s="7" t="s">
        <v>80</v>
      </c>
      <c r="C35" s="25" t="n">
        <v>20000000</v>
      </c>
      <c r="D35" s="22" t="s">
        <v>59</v>
      </c>
      <c r="E35" s="22"/>
    </row>
    <row r="36" customFormat="false" ht="15" hidden="false" customHeight="false" outlineLevel="0" collapsed="false">
      <c r="A36" s="6"/>
      <c r="B36" s="7" t="s">
        <v>58</v>
      </c>
      <c r="C36" s="25" t="n">
        <v>5000000</v>
      </c>
      <c r="D36" s="22" t="s">
        <v>59</v>
      </c>
      <c r="E36" s="22" t="s">
        <v>81</v>
      </c>
    </row>
    <row r="37" customFormat="false" ht="15" hidden="false" customHeight="false" outlineLevel="0" collapsed="false">
      <c r="A37" s="6"/>
      <c r="B37" s="7" t="s">
        <v>82</v>
      </c>
      <c r="C37" s="27" t="n">
        <v>1</v>
      </c>
      <c r="D37" s="22" t="s">
        <v>83</v>
      </c>
      <c r="E37" s="22" t="s">
        <v>84</v>
      </c>
    </row>
    <row r="38" customFormat="false" ht="15" hidden="false" customHeight="false" outlineLevel="0" collapsed="false">
      <c r="A38" s="6"/>
      <c r="B38" s="7" t="s">
        <v>85</v>
      </c>
      <c r="C38" s="24" t="n">
        <v>0.12</v>
      </c>
      <c r="D38" s="22" t="s">
        <v>52</v>
      </c>
      <c r="E38" s="22" t="s">
        <v>86</v>
      </c>
    </row>
    <row r="39" customFormat="false" ht="15" hidden="false" customHeight="false" outlineLevel="0" collapsed="false">
      <c r="A39" s="6"/>
      <c r="B39" s="6"/>
      <c r="C39" s="6"/>
      <c r="D39" s="6"/>
      <c r="E39" s="6"/>
    </row>
    <row r="40" customFormat="false" ht="15" hidden="false" customHeight="false" outlineLevel="0" collapsed="false">
      <c r="A40" s="6"/>
      <c r="B40" s="20" t="s">
        <v>87</v>
      </c>
      <c r="C40" s="9"/>
      <c r="D40" s="9"/>
      <c r="E40" s="9"/>
    </row>
    <row r="41" customFormat="false" ht="15" hidden="false" customHeight="false" outlineLevel="0" collapsed="false">
      <c r="A41" s="6"/>
      <c r="B41" s="7" t="s">
        <v>88</v>
      </c>
      <c r="C41" s="25" t="n">
        <v>10000000</v>
      </c>
      <c r="D41" s="22" t="s">
        <v>59</v>
      </c>
      <c r="E41" s="22" t="s">
        <v>89</v>
      </c>
    </row>
    <row r="42" customFormat="false" ht="15" hidden="false" customHeight="false" outlineLevel="0" collapsed="false">
      <c r="A42" s="6"/>
      <c r="B42" s="7" t="s">
        <v>90</v>
      </c>
      <c r="C42" s="25" t="n">
        <v>25000000</v>
      </c>
      <c r="D42" s="22" t="s">
        <v>59</v>
      </c>
      <c r="E42" s="22" t="s">
        <v>91</v>
      </c>
    </row>
    <row r="43" customFormat="false" ht="15" hidden="false" customHeight="false" outlineLevel="0" collapsed="false">
      <c r="A43" s="6"/>
      <c r="B43" s="7" t="s">
        <v>92</v>
      </c>
      <c r="C43" s="25" t="n">
        <v>50000000</v>
      </c>
      <c r="D43" s="22" t="s">
        <v>59</v>
      </c>
      <c r="E43" s="22" t="s">
        <v>93</v>
      </c>
    </row>
    <row r="44" customFormat="false" ht="15" hidden="false" customHeight="false" outlineLevel="0" collapsed="false">
      <c r="A44" s="6"/>
      <c r="B44" s="7" t="s">
        <v>94</v>
      </c>
      <c r="C44" s="25" t="n">
        <v>100000000</v>
      </c>
      <c r="D44" s="22" t="s">
        <v>59</v>
      </c>
      <c r="E44" s="22" t="s">
        <v>95</v>
      </c>
    </row>
    <row r="45" customFormat="false" ht="15" hidden="false" customHeight="false" outlineLevel="0" collapsed="false">
      <c r="A45" s="6"/>
      <c r="B45" s="7" t="s">
        <v>96</v>
      </c>
      <c r="C45" s="25" t="n">
        <v>200000000</v>
      </c>
      <c r="D45" s="22" t="s">
        <v>59</v>
      </c>
      <c r="E45" s="22" t="s">
        <v>97</v>
      </c>
    </row>
    <row r="46" customFormat="false" ht="15" hidden="false" customHeight="false" outlineLevel="0" collapsed="false">
      <c r="A46" s="6"/>
      <c r="B46" s="7" t="s">
        <v>98</v>
      </c>
      <c r="C46" s="25" t="n">
        <v>500000000</v>
      </c>
      <c r="D46" s="22" t="s">
        <v>59</v>
      </c>
      <c r="E46" s="22" t="s">
        <v>99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3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3" min="3" style="0" width="22"/>
    <col collapsed="false" customWidth="true" hidden="false" outlineLevel="0" max="4" min="4" style="0" width="15"/>
    <col collapsed="false" customWidth="true" hidden="false" outlineLevel="0" max="5" min="5" style="0" width="40"/>
  </cols>
  <sheetData>
    <row r="1" customFormat="false" ht="15" hidden="false" customHeight="false" outlineLevel="0" collapsed="false">
      <c r="A1" s="1"/>
      <c r="B1" s="1"/>
      <c r="C1" s="1"/>
      <c r="D1" s="1"/>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100</v>
      </c>
      <c r="C2" s="1"/>
      <c r="D2" s="1"/>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101</v>
      </c>
      <c r="C3" s="1"/>
      <c r="D3" s="1"/>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row>
    <row r="5" customFormat="false" ht="15" hidden="false" customHeight="false" outlineLevel="0" collapsed="false">
      <c r="A5" s="6"/>
      <c r="B5" s="19" t="s">
        <v>102</v>
      </c>
      <c r="C5" s="19" t="s">
        <v>37</v>
      </c>
      <c r="D5" s="19" t="s">
        <v>38</v>
      </c>
    </row>
    <row r="6" customFormat="false" ht="15" hidden="false" customHeight="false" outlineLevel="0" collapsed="false">
      <c r="A6" s="6"/>
      <c r="B6" s="20" t="s">
        <v>54</v>
      </c>
      <c r="C6" s="9"/>
      <c r="D6" s="9"/>
    </row>
    <row r="7" customFormat="false" ht="15" hidden="false" customHeight="false" outlineLevel="0" collapsed="false">
      <c r="A7" s="6"/>
      <c r="B7" s="28" t="s">
        <v>58</v>
      </c>
      <c r="C7" s="29" t="n">
        <f aca="false">SAFE1_Amount</f>
        <v>500000</v>
      </c>
      <c r="D7" s="6"/>
    </row>
    <row r="8" customFormat="false" ht="15" hidden="false" customHeight="false" outlineLevel="0" collapsed="false">
      <c r="A8" s="6"/>
      <c r="B8" s="28" t="s">
        <v>103</v>
      </c>
      <c r="C8" s="29" t="n">
        <f aca="false">SAFE1_Cap</f>
        <v>8000000</v>
      </c>
      <c r="D8" s="6"/>
    </row>
    <row r="9" customFormat="false" ht="15" hidden="false" customHeight="false" outlineLevel="0" collapsed="false">
      <c r="A9" s="6"/>
      <c r="B9" s="28" t="s">
        <v>104</v>
      </c>
      <c r="C9" s="30" t="n">
        <f aca="false">SAFE1_Amount/SAFE1_Cap</f>
        <v>0.0625</v>
      </c>
      <c r="D9" s="6"/>
    </row>
    <row r="10" customFormat="false" ht="15" hidden="false" customHeight="false" outlineLevel="0" collapsed="false">
      <c r="A10" s="6"/>
      <c r="B10" s="28" t="s">
        <v>105</v>
      </c>
      <c r="C10" s="31" t="n">
        <f aca="false">IF(SAFE1_Type=1,(SAFE1_Amount/SAFE1_Cap)*(Founder1_Shares+Founder2_Shares+(Founder1_Shares+Founder2_Shares)*Initial_ESOP_Pct/(1-Initial_ESOP_Pct))/(1-SAFE1_Amount/SAFE1_Cap),SAFE1_Amount/(SAFE1_Cap/(Founder1_Shares+Founder2_Shares+(Founder1_Shares+Founder2_Shares)*Initial_ESOP_Pct/(1-Initial_ESOP_Pct))))</f>
        <v>740740.740740741</v>
      </c>
      <c r="D10" s="32" t="s">
        <v>106</v>
      </c>
    </row>
    <row r="11" customFormat="false" ht="15" hidden="false" customHeight="false" outlineLevel="0" collapsed="false">
      <c r="A11" s="6"/>
      <c r="B11" s="6"/>
      <c r="C11" s="6"/>
      <c r="D11" s="6"/>
    </row>
    <row r="12" customFormat="false" ht="15" hidden="false" customHeight="false" outlineLevel="0" collapsed="false">
      <c r="A12" s="6"/>
      <c r="B12" s="20" t="s">
        <v>64</v>
      </c>
      <c r="C12" s="9"/>
      <c r="D12" s="9"/>
    </row>
    <row r="13" customFormat="false" ht="15" hidden="false" customHeight="false" outlineLevel="0" collapsed="false">
      <c r="A13" s="6"/>
      <c r="B13" s="28" t="s">
        <v>58</v>
      </c>
      <c r="C13" s="29" t="n">
        <f aca="false">SAFE2_Amount</f>
        <v>750000</v>
      </c>
      <c r="D13" s="6"/>
    </row>
    <row r="14" customFormat="false" ht="15" hidden="false" customHeight="false" outlineLevel="0" collapsed="false">
      <c r="A14" s="6"/>
      <c r="B14" s="28" t="s">
        <v>107</v>
      </c>
      <c r="C14" s="29" t="n">
        <f aca="false">SAFE2_Cap</f>
        <v>6000000</v>
      </c>
      <c r="D14" s="6"/>
    </row>
    <row r="15" customFormat="false" ht="15" hidden="false" customHeight="false" outlineLevel="0" collapsed="false">
      <c r="A15" s="6"/>
      <c r="B15" s="28" t="s">
        <v>68</v>
      </c>
      <c r="C15" s="30" t="n">
        <f aca="false">SAFE2_Discount</f>
        <v>0.2</v>
      </c>
      <c r="D15" s="6"/>
    </row>
    <row r="16" customFormat="false" ht="15" hidden="false" customHeight="false" outlineLevel="0" collapsed="false">
      <c r="A16" s="6"/>
      <c r="B16" s="28" t="s">
        <v>108</v>
      </c>
      <c r="C16" s="33" t="n">
        <f aca="false">SAFE2_Cap/(Founder1_Shares+Founder2_Shares+(Founder1_Shares+Founder2_Shares)*Initial_ESOP_Pct/(1-Initial_ESOP_Pct))</f>
        <v>0.54</v>
      </c>
      <c r="D16" s="6"/>
    </row>
    <row r="17" customFormat="false" ht="15" hidden="false" customHeight="false" outlineLevel="0" collapsed="false">
      <c r="A17" s="6"/>
      <c r="B17" s="28" t="s">
        <v>109</v>
      </c>
      <c r="C17" s="33" t="n">
        <f aca="false">(SA_PreMoney/(Founder1_Shares+Founder2_Shares+(Founder1_Shares+Founder2_Shares)*Initial_ESOP_Pct/(1-Initial_ESOP_Pct)))*(1-SAFE2_Discount)</f>
        <v>1.44</v>
      </c>
      <c r="D17" s="6"/>
    </row>
    <row r="18" customFormat="false" ht="15" hidden="false" customHeight="false" outlineLevel="0" collapsed="false">
      <c r="A18" s="6"/>
      <c r="B18" s="28" t="s">
        <v>110</v>
      </c>
      <c r="C18" s="33" t="n">
        <f aca="false">MIN(C16,C17)</f>
        <v>0.54</v>
      </c>
      <c r="D18" s="6"/>
    </row>
    <row r="19" customFormat="false" ht="15" hidden="false" customHeight="false" outlineLevel="0" collapsed="false">
      <c r="A19" s="6"/>
      <c r="B19" s="28" t="s">
        <v>105</v>
      </c>
      <c r="C19" s="31" t="n">
        <f aca="false">IF(SAFE2_Type=1,(SAFE2_Amount/SAFE2_Cap)*(Founder1_Shares+Founder2_Shares+(Founder1_Shares+Founder2_Shares)*Initial_ESOP_Pct/(1-Initial_ESOP_Pct))/(1-SAFE2_Amount/SAFE2_Cap),SAFE2_Amount/C18)</f>
        <v>1388888.88888889</v>
      </c>
      <c r="D19" s="32" t="s">
        <v>106</v>
      </c>
    </row>
    <row r="20" customFormat="false" ht="15" hidden="false" customHeight="false" outlineLevel="0" collapsed="false">
      <c r="A20" s="6"/>
      <c r="B20" s="6"/>
      <c r="C20" s="6"/>
      <c r="D20" s="6"/>
    </row>
    <row r="21" customFormat="false" ht="15" hidden="false" customHeight="false" outlineLevel="0" collapsed="false">
      <c r="A21" s="6"/>
      <c r="B21" s="20" t="s">
        <v>70</v>
      </c>
      <c r="C21" s="9"/>
      <c r="D21" s="9"/>
    </row>
    <row r="22" customFormat="false" ht="15" hidden="false" customHeight="false" outlineLevel="0" collapsed="false">
      <c r="A22" s="6"/>
      <c r="B22" s="28" t="s">
        <v>73</v>
      </c>
      <c r="C22" s="29" t="n">
        <f aca="false">CN_Principal</f>
        <v>250000</v>
      </c>
      <c r="D22" s="6"/>
    </row>
    <row r="23" customFormat="false" ht="15" hidden="false" customHeight="false" outlineLevel="0" collapsed="false">
      <c r="A23" s="6"/>
      <c r="B23" s="28" t="s">
        <v>74</v>
      </c>
      <c r="C23" s="30" t="n">
        <f aca="false">CN_Rate</f>
        <v>0.06</v>
      </c>
      <c r="D23" s="6"/>
    </row>
    <row r="24" customFormat="false" ht="15" hidden="false" customHeight="false" outlineLevel="0" collapsed="false">
      <c r="A24" s="6"/>
      <c r="B24" s="28" t="s">
        <v>111</v>
      </c>
      <c r="C24" s="31" t="n">
        <f aca="false">CN_Term_Months</f>
        <v>18</v>
      </c>
      <c r="D24" s="6"/>
    </row>
    <row r="25" customFormat="false" ht="15" hidden="false" customHeight="false" outlineLevel="0" collapsed="false">
      <c r="A25" s="6"/>
      <c r="B25" s="28" t="s">
        <v>112</v>
      </c>
      <c r="C25" s="29" t="n">
        <f aca="false">CN_Principal*CN_Rate*(CN_Term_Months/12)</f>
        <v>22500</v>
      </c>
      <c r="D25" s="6"/>
    </row>
    <row r="26" customFormat="false" ht="15" hidden="false" customHeight="false" outlineLevel="0" collapsed="false">
      <c r="A26" s="6"/>
      <c r="B26" s="34" t="s">
        <v>113</v>
      </c>
      <c r="C26" s="35" t="n">
        <f aca="false">C22+C25</f>
        <v>272500</v>
      </c>
      <c r="D26" s="6"/>
    </row>
    <row r="27" customFormat="false" ht="15" hidden="false" customHeight="false" outlineLevel="0" collapsed="false">
      <c r="A27" s="6"/>
      <c r="B27" s="28" t="s">
        <v>108</v>
      </c>
      <c r="C27" s="33" t="n">
        <f aca="false">CN_Cap/(Founder1_Shares+Founder2_Shares+(Founder1_Shares+Founder2_Shares)*Initial_ESOP_Pct/(1-Initial_ESOP_Pct))</f>
        <v>0.63</v>
      </c>
      <c r="D27" s="6"/>
    </row>
    <row r="28" customFormat="false" ht="15" hidden="false" customHeight="false" outlineLevel="0" collapsed="false">
      <c r="A28" s="6"/>
      <c r="B28" s="28" t="s">
        <v>109</v>
      </c>
      <c r="C28" s="33" t="n">
        <f aca="false">(SA_PreMoney/(Founder1_Shares+Founder2_Shares+(Founder1_Shares+Founder2_Shares)*Initial_ESOP_Pct/(1-Initial_ESOP_Pct)))*(1-CN_Discount)</f>
        <v>1.44</v>
      </c>
      <c r="D28" s="6"/>
    </row>
    <row r="29" customFormat="false" ht="15" hidden="false" customHeight="false" outlineLevel="0" collapsed="false">
      <c r="A29" s="6"/>
      <c r="B29" s="28" t="s">
        <v>110</v>
      </c>
      <c r="C29" s="33" t="n">
        <f aca="false">MIN(C27,C28)</f>
        <v>0.63</v>
      </c>
      <c r="D29" s="6"/>
    </row>
    <row r="30" customFormat="false" ht="15" hidden="false" customHeight="false" outlineLevel="0" collapsed="false">
      <c r="A30" s="6"/>
      <c r="B30" s="28" t="s">
        <v>105</v>
      </c>
      <c r="C30" s="31" t="n">
        <f aca="false">C26/C29</f>
        <v>432539.682539683</v>
      </c>
      <c r="D30" s="32" t="s">
        <v>106</v>
      </c>
    </row>
    <row r="31" customFormat="false" ht="15" hidden="false" customHeight="false" outlineLevel="0" collapsed="false">
      <c r="A31" s="6"/>
      <c r="B31" s="6"/>
      <c r="C31" s="6"/>
      <c r="D31" s="6"/>
    </row>
    <row r="32" customFormat="false" ht="15" hidden="false" customHeight="false" outlineLevel="0" collapsed="false">
      <c r="A32" s="6"/>
      <c r="B32" s="20" t="s">
        <v>114</v>
      </c>
      <c r="C32" s="9"/>
      <c r="D32" s="9"/>
    </row>
    <row r="33" customFormat="false" ht="15" hidden="false" customHeight="false" outlineLevel="0" collapsed="false">
      <c r="A33" s="6"/>
      <c r="B33" s="36" t="s">
        <v>115</v>
      </c>
      <c r="C33" s="37" t="n">
        <f aca="false">C10+C19+C30</f>
        <v>2562169.31216931</v>
      </c>
      <c r="D33" s="6"/>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2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3" min="3" style="0" width="16"/>
    <col collapsed="false" customWidth="true" hidden="false" outlineLevel="0" max="4" min="4" style="0" width="14"/>
    <col collapsed="false" customWidth="true" hidden="false" outlineLevel="0" max="5" min="5" style="0" width="16"/>
    <col collapsed="false" customWidth="true" hidden="false" outlineLevel="0" max="6" min="6" style="0" width="14"/>
    <col collapsed="false" customWidth="true" hidden="false" outlineLevel="0" max="7" min="7" style="0" width="16"/>
    <col collapsed="false" customWidth="true" hidden="false" outlineLevel="0" max="8" min="8" style="0" width="14"/>
  </cols>
  <sheetData>
    <row r="1" customFormat="false" ht="15" hidden="false" customHeight="false" outlineLevel="0" collapsed="false">
      <c r="A1" s="1"/>
      <c r="B1" s="1"/>
      <c r="C1" s="1"/>
      <c r="D1" s="1"/>
      <c r="E1" s="1"/>
      <c r="F1" s="1"/>
      <c r="G1" s="1"/>
      <c r="H1" s="1"/>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116</v>
      </c>
      <c r="C2" s="1"/>
      <c r="D2" s="1"/>
      <c r="E2" s="1"/>
      <c r="F2" s="1"/>
      <c r="G2" s="1"/>
      <c r="H2" s="1"/>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117</v>
      </c>
      <c r="C3" s="1"/>
      <c r="D3" s="1"/>
      <c r="E3" s="1"/>
      <c r="F3" s="1"/>
      <c r="G3" s="1"/>
      <c r="H3" s="1"/>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c r="H4" s="6"/>
    </row>
    <row r="5" customFormat="false" ht="15" hidden="false" customHeight="false" outlineLevel="0" collapsed="false">
      <c r="A5" s="6"/>
      <c r="B5" s="8"/>
      <c r="C5" s="19" t="s">
        <v>118</v>
      </c>
      <c r="D5" s="38"/>
      <c r="E5" s="19" t="s">
        <v>119</v>
      </c>
      <c r="F5" s="38"/>
      <c r="G5" s="19" t="s">
        <v>120</v>
      </c>
      <c r="H5" s="38"/>
    </row>
    <row r="6" customFormat="false" ht="15" hidden="false" customHeight="false" outlineLevel="0" collapsed="false">
      <c r="A6" s="6"/>
      <c r="B6" s="39" t="s">
        <v>121</v>
      </c>
      <c r="C6" s="40" t="s">
        <v>122</v>
      </c>
      <c r="D6" s="40" t="s">
        <v>123</v>
      </c>
      <c r="E6" s="40" t="s">
        <v>122</v>
      </c>
      <c r="F6" s="40" t="s">
        <v>123</v>
      </c>
      <c r="G6" s="40" t="s">
        <v>122</v>
      </c>
      <c r="H6" s="40" t="s">
        <v>123</v>
      </c>
    </row>
    <row r="7" customFormat="false" ht="15" hidden="false" customHeight="false" outlineLevel="0" collapsed="false">
      <c r="A7" s="6"/>
      <c r="B7" s="20" t="s">
        <v>40</v>
      </c>
      <c r="C7" s="9"/>
      <c r="D7" s="9"/>
      <c r="E7" s="9"/>
      <c r="F7" s="9"/>
      <c r="G7" s="9"/>
      <c r="H7" s="9"/>
    </row>
    <row r="8" customFormat="false" ht="15" hidden="false" customHeight="false" outlineLevel="0" collapsed="false">
      <c r="A8" s="6"/>
      <c r="B8" s="41" t="str">
        <f aca="false">IF(Founder1_Name="","Founder1",Founder1_Name)</f>
        <v>Alex</v>
      </c>
      <c r="C8" s="42" t="n">
        <f aca="false">Founder1_Shares</f>
        <v>6000000</v>
      </c>
      <c r="D8" s="43" t="n">
        <f aca="false">IF(C22=0,0,C8/C22)</f>
        <v>0.54</v>
      </c>
      <c r="E8" s="42" t="n">
        <f aca="false">C8</f>
        <v>6000000</v>
      </c>
      <c r="F8" s="43" t="n">
        <f aca="false">IF(E22=0,0,E8/E22)</f>
        <v>0.438812034439392</v>
      </c>
      <c r="G8" s="42" t="n">
        <f aca="false">E8</f>
        <v>6000000</v>
      </c>
      <c r="H8" s="43" t="n">
        <f aca="false">IF(G22=0,0,G8/G22)</f>
        <v>0.332716247473379</v>
      </c>
    </row>
    <row r="9" customFormat="false" ht="15" hidden="false" customHeight="false" outlineLevel="0" collapsed="false">
      <c r="A9" s="6"/>
      <c r="B9" s="41" t="str">
        <f aca="false">IF(Founder2_Name="","Founder2",Founder2_Name)</f>
        <v>Jordan</v>
      </c>
      <c r="C9" s="42" t="n">
        <f aca="false">Founder2_Shares</f>
        <v>4000000</v>
      </c>
      <c r="D9" s="43" t="n">
        <f aca="false">IF(C22=0,0,C9/C22)</f>
        <v>0.36</v>
      </c>
      <c r="E9" s="42" t="n">
        <f aca="false">C9</f>
        <v>4000000</v>
      </c>
      <c r="F9" s="43" t="n">
        <f aca="false">IF(E22=0,0,E9/E22)</f>
        <v>0.292541356292928</v>
      </c>
      <c r="G9" s="42" t="n">
        <f aca="false">E9</f>
        <v>4000000</v>
      </c>
      <c r="H9" s="43" t="n">
        <f aca="false">IF(G22=0,0,G9/G22)</f>
        <v>0.22181083164892</v>
      </c>
    </row>
    <row r="10" customFormat="false" ht="15" hidden="false" customHeight="false" outlineLevel="0" collapsed="false">
      <c r="A10" s="6"/>
      <c r="B10" s="36" t="s">
        <v>124</v>
      </c>
      <c r="C10" s="44" t="n">
        <f aca="false">SUM(C8:C9)</f>
        <v>10000000</v>
      </c>
      <c r="D10" s="45" t="n">
        <f aca="false">IF(C22=0,0,C10/C22)</f>
        <v>0.9</v>
      </c>
      <c r="E10" s="44" t="n">
        <f aca="false">SUM(E8:E9)</f>
        <v>10000000</v>
      </c>
      <c r="F10" s="45" t="n">
        <f aca="false">IF(E22=0,0,E10/E22)</f>
        <v>0.731353390732321</v>
      </c>
      <c r="G10" s="44" t="n">
        <f aca="false">SUM(G8:G9)</f>
        <v>10000000</v>
      </c>
      <c r="H10" s="45" t="n">
        <f aca="false">IF(G22=0,0,G10/G22)</f>
        <v>0.554527079122299</v>
      </c>
    </row>
    <row r="11" customFormat="false" ht="15" hidden="false" customHeight="false" outlineLevel="0" collapsed="false">
      <c r="A11" s="6"/>
      <c r="B11" s="20" t="s">
        <v>125</v>
      </c>
      <c r="C11" s="9"/>
      <c r="D11" s="9"/>
      <c r="E11" s="9"/>
      <c r="F11" s="9"/>
      <c r="G11" s="9"/>
      <c r="H11" s="9"/>
    </row>
    <row r="12" customFormat="false" ht="15" hidden="false" customHeight="false" outlineLevel="0" collapsed="false">
      <c r="A12" s="6"/>
      <c r="B12" s="41" t="s">
        <v>126</v>
      </c>
      <c r="C12" s="42" t="n">
        <f aca="false">(Founder1_Shares+Founder2_Shares)*Initial_ESOP_Pct/(1-Initial_ESOP_Pct)</f>
        <v>1111111.11111111</v>
      </c>
      <c r="D12" s="43" t="n">
        <f aca="false">IF(C22=0,0,C12/C22)</f>
        <v>0.1</v>
      </c>
      <c r="E12" s="42" t="n">
        <f aca="false">C12</f>
        <v>1111111.11111111</v>
      </c>
      <c r="F12" s="43" t="n">
        <f aca="false">IF(E22=0,0,E12/E22)</f>
        <v>0.0812614878591467</v>
      </c>
      <c r="G12" s="42" t="n">
        <f aca="false">E12+MAX(0,E22*SA_ESOP_Target/(1-SA_ESOP_Target)-E12)</f>
        <v>1864538.23953824</v>
      </c>
      <c r="H12" s="43" t="n">
        <f aca="false">IF(G22=0,0,G12/G22)</f>
        <v>0.103393694388297</v>
      </c>
    </row>
    <row r="13" customFormat="false" ht="15" hidden="false" customHeight="false" outlineLevel="0" collapsed="false">
      <c r="A13" s="6"/>
      <c r="B13" s="6"/>
      <c r="C13" s="6"/>
      <c r="D13" s="6"/>
      <c r="E13" s="6"/>
      <c r="F13" s="6"/>
      <c r="G13" s="6"/>
      <c r="H13" s="6"/>
    </row>
    <row r="14" customFormat="false" ht="15" hidden="false" customHeight="false" outlineLevel="0" collapsed="false">
      <c r="A14" s="6"/>
      <c r="B14" s="20" t="s">
        <v>127</v>
      </c>
      <c r="C14" s="9"/>
      <c r="D14" s="9"/>
      <c r="E14" s="9"/>
      <c r="F14" s="9"/>
      <c r="G14" s="9"/>
      <c r="H14" s="9"/>
    </row>
    <row r="15" customFormat="false" ht="15" hidden="false" customHeight="false" outlineLevel="0" collapsed="false">
      <c r="A15" s="6"/>
      <c r="B15" s="41" t="str">
        <f aca="false">SAFE1_Investor</f>
        <v>Angel Fund I</v>
      </c>
      <c r="C15" s="42" t="n">
        <v>0</v>
      </c>
      <c r="D15" s="43" t="n">
        <f aca="false">IF(C22=0,0,C15/C22)</f>
        <v>0</v>
      </c>
      <c r="E15" s="42" t="n">
        <f aca="false">IS_SAFE1_Shares</f>
        <v>740740.740740741</v>
      </c>
      <c r="F15" s="43" t="n">
        <f aca="false">IF(E22=0,0,E15/E22)</f>
        <v>0.0541743252394312</v>
      </c>
      <c r="G15" s="42" t="n">
        <f aca="false">E15</f>
        <v>740740.740740741</v>
      </c>
      <c r="H15" s="43" t="n">
        <f aca="false">IF(G22=0,0,G15/G22)</f>
        <v>0.0410760799349851</v>
      </c>
    </row>
    <row r="16" customFormat="false" ht="15" hidden="false" customHeight="false" outlineLevel="0" collapsed="false">
      <c r="A16" s="6"/>
      <c r="B16" s="41" t="str">
        <f aca="false">SAFE2_Investor</f>
        <v>Pre-Seed VC</v>
      </c>
      <c r="C16" s="42" t="n">
        <v>0</v>
      </c>
      <c r="D16" s="43" t="n">
        <f aca="false">IF(C22=0,0,C16/C22)</f>
        <v>0</v>
      </c>
      <c r="E16" s="42" t="n">
        <f aca="false">IS_SAFE2_Shares</f>
        <v>1388888.88888889</v>
      </c>
      <c r="F16" s="43" t="n">
        <f aca="false">IF(E22=0,0,E16/E22)</f>
        <v>0.101576859823933</v>
      </c>
      <c r="G16" s="42" t="n">
        <f aca="false">E16</f>
        <v>1388888.88888889</v>
      </c>
      <c r="H16" s="43" t="n">
        <f aca="false">IF(G22=0,0,G16/G22)</f>
        <v>0.0770176498780971</v>
      </c>
    </row>
    <row r="17" customFormat="false" ht="15" hidden="false" customHeight="false" outlineLevel="0" collapsed="false">
      <c r="A17" s="6"/>
      <c r="B17" s="41" t="str">
        <f aca="false">CN_Investor</f>
        <v>Bridge Fund</v>
      </c>
      <c r="C17" s="42" t="n">
        <v>0</v>
      </c>
      <c r="D17" s="43" t="n">
        <f aca="false">IF(C22=0,0,C17/C22)</f>
        <v>0</v>
      </c>
      <c r="E17" s="42" t="n">
        <f aca="false">IS_CN_Shares</f>
        <v>432539.682539683</v>
      </c>
      <c r="F17" s="43" t="n">
        <f aca="false">IF(E22=0,0,E17/E22)</f>
        <v>0.0316339363451678</v>
      </c>
      <c r="G17" s="42" t="n">
        <f aca="false">E17</f>
        <v>432539.682539683</v>
      </c>
      <c r="H17" s="43" t="n">
        <f aca="false">IF(G22=0,0,G17/G22)</f>
        <v>0.0239854966763217</v>
      </c>
    </row>
    <row r="18" customFormat="false" ht="15" hidden="false" customHeight="false" outlineLevel="0" collapsed="false">
      <c r="A18" s="6"/>
      <c r="B18" s="36" t="s">
        <v>128</v>
      </c>
      <c r="C18" s="44" t="n">
        <f aca="false">SUM(C15:C17)</f>
        <v>0</v>
      </c>
      <c r="D18" s="45" t="n">
        <f aca="false">IF(C22=0,0,C18/C22)</f>
        <v>0</v>
      </c>
      <c r="E18" s="44" t="n">
        <f aca="false">SUM(E15:E17)</f>
        <v>2562169.31216931</v>
      </c>
      <c r="F18" s="45" t="n">
        <f aca="false">IF(E22=0,0,E18/E22)</f>
        <v>0.187385121408532</v>
      </c>
      <c r="G18" s="44" t="n">
        <f aca="false">SUM(G15:G17)</f>
        <v>2562169.31216931</v>
      </c>
      <c r="H18" s="45" t="n">
        <f aca="false">IF(G22=0,0,G18/G22)</f>
        <v>0.142079226489404</v>
      </c>
    </row>
    <row r="19" customFormat="false" ht="15" hidden="false" customHeight="false" outlineLevel="0" collapsed="false">
      <c r="A19" s="6"/>
      <c r="B19" s="20" t="s">
        <v>129</v>
      </c>
      <c r="C19" s="9"/>
      <c r="D19" s="9"/>
      <c r="E19" s="9"/>
      <c r="F19" s="9"/>
      <c r="G19" s="9"/>
      <c r="H19" s="9"/>
    </row>
    <row r="20" customFormat="false" ht="15" hidden="false" customHeight="false" outlineLevel="0" collapsed="false">
      <c r="A20" s="6"/>
      <c r="B20" s="41" t="s">
        <v>130</v>
      </c>
      <c r="C20" s="42" t="n">
        <v>0</v>
      </c>
      <c r="D20" s="43" t="n">
        <f aca="false">IF(C22=0,0,C20/C22)</f>
        <v>0</v>
      </c>
      <c r="E20" s="42" t="n">
        <v>0</v>
      </c>
      <c r="F20" s="43" t="n">
        <f aca="false">IF(E22=0,0,E20/E22)</f>
        <v>0</v>
      </c>
      <c r="G20" s="42" t="n">
        <f aca="false">SA_Investment/(SA_PreMoney/(G8+G9+G12+G18))</f>
        <v>3606676.88792689</v>
      </c>
      <c r="H20" s="43" t="n">
        <f aca="false">IF(G22=0,0,G20/G22)</f>
        <v>0.2</v>
      </c>
    </row>
    <row r="21" customFormat="false" ht="15" hidden="false" customHeight="false" outlineLevel="0" collapsed="false">
      <c r="A21" s="6"/>
      <c r="B21" s="6"/>
      <c r="C21" s="6"/>
      <c r="D21" s="6"/>
      <c r="E21" s="6"/>
      <c r="F21" s="6"/>
      <c r="G21" s="6"/>
      <c r="H21" s="6"/>
    </row>
    <row r="22" customFormat="false" ht="15" hidden="false" customHeight="false" outlineLevel="0" collapsed="false">
      <c r="A22" s="6"/>
      <c r="B22" s="36" t="s">
        <v>131</v>
      </c>
      <c r="C22" s="37" t="n">
        <f aca="false">C8+C9+C12+C15+C16+C17+C20</f>
        <v>11111111.1111111</v>
      </c>
      <c r="D22" s="46" t="n">
        <f aca="false">IF(C22=0,0,1)</f>
        <v>1</v>
      </c>
      <c r="E22" s="37" t="n">
        <f aca="false">E8+E9+E12+E15+E16+E17+E20</f>
        <v>13673280.4232804</v>
      </c>
      <c r="F22" s="46" t="n">
        <f aca="false">IF(E22=0,0,1)</f>
        <v>1</v>
      </c>
      <c r="G22" s="37" t="n">
        <f aca="false">G8+G9+G12+G15+G16+G17+G20</f>
        <v>18033384.4396344</v>
      </c>
      <c r="H22" s="46" t="n">
        <f aca="false">IF(G22=0,0,1)</f>
        <v>1</v>
      </c>
    </row>
    <row r="23" customFormat="false" ht="15" hidden="false" customHeight="false" outlineLevel="0" collapsed="false">
      <c r="A23" s="6"/>
      <c r="B23" s="6"/>
      <c r="C23" s="6"/>
      <c r="D23" s="6"/>
      <c r="E23" s="6"/>
      <c r="F23" s="6"/>
      <c r="G23" s="6"/>
      <c r="H23" s="6"/>
    </row>
    <row r="24" customFormat="false" ht="15" hidden="false" customHeight="false" outlineLevel="0" collapsed="false">
      <c r="A24" s="6"/>
      <c r="B24" s="20" t="s">
        <v>132</v>
      </c>
      <c r="C24" s="9"/>
      <c r="D24" s="9"/>
      <c r="E24" s="9"/>
      <c r="F24" s="9"/>
      <c r="G24" s="9"/>
      <c r="H24" s="9"/>
    </row>
    <row r="25" customFormat="false" ht="15" hidden="false" customHeight="false" outlineLevel="0" collapsed="false">
      <c r="A25" s="6"/>
      <c r="B25" s="41" t="s">
        <v>133</v>
      </c>
      <c r="C25" s="47" t="str">
        <f aca="false">""</f>
        <v/>
      </c>
      <c r="D25" s="48" t="str">
        <f aca="false">""</f>
        <v/>
      </c>
      <c r="E25" s="47" t="str">
        <f aca="false">""</f>
        <v/>
      </c>
      <c r="F25" s="48" t="str">
        <f aca="false">""</f>
        <v/>
      </c>
      <c r="G25" s="47" t="n">
        <f aca="false">SA_PreMoney/(G8+G9+G12+G18)</f>
        <v>1.38631769780575</v>
      </c>
      <c r="H25" s="48" t="str">
        <f aca="false">""</f>
        <v/>
      </c>
    </row>
    <row r="26" customFormat="false" ht="15" hidden="false" customHeight="false" outlineLevel="0" collapsed="false">
      <c r="A26" s="6"/>
      <c r="B26" s="41" t="s">
        <v>134</v>
      </c>
      <c r="C26" s="49" t="str">
        <f aca="false">""</f>
        <v/>
      </c>
      <c r="D26" s="48" t="str">
        <f aca="false">""</f>
        <v/>
      </c>
      <c r="E26" s="49" t="str">
        <f aca="false">""</f>
        <v/>
      </c>
      <c r="F26" s="48" t="str">
        <f aca="false">""</f>
        <v/>
      </c>
      <c r="G26" s="49" t="n">
        <f aca="false">SA_PreMoney+SA_Investment</f>
        <v>25000000</v>
      </c>
      <c r="H26" s="48" t="str">
        <f aca="false">""</f>
        <v/>
      </c>
    </row>
    <row r="27" customFormat="false" ht="15" hidden="false" customHeight="false" outlineLevel="0" collapsed="false">
      <c r="A27" s="6"/>
      <c r="B27" s="41" t="s">
        <v>135</v>
      </c>
      <c r="C27" s="49" t="str">
        <f aca="false">""</f>
        <v/>
      </c>
      <c r="D27" s="48" t="str">
        <f aca="false">""</f>
        <v/>
      </c>
      <c r="E27" s="49" t="n">
        <f aca="false">SAFE1_Amount+SAFE2_Amount+CN_Principal</f>
        <v>1500000</v>
      </c>
      <c r="F27" s="48" t="str">
        <f aca="false">""</f>
        <v/>
      </c>
      <c r="G27" s="49" t="n">
        <f aca="false">E27+SA_Investment</f>
        <v>6500000</v>
      </c>
      <c r="H27" s="48" t="str">
        <f aca="false">""</f>
        <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3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8" min="3" style="0" width="18"/>
  </cols>
  <sheetData>
    <row r="1" customFormat="false" ht="15" hidden="false" customHeight="false" outlineLevel="0" collapsed="false">
      <c r="A1" s="1"/>
      <c r="B1" s="1"/>
      <c r="C1" s="1"/>
      <c r="D1" s="1"/>
      <c r="E1" s="1"/>
      <c r="F1" s="1"/>
      <c r="G1" s="1"/>
      <c r="H1" s="1"/>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136</v>
      </c>
      <c r="C2" s="1"/>
      <c r="D2" s="1"/>
      <c r="E2" s="1"/>
      <c r="F2" s="1"/>
      <c r="G2" s="1"/>
      <c r="H2" s="1"/>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18</v>
      </c>
      <c r="C3" s="1"/>
      <c r="D3" s="1"/>
      <c r="E3" s="1"/>
      <c r="F3" s="1"/>
      <c r="G3" s="1"/>
      <c r="H3" s="1"/>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c r="H4" s="6"/>
    </row>
    <row r="5" customFormat="false" ht="15" hidden="false" customHeight="false" outlineLevel="0" collapsed="false">
      <c r="A5" s="6"/>
      <c r="B5" s="8"/>
      <c r="C5" s="50" t="n">
        <f aca="false">Assumptions!$C$41</f>
        <v>10000000</v>
      </c>
      <c r="D5" s="50" t="n">
        <f aca="false">Assumptions!$C$42</f>
        <v>25000000</v>
      </c>
      <c r="E5" s="50" t="n">
        <f aca="false">Assumptions!$C$43</f>
        <v>50000000</v>
      </c>
      <c r="F5" s="50" t="n">
        <f aca="false">Assumptions!$C$44</f>
        <v>100000000</v>
      </c>
      <c r="G5" s="50" t="n">
        <f aca="false">Assumptions!$C$45</f>
        <v>200000000</v>
      </c>
      <c r="H5" s="50" t="n">
        <f aca="false">Assumptions!$C$46</f>
        <v>500000000</v>
      </c>
    </row>
    <row r="6" customFormat="false" ht="15" hidden="false" customHeight="false" outlineLevel="0" collapsed="false">
      <c r="A6" s="6"/>
      <c r="B6" s="20" t="s">
        <v>137</v>
      </c>
      <c r="C6" s="9"/>
      <c r="D6" s="9"/>
      <c r="E6" s="9"/>
      <c r="F6" s="9"/>
      <c r="G6" s="9"/>
      <c r="H6" s="9"/>
    </row>
    <row r="7" customFormat="false" ht="15" hidden="false" customHeight="false" outlineLevel="0" collapsed="false">
      <c r="A7" s="6"/>
      <c r="B7" s="28" t="s">
        <v>138</v>
      </c>
      <c r="C7" s="29" t="n">
        <f aca="false">SA_Investment*SA_Liq_Pref</f>
        <v>5000000</v>
      </c>
      <c r="D7" s="29" t="n">
        <f aca="false">SA_Investment*SA_Liq_Pref</f>
        <v>5000000</v>
      </c>
      <c r="E7" s="29" t="n">
        <f aca="false">SA_Investment*SA_Liq_Pref</f>
        <v>5000000</v>
      </c>
      <c r="F7" s="29" t="n">
        <f aca="false">SA_Investment*SA_Liq_Pref</f>
        <v>5000000</v>
      </c>
      <c r="G7" s="29" t="n">
        <f aca="false">SA_Investment*SA_Liq_Pref</f>
        <v>5000000</v>
      </c>
      <c r="H7" s="29" t="n">
        <f aca="false">SA_Investment*SA_Liq_Pref</f>
        <v>5000000</v>
      </c>
    </row>
    <row r="8" customFormat="false" ht="15" hidden="false" customHeight="false" outlineLevel="0" collapsed="false">
      <c r="A8" s="6"/>
      <c r="B8" s="36" t="s">
        <v>139</v>
      </c>
      <c r="C8" s="51" t="n">
        <f aca="false">C7</f>
        <v>5000000</v>
      </c>
      <c r="D8" s="51" t="n">
        <f aca="false">D7</f>
        <v>5000000</v>
      </c>
      <c r="E8" s="51" t="n">
        <f aca="false">E7</f>
        <v>5000000</v>
      </c>
      <c r="F8" s="51" t="n">
        <f aca="false">F7</f>
        <v>5000000</v>
      </c>
      <c r="G8" s="51" t="n">
        <f aca="false">G7</f>
        <v>5000000</v>
      </c>
      <c r="H8" s="51" t="n">
        <f aca="false">H7</f>
        <v>5000000</v>
      </c>
    </row>
    <row r="9" customFormat="false" ht="15" hidden="false" customHeight="false" outlineLevel="0" collapsed="false">
      <c r="A9" s="6"/>
      <c r="B9" s="6"/>
      <c r="C9" s="6"/>
      <c r="D9" s="6"/>
      <c r="E9" s="6"/>
      <c r="F9" s="6"/>
      <c r="G9" s="6"/>
      <c r="H9" s="6"/>
    </row>
    <row r="10" customFormat="false" ht="15" hidden="false" customHeight="false" outlineLevel="0" collapsed="false">
      <c r="A10" s="6"/>
      <c r="B10" s="20" t="s">
        <v>140</v>
      </c>
      <c r="C10" s="9"/>
      <c r="D10" s="9"/>
      <c r="E10" s="9"/>
      <c r="F10" s="9"/>
      <c r="G10" s="9"/>
      <c r="H10" s="9"/>
    </row>
    <row r="11" customFormat="false" ht="15" hidden="false" customHeight="false" outlineLevel="0" collapsed="false">
      <c r="A11" s="6"/>
      <c r="B11" s="28" t="s">
        <v>141</v>
      </c>
      <c r="C11" s="29" t="n">
        <f aca="false">(CT_SA_Shares/CT_Total_Shares)*Assumptions!$C$41</f>
        <v>2000000</v>
      </c>
      <c r="D11" s="29" t="n">
        <f aca="false">(CT_SA_Shares/CT_Total_Shares)*Assumptions!$C$42</f>
        <v>5000000</v>
      </c>
      <c r="E11" s="29" t="n">
        <f aca="false">(CT_SA_Shares/CT_Total_Shares)*Assumptions!$C$43</f>
        <v>10000000</v>
      </c>
      <c r="F11" s="29" t="n">
        <f aca="false">(CT_SA_Shares/CT_Total_Shares)*Assumptions!$C$44</f>
        <v>20000000</v>
      </c>
      <c r="G11" s="29" t="n">
        <f aca="false">(CT_SA_Shares/CT_Total_Shares)*Assumptions!$C$45</f>
        <v>40000000</v>
      </c>
      <c r="H11" s="29" t="n">
        <f aca="false">(CT_SA_Shares/CT_Total_Shares)*Assumptions!$C$46</f>
        <v>100000000</v>
      </c>
    </row>
    <row r="12" customFormat="false" ht="15" hidden="false" customHeight="false" outlineLevel="0" collapsed="false">
      <c r="A12" s="6"/>
      <c r="B12" s="28" t="s">
        <v>142</v>
      </c>
      <c r="C12" s="29" t="n">
        <f aca="false">(CT_SAFE1_Shares/CT_Total_Shares)*Assumptions!$C$41</f>
        <v>410760.799349851</v>
      </c>
      <c r="D12" s="29" t="n">
        <f aca="false">(CT_SAFE1_Shares/CT_Total_Shares)*Assumptions!$C$42</f>
        <v>1026901.99837463</v>
      </c>
      <c r="E12" s="29" t="n">
        <f aca="false">(CT_SAFE1_Shares/CT_Total_Shares)*Assumptions!$C$43</f>
        <v>2053803.99674926</v>
      </c>
      <c r="F12" s="29" t="n">
        <f aca="false">(CT_SAFE1_Shares/CT_Total_Shares)*Assumptions!$C$44</f>
        <v>4107607.99349851</v>
      </c>
      <c r="G12" s="29" t="n">
        <f aca="false">(CT_SAFE1_Shares/CT_Total_Shares)*Assumptions!$C$45</f>
        <v>8215215.98699702</v>
      </c>
      <c r="H12" s="29" t="n">
        <f aca="false">(CT_SAFE1_Shares/CT_Total_Shares)*Assumptions!$C$46</f>
        <v>20538039.9674926</v>
      </c>
    </row>
    <row r="13" customFormat="false" ht="15" hidden="false" customHeight="false" outlineLevel="0" collapsed="false">
      <c r="A13" s="6"/>
      <c r="B13" s="28" t="s">
        <v>143</v>
      </c>
      <c r="C13" s="29" t="n">
        <f aca="false">(CT_SAFE2_Shares/CT_Total_Shares)*Assumptions!$C$41</f>
        <v>770176.498780971</v>
      </c>
      <c r="D13" s="29" t="n">
        <f aca="false">(CT_SAFE2_Shares/CT_Total_Shares)*Assumptions!$C$42</f>
        <v>1925441.24695243</v>
      </c>
      <c r="E13" s="29" t="n">
        <f aca="false">(CT_SAFE2_Shares/CT_Total_Shares)*Assumptions!$C$43</f>
        <v>3850882.49390485</v>
      </c>
      <c r="F13" s="29" t="n">
        <f aca="false">(CT_SAFE2_Shares/CT_Total_Shares)*Assumptions!$C$44</f>
        <v>7701764.98780971</v>
      </c>
      <c r="G13" s="29" t="n">
        <f aca="false">(CT_SAFE2_Shares/CT_Total_Shares)*Assumptions!$C$45</f>
        <v>15403529.9756194</v>
      </c>
      <c r="H13" s="29" t="n">
        <f aca="false">(CT_SAFE2_Shares/CT_Total_Shares)*Assumptions!$C$46</f>
        <v>38508824.9390485</v>
      </c>
    </row>
    <row r="14" customFormat="false" ht="15" hidden="false" customHeight="false" outlineLevel="0" collapsed="false">
      <c r="A14" s="6"/>
      <c r="B14" s="28" t="s">
        <v>144</v>
      </c>
      <c r="C14" s="29" t="n">
        <f aca="false">(CT_CN_Shares/CT_Total_Shares)*Assumptions!$C$41</f>
        <v>239854.966763217</v>
      </c>
      <c r="D14" s="29" t="n">
        <f aca="false">(CT_CN_Shares/CT_Total_Shares)*Assumptions!$C$42</f>
        <v>599637.416908042</v>
      </c>
      <c r="E14" s="29" t="n">
        <f aca="false">(CT_CN_Shares/CT_Total_Shares)*Assumptions!$C$43</f>
        <v>1199274.83381608</v>
      </c>
      <c r="F14" s="29" t="n">
        <f aca="false">(CT_CN_Shares/CT_Total_Shares)*Assumptions!$C$44</f>
        <v>2398549.66763217</v>
      </c>
      <c r="G14" s="29" t="n">
        <f aca="false">(CT_CN_Shares/CT_Total_Shares)*Assumptions!$C$45</f>
        <v>4797099.33526433</v>
      </c>
      <c r="H14" s="29" t="n">
        <f aca="false">(CT_CN_Shares/CT_Total_Shares)*Assumptions!$C$46</f>
        <v>11992748.3381608</v>
      </c>
    </row>
    <row r="15" customFormat="false" ht="15" hidden="false" customHeight="false" outlineLevel="0" collapsed="false">
      <c r="A15" s="6"/>
      <c r="B15" s="6"/>
      <c r="C15" s="6"/>
      <c r="D15" s="6"/>
      <c r="E15" s="6"/>
      <c r="F15" s="6"/>
      <c r="G15" s="6"/>
      <c r="H15" s="6"/>
    </row>
    <row r="16" customFormat="false" ht="15" hidden="false" customHeight="false" outlineLevel="0" collapsed="false">
      <c r="A16" s="6"/>
      <c r="B16" s="20" t="s">
        <v>145</v>
      </c>
      <c r="C16" s="9"/>
      <c r="D16" s="9"/>
      <c r="E16" s="9"/>
      <c r="F16" s="9"/>
      <c r="G16" s="9"/>
      <c r="H16" s="9"/>
    </row>
    <row r="17" customFormat="false" ht="15" hidden="false" customHeight="false" outlineLevel="0" collapsed="false">
      <c r="A17" s="6"/>
      <c r="B17" s="28" t="s">
        <v>129</v>
      </c>
      <c r="C17" s="29" t="n">
        <f aca="false">MIN(MAX(C7,C11),Assumptions!$C$41)</f>
        <v>5000000</v>
      </c>
      <c r="D17" s="29" t="n">
        <f aca="false">MIN(MAX(D7,D11),Assumptions!$C$42)</f>
        <v>5000000</v>
      </c>
      <c r="E17" s="29" t="n">
        <f aca="false">MIN(MAX(E7,E11),Assumptions!$C$43)</f>
        <v>10000000</v>
      </c>
      <c r="F17" s="29" t="n">
        <f aca="false">MIN(MAX(F7,F11),Assumptions!$C$44)</f>
        <v>20000000</v>
      </c>
      <c r="G17" s="29" t="n">
        <f aca="false">MIN(MAX(G7,G11),Assumptions!$C$45)</f>
        <v>40000000</v>
      </c>
      <c r="H17" s="29" t="n">
        <f aca="false">MIN(MAX(H7,H11),Assumptions!$C$46)</f>
        <v>100000000</v>
      </c>
    </row>
    <row r="18" customFormat="false" ht="15" hidden="false" customHeight="false" outlineLevel="0" collapsed="false">
      <c r="A18" s="6"/>
      <c r="B18" s="28" t="s">
        <v>146</v>
      </c>
      <c r="C18" s="29" t="n">
        <f aca="false">IF(C7&gt;C11,(CT_SAFE1_Shares/(CT_F1_Shares+CT_F2_Shares+CT_ESOP_Shares+CT_SAFE1_Shares+CT_SAFE2_Shares+CT_CN_Shares))*MAX(0,Assumptions!$C$41-C7),(CT_SAFE1_Shares/CT_Total_Shares)*Assumptions!$C$41)</f>
        <v>256725.499593657</v>
      </c>
      <c r="D18" s="29" t="n">
        <f aca="false">IF(D7&gt;D11,(CT_SAFE1_Shares/(CT_F1_Shares+CT_F2_Shares+CT_ESOP_Shares+CT_SAFE1_Shares+CT_SAFE2_Shares+CT_CN_Shares))*MAX(0,Assumptions!$C$42-D7),(CT_SAFE1_Shares/CT_Total_Shares)*Assumptions!$C$42)</f>
        <v>1026901.99837463</v>
      </c>
      <c r="E18" s="29" t="n">
        <f aca="false">IF(E7&gt;E11,(CT_SAFE1_Shares/(CT_F1_Shares+CT_F2_Shares+CT_ESOP_Shares+CT_SAFE1_Shares+CT_SAFE2_Shares+CT_CN_Shares))*MAX(0,Assumptions!$C$43-E7),(CT_SAFE1_Shares/CT_Total_Shares)*Assumptions!$C$43)</f>
        <v>2053803.99674926</v>
      </c>
      <c r="F18" s="29" t="n">
        <f aca="false">IF(F7&gt;F11,(CT_SAFE1_Shares/(CT_F1_Shares+CT_F2_Shares+CT_ESOP_Shares+CT_SAFE1_Shares+CT_SAFE2_Shares+CT_CN_Shares))*MAX(0,Assumptions!$C$44-F7),(CT_SAFE1_Shares/CT_Total_Shares)*Assumptions!$C$44)</f>
        <v>4107607.99349851</v>
      </c>
      <c r="G18" s="29" t="n">
        <f aca="false">IF(G7&gt;G11,(CT_SAFE1_Shares/(CT_F1_Shares+CT_F2_Shares+CT_ESOP_Shares+CT_SAFE1_Shares+CT_SAFE2_Shares+CT_CN_Shares))*MAX(0,Assumptions!$C$45-G7),(CT_SAFE1_Shares/CT_Total_Shares)*Assumptions!$C$45)</f>
        <v>8215215.98699702</v>
      </c>
      <c r="H18" s="29" t="n">
        <f aca="false">IF(H7&gt;H11,(CT_SAFE1_Shares/(CT_F1_Shares+CT_F2_Shares+CT_ESOP_Shares+CT_SAFE1_Shares+CT_SAFE2_Shares+CT_CN_Shares))*MAX(0,Assumptions!$C$46-H7),(CT_SAFE1_Shares/CT_Total_Shares)*Assumptions!$C$46)</f>
        <v>20538039.9674926</v>
      </c>
    </row>
    <row r="19" customFormat="false" ht="15" hidden="false" customHeight="false" outlineLevel="0" collapsed="false">
      <c r="A19" s="6"/>
      <c r="B19" s="28" t="s">
        <v>147</v>
      </c>
      <c r="C19" s="29" t="n">
        <f aca="false">IF(C7&gt;C11,(CT_SAFE2_Shares/(CT_F1_Shares+CT_F2_Shares+CT_ESOP_Shares+CT_SAFE1_Shares+CT_SAFE2_Shares+CT_CN_Shares))*MAX(0,Assumptions!$C$41-C7),(CT_SAFE2_Shares/CT_Total_Shares)*Assumptions!$C$41)</f>
        <v>481360.311738107</v>
      </c>
      <c r="D19" s="29" t="n">
        <f aca="false">IF(D7&gt;D11,(CT_SAFE2_Shares/(CT_F1_Shares+CT_F2_Shares+CT_ESOP_Shares+CT_SAFE1_Shares+CT_SAFE2_Shares+CT_CN_Shares))*MAX(0,Assumptions!$C$42-D7),(CT_SAFE2_Shares/CT_Total_Shares)*Assumptions!$C$42)</f>
        <v>1925441.24695243</v>
      </c>
      <c r="E19" s="29" t="n">
        <f aca="false">IF(E7&gt;E11,(CT_SAFE2_Shares/(CT_F1_Shares+CT_F2_Shares+CT_ESOP_Shares+CT_SAFE1_Shares+CT_SAFE2_Shares+CT_CN_Shares))*MAX(0,Assumptions!$C$43-E7),(CT_SAFE2_Shares/CT_Total_Shares)*Assumptions!$C$43)</f>
        <v>3850882.49390485</v>
      </c>
      <c r="F19" s="29" t="n">
        <f aca="false">IF(F7&gt;F11,(CT_SAFE2_Shares/(CT_F1_Shares+CT_F2_Shares+CT_ESOP_Shares+CT_SAFE1_Shares+CT_SAFE2_Shares+CT_CN_Shares))*MAX(0,Assumptions!$C$44-F7),(CT_SAFE2_Shares/CT_Total_Shares)*Assumptions!$C$44)</f>
        <v>7701764.98780971</v>
      </c>
      <c r="G19" s="29" t="n">
        <f aca="false">IF(G7&gt;G11,(CT_SAFE2_Shares/(CT_F1_Shares+CT_F2_Shares+CT_ESOP_Shares+CT_SAFE1_Shares+CT_SAFE2_Shares+CT_CN_Shares))*MAX(0,Assumptions!$C$45-G7),(CT_SAFE2_Shares/CT_Total_Shares)*Assumptions!$C$45)</f>
        <v>15403529.9756194</v>
      </c>
      <c r="H19" s="29" t="n">
        <f aca="false">IF(H7&gt;H11,(CT_SAFE2_Shares/(CT_F1_Shares+CT_F2_Shares+CT_ESOP_Shares+CT_SAFE1_Shares+CT_SAFE2_Shares+CT_CN_Shares))*MAX(0,Assumptions!$C$46-H7),(CT_SAFE2_Shares/CT_Total_Shares)*Assumptions!$C$46)</f>
        <v>38508824.9390485</v>
      </c>
    </row>
    <row r="20" customFormat="false" ht="15" hidden="false" customHeight="false" outlineLevel="0" collapsed="false">
      <c r="A20" s="6"/>
      <c r="B20" s="28" t="s">
        <v>148</v>
      </c>
      <c r="C20" s="29" t="n">
        <f aca="false">IF(C7&gt;C11,(CT_CN_Shares/(CT_F1_Shares+CT_F2_Shares+CT_ESOP_Shares+CT_SAFE1_Shares+CT_SAFE2_Shares+CT_CN_Shares))*MAX(0,Assumptions!$C$41-C7),(CT_CN_Shares/CT_Total_Shares)*Assumptions!$C$41)</f>
        <v>149909.35422701</v>
      </c>
      <c r="D20" s="29" t="n">
        <f aca="false">IF(D7&gt;D11,(CT_CN_Shares/(CT_F1_Shares+CT_F2_Shares+CT_ESOP_Shares+CT_SAFE1_Shares+CT_SAFE2_Shares+CT_CN_Shares))*MAX(0,Assumptions!$C$42-D7),(CT_CN_Shares/CT_Total_Shares)*Assumptions!$C$42)</f>
        <v>599637.416908042</v>
      </c>
      <c r="E20" s="29" t="n">
        <f aca="false">IF(E7&gt;E11,(CT_CN_Shares/(CT_F1_Shares+CT_F2_Shares+CT_ESOP_Shares+CT_SAFE1_Shares+CT_SAFE2_Shares+CT_CN_Shares))*MAX(0,Assumptions!$C$43-E7),(CT_CN_Shares/CT_Total_Shares)*Assumptions!$C$43)</f>
        <v>1199274.83381608</v>
      </c>
      <c r="F20" s="29" t="n">
        <f aca="false">IF(F7&gt;F11,(CT_CN_Shares/(CT_F1_Shares+CT_F2_Shares+CT_ESOP_Shares+CT_SAFE1_Shares+CT_SAFE2_Shares+CT_CN_Shares))*MAX(0,Assumptions!$C$44-F7),(CT_CN_Shares/CT_Total_Shares)*Assumptions!$C$44)</f>
        <v>2398549.66763217</v>
      </c>
      <c r="G20" s="29" t="n">
        <f aca="false">IF(G7&gt;G11,(CT_CN_Shares/(CT_F1_Shares+CT_F2_Shares+CT_ESOP_Shares+CT_SAFE1_Shares+CT_SAFE2_Shares+CT_CN_Shares))*MAX(0,Assumptions!$C$45-G7),(CT_CN_Shares/CT_Total_Shares)*Assumptions!$C$45)</f>
        <v>4797099.33526433</v>
      </c>
      <c r="H20" s="29" t="n">
        <f aca="false">IF(H7&gt;H11,(CT_CN_Shares/(CT_F1_Shares+CT_F2_Shares+CT_ESOP_Shares+CT_SAFE1_Shares+CT_SAFE2_Shares+CT_CN_Shares))*MAX(0,Assumptions!$C$46-H7),(CT_CN_Shares/CT_Total_Shares)*Assumptions!$C$46)</f>
        <v>11992748.3381608</v>
      </c>
    </row>
    <row r="21" customFormat="false" ht="15" hidden="false" customHeight="false" outlineLevel="0" collapsed="false">
      <c r="A21" s="6"/>
      <c r="B21" s="36" t="s">
        <v>149</v>
      </c>
      <c r="C21" s="51" t="n">
        <f aca="false">C17+C18+C19+C20</f>
        <v>5887995.16555877</v>
      </c>
      <c r="D21" s="51" t="n">
        <f aca="false">D17+D18+D19+D20</f>
        <v>8551980.6622351</v>
      </c>
      <c r="E21" s="51" t="n">
        <f aca="false">E17+E18+E19+E20</f>
        <v>17103961.3244702</v>
      </c>
      <c r="F21" s="51" t="n">
        <f aca="false">F17+F18+F19+F20</f>
        <v>34207922.6489404</v>
      </c>
      <c r="G21" s="51" t="n">
        <f aca="false">G17+G18+G19+G20</f>
        <v>68415845.2978808</v>
      </c>
      <c r="H21" s="51" t="n">
        <f aca="false">H17+H18+H19+H20</f>
        <v>171039613.244702</v>
      </c>
    </row>
    <row r="22" customFormat="false" ht="15" hidden="false" customHeight="false" outlineLevel="0" collapsed="false">
      <c r="A22" s="6"/>
      <c r="B22" s="6"/>
      <c r="C22" s="6"/>
      <c r="D22" s="6"/>
      <c r="E22" s="6"/>
      <c r="F22" s="6"/>
      <c r="G22" s="6"/>
      <c r="H22" s="6"/>
    </row>
    <row r="23" customFormat="false" ht="15" hidden="false" customHeight="false" outlineLevel="0" collapsed="false">
      <c r="A23" s="6"/>
      <c r="B23" s="20" t="s">
        <v>150</v>
      </c>
      <c r="C23" s="9"/>
      <c r="D23" s="9"/>
      <c r="E23" s="9"/>
      <c r="F23" s="9"/>
      <c r="G23" s="9"/>
      <c r="H23" s="9"/>
    </row>
    <row r="24" customFormat="false" ht="15" hidden="false" customHeight="false" outlineLevel="0" collapsed="false">
      <c r="A24" s="6"/>
      <c r="B24" s="28" t="s">
        <v>151</v>
      </c>
      <c r="C24" s="29" t="n">
        <f aca="false">MAX(0,Assumptions!$C$41-C21)</f>
        <v>4112004.83444123</v>
      </c>
      <c r="D24" s="29" t="n">
        <f aca="false">MAX(0,Assumptions!$C$42-D21)</f>
        <v>16448019.3377649</v>
      </c>
      <c r="E24" s="29" t="n">
        <f aca="false">MAX(0,Assumptions!$C$43-E21)</f>
        <v>32896038.6755298</v>
      </c>
      <c r="F24" s="29" t="n">
        <f aca="false">MAX(0,Assumptions!$C$44-F21)</f>
        <v>65792077.3510596</v>
      </c>
      <c r="G24" s="29" t="n">
        <f aca="false">MAX(0,Assumptions!$C$45-G21)</f>
        <v>131584154.702119</v>
      </c>
      <c r="H24" s="29" t="n">
        <f aca="false">MAX(0,Assumptions!$C$46-H21)</f>
        <v>328960386.755298</v>
      </c>
    </row>
    <row r="25" customFormat="false" ht="15" hidden="false" customHeight="false" outlineLevel="0" collapsed="false">
      <c r="A25" s="6"/>
      <c r="B25" s="41" t="str">
        <f aca="false">IF(Founder1_Name="","Founder 1",Founder1_Name)</f>
        <v>Alex</v>
      </c>
      <c r="C25" s="29" t="n">
        <f aca="false">IF(C7&gt;C11,(CT_F1_Shares/(CT_F1_Shares+CT_F2_Shares+CT_ESOP_Shares+CT_SAFE1_Shares+CT_SAFE2_Shares+CT_CN_Shares))*MAX(0,Assumptions!$C$41-C7),(CT_F1_Shares/CT_Total_Shares)*Assumptions!$C$41)</f>
        <v>2079476.54670862</v>
      </c>
      <c r="D25" s="29" t="n">
        <f aca="false">IF(D7&gt;D11,(CT_F1_Shares/(CT_F1_Shares+CT_F2_Shares+CT_ESOP_Shares+CT_SAFE1_Shares+CT_SAFE2_Shares+CT_CN_Shares))*MAX(0,Assumptions!$C$42-D7),(CT_F1_Shares/CT_Total_Shares)*Assumptions!$C$42)</f>
        <v>8317906.18683448</v>
      </c>
      <c r="E25" s="29" t="n">
        <f aca="false">IF(E7&gt;E11,(CT_F1_Shares/(CT_F1_Shares+CT_F2_Shares+CT_ESOP_Shares+CT_SAFE1_Shares+CT_SAFE2_Shares+CT_CN_Shares))*MAX(0,Assumptions!$C$43-E7),(CT_F1_Shares/CT_Total_Shares)*Assumptions!$C$43)</f>
        <v>16635812.373669</v>
      </c>
      <c r="F25" s="29" t="n">
        <f aca="false">IF(F7&gt;F11,(CT_F1_Shares/(CT_F1_Shares+CT_F2_Shares+CT_ESOP_Shares+CT_SAFE1_Shares+CT_SAFE2_Shares+CT_CN_Shares))*MAX(0,Assumptions!$C$44-F7),(CT_F1_Shares/CT_Total_Shares)*Assumptions!$C$44)</f>
        <v>33271624.7473379</v>
      </c>
      <c r="G25" s="29" t="n">
        <f aca="false">IF(G7&gt;G11,(CT_F1_Shares/(CT_F1_Shares+CT_F2_Shares+CT_ESOP_Shares+CT_SAFE1_Shares+CT_SAFE2_Shares+CT_CN_Shares))*MAX(0,Assumptions!$C$45-G7),(CT_F1_Shares/CT_Total_Shares)*Assumptions!$C$45)</f>
        <v>66543249.4946759</v>
      </c>
      <c r="H25" s="29" t="n">
        <f aca="false">IF(H7&gt;H11,(CT_F1_Shares/(CT_F1_Shares+CT_F2_Shares+CT_ESOP_Shares+CT_SAFE1_Shares+CT_SAFE2_Shares+CT_CN_Shares))*MAX(0,Assumptions!$C$46-H7),(CT_F1_Shares/CT_Total_Shares)*Assumptions!$C$46)</f>
        <v>166358123.73669</v>
      </c>
    </row>
    <row r="26" customFormat="false" ht="15" hidden="false" customHeight="false" outlineLevel="0" collapsed="false">
      <c r="A26" s="6"/>
      <c r="B26" s="41" t="str">
        <f aca="false">IF(Founder2_Name="","Founder 2",Founder2_Name)</f>
        <v>Jordan</v>
      </c>
      <c r="C26" s="29" t="n">
        <f aca="false">IF(C7&gt;C11,(CT_F2_Shares/(CT_F1_Shares+CT_F2_Shares+CT_ESOP_Shares+CT_SAFE1_Shares+CT_SAFE2_Shares+CT_CN_Shares))*MAX(0,Assumptions!$C$41-C7),(CT_F2_Shares/CT_Total_Shares)*Assumptions!$C$41)</f>
        <v>1386317.69780575</v>
      </c>
      <c r="D26" s="29" t="n">
        <f aca="false">IF(D7&gt;D11,(CT_F2_Shares/(CT_F1_Shares+CT_F2_Shares+CT_ESOP_Shares+CT_SAFE1_Shares+CT_SAFE2_Shares+CT_CN_Shares))*MAX(0,Assumptions!$C$42-D7),(CT_F2_Shares/CT_Total_Shares)*Assumptions!$C$42)</f>
        <v>5545270.79122299</v>
      </c>
      <c r="E26" s="29" t="n">
        <f aca="false">IF(E7&gt;E11,(CT_F2_Shares/(CT_F1_Shares+CT_F2_Shares+CT_ESOP_Shares+CT_SAFE1_Shares+CT_SAFE2_Shares+CT_CN_Shares))*MAX(0,Assumptions!$C$43-E7),(CT_F2_Shares/CT_Total_Shares)*Assumptions!$C$43)</f>
        <v>11090541.582446</v>
      </c>
      <c r="F26" s="29" t="n">
        <f aca="false">IF(F7&gt;F11,(CT_F2_Shares/(CT_F1_Shares+CT_F2_Shares+CT_ESOP_Shares+CT_SAFE1_Shares+CT_SAFE2_Shares+CT_CN_Shares))*MAX(0,Assumptions!$C$44-F7),(CT_F2_Shares/CT_Total_Shares)*Assumptions!$C$44)</f>
        <v>22181083.164892</v>
      </c>
      <c r="G26" s="29" t="n">
        <f aca="false">IF(G7&gt;G11,(CT_F2_Shares/(CT_F1_Shares+CT_F2_Shares+CT_ESOP_Shares+CT_SAFE1_Shares+CT_SAFE2_Shares+CT_CN_Shares))*MAX(0,Assumptions!$C$45-G7),(CT_F2_Shares/CT_Total_Shares)*Assumptions!$C$45)</f>
        <v>44362166.3297839</v>
      </c>
      <c r="H26" s="29" t="n">
        <f aca="false">IF(H7&gt;H11,(CT_F2_Shares/(CT_F1_Shares+CT_F2_Shares+CT_ESOP_Shares+CT_SAFE1_Shares+CT_SAFE2_Shares+CT_CN_Shares))*MAX(0,Assumptions!$C$46-H7),(CT_F2_Shares/CT_Total_Shares)*Assumptions!$C$46)</f>
        <v>110905415.82446</v>
      </c>
    </row>
    <row r="27" customFormat="false" ht="15" hidden="false" customHeight="false" outlineLevel="0" collapsed="false">
      <c r="A27" s="6"/>
      <c r="B27" s="41" t="s">
        <v>126</v>
      </c>
      <c r="C27" s="29" t="n">
        <f aca="false">IF(C7&gt;C11,(CT_ESOP_Shares/(CT_F1_Shares+CT_F2_Shares+CT_ESOP_Shares+CT_SAFE1_Shares+CT_SAFE2_Shares+CT_CN_Shares))*MAX(0,Assumptions!$C$41-C7),(CT_ESOP_Shares/CT_Total_Shares)*Assumptions!$C$41)</f>
        <v>646210.589926858</v>
      </c>
      <c r="D27" s="29" t="n">
        <f aca="false">IF(D7&gt;D11,(CT_ESOP_Shares/(CT_F1_Shares+CT_F2_Shares+CT_ESOP_Shares+CT_SAFE1_Shares+CT_SAFE2_Shares+CT_CN_Shares))*MAX(0,Assumptions!$C$42-D7),(CT_ESOP_Shares/CT_Total_Shares)*Assumptions!$C$42)</f>
        <v>2584842.35970743</v>
      </c>
      <c r="E27" s="29" t="n">
        <f aca="false">IF(E7&gt;E11,(CT_ESOP_Shares/(CT_F1_Shares+CT_F2_Shares+CT_ESOP_Shares+CT_SAFE1_Shares+CT_SAFE2_Shares+CT_CN_Shares))*MAX(0,Assumptions!$C$43-E7),(CT_ESOP_Shares/CT_Total_Shares)*Assumptions!$C$43)</f>
        <v>5169684.71941487</v>
      </c>
      <c r="F27" s="29" t="n">
        <f aca="false">IF(F7&gt;F11,(CT_ESOP_Shares/(CT_F1_Shares+CT_F2_Shares+CT_ESOP_Shares+CT_SAFE1_Shares+CT_SAFE2_Shares+CT_CN_Shares))*MAX(0,Assumptions!$C$44-F7),(CT_ESOP_Shares/CT_Total_Shares)*Assumptions!$C$44)</f>
        <v>10339369.4388297</v>
      </c>
      <c r="G27" s="29" t="n">
        <f aca="false">IF(G7&gt;G11,(CT_ESOP_Shares/(CT_F1_Shares+CT_F2_Shares+CT_ESOP_Shares+CT_SAFE1_Shares+CT_SAFE2_Shares+CT_CN_Shares))*MAX(0,Assumptions!$C$45-G7),(CT_ESOP_Shares/CT_Total_Shares)*Assumptions!$C$45)</f>
        <v>20678738.8776595</v>
      </c>
      <c r="H27" s="29" t="n">
        <f aca="false">IF(H7&gt;H11,(CT_ESOP_Shares/(CT_F1_Shares+CT_F2_Shares+CT_ESOP_Shares+CT_SAFE1_Shares+CT_SAFE2_Shares+CT_CN_Shares))*MAX(0,Assumptions!$C$46-H7),(CT_ESOP_Shares/CT_Total_Shares)*Assumptions!$C$46)</f>
        <v>51696847.1941487</v>
      </c>
    </row>
    <row r="28" customFormat="false" ht="15" hidden="false" customHeight="false" outlineLevel="0" collapsed="false">
      <c r="A28" s="6"/>
      <c r="B28" s="36" t="s">
        <v>152</v>
      </c>
      <c r="C28" s="51" t="n">
        <f aca="false">C25+C26+C27</f>
        <v>4112004.83444123</v>
      </c>
      <c r="D28" s="51" t="n">
        <f aca="false">D25+D26+D27</f>
        <v>16448019.3377649</v>
      </c>
      <c r="E28" s="51" t="n">
        <f aca="false">E25+E26+E27</f>
        <v>32896038.6755298</v>
      </c>
      <c r="F28" s="51" t="n">
        <f aca="false">F25+F26+F27</f>
        <v>65792077.3510596</v>
      </c>
      <c r="G28" s="51" t="n">
        <f aca="false">G25+G26+G27</f>
        <v>131584154.702119</v>
      </c>
      <c r="H28" s="51" t="n">
        <f aca="false">H25+H26+H27</f>
        <v>328960386.755298</v>
      </c>
    </row>
    <row r="29" customFormat="false" ht="15" hidden="false" customHeight="false" outlineLevel="0" collapsed="false">
      <c r="A29" s="6"/>
      <c r="B29" s="6"/>
      <c r="C29" s="6"/>
      <c r="D29" s="6"/>
      <c r="E29" s="6"/>
      <c r="F29" s="6"/>
      <c r="G29" s="6"/>
      <c r="H29" s="6"/>
    </row>
    <row r="30" customFormat="false" ht="15" hidden="false" customHeight="false" outlineLevel="0" collapsed="false">
      <c r="A30" s="6"/>
      <c r="B30" s="20" t="s">
        <v>153</v>
      </c>
      <c r="C30" s="9"/>
      <c r="D30" s="9"/>
      <c r="E30" s="9"/>
      <c r="F30" s="9"/>
      <c r="G30" s="9"/>
      <c r="H30" s="9"/>
    </row>
    <row r="31" customFormat="false" ht="15" hidden="false" customHeight="false" outlineLevel="0" collapsed="false">
      <c r="A31" s="6"/>
      <c r="B31" s="36" t="s">
        <v>154</v>
      </c>
      <c r="C31" s="52" t="n">
        <f aca="false">C21+C28</f>
        <v>10000000</v>
      </c>
      <c r="D31" s="52" t="n">
        <f aca="false">D21+D28</f>
        <v>25000000</v>
      </c>
      <c r="E31" s="52" t="n">
        <f aca="false">E21+E28</f>
        <v>50000000</v>
      </c>
      <c r="F31" s="52" t="n">
        <f aca="false">F21+F28</f>
        <v>100000000</v>
      </c>
      <c r="G31" s="52" t="n">
        <f aca="false">G21+G28</f>
        <v>200000000</v>
      </c>
      <c r="H31" s="52" t="n">
        <f aca="false">H21+H28</f>
        <v>500000000</v>
      </c>
    </row>
    <row r="32" customFormat="false" ht="15" hidden="false" customHeight="false" outlineLevel="0" collapsed="false">
      <c r="A32" s="6"/>
      <c r="B32" s="32" t="s">
        <v>155</v>
      </c>
      <c r="C32" s="53" t="n">
        <f aca="false">C31-Assumptions!$C$41</f>
        <v>0</v>
      </c>
      <c r="D32" s="53" t="n">
        <f aca="false">D31-Assumptions!$C$42</f>
        <v>0</v>
      </c>
      <c r="E32" s="53" t="n">
        <f aca="false">E31-Assumptions!$C$43</f>
        <v>0</v>
      </c>
      <c r="F32" s="53" t="n">
        <f aca="false">F31-Assumptions!$C$44</f>
        <v>0</v>
      </c>
      <c r="G32" s="53" t="n">
        <f aca="false">G31-Assumptions!$C$45</f>
        <v>0</v>
      </c>
      <c r="H32" s="53" t="n">
        <f aca="false">H31-Assumptions!$C$46</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4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8" min="3" style="0" width="18"/>
  </cols>
  <sheetData>
    <row r="1" customFormat="false" ht="15" hidden="false" customHeight="false" outlineLevel="0" collapsed="false">
      <c r="A1" s="1"/>
      <c r="B1" s="1"/>
      <c r="C1" s="1"/>
      <c r="D1" s="1"/>
      <c r="E1" s="1"/>
      <c r="F1" s="1"/>
      <c r="G1" s="1"/>
      <c r="H1" s="1"/>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156</v>
      </c>
      <c r="C2" s="1"/>
      <c r="D2" s="1"/>
      <c r="E2" s="1"/>
      <c r="F2" s="1"/>
      <c r="G2" s="1"/>
      <c r="H2" s="1"/>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157</v>
      </c>
      <c r="C3" s="1"/>
      <c r="D3" s="1"/>
      <c r="E3" s="1"/>
      <c r="F3" s="1"/>
      <c r="G3" s="1"/>
      <c r="H3" s="1"/>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c r="H4" s="6"/>
    </row>
    <row r="5" customFormat="false" ht="15" hidden="false" customHeight="false" outlineLevel="0" collapsed="false">
      <c r="A5" s="6"/>
      <c r="B5" s="8"/>
      <c r="C5" s="50" t="n">
        <f aca="false">Assumptions!$C$41</f>
        <v>10000000</v>
      </c>
      <c r="D5" s="50" t="n">
        <f aca="false">Assumptions!$C$42</f>
        <v>25000000</v>
      </c>
      <c r="E5" s="50" t="n">
        <f aca="false">Assumptions!$C$43</f>
        <v>50000000</v>
      </c>
      <c r="F5" s="50" t="n">
        <f aca="false">Assumptions!$C$44</f>
        <v>100000000</v>
      </c>
      <c r="G5" s="50" t="n">
        <f aca="false">Assumptions!$C$45</f>
        <v>200000000</v>
      </c>
      <c r="H5" s="50" t="n">
        <f aca="false">Assumptions!$C$46</f>
        <v>500000000</v>
      </c>
    </row>
    <row r="6" customFormat="false" ht="15" hidden="false" customHeight="false" outlineLevel="0" collapsed="false">
      <c r="A6" s="6"/>
      <c r="B6" s="20" t="s">
        <v>158</v>
      </c>
      <c r="C6" s="9"/>
      <c r="D6" s="9"/>
      <c r="E6" s="9"/>
      <c r="F6" s="9"/>
      <c r="G6" s="9"/>
      <c r="H6" s="9"/>
    </row>
    <row r="7" customFormat="false" ht="15" hidden="false" customHeight="false" outlineLevel="0" collapsed="false">
      <c r="A7" s="6"/>
      <c r="B7" s="28" t="s">
        <v>129</v>
      </c>
      <c r="C7" s="29" t="n">
        <f aca="false">SA_Investment</f>
        <v>5000000</v>
      </c>
      <c r="D7" s="29" t="n">
        <f aca="false">SA_Investment</f>
        <v>5000000</v>
      </c>
      <c r="E7" s="29" t="n">
        <f aca="false">SA_Investment</f>
        <v>5000000</v>
      </c>
      <c r="F7" s="29" t="n">
        <f aca="false">SA_Investment</f>
        <v>5000000</v>
      </c>
      <c r="G7" s="29" t="n">
        <f aca="false">SA_Investment</f>
        <v>5000000</v>
      </c>
      <c r="H7" s="29" t="n">
        <f aca="false">SA_Investment</f>
        <v>5000000</v>
      </c>
    </row>
    <row r="8" customFormat="false" ht="15" hidden="false" customHeight="false" outlineLevel="0" collapsed="false">
      <c r="A8" s="6"/>
      <c r="B8" s="28" t="s">
        <v>146</v>
      </c>
      <c r="C8" s="29" t="n">
        <f aca="false">SAFE1_Amount</f>
        <v>500000</v>
      </c>
      <c r="D8" s="29" t="n">
        <f aca="false">SAFE1_Amount</f>
        <v>500000</v>
      </c>
      <c r="E8" s="29" t="n">
        <f aca="false">SAFE1_Amount</f>
        <v>500000</v>
      </c>
      <c r="F8" s="29" t="n">
        <f aca="false">SAFE1_Amount</f>
        <v>500000</v>
      </c>
      <c r="G8" s="29" t="n">
        <f aca="false">SAFE1_Amount</f>
        <v>500000</v>
      </c>
      <c r="H8" s="29" t="n">
        <f aca="false">SAFE1_Amount</f>
        <v>500000</v>
      </c>
    </row>
    <row r="9" customFormat="false" ht="15" hidden="false" customHeight="false" outlineLevel="0" collapsed="false">
      <c r="A9" s="6"/>
      <c r="B9" s="28" t="s">
        <v>147</v>
      </c>
      <c r="C9" s="29" t="n">
        <f aca="false">SAFE2_Amount</f>
        <v>750000</v>
      </c>
      <c r="D9" s="29" t="n">
        <f aca="false">SAFE2_Amount</f>
        <v>750000</v>
      </c>
      <c r="E9" s="29" t="n">
        <f aca="false">SAFE2_Amount</f>
        <v>750000</v>
      </c>
      <c r="F9" s="29" t="n">
        <f aca="false">SAFE2_Amount</f>
        <v>750000</v>
      </c>
      <c r="G9" s="29" t="n">
        <f aca="false">SAFE2_Amount</f>
        <v>750000</v>
      </c>
      <c r="H9" s="29" t="n">
        <f aca="false">SAFE2_Amount</f>
        <v>750000</v>
      </c>
    </row>
    <row r="10" customFormat="false" ht="15" hidden="false" customHeight="false" outlineLevel="0" collapsed="false">
      <c r="A10" s="6"/>
      <c r="B10" s="28" t="s">
        <v>148</v>
      </c>
      <c r="C10" s="29" t="n">
        <f aca="false">CN_Principal</f>
        <v>250000</v>
      </c>
      <c r="D10" s="29" t="n">
        <f aca="false">CN_Principal</f>
        <v>250000</v>
      </c>
      <c r="E10" s="29" t="n">
        <f aca="false">CN_Principal</f>
        <v>250000</v>
      </c>
      <c r="F10" s="29" t="n">
        <f aca="false">CN_Principal</f>
        <v>250000</v>
      </c>
      <c r="G10" s="29" t="n">
        <f aca="false">CN_Principal</f>
        <v>250000</v>
      </c>
      <c r="H10" s="29" t="n">
        <f aca="false">CN_Principal</f>
        <v>250000</v>
      </c>
    </row>
    <row r="11" customFormat="false" ht="15" hidden="false" customHeight="false" outlineLevel="0" collapsed="false">
      <c r="A11" s="6"/>
      <c r="B11" s="36" t="s">
        <v>159</v>
      </c>
      <c r="C11" s="51" t="n">
        <f aca="false">SUM(C7:C10)</f>
        <v>6500000</v>
      </c>
      <c r="D11" s="51" t="n">
        <f aca="false">SUM(D7:D10)</f>
        <v>6500000</v>
      </c>
      <c r="E11" s="51" t="n">
        <f aca="false">SUM(E7:E10)</f>
        <v>6500000</v>
      </c>
      <c r="F11" s="51" t="n">
        <f aca="false">SUM(F7:F10)</f>
        <v>6500000</v>
      </c>
      <c r="G11" s="51" t="n">
        <f aca="false">SUM(G7:G10)</f>
        <v>6500000</v>
      </c>
      <c r="H11" s="51" t="n">
        <f aca="false">SUM(H7:H10)</f>
        <v>6500000</v>
      </c>
    </row>
    <row r="12" customFormat="false" ht="15" hidden="false" customHeight="false" outlineLevel="0" collapsed="false">
      <c r="A12" s="6"/>
      <c r="B12" s="6"/>
      <c r="C12" s="6"/>
      <c r="D12" s="6"/>
      <c r="E12" s="6"/>
      <c r="F12" s="6"/>
      <c r="G12" s="6"/>
      <c r="H12" s="6"/>
    </row>
    <row r="13" customFormat="false" ht="15" hidden="false" customHeight="false" outlineLevel="0" collapsed="false">
      <c r="A13" s="6"/>
      <c r="B13" s="20" t="s">
        <v>160</v>
      </c>
      <c r="C13" s="9"/>
      <c r="D13" s="9"/>
      <c r="E13" s="9"/>
      <c r="F13" s="9"/>
      <c r="G13" s="9"/>
      <c r="H13" s="9"/>
    </row>
    <row r="14" customFormat="false" ht="15" hidden="false" customHeight="false" outlineLevel="0" collapsed="false">
      <c r="A14" s="6"/>
      <c r="B14" s="28" t="s">
        <v>129</v>
      </c>
      <c r="C14" s="29" t="n">
        <f aca="true">INDEX(WF_SA_Dist,1,1)</f>
        <v>5000000</v>
      </c>
      <c r="D14" s="29" t="n">
        <f aca="true">INDEX(WF_SA_Dist,1,2)</f>
        <v>5000000</v>
      </c>
      <c r="E14" s="29" t="n">
        <f aca="true">INDEX(WF_SA_Dist,1,3)</f>
        <v>10000000</v>
      </c>
      <c r="F14" s="29" t="n">
        <f aca="true">INDEX(WF_SA_Dist,1,4)</f>
        <v>20000000</v>
      </c>
      <c r="G14" s="29" t="n">
        <f aca="true">INDEX(WF_SA_Dist,1,5)</f>
        <v>40000000</v>
      </c>
      <c r="H14" s="29" t="n">
        <f aca="true">INDEX(WF_SA_Dist,1,6)</f>
        <v>100000000</v>
      </c>
    </row>
    <row r="15" customFormat="false" ht="15" hidden="false" customHeight="false" outlineLevel="0" collapsed="false">
      <c r="A15" s="6"/>
      <c r="B15" s="28" t="s">
        <v>146</v>
      </c>
      <c r="C15" s="29" t="n">
        <f aca="true">INDEX(WF_SAFE1_Dist,1,1)</f>
        <v>256725.499593657</v>
      </c>
      <c r="D15" s="29" t="n">
        <f aca="true">INDEX(WF_SAFE1_Dist,1,2)</f>
        <v>1026901.99837463</v>
      </c>
      <c r="E15" s="29" t="n">
        <f aca="true">INDEX(WF_SAFE1_Dist,1,3)</f>
        <v>2053803.99674926</v>
      </c>
      <c r="F15" s="29" t="n">
        <f aca="true">INDEX(WF_SAFE1_Dist,1,4)</f>
        <v>4107607.99349851</v>
      </c>
      <c r="G15" s="29" t="n">
        <f aca="true">INDEX(WF_SAFE1_Dist,1,5)</f>
        <v>8215215.98699702</v>
      </c>
      <c r="H15" s="29" t="n">
        <f aca="true">INDEX(WF_SAFE1_Dist,1,6)</f>
        <v>20538039.9674926</v>
      </c>
    </row>
    <row r="16" customFormat="false" ht="15" hidden="false" customHeight="false" outlineLevel="0" collapsed="false">
      <c r="A16" s="6"/>
      <c r="B16" s="28" t="s">
        <v>147</v>
      </c>
      <c r="C16" s="29" t="n">
        <f aca="true">INDEX(WF_SAFE2_Dist,1,1)</f>
        <v>481360.311738107</v>
      </c>
      <c r="D16" s="29" t="n">
        <f aca="true">INDEX(WF_SAFE2_Dist,1,2)</f>
        <v>1925441.24695243</v>
      </c>
      <c r="E16" s="29" t="n">
        <f aca="true">INDEX(WF_SAFE2_Dist,1,3)</f>
        <v>3850882.49390485</v>
      </c>
      <c r="F16" s="29" t="n">
        <f aca="true">INDEX(WF_SAFE2_Dist,1,4)</f>
        <v>7701764.98780971</v>
      </c>
      <c r="G16" s="29" t="n">
        <f aca="true">INDEX(WF_SAFE2_Dist,1,5)</f>
        <v>15403529.9756194</v>
      </c>
      <c r="H16" s="29" t="n">
        <f aca="true">INDEX(WF_SAFE2_Dist,1,6)</f>
        <v>38508824.9390485</v>
      </c>
    </row>
    <row r="17" customFormat="false" ht="15" hidden="false" customHeight="false" outlineLevel="0" collapsed="false">
      <c r="A17" s="6"/>
      <c r="B17" s="28" t="s">
        <v>148</v>
      </c>
      <c r="C17" s="29" t="n">
        <f aca="true">INDEX(WF_CN_Dist,1,1)</f>
        <v>149909.35422701</v>
      </c>
      <c r="D17" s="29" t="n">
        <f aca="true">INDEX(WF_CN_Dist,1,2)</f>
        <v>599637.416908042</v>
      </c>
      <c r="E17" s="29" t="n">
        <f aca="true">INDEX(WF_CN_Dist,1,3)</f>
        <v>1199274.83381608</v>
      </c>
      <c r="F17" s="29" t="n">
        <f aca="true">INDEX(WF_CN_Dist,1,4)</f>
        <v>2398549.66763217</v>
      </c>
      <c r="G17" s="29" t="n">
        <f aca="true">INDEX(WF_CN_Dist,1,5)</f>
        <v>4797099.33526433</v>
      </c>
      <c r="H17" s="29" t="n">
        <f aca="true">INDEX(WF_CN_Dist,1,6)</f>
        <v>11992748.3381608</v>
      </c>
    </row>
    <row r="18" customFormat="false" ht="15" hidden="false" customHeight="false" outlineLevel="0" collapsed="false">
      <c r="A18" s="6"/>
      <c r="B18" s="41" t="str">
        <f aca="false">IF(Founder1_Name="","Founder 1",Founder1_Name)&amp;" Proceeds"</f>
        <v>Alex Proceeds</v>
      </c>
      <c r="C18" s="29" t="n">
        <f aca="true">INDEX(WF_F1_Dist,1,1)</f>
        <v>2079476.54670862</v>
      </c>
      <c r="D18" s="29" t="n">
        <f aca="true">INDEX(WF_F1_Dist,1,2)</f>
        <v>8317906.18683448</v>
      </c>
      <c r="E18" s="29" t="n">
        <f aca="true">INDEX(WF_F1_Dist,1,3)</f>
        <v>16635812.373669</v>
      </c>
      <c r="F18" s="29" t="n">
        <f aca="true">INDEX(WF_F1_Dist,1,4)</f>
        <v>33271624.7473379</v>
      </c>
      <c r="G18" s="29" t="n">
        <f aca="true">INDEX(WF_F1_Dist,1,5)</f>
        <v>66543249.4946759</v>
      </c>
      <c r="H18" s="29" t="n">
        <f aca="true">INDEX(WF_F1_Dist,1,6)</f>
        <v>166358123.73669</v>
      </c>
    </row>
    <row r="19" customFormat="false" ht="15" hidden="false" customHeight="false" outlineLevel="0" collapsed="false">
      <c r="A19" s="6"/>
      <c r="B19" s="41" t="str">
        <f aca="false">IF(Founder2_Name="","Founder 2",Founder2_Name)&amp;" Proceeds"</f>
        <v>Jordan Proceeds</v>
      </c>
      <c r="C19" s="29" t="n">
        <f aca="true">INDEX(WF_F2_Dist,1,1)</f>
        <v>1386317.69780575</v>
      </c>
      <c r="D19" s="29" t="n">
        <f aca="true">INDEX(WF_F2_Dist,1,2)</f>
        <v>5545270.79122299</v>
      </c>
      <c r="E19" s="29" t="n">
        <f aca="true">INDEX(WF_F2_Dist,1,3)</f>
        <v>11090541.582446</v>
      </c>
      <c r="F19" s="29" t="n">
        <f aca="true">INDEX(WF_F2_Dist,1,4)</f>
        <v>22181083.164892</v>
      </c>
      <c r="G19" s="29" t="n">
        <f aca="true">INDEX(WF_F2_Dist,1,5)</f>
        <v>44362166.3297839</v>
      </c>
      <c r="H19" s="29" t="n">
        <f aca="true">INDEX(WF_F2_Dist,1,6)</f>
        <v>110905415.82446</v>
      </c>
    </row>
    <row r="20" customFormat="false" ht="15" hidden="false" customHeight="false" outlineLevel="0" collapsed="false">
      <c r="A20" s="6"/>
      <c r="B20" s="28" t="s">
        <v>126</v>
      </c>
      <c r="C20" s="29" t="n">
        <f aca="true">INDEX(WF_ESOP_Dist,1,1)</f>
        <v>646210.589926858</v>
      </c>
      <c r="D20" s="29" t="n">
        <f aca="true">INDEX(WF_ESOP_Dist,1,2)</f>
        <v>2584842.35970743</v>
      </c>
      <c r="E20" s="29" t="n">
        <f aca="true">INDEX(WF_ESOP_Dist,1,3)</f>
        <v>5169684.71941487</v>
      </c>
      <c r="F20" s="29" t="n">
        <f aca="true">INDEX(WF_ESOP_Dist,1,4)</f>
        <v>10339369.4388297</v>
      </c>
      <c r="G20" s="29" t="n">
        <f aca="true">INDEX(WF_ESOP_Dist,1,5)</f>
        <v>20678738.8776595</v>
      </c>
      <c r="H20" s="29" t="n">
        <f aca="true">INDEX(WF_ESOP_Dist,1,6)</f>
        <v>51696847.1941487</v>
      </c>
    </row>
    <row r="21" customFormat="false" ht="15" hidden="false" customHeight="false" outlineLevel="0" collapsed="false">
      <c r="A21" s="6"/>
      <c r="B21" s="6"/>
      <c r="C21" s="6"/>
      <c r="D21" s="6"/>
      <c r="E21" s="6"/>
      <c r="F21" s="6"/>
      <c r="G21" s="6"/>
      <c r="H21" s="6"/>
    </row>
    <row r="22" customFormat="false" ht="15" hidden="false" customHeight="false" outlineLevel="0" collapsed="false">
      <c r="A22" s="6"/>
      <c r="B22" s="20" t="s">
        <v>161</v>
      </c>
      <c r="C22" s="9"/>
      <c r="D22" s="9"/>
      <c r="E22" s="9"/>
      <c r="F22" s="9"/>
      <c r="G22" s="9"/>
      <c r="H22" s="9"/>
    </row>
    <row r="23" customFormat="false" ht="15" hidden="false" customHeight="false" outlineLevel="0" collapsed="false">
      <c r="A23" s="6"/>
      <c r="B23" s="28" t="s">
        <v>162</v>
      </c>
      <c r="C23" s="54" t="n">
        <f aca="false">IF(C7=0,0,C14/C7)</f>
        <v>1</v>
      </c>
      <c r="D23" s="54" t="n">
        <f aca="false">IF(D7=0,0,D14/D7)</f>
        <v>1</v>
      </c>
      <c r="E23" s="54" t="n">
        <f aca="false">IF(E7=0,0,E14/E7)</f>
        <v>2</v>
      </c>
      <c r="F23" s="54" t="n">
        <f aca="false">IF(F7=0,0,F14/F7)</f>
        <v>4</v>
      </c>
      <c r="G23" s="54" t="n">
        <f aca="false">IF(G7=0,0,G14/G7)</f>
        <v>8</v>
      </c>
      <c r="H23" s="54" t="n">
        <f aca="false">IF(H7=0,0,H14/H7)</f>
        <v>20</v>
      </c>
    </row>
    <row r="24" customFormat="false" ht="15" hidden="false" customHeight="false" outlineLevel="0" collapsed="false">
      <c r="A24" s="6"/>
      <c r="B24" s="28" t="s">
        <v>163</v>
      </c>
      <c r="C24" s="54" t="n">
        <f aca="false">IF(C8=0,0,C15/C8)</f>
        <v>0.513450999187314</v>
      </c>
      <c r="D24" s="54" t="n">
        <f aca="false">IF(D8=0,0,D15/D8)</f>
        <v>2.05380399674926</v>
      </c>
      <c r="E24" s="54" t="n">
        <f aca="false">IF(E8=0,0,E15/E8)</f>
        <v>4.10760799349851</v>
      </c>
      <c r="F24" s="54" t="n">
        <f aca="false">IF(F8=0,0,F15/F8)</f>
        <v>8.21521598699702</v>
      </c>
      <c r="G24" s="54" t="n">
        <f aca="false">IF(G8=0,0,G15/G8)</f>
        <v>16.430431973994</v>
      </c>
      <c r="H24" s="54" t="n">
        <f aca="false">IF(H8=0,0,H15/H8)</f>
        <v>41.0760799349851</v>
      </c>
    </row>
    <row r="25" customFormat="false" ht="15" hidden="false" customHeight="false" outlineLevel="0" collapsed="false">
      <c r="A25" s="6"/>
      <c r="B25" s="28" t="s">
        <v>164</v>
      </c>
      <c r="C25" s="54" t="n">
        <f aca="false">IF(C9=0,0,C16/C9)</f>
        <v>0.641813748984142</v>
      </c>
      <c r="D25" s="54" t="n">
        <f aca="false">IF(D9=0,0,D16/D9)</f>
        <v>2.56725499593657</v>
      </c>
      <c r="E25" s="54" t="n">
        <f aca="false">IF(E9=0,0,E16/E9)</f>
        <v>5.13450999187314</v>
      </c>
      <c r="F25" s="54" t="n">
        <f aca="false">IF(F9=0,0,F16/F9)</f>
        <v>10.2690199837463</v>
      </c>
      <c r="G25" s="54" t="n">
        <f aca="false">IF(G9=0,0,G16/G9)</f>
        <v>20.5380399674926</v>
      </c>
      <c r="H25" s="54" t="n">
        <f aca="false">IF(H9=0,0,H16/H9)</f>
        <v>51.3450999187314</v>
      </c>
    </row>
    <row r="26" customFormat="false" ht="15" hidden="false" customHeight="false" outlineLevel="0" collapsed="false">
      <c r="A26" s="6"/>
      <c r="B26" s="28" t="s">
        <v>165</v>
      </c>
      <c r="C26" s="54" t="n">
        <f aca="false">IF(C10=0,0,C17/C10)</f>
        <v>0.599637416908042</v>
      </c>
      <c r="D26" s="54" t="n">
        <f aca="false">IF(D10=0,0,D17/D10)</f>
        <v>2.39854966763217</v>
      </c>
      <c r="E26" s="54" t="n">
        <f aca="false">IF(E10=0,0,E17/E10)</f>
        <v>4.79709933526433</v>
      </c>
      <c r="F26" s="54" t="n">
        <f aca="false">IF(F10=0,0,F17/F10)</f>
        <v>9.59419867052866</v>
      </c>
      <c r="G26" s="54" t="n">
        <f aca="false">IF(G10=0,0,G17/G10)</f>
        <v>19.1883973410573</v>
      </c>
      <c r="H26" s="54" t="n">
        <f aca="false">IF(H10=0,0,H17/H10)</f>
        <v>47.9709933526433</v>
      </c>
    </row>
    <row r="27" customFormat="false" ht="15" hidden="false" customHeight="false" outlineLevel="0" collapsed="false">
      <c r="A27" s="6"/>
      <c r="B27" s="6"/>
      <c r="C27" s="6"/>
      <c r="D27" s="6"/>
      <c r="E27" s="6"/>
      <c r="F27" s="6"/>
      <c r="G27" s="6"/>
      <c r="H27" s="6"/>
    </row>
    <row r="28" customFormat="false" ht="15" hidden="false" customHeight="false" outlineLevel="0" collapsed="false">
      <c r="A28" s="6"/>
      <c r="B28" s="20" t="s">
        <v>166</v>
      </c>
      <c r="C28" s="9"/>
      <c r="D28" s="9"/>
      <c r="E28" s="9"/>
      <c r="F28" s="9"/>
      <c r="G28" s="9"/>
      <c r="H28" s="9"/>
    </row>
    <row r="29" customFormat="false" ht="15" hidden="false" customHeight="false" outlineLevel="0" collapsed="false">
      <c r="A29" s="6"/>
      <c r="B29" s="28" t="s">
        <v>167</v>
      </c>
      <c r="C29" s="30" t="n">
        <f aca="false">CT_F1_Shares/CT_Total_Shares</f>
        <v>0.332716247473379</v>
      </c>
      <c r="D29" s="30" t="n">
        <f aca="false">CT_F1_Shares/CT_Total_Shares</f>
        <v>0.332716247473379</v>
      </c>
      <c r="E29" s="30" t="n">
        <f aca="false">CT_F1_Shares/CT_Total_Shares</f>
        <v>0.332716247473379</v>
      </c>
      <c r="F29" s="30" t="n">
        <f aca="false">CT_F1_Shares/CT_Total_Shares</f>
        <v>0.332716247473379</v>
      </c>
      <c r="G29" s="30" t="n">
        <f aca="false">CT_F1_Shares/CT_Total_Shares</f>
        <v>0.332716247473379</v>
      </c>
      <c r="H29" s="30" t="n">
        <f aca="false">CT_F1_Shares/CT_Total_Shares</f>
        <v>0.332716247473379</v>
      </c>
    </row>
    <row r="30" customFormat="false" ht="15" hidden="false" customHeight="false" outlineLevel="0" collapsed="false">
      <c r="A30" s="6"/>
      <c r="B30" s="28" t="s">
        <v>168</v>
      </c>
      <c r="C30" s="30" t="n">
        <f aca="false">CT_F2_Shares/CT_Total_Shares</f>
        <v>0.22181083164892</v>
      </c>
      <c r="D30" s="30" t="n">
        <f aca="false">CT_F2_Shares/CT_Total_Shares</f>
        <v>0.22181083164892</v>
      </c>
      <c r="E30" s="30" t="n">
        <f aca="false">CT_F2_Shares/CT_Total_Shares</f>
        <v>0.22181083164892</v>
      </c>
      <c r="F30" s="30" t="n">
        <f aca="false">CT_F2_Shares/CT_Total_Shares</f>
        <v>0.22181083164892</v>
      </c>
      <c r="G30" s="30" t="n">
        <f aca="false">CT_F2_Shares/CT_Total_Shares</f>
        <v>0.22181083164892</v>
      </c>
      <c r="H30" s="30" t="n">
        <f aca="false">CT_F2_Shares/CT_Total_Shares</f>
        <v>0.22181083164892</v>
      </c>
    </row>
    <row r="31" customFormat="false" ht="15" hidden="false" customHeight="false" outlineLevel="0" collapsed="false">
      <c r="A31" s="6"/>
      <c r="B31" s="28" t="s">
        <v>126</v>
      </c>
      <c r="C31" s="30" t="n">
        <f aca="false">CT_ESOP_Shares/CT_Total_Shares</f>
        <v>0.103393694388297</v>
      </c>
      <c r="D31" s="30" t="n">
        <f aca="false">CT_ESOP_Shares/CT_Total_Shares</f>
        <v>0.103393694388297</v>
      </c>
      <c r="E31" s="30" t="n">
        <f aca="false">CT_ESOP_Shares/CT_Total_Shares</f>
        <v>0.103393694388297</v>
      </c>
      <c r="F31" s="30" t="n">
        <f aca="false">CT_ESOP_Shares/CT_Total_Shares</f>
        <v>0.103393694388297</v>
      </c>
      <c r="G31" s="30" t="n">
        <f aca="false">CT_ESOP_Shares/CT_Total_Shares</f>
        <v>0.103393694388297</v>
      </c>
      <c r="H31" s="30" t="n">
        <f aca="false">CT_ESOP_Shares/CT_Total_Shares</f>
        <v>0.103393694388297</v>
      </c>
    </row>
    <row r="32" customFormat="false" ht="15" hidden="false" customHeight="false" outlineLevel="0" collapsed="false">
      <c r="A32" s="6"/>
      <c r="B32" s="28" t="s">
        <v>146</v>
      </c>
      <c r="C32" s="30" t="n">
        <f aca="false">CT_SAFE1_Shares/CT_Total_Shares</f>
        <v>0.0410760799349851</v>
      </c>
      <c r="D32" s="30" t="n">
        <f aca="false">CT_SAFE1_Shares/CT_Total_Shares</f>
        <v>0.0410760799349851</v>
      </c>
      <c r="E32" s="30" t="n">
        <f aca="false">CT_SAFE1_Shares/CT_Total_Shares</f>
        <v>0.0410760799349851</v>
      </c>
      <c r="F32" s="30" t="n">
        <f aca="false">CT_SAFE1_Shares/CT_Total_Shares</f>
        <v>0.0410760799349851</v>
      </c>
      <c r="G32" s="30" t="n">
        <f aca="false">CT_SAFE1_Shares/CT_Total_Shares</f>
        <v>0.0410760799349851</v>
      </c>
      <c r="H32" s="30" t="n">
        <f aca="false">CT_SAFE1_Shares/CT_Total_Shares</f>
        <v>0.0410760799349851</v>
      </c>
    </row>
    <row r="33" customFormat="false" ht="15" hidden="false" customHeight="false" outlineLevel="0" collapsed="false">
      <c r="A33" s="6"/>
      <c r="B33" s="28" t="s">
        <v>147</v>
      </c>
      <c r="C33" s="30" t="n">
        <f aca="false">CT_SAFE2_Shares/CT_Total_Shares</f>
        <v>0.0770176498780971</v>
      </c>
      <c r="D33" s="30" t="n">
        <f aca="false">CT_SAFE2_Shares/CT_Total_Shares</f>
        <v>0.0770176498780971</v>
      </c>
      <c r="E33" s="30" t="n">
        <f aca="false">CT_SAFE2_Shares/CT_Total_Shares</f>
        <v>0.0770176498780971</v>
      </c>
      <c r="F33" s="30" t="n">
        <f aca="false">CT_SAFE2_Shares/CT_Total_Shares</f>
        <v>0.0770176498780971</v>
      </c>
      <c r="G33" s="30" t="n">
        <f aca="false">CT_SAFE2_Shares/CT_Total_Shares</f>
        <v>0.0770176498780971</v>
      </c>
      <c r="H33" s="30" t="n">
        <f aca="false">CT_SAFE2_Shares/CT_Total_Shares</f>
        <v>0.0770176498780971</v>
      </c>
    </row>
    <row r="34" customFormat="false" ht="15" hidden="false" customHeight="false" outlineLevel="0" collapsed="false">
      <c r="A34" s="6"/>
      <c r="B34" s="28" t="s">
        <v>148</v>
      </c>
      <c r="C34" s="30" t="n">
        <f aca="false">CT_CN_Shares/CT_Total_Shares</f>
        <v>0.0239854966763217</v>
      </c>
      <c r="D34" s="30" t="n">
        <f aca="false">CT_CN_Shares/CT_Total_Shares</f>
        <v>0.0239854966763217</v>
      </c>
      <c r="E34" s="30" t="n">
        <f aca="false">CT_CN_Shares/CT_Total_Shares</f>
        <v>0.0239854966763217</v>
      </c>
      <c r="F34" s="30" t="n">
        <f aca="false">CT_CN_Shares/CT_Total_Shares</f>
        <v>0.0239854966763217</v>
      </c>
      <c r="G34" s="30" t="n">
        <f aca="false">CT_CN_Shares/CT_Total_Shares</f>
        <v>0.0239854966763217</v>
      </c>
      <c r="H34" s="30" t="n">
        <f aca="false">CT_CN_Shares/CT_Total_Shares</f>
        <v>0.0239854966763217</v>
      </c>
    </row>
    <row r="35" customFormat="false" ht="15" hidden="false" customHeight="false" outlineLevel="0" collapsed="false">
      <c r="A35" s="6"/>
      <c r="B35" s="28" t="s">
        <v>129</v>
      </c>
      <c r="C35" s="30" t="n">
        <f aca="false">CT_SA_Shares/CT_Total_Shares</f>
        <v>0.2</v>
      </c>
      <c r="D35" s="30" t="n">
        <f aca="false">CT_SA_Shares/CT_Total_Shares</f>
        <v>0.2</v>
      </c>
      <c r="E35" s="30" t="n">
        <f aca="false">CT_SA_Shares/CT_Total_Shares</f>
        <v>0.2</v>
      </c>
      <c r="F35" s="30" t="n">
        <f aca="false">CT_SA_Shares/CT_Total_Shares</f>
        <v>0.2</v>
      </c>
      <c r="G35" s="30" t="n">
        <f aca="false">CT_SA_Shares/CT_Total_Shares</f>
        <v>0.2</v>
      </c>
      <c r="H35" s="30" t="n">
        <f aca="false">CT_SA_Shares/CT_Total_Shares</f>
        <v>0.2</v>
      </c>
    </row>
    <row r="36" customFormat="false" ht="15" hidden="false" customHeight="false" outlineLevel="0" collapsed="false">
      <c r="A36" s="6"/>
      <c r="B36" s="55" t="s">
        <v>169</v>
      </c>
      <c r="C36" s="46" t="n">
        <f aca="false">SUM(C29:C35)</f>
        <v>1</v>
      </c>
      <c r="D36" s="46" t="n">
        <f aca="false">SUM(D29:D35)</f>
        <v>1</v>
      </c>
      <c r="E36" s="46" t="n">
        <f aca="false">SUM(E29:E35)</f>
        <v>1</v>
      </c>
      <c r="F36" s="46" t="n">
        <f aca="false">SUM(F29:F35)</f>
        <v>1</v>
      </c>
      <c r="G36" s="46" t="n">
        <f aca="false">SUM(G29:G35)</f>
        <v>1</v>
      </c>
      <c r="H36" s="46" t="n">
        <f aca="false">SUM(H29:H35)</f>
        <v>1</v>
      </c>
    </row>
    <row r="37" customFormat="false" ht="15" hidden="false" customHeight="false" outlineLevel="0" collapsed="false">
      <c r="A37" s="6"/>
      <c r="B37" s="6"/>
      <c r="C37" s="6"/>
      <c r="D37" s="6"/>
      <c r="E37" s="6"/>
      <c r="F37" s="6"/>
      <c r="G37" s="6"/>
      <c r="H37" s="6"/>
    </row>
    <row r="38" customFormat="false" ht="15" hidden="false" customHeight="false" outlineLevel="0" collapsed="false">
      <c r="A38" s="6"/>
      <c r="B38" s="20" t="s">
        <v>170</v>
      </c>
      <c r="C38" s="9"/>
      <c r="D38" s="9"/>
      <c r="E38" s="9"/>
      <c r="F38" s="9"/>
      <c r="G38" s="9"/>
      <c r="H38" s="9"/>
    </row>
    <row r="39" customFormat="false" ht="15" hidden="false" customHeight="false" outlineLevel="0" collapsed="false">
      <c r="A39" s="6"/>
      <c r="B39" s="28" t="s">
        <v>171</v>
      </c>
      <c r="C39" s="33" t="n">
        <f aca="false">IF(CT_SAFE1_Shares=0,0,SAFE1_Amount/CT_SAFE1_Shares)</f>
        <v>0.675</v>
      </c>
      <c r="D39" s="33" t="n">
        <f aca="false">IF(CT_SAFE1_Shares=0,0,SAFE1_Amount/CT_SAFE1_Shares)</f>
        <v>0.675</v>
      </c>
      <c r="E39" s="33" t="n">
        <f aca="false">IF(CT_SAFE1_Shares=0,0,SAFE1_Amount/CT_SAFE1_Shares)</f>
        <v>0.675</v>
      </c>
      <c r="F39" s="33" t="n">
        <f aca="false">IF(CT_SAFE1_Shares=0,0,SAFE1_Amount/CT_SAFE1_Shares)</f>
        <v>0.675</v>
      </c>
      <c r="G39" s="33" t="n">
        <f aca="false">IF(CT_SAFE1_Shares=0,0,SAFE1_Amount/CT_SAFE1_Shares)</f>
        <v>0.675</v>
      </c>
      <c r="H39" s="33" t="n">
        <f aca="false">IF(CT_SAFE1_Shares=0,0,SAFE1_Amount/CT_SAFE1_Shares)</f>
        <v>0.675</v>
      </c>
    </row>
    <row r="40" customFormat="false" ht="15" hidden="false" customHeight="false" outlineLevel="0" collapsed="false">
      <c r="A40" s="6"/>
      <c r="B40" s="28" t="s">
        <v>172</v>
      </c>
      <c r="C40" s="33" t="n">
        <f aca="false">IF(CT_SAFE2_Shares=0,0,SAFE2_Amount/CT_SAFE2_Shares)</f>
        <v>0.54</v>
      </c>
      <c r="D40" s="33" t="n">
        <f aca="false">IF(CT_SAFE2_Shares=0,0,SAFE2_Amount/CT_SAFE2_Shares)</f>
        <v>0.54</v>
      </c>
      <c r="E40" s="33" t="n">
        <f aca="false">IF(CT_SAFE2_Shares=0,0,SAFE2_Amount/CT_SAFE2_Shares)</f>
        <v>0.54</v>
      </c>
      <c r="F40" s="33" t="n">
        <f aca="false">IF(CT_SAFE2_Shares=0,0,SAFE2_Amount/CT_SAFE2_Shares)</f>
        <v>0.54</v>
      </c>
      <c r="G40" s="33" t="n">
        <f aca="false">IF(CT_SAFE2_Shares=0,0,SAFE2_Amount/CT_SAFE2_Shares)</f>
        <v>0.54</v>
      </c>
      <c r="H40" s="33" t="n">
        <f aca="false">IF(CT_SAFE2_Shares=0,0,SAFE2_Amount/CT_SAFE2_Shares)</f>
        <v>0.54</v>
      </c>
    </row>
    <row r="41" customFormat="false" ht="15" hidden="false" customHeight="false" outlineLevel="0" collapsed="false">
      <c r="A41" s="6"/>
      <c r="B41" s="28" t="s">
        <v>173</v>
      </c>
      <c r="C41" s="33" t="n">
        <f aca="false">IF(CT_CN_Shares=0,0,CN_Principal/CT_CN_Shares)</f>
        <v>0.577981651376147</v>
      </c>
      <c r="D41" s="33" t="n">
        <f aca="false">IF(CT_CN_Shares=0,0,CN_Principal/CT_CN_Shares)</f>
        <v>0.577981651376147</v>
      </c>
      <c r="E41" s="33" t="n">
        <f aca="false">IF(CT_CN_Shares=0,0,CN_Principal/CT_CN_Shares)</f>
        <v>0.577981651376147</v>
      </c>
      <c r="F41" s="33" t="n">
        <f aca="false">IF(CT_CN_Shares=0,0,CN_Principal/CT_CN_Shares)</f>
        <v>0.577981651376147</v>
      </c>
      <c r="G41" s="33" t="n">
        <f aca="false">IF(CT_CN_Shares=0,0,CN_Principal/CT_CN_Shares)</f>
        <v>0.577981651376147</v>
      </c>
      <c r="H41" s="33" t="n">
        <f aca="false">IF(CT_CN_Shares=0,0,CN_Principal/CT_CN_Shares)</f>
        <v>0.577981651376147</v>
      </c>
    </row>
    <row r="42" customFormat="false" ht="15" hidden="false" customHeight="false" outlineLevel="0" collapsed="false">
      <c r="A42" s="6"/>
      <c r="B42" s="28" t="s">
        <v>174</v>
      </c>
      <c r="C42" s="33" t="n">
        <f aca="false">CT_PPS</f>
        <v>1.38631769780575</v>
      </c>
      <c r="D42" s="33" t="n">
        <f aca="false">CT_PPS</f>
        <v>1.38631769780575</v>
      </c>
      <c r="E42" s="33" t="n">
        <f aca="false">CT_PPS</f>
        <v>1.38631769780575</v>
      </c>
      <c r="F42" s="33" t="n">
        <f aca="false">CT_PPS</f>
        <v>1.38631769780575</v>
      </c>
      <c r="G42" s="33" t="n">
        <f aca="false">CT_PPS</f>
        <v>1.38631769780575</v>
      </c>
      <c r="H42" s="33" t="n">
        <f aca="false">CT_PPS</f>
        <v>1.38631769780575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40"/>
    <col collapsed="false" customWidth="true" hidden="false" outlineLevel="0" max="4" min="3" style="0" width="20"/>
  </cols>
  <sheetData>
    <row r="1" customFormat="false" ht="15" hidden="false" customHeight="false" outlineLevel="0" collapsed="false">
      <c r="A1" s="1"/>
      <c r="B1" s="1"/>
      <c r="C1" s="1"/>
      <c r="D1" s="1"/>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175</v>
      </c>
      <c r="C2" s="1"/>
      <c r="D2" s="1"/>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176</v>
      </c>
      <c r="C3" s="1"/>
      <c r="D3" s="1"/>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row>
    <row r="5" customFormat="false" ht="15" hidden="false" customHeight="false" outlineLevel="0" collapsed="false">
      <c r="A5" s="6"/>
      <c r="B5" s="19" t="s">
        <v>177</v>
      </c>
      <c r="C5" s="19" t="s">
        <v>37</v>
      </c>
      <c r="D5" s="19" t="s">
        <v>178</v>
      </c>
    </row>
    <row r="6" customFormat="false" ht="15" hidden="false" customHeight="false" outlineLevel="0" collapsed="false">
      <c r="A6" s="6"/>
      <c r="B6" s="20" t="s">
        <v>179</v>
      </c>
      <c r="C6" s="9"/>
      <c r="D6" s="9"/>
    </row>
    <row r="7" customFormat="false" ht="15" hidden="false" customHeight="false" outlineLevel="0" collapsed="false">
      <c r="A7" s="6"/>
      <c r="B7" s="41" t="s">
        <v>180</v>
      </c>
      <c r="C7" s="43" t="n">
        <f aca="false">Cap_Table!H22</f>
        <v>1</v>
      </c>
      <c r="D7" s="6"/>
    </row>
    <row r="8" customFormat="false" ht="15" hidden="false" customHeight="false" outlineLevel="0" collapsed="false">
      <c r="A8" s="6"/>
      <c r="B8" s="41" t="s">
        <v>181</v>
      </c>
      <c r="C8" s="48" t="str">
        <f aca="false">IF(ABS(C7-1)&lt;0.001,"PASS","FAIL")</f>
        <v>PASS</v>
      </c>
      <c r="D8" s="6"/>
    </row>
    <row r="9" customFormat="false" ht="15" hidden="false" customHeight="false" outlineLevel="0" collapsed="false">
      <c r="A9" s="6"/>
      <c r="B9" s="6"/>
      <c r="C9" s="6"/>
      <c r="D9" s="6"/>
    </row>
    <row r="10" customFormat="false" ht="15" hidden="false" customHeight="false" outlineLevel="0" collapsed="false">
      <c r="A10" s="6"/>
      <c r="B10" s="20" t="s">
        <v>182</v>
      </c>
      <c r="C10" s="9"/>
      <c r="D10" s="9"/>
    </row>
    <row r="11" customFormat="false" ht="15" hidden="false" customHeight="false" outlineLevel="0" collapsed="false">
      <c r="A11" s="6"/>
      <c r="B11" s="41" t="s">
        <v>183</v>
      </c>
      <c r="C11" s="49" t="n">
        <f aca="false">Waterfall!C32</f>
        <v>0</v>
      </c>
      <c r="D11" s="6"/>
    </row>
    <row r="12" customFormat="false" ht="15" hidden="false" customHeight="false" outlineLevel="0" collapsed="false">
      <c r="A12" s="6"/>
      <c r="B12" s="41" t="s">
        <v>184</v>
      </c>
      <c r="C12" s="48" t="str">
        <f aca="false">IF(AND(ABS(Waterfall!C32)&lt;1,ABS(Waterfall!D32)&lt;1,ABS(Waterfall!E32)&lt;1,ABS(Waterfall!F32)&lt;1,ABS(Waterfall!G32)&lt;1,ABS(Waterfall!H32)&lt;1),"PASS","FAIL")</f>
        <v>PASS</v>
      </c>
      <c r="D12" s="6"/>
    </row>
    <row r="13" customFormat="false" ht="15" hidden="false" customHeight="false" outlineLevel="0" collapsed="false">
      <c r="A13" s="6"/>
      <c r="B13" s="6"/>
      <c r="C13" s="6"/>
      <c r="D13" s="6"/>
    </row>
    <row r="14" customFormat="false" ht="15" hidden="false" customHeight="false" outlineLevel="0" collapsed="false">
      <c r="A14" s="6"/>
      <c r="B14" s="20" t="s">
        <v>185</v>
      </c>
      <c r="C14" s="9"/>
      <c r="D14" s="9"/>
    </row>
    <row r="15" customFormat="false" ht="15" hidden="false" customHeight="false" outlineLevel="0" collapsed="false">
      <c r="A15" s="6"/>
      <c r="B15" s="41" t="s">
        <v>186</v>
      </c>
      <c r="C15" s="42" t="n">
        <f aca="false">Instrument_Schedule!C33-Cap_Table!E18</f>
        <v>0</v>
      </c>
      <c r="D15" s="6"/>
    </row>
    <row r="16" customFormat="false" ht="15" hidden="false" customHeight="false" outlineLevel="0" collapsed="false">
      <c r="A16" s="6"/>
      <c r="B16" s="41" t="s">
        <v>187</v>
      </c>
      <c r="C16" s="48" t="str">
        <f aca="false">IF(ABS(C15)&lt;1,"PASS","FAIL")</f>
        <v>PASS</v>
      </c>
      <c r="D16" s="6"/>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56" t="s">
        <v>188</v>
      </c>
    </row>
    <row r="3" customFormat="false" ht="3.75" hidden="false" customHeight="true" outlineLevel="0" collapsed="false">
      <c r="B3" s="57"/>
    </row>
    <row r="5" customFormat="false" ht="19.5" hidden="false" customHeight="true" outlineLevel="0" collapsed="false">
      <c r="B5" s="58" t="s">
        <v>189</v>
      </c>
    </row>
    <row r="6" customFormat="false" ht="48" hidden="false" customHeight="true" outlineLevel="0" collapsed="false">
      <c r="B6" s="59" t="s">
        <v>190</v>
      </c>
    </row>
    <row r="8" customFormat="false" ht="19.5" hidden="false" customHeight="true" outlineLevel="0" collapsed="false">
      <c r="B8" s="58" t="s">
        <v>191</v>
      </c>
    </row>
    <row r="9" customFormat="false" ht="61.5" hidden="false" customHeight="true" outlineLevel="0" collapsed="false">
      <c r="B9" s="59" t="s">
        <v>192</v>
      </c>
    </row>
    <row r="11" customFormat="false" ht="19.5" hidden="false" customHeight="true" outlineLevel="0" collapsed="false">
      <c r="B11" s="58" t="s">
        <v>193</v>
      </c>
    </row>
    <row r="12" customFormat="false" ht="75.75" hidden="false" customHeight="true" outlineLevel="0" collapsed="false">
      <c r="B12" s="59" t="s">
        <v>194</v>
      </c>
    </row>
    <row r="14" customFormat="false" ht="19.5" hidden="false" customHeight="true" outlineLevel="0" collapsed="false">
      <c r="B14" s="58" t="s">
        <v>195</v>
      </c>
    </row>
    <row r="15" customFormat="false" ht="61.5" hidden="false" customHeight="true" outlineLevel="0" collapsed="false">
      <c r="B15" s="59" t="s">
        <v>196</v>
      </c>
    </row>
    <row r="17" customFormat="false" ht="19.5" hidden="false" customHeight="true" outlineLevel="0" collapsed="false">
      <c r="B17" s="58" t="s">
        <v>197</v>
      </c>
    </row>
    <row r="18" customFormat="false" ht="33.75" hidden="false" customHeight="true" outlineLevel="0" collapsed="false">
      <c r="B18" s="59" t="s">
        <v>198</v>
      </c>
    </row>
    <row r="20" customFormat="false" ht="19.5" hidden="false" customHeight="true" outlineLevel="0" collapsed="false">
      <c r="B20" s="58" t="s">
        <v>199</v>
      </c>
    </row>
    <row r="21" customFormat="false" ht="33.75" hidden="false" customHeight="true" outlineLevel="0" collapsed="false">
      <c r="B21" s="59" t="s">
        <v>200</v>
      </c>
    </row>
    <row r="23" customFormat="false" ht="21.75" hidden="false" customHeight="true" outlineLevel="0" collapsed="false">
      <c r="B23" s="60" t="s">
        <v>201</v>
      </c>
    </row>
    <row r="25" customFormat="false" ht="18" hidden="false" customHeight="true" outlineLevel="0" collapsed="false">
      <c r="B25" s="61" t="s">
        <v>202</v>
      </c>
    </row>
    <row r="26" customFormat="false" ht="201.75" hidden="false" customHeight="true" outlineLevel="0" collapsed="false">
      <c r="B26" s="62" t="s">
        <v>203</v>
      </c>
    </row>
    <row r="28" customFormat="false" ht="18" hidden="false" customHeight="true" outlineLevel="0" collapsed="false">
      <c r="B28" s="63" t="s">
        <v>204</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2026-05-15T18:52:57Z</dcterms:created>
  <dc:creator>openpyxl</dc:creator>
  <dc:description/>
  <dc:language>en-GB</dc:language>
  <cp:lastModifiedBy/>
  <dcterms:modified xsi:type="dcterms:W3CDTF">2026-05-15T18:52:57Z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