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Disclaimer" sheetId="3" state="visible" r:id="rId5"/>
    <sheet name="Portfolio_Schedule" sheetId="4" state="visible" r:id="rId6"/>
    <sheet name="Tranche_Schedule" sheetId="5" state="visible" r:id="rId7"/>
    <sheet name="Waterfall" sheetId="6" state="visible" r:id="rId8"/>
    <sheet name="Returns" sheetId="7" state="visible" r:id="rId9"/>
    <sheet name="Checks" sheetId="8" state="visible" r:id="rId10"/>
  </sheets>
  <definedNames>
    <definedName function="false" hidden="false" name="Admin_Fee_Rate" vbProcedure="false">Assumptions!$C$48</definedName>
    <definedName function="false" hidden="false" name="Amort_Rate" vbProcedure="false">Assumptions!$C$17</definedName>
    <definedName function="false" hidden="false" name="Base_Rate" vbProcedure="false">Assumptions!$C$9</definedName>
    <definedName function="false" hidden="false" name="Deal_Tenor" vbProcedure="false">Assumptions!$C$8</definedName>
    <definedName function="false" hidden="false" name="Default_Rate" vbProcedure="false">Assumptions!$C$15</definedName>
    <definedName function="false" hidden="false" name="EQ_Size" vbProcedure="false">Assumptions!$C$44</definedName>
    <definedName function="false" hidden="false" name="MA_IC_Trigger" vbProcedure="false">Assumptions!$C$29</definedName>
    <definedName function="false" hidden="false" name="MA_OC_Trigger" vbProcedure="false">Assumptions!$C$28</definedName>
    <definedName function="false" hidden="false" name="MA_Size" vbProcedure="false">Assumptions!$C$26</definedName>
    <definedName function="false" hidden="false" name="MA_Spread" vbProcedure="false">Assumptions!$C$27</definedName>
    <definedName function="false" hidden="false" name="MB_IC_Trigger" vbProcedure="false">Assumptions!$C$35</definedName>
    <definedName function="false" hidden="false" name="MB_OC_Trigger" vbProcedure="false">Assumptions!$C$34</definedName>
    <definedName function="false" hidden="false" name="MB_Size" vbProcedure="false">Assumptions!$C$32</definedName>
    <definedName function="false" hidden="false" name="MB_Spread" vbProcedure="false">Assumptions!$C$33</definedName>
    <definedName function="false" hidden="false" name="MC_IC_Trigger" vbProcedure="false">Assumptions!$C$41</definedName>
    <definedName function="false" hidden="false" name="MC_OC_Trigger" vbProcedure="false">Assumptions!$C$40</definedName>
    <definedName function="false" hidden="false" name="MC_Size" vbProcedure="false">Assumptions!$C$38</definedName>
    <definedName function="false" hidden="false" name="MC_Spread" vbProcedure="false">Assumptions!$C$39</definedName>
    <definedName function="false" hidden="false" name="Portfolio_Par" vbProcedure="false">Assumptions!$C$13</definedName>
    <definedName function="false" hidden="false" name="PS_Closing_Par" vbProcedure="false">Portfolio_Schedule!$C$15:$J$15</definedName>
    <definedName function="false" hidden="false" name="PS_Gross_Default" vbProcedure="false">Portfolio_Schedule!$C$10:$J$10</definedName>
    <definedName function="false" hidden="false" name="PS_Int_Income" vbProcedure="false">Portfolio_Schedule!$C$19:$J$19</definedName>
    <definedName function="false" hidden="false" name="PS_Net_Loss" vbProcedure="false">Portfolio_Schedule!$C$12:$J$12</definedName>
    <definedName function="false" hidden="false" name="PS_Opening_Par" vbProcedure="false">Portfolio_Schedule!$C$9:$J$9</definedName>
    <definedName function="false" hidden="false" name="PS_Recoveries" vbProcedure="false">Portfolio_Schedule!$C$11:$J$11</definedName>
    <definedName function="false" hidden="false" name="PS_Total_Princ" vbProcedure="false">Portfolio_Schedule!$C$24:$J$24</definedName>
    <definedName function="false" hidden="false" name="Recovery_Rate" vbProcedure="false">Assumptions!$C$16</definedName>
    <definedName function="false" hidden="false" name="Reinvest_End" vbProcedure="false">Assumptions!$C$10</definedName>
    <definedName function="false" hidden="false" name="RET_Cum_Dist" vbProcedure="false">Returns!$C$14:$K$14</definedName>
    <definedName function="false" hidden="false" name="RET_IRR" vbProcedure="false">Returns!$C$18:$K$18</definedName>
    <definedName function="false" hidden="false" name="RET_MOIC" vbProcedure="false">Returns!$C$15:$K$15</definedName>
    <definedName function="false" hidden="false" name="RET_Net_CF" vbProcedure="false">Returns!$C$11:$K$11</definedName>
    <definedName function="false" hidden="false" name="SR_IC_Trigger" vbProcedure="false">Assumptions!$C$23</definedName>
    <definedName function="false" hidden="false" name="Sr_Mgmt_Fee_Rate" vbProcedure="false">Assumptions!$C$49</definedName>
    <definedName function="false" hidden="false" name="SR_OC_Trigger" vbProcedure="false">Assumptions!$C$22</definedName>
    <definedName function="false" hidden="false" name="SR_Size" vbProcedure="false">Assumptions!$C$20</definedName>
    <definedName function="false" hidden="false" name="SR_Spread" vbProcedure="false">Assumptions!$C$21</definedName>
    <definedName function="false" hidden="false" name="Sub_Mgmt_Fee_Rate" vbProcedure="false">Assumptions!$C$50</definedName>
    <definedName function="false" hidden="false" name="Trustee_Fee_Rate" vbProcedure="false">Assumptions!$C$47</definedName>
    <definedName function="false" hidden="false" name="TS_MA_Closing" vbProcedure="false">Tranche_Schedule!$C$17:$J$17</definedName>
    <definedName function="false" hidden="false" name="TS_MA_IC" vbProcedure="false">Tranche_Schedule!$C$45:$J$45</definedName>
    <definedName function="false" hidden="false" name="TS_MA_Interest" vbProcedure="false">Tranche_Schedule!$C$18:$J$18</definedName>
    <definedName function="false" hidden="false" name="TS_MA_OC" vbProcedure="false">Tranche_Schedule!$C$39:$J$39</definedName>
    <definedName function="false" hidden="false" name="TS_MA_OC_Pass" vbProcedure="false">Tranche_Schedule!$C$51:$J$51</definedName>
    <definedName function="false" hidden="false" name="TS_MA_Opening" vbProcedure="false">Tranche_Schedule!$C$15:$J$15</definedName>
    <definedName function="false" hidden="false" name="TS_MA_Paydown" vbProcedure="false">Tranche_Schedule!$C$16:$J$16</definedName>
    <definedName function="false" hidden="false" name="TS_MB_Closing" vbProcedure="false">Tranche_Schedule!$C$23:$J$23</definedName>
    <definedName function="false" hidden="false" name="TS_MB_IC" vbProcedure="false">Tranche_Schedule!$C$46:$J$46</definedName>
    <definedName function="false" hidden="false" name="TS_MB_Interest" vbProcedure="false">Tranche_Schedule!$C$24:$J$24</definedName>
    <definedName function="false" hidden="false" name="TS_MB_OC" vbProcedure="false">Tranche_Schedule!$C$40:$J$40</definedName>
    <definedName function="false" hidden="false" name="TS_MB_OC_Pass" vbProcedure="false">Tranche_Schedule!$C$52:$J$52</definedName>
    <definedName function="false" hidden="false" name="TS_MB_Opening" vbProcedure="false">Tranche_Schedule!$C$21:$J$21</definedName>
    <definedName function="false" hidden="false" name="TS_MB_Paydown" vbProcedure="false">Tranche_Schedule!$C$22:$J$22</definedName>
    <definedName function="false" hidden="false" name="TS_MC_Closing" vbProcedure="false">Tranche_Schedule!$C$29:$J$29</definedName>
    <definedName function="false" hidden="false" name="TS_MC_IC" vbProcedure="false">Tranche_Schedule!$C$47:$J$47</definedName>
    <definedName function="false" hidden="false" name="TS_MC_Interest" vbProcedure="false">Tranche_Schedule!$C$30:$J$30</definedName>
    <definedName function="false" hidden="false" name="TS_MC_OC" vbProcedure="false">Tranche_Schedule!$C$41:$J$41</definedName>
    <definedName function="false" hidden="false" name="TS_MC_OC_Pass" vbProcedure="false">Tranche_Schedule!$C$53:$J$53</definedName>
    <definedName function="false" hidden="false" name="TS_MC_Opening" vbProcedure="false">Tranche_Schedule!$C$27:$J$27</definedName>
    <definedName function="false" hidden="false" name="TS_MC_Paydown" vbProcedure="false">Tranche_Schedule!$C$28:$J$28</definedName>
    <definedName function="false" hidden="false" name="TS_SR_Closing" vbProcedure="false">Tranche_Schedule!$C$11:$J$11</definedName>
    <definedName function="false" hidden="false" name="TS_SR_IC" vbProcedure="false">Tranche_Schedule!$C$44:$J$44</definedName>
    <definedName function="false" hidden="false" name="TS_SR_Interest" vbProcedure="false">Tranche_Schedule!$C$12:$J$12</definedName>
    <definedName function="false" hidden="false" name="TS_SR_OC" vbProcedure="false">Tranche_Schedule!$C$38:$J$38</definedName>
    <definedName function="false" hidden="false" name="TS_SR_OC_Pass" vbProcedure="false">Tranche_Schedule!$C$50:$J$50</definedName>
    <definedName function="false" hidden="false" name="TS_SR_Opening" vbProcedure="false">Tranche_Schedule!$C$9:$J$9</definedName>
    <definedName function="false" hidden="false" name="TS_SR_Paydown" vbProcedure="false">Tranche_Schedule!$C$10:$J$10</definedName>
    <definedName function="false" hidden="false" name="TS_Total_Interest" vbProcedure="false">Tranche_Schedule!$C$34:$J$34</definedName>
    <definedName function="false" hidden="false" name="TS_Total_Notes" vbProcedure="false">Tranche_Schedule!$C$33:$J$33</definedName>
    <definedName function="false" hidden="false" name="TS_Total_Paydown" vbProcedure="false">Tranche_Schedule!$C$35:$J$35</definedName>
    <definedName function="false" hidden="false" name="WAC_Spread" vbProcedure="false">Assumptions!$C$14</definedName>
    <definedName function="false" hidden="false" name="WF_Eq_Dist" vbProcedure="false">Waterfall!$C$38:$J$38</definedName>
    <definedName function="false" hidden="false" name="WF_Excess_Spread" vbProcedure="false">Waterfall!$C$47:$J$47</definedName>
    <definedName function="false" hidden="false" name="WF_Leak_Check" vbProcedure="false">Waterfall!$C$45:$J$45</definedName>
    <definedName function="false" hidden="false" name="WF_Total_Fees" vbProcedure="false">Waterfall!$C$41:$J$41</definedName>
    <definedName function="false" hidden="false" name="WF_Total_Interest" vbProcedure="false">Waterfall!$C$42:$J$42</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<sst xmlns="http://schemas.openxmlformats.org/spreadsheetml/2006/main" count="298" uniqueCount="222">
  <si>
    <t xml:space="preserve">Credit Portfolio / CDO Model</t>
  </si>
  <si>
    <t xml:space="preserve">FINAMODEL.com</t>
  </si>
  <si>
    <t xml:space="preserve">Cash Flow Waterfall</t>
  </si>
  <si>
    <t xml:space="preserve">Sheet Index</t>
  </si>
  <si>
    <t xml:space="preserve">Cover</t>
  </si>
  <si>
    <t xml:space="preserve">Title and navigation</t>
  </si>
  <si>
    <t xml:space="preserve">Assumptions</t>
  </si>
  <si>
    <t xml:space="preserve">Key model parameters</t>
  </si>
  <si>
    <t xml:space="preserve">Portfolio_Schedule</t>
  </si>
  <si>
    <t xml:space="preserve">Collateral pool roll-forward</t>
  </si>
  <si>
    <t xml:space="preserve">Tranche_Schedule</t>
  </si>
  <si>
    <t xml:space="preserve">Note balances and interest</t>
  </si>
  <si>
    <t xml:space="preserve">Waterfall</t>
  </si>
  <si>
    <t xml:space="preserve">Priority of payments</t>
  </si>
  <si>
    <t xml:space="preserve">Returns</t>
  </si>
  <si>
    <t xml:space="preserve">Equity IRR, MOIC, distributions</t>
  </si>
  <si>
    <t xml:space="preserve">Checks</t>
  </si>
  <si>
    <t xml:space="preserve">Validation and compliance</t>
  </si>
  <si>
    <t xml:space="preserve">Tab Colour Legend</t>
  </si>
  <si>
    <t xml:space="preserve">Dark Blue</t>
  </si>
  <si>
    <t xml:space="preserve">Light Blue</t>
  </si>
  <si>
    <t xml:space="preserve">Assumptions / Inputs</t>
  </si>
  <si>
    <t xml:space="preserve">Green</t>
  </si>
  <si>
    <t xml:space="preserve">Asset schedules</t>
  </si>
  <si>
    <t xml:space="preserve">Orange</t>
  </si>
  <si>
    <t xml:space="preserve">Liability schedules</t>
  </si>
  <si>
    <t xml:space="preserve">Grey</t>
  </si>
  <si>
    <t xml:space="preserve">Summary / output sheets</t>
  </si>
  <si>
    <t xml:space="preserve">Red</t>
  </si>
  <si>
    <t xml:space="preserve">Risk and return analysis</t>
  </si>
  <si>
    <t xml:space="preserve">About this model</t>
  </si>
  <si>
    <t xml:space="preserve">This credit portfolio CDO (Collateralised Debt Obligation) model structures a $500M diversified corporate loan portfolio into senior, mezzanine, and equity tranches, calculates interest cash flow waterfalls, and projects returns for each tranche under base and stress scenarios. It includes default assumptions (1.5â3% annual CDR), recovery rates (60â75% for senior loans), and reinvestment mechanics during the ramp-up period. The model generates interest income from the collateral pool (weighted average coupon 5.5â7.0%), pays management fees, senior-to-equity interest coupons, and equity residual distributions via a priority waterfall. Overcollateralisation (OC) and interest coverage (IC) test triggers divert excess cash to note paydown if the portfolio deteriorates.
The model includes a portfolio schedule showing performing par, defaults, recoveries, reinvestment, and closing par; a tranche schedule showing note balances, interest expense per tranche, and principal paydowns; and a waterfall section implementing the priority cascade: trustee fees â senior interest â OC/IC tests â mezzanine tranches (A, B, C in order) â equity residual. Returns sheets calculate equity IRR, MOIC, cumulative distributions, and DPI/RVPI metrics. Output includes covenant compliance flags, detailed loss analysis, and equity cash flow sensitivity to default rate and recovery rate.
This model is used by CLO managers building and monitoring credit portfolios; rating agencies evaluating portfolio credit quality and tranche sizing; and equity investors assessing expected returns and downside risk. It addresses the complex priority of payments and covenant mechanics that make CDOs fundamentally different from linear loan models.</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</si>
  <si>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</si>
  <si>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</si>
  <si>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</si>
  <si>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</si>
  <si>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Key Parameters</t>
  </si>
  <si>
    <t xml:space="preserve">Parameter</t>
  </si>
  <si>
    <t xml:space="preserve">Value</t>
  </si>
  <si>
    <t xml:space="preserve">Unit</t>
  </si>
  <si>
    <t xml:space="preserve">Notes</t>
  </si>
  <si>
    <t xml:space="preserve">General</t>
  </si>
  <si>
    <t xml:space="preserve">Deal Tenor</t>
  </si>
  <si>
    <t xml:space="preserve">years</t>
  </si>
  <si>
    <t xml:space="preserve">Total deal life</t>
  </si>
  <si>
    <t xml:space="preserve">Base Rate (SOFR)</t>
  </si>
  <si>
    <t xml:space="preserve">%</t>
  </si>
  <si>
    <t xml:space="preserve">Current SOFR</t>
  </si>
  <si>
    <t xml:space="preserve">Reinvestment Period End</t>
  </si>
  <si>
    <t xml:space="preserve">year</t>
  </si>
  <si>
    <t xml:space="preserve">Reinvestment ends after Y5</t>
  </si>
  <si>
    <t xml:space="preserve">Collateral Portfolio</t>
  </si>
  <si>
    <t xml:space="preserve">Portfolio Par Value</t>
  </si>
  <si>
    <t xml:space="preserve">$M</t>
  </si>
  <si>
    <t xml:space="preserve">Total collateral pool</t>
  </si>
  <si>
    <t xml:space="preserve">Weighted Avg Spread</t>
  </si>
  <si>
    <t xml:space="preserve">Over base rate</t>
  </si>
  <si>
    <t xml:space="preserve">Annual Default Rate</t>
  </si>
  <si>
    <t xml:space="preserve">Through-the-cycle</t>
  </si>
  <si>
    <t xml:space="preserve">Recovery Rate</t>
  </si>
  <si>
    <t xml:space="preserve">Senior secured loans</t>
  </si>
  <si>
    <t xml:space="preserve">Amortisation Rate</t>
  </si>
  <si>
    <t xml:space="preserve">Post-reinvestment annual</t>
  </si>
  <si>
    <t xml:space="preserve">Senior Notes (AAA)</t>
  </si>
  <si>
    <t xml:space="preserve">Senior Note Size</t>
  </si>
  <si>
    <t xml:space="preserve">63% of capital structure</t>
  </si>
  <si>
    <t xml:space="preserve">Senior Spread</t>
  </si>
  <si>
    <t xml:space="preserve">Senior OC Trigger</t>
  </si>
  <si>
    <t xml:space="preserve">x</t>
  </si>
  <si>
    <t xml:space="preserve">Min OC ratio</t>
  </si>
  <si>
    <t xml:space="preserve">Senior IC Trigger</t>
  </si>
  <si>
    <t xml:space="preserve">Min IC ratio</t>
  </si>
  <si>
    <t xml:space="preserve">Mezzanine A (AA)</t>
  </si>
  <si>
    <t xml:space="preserve">Mezz A Note Size</t>
  </si>
  <si>
    <t xml:space="preserve">11% of capital structure</t>
  </si>
  <si>
    <t xml:space="preserve">Mezz A Spread</t>
  </si>
  <si>
    <t xml:space="preserve">Mezz A OC Trigger</t>
  </si>
  <si>
    <t xml:space="preserve">Mezz A IC Trigger</t>
  </si>
  <si>
    <t xml:space="preserve">Mezzanine B (A)</t>
  </si>
  <si>
    <t xml:space="preserve">Mezz B Note Size</t>
  </si>
  <si>
    <t xml:space="preserve">9% of capital structure</t>
  </si>
  <si>
    <t xml:space="preserve">Mezz B Spread</t>
  </si>
  <si>
    <t xml:space="preserve">Mezz B OC Trigger</t>
  </si>
  <si>
    <t xml:space="preserve">Mezz B IC Trigger</t>
  </si>
  <si>
    <t xml:space="preserve">Mezzanine C (BBB)</t>
  </si>
  <si>
    <t xml:space="preserve">Mezz C Note Size</t>
  </si>
  <si>
    <t xml:space="preserve">7% of capital structure</t>
  </si>
  <si>
    <t xml:space="preserve">Mezz C Spread</t>
  </si>
  <si>
    <t xml:space="preserve">Mezz C OC Trigger</t>
  </si>
  <si>
    <t xml:space="preserve">Mezz C IC Trigger</t>
  </si>
  <si>
    <t xml:space="preserve">Equity Tranche</t>
  </si>
  <si>
    <t xml:space="preserve">Equity Size</t>
  </si>
  <si>
    <t xml:space="preserve">10% of capital structure</t>
  </si>
  <si>
    <t xml:space="preserve">Fees &amp; Expenses</t>
  </si>
  <si>
    <t xml:space="preserve">Trustee Fee</t>
  </si>
  <si>
    <t xml:space="preserve">On portfolio par p.a.</t>
  </si>
  <si>
    <t xml:space="preserve">Admin &amp; Legal Fee</t>
  </si>
  <si>
    <t xml:space="preserve">Senior Mgmt Fee</t>
  </si>
  <si>
    <t xml:space="preserve">Sub Mgmt Fee</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</si>
  <si>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</si>
  <si>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</si>
  <si>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</si>
  <si>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</si>
  <si>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</si>
  <si>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</si>
  <si>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</si>
  <si>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</si>
  <si>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</si>
  <si>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</si>
  <si>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</si>
  <si>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</si>
  <si>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</si>
  <si>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</si>
  <si>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</si>
  <si>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</si>
  <si>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</si>
  <si>
    <t xml:space="preserve">Portfolio Schedule</t>
  </si>
  <si>
    <t xml:space="preserve">Collateral Pool</t>
  </si>
  <si>
    <t xml:space="preserve">Year</t>
  </si>
  <si>
    <t xml:space="preserve">Period</t>
  </si>
  <si>
    <t xml:space="preserve">Par Roll-Forward</t>
  </si>
  <si>
    <t xml:space="preserve">Opening Par</t>
  </si>
  <si>
    <t xml:space="preserve">Gross Defaults</t>
  </si>
  <si>
    <t xml:space="preserve">Recoveries</t>
  </si>
  <si>
    <t xml:space="preserve">Net Credit Loss</t>
  </si>
  <si>
    <t xml:space="preserve">Scheduled Amortisation</t>
  </si>
  <si>
    <t xml:space="preserve">CLOSING PAR</t>
  </si>
  <si>
    <t xml:space="preserve">Interest Income</t>
  </si>
  <si>
    <t xml:space="preserve">All-In Coupon</t>
  </si>
  <si>
    <t xml:space="preserve">Principal Proceeds</t>
  </si>
  <si>
    <t xml:space="preserve">From Amortisation</t>
  </si>
  <si>
    <t xml:space="preserve">From Recoveries</t>
  </si>
  <si>
    <t xml:space="preserve">Total Principal Proceeds</t>
  </si>
  <si>
    <t xml:space="preserve">Tranche Schedule</t>
  </si>
  <si>
    <t xml:space="preserve">Note Balances</t>
  </si>
  <si>
    <t xml:space="preserve">Opening Balance</t>
  </si>
  <si>
    <t xml:space="preserve">Principal Paydown</t>
  </si>
  <si>
    <t xml:space="preserve">Closing Balance</t>
  </si>
  <si>
    <t xml:space="preserve">Interest Expense</t>
  </si>
  <si>
    <t xml:space="preserve">Totals</t>
  </si>
  <si>
    <t xml:space="preserve">TOTAL NOTES OUTSTANDING</t>
  </si>
  <si>
    <t xml:space="preserve">TOTAL INTEREST EXPENSE</t>
  </si>
  <si>
    <t xml:space="preserve">Total Principal Paydowns</t>
  </si>
  <si>
    <t xml:space="preserve">Overcollateralisation Ratios</t>
  </si>
  <si>
    <t xml:space="preserve">Senior OC Ratio</t>
  </si>
  <si>
    <t xml:space="preserve">Mezz A OC Ratio</t>
  </si>
  <si>
    <t xml:space="preserve">Mezz B OC Ratio</t>
  </si>
  <si>
    <t xml:space="preserve">Mezz C OC Ratio</t>
  </si>
  <si>
    <t xml:space="preserve">Interest Coverage Ratios</t>
  </si>
  <si>
    <t xml:space="preserve">Senior IC Ratio</t>
  </si>
  <si>
    <t xml:space="preserve">Mezz A IC Ratio</t>
  </si>
  <si>
    <t xml:space="preserve">Mezz B IC Ratio</t>
  </si>
  <si>
    <t xml:space="preserve">Mezz C IC Ratio</t>
  </si>
  <si>
    <t xml:space="preserve">Compliance Test Results</t>
  </si>
  <si>
    <t xml:space="preserve">Senior OC Test</t>
  </si>
  <si>
    <t xml:space="preserve">Mezz A OC Test</t>
  </si>
  <si>
    <t xml:space="preserve">Mezz B OC Test</t>
  </si>
  <si>
    <t xml:space="preserve">Mezz C OC Test</t>
  </si>
  <si>
    <t xml:space="preserve">Senior IC Test</t>
  </si>
  <si>
    <t xml:space="preserve">Mezz A IC Test</t>
  </si>
  <si>
    <t xml:space="preserve">Mezz B IC Test</t>
  </si>
  <si>
    <t xml:space="preserve">Mezz C IC Test</t>
  </si>
  <si>
    <t xml:space="preserve">Priority of Payments</t>
  </si>
  <si>
    <t xml:space="preserve">Interest Available for Distribution</t>
  </si>
  <si>
    <t xml:space="preserve">Step 1: Trustee &amp; Admin Fees</t>
  </si>
  <si>
    <t xml:space="preserve">After Fees</t>
  </si>
  <si>
    <t xml:space="preserve">Step 2: Senior Interest</t>
  </si>
  <si>
    <t xml:space="preserve">Senior Interest Due</t>
  </si>
  <si>
    <t xml:space="preserve">After Senior Interest</t>
  </si>
  <si>
    <t xml:space="preserve">Step 3: Mezzanine A Interest</t>
  </si>
  <si>
    <t xml:space="preserve">Mezz A Interest Due</t>
  </si>
  <si>
    <t xml:space="preserve">After Mezz A Interest</t>
  </si>
  <si>
    <t xml:space="preserve">Step 4: Mezzanine B Interest</t>
  </si>
  <si>
    <t xml:space="preserve">Mezz B Interest Due</t>
  </si>
  <si>
    <t xml:space="preserve">After Mezz B Interest</t>
  </si>
  <si>
    <t xml:space="preserve">Step 5: Mezzanine C Interest</t>
  </si>
  <si>
    <t xml:space="preserve">Mezz C Interest Due</t>
  </si>
  <si>
    <t xml:space="preserve">After Mezz C Interest</t>
  </si>
  <si>
    <t xml:space="preserve">Step 6: Subordinated Mgmt Fee</t>
  </si>
  <si>
    <t xml:space="preserve">After Sub Mgmt Fee</t>
  </si>
  <si>
    <t xml:space="preserve">Step 7: Equity Residual</t>
  </si>
  <si>
    <t xml:space="preserve">Equity Distribution</t>
  </si>
  <si>
    <t xml:space="preserve">Waterfall Summary</t>
  </si>
  <si>
    <t xml:space="preserve">Total Fees</t>
  </si>
  <si>
    <t xml:space="preserve">Total Interest Paid</t>
  </si>
  <si>
    <t xml:space="preserve">TOTAL OUTFLOWS</t>
  </si>
  <si>
    <t xml:space="preserve">Leak Check (must = 0)</t>
  </si>
  <si>
    <t xml:space="preserve">Excess Spread</t>
  </si>
  <si>
    <t xml:space="preserve">Returns Analysis</t>
  </si>
  <si>
    <t xml:space="preserve">Equity Cash Flows</t>
  </si>
  <si>
    <t xml:space="preserve">Initial Investment</t>
  </si>
  <si>
    <t xml:space="preserve">Interest Distributions</t>
  </si>
  <si>
    <t xml:space="preserve">Principal Return</t>
  </si>
  <si>
    <t xml:space="preserve">Net Cash Flow</t>
  </si>
  <si>
    <t xml:space="preserve">Cumulative Returns</t>
  </si>
  <si>
    <t xml:space="preserve">Cumulative Distributions</t>
  </si>
  <si>
    <t xml:space="preserve">MOIC</t>
  </si>
  <si>
    <t xml:space="preserve">Return Metrics</t>
  </si>
  <si>
    <t xml:space="preserve">Equity IRR</t>
  </si>
  <si>
    <t xml:space="preserve">Final MOIC</t>
  </si>
  <si>
    <t xml:space="preserve">Total Distributions</t>
  </si>
  <si>
    <t xml:space="preserve">Avg Cash Yield</t>
  </si>
  <si>
    <t xml:space="preserve">Model Validation</t>
  </si>
  <si>
    <t xml:space="preserve">Waterfall Integrity</t>
  </si>
  <si>
    <t xml:space="preserve">Leak Check (0 = OK)</t>
  </si>
  <si>
    <t xml:space="preserve">Result</t>
  </si>
  <si>
    <t xml:space="preserve">OC Compliance</t>
  </si>
  <si>
    <t xml:space="preserve">Senior OC Status</t>
  </si>
  <si>
    <t xml:space="preserve">Mezz C OC Status</t>
  </si>
  <si>
    <t xml:space="preserve">IC Compliance</t>
  </si>
  <si>
    <t xml:space="preserve">Senior IC Status</t>
  </si>
  <si>
    <t xml:space="preserve">Portfolio Reconciliation</t>
  </si>
  <si>
    <t xml:space="preserve">Par vs Notes + Equity</t>
  </si>
  <si>
    <t xml:space="preserve">Equity Cushion Status</t>
  </si>
  <si>
    <t xml:space="preserve">Return Sanity</t>
  </si>
  <si>
    <t xml:space="preserve">IRR Sanity (0-30%)</t>
  </si>
  <si>
    <t xml:space="preserve">MOIC Sanity (0-5x)</t>
  </si>
  <si>
    <t xml:space="preserve">Balance Non-Negative</t>
  </si>
  <si>
    <t xml:space="preserve">Senior Balance &gt;= 0</t>
  </si>
  <si>
    <t xml:space="preserve">Mezz A Balance &gt;= 0</t>
  </si>
  <si>
    <t xml:space="preserve">Mezz B Balance &gt;= 0</t>
  </si>
  <si>
    <t xml:space="preserve">Mezz C Balance &gt;= 0</t>
  </si>
</sst>
</file>

<file path=xl/styles.xml><?xml version="1.0" encoding="utf-8"?>
<styleSheet xmlns="http://schemas.openxmlformats.org/spreadsheetml/2006/main">
  <numFmts count="5">
    <numFmt numFmtId="164" formatCode="General"/>
    <numFmt numFmtId="165" formatCode="0.00%"/>
    <numFmt numFmtId="166" formatCode="0.00\x"/>
    <numFmt numFmtId="167" formatCode="0"/>
    <numFmt numFmtId="168" formatCode="#,##0.00"/>
  </numFmts>
  <fonts count="30">
    <font>
      <sz val="11"/>
      <name val="Arial"/>
      <family val="0"/>
      <charset val="1"/>
    </font>
    <font>
      <sz val="10"/>
      <name val="Arial"/>
      <family val="0"/>
    </font>
    <font>
      <sz val="10"/>
      <name val="Arial"/>
      <family val="0"/>
    </font>
    <font>
      <sz val="10"/>
      <name val="Arial"/>
      <family val="0"/>
    </font>
    <font>
      <sz val="11"/>
      <color theme="0"/>
      <name val="Arial"/>
      <family val="0"/>
      <charset val="1"/>
    </font>
    <font>
      <b val="true"/>
      <sz val="18"/>
      <color theme="0"/>
      <name val="Arial"/>
      <family val="0"/>
      <charset val="1"/>
    </font>
    <font>
      <b val="true"/>
      <sz val="11"/>
      <color theme="0"/>
      <name val="Arial"/>
      <family val="0"/>
      <charset val="1"/>
    </font>
    <font>
      <i val="true"/>
      <sz val="11"/>
      <color theme="0"/>
      <name val="Arial"/>
      <family val="0"/>
      <charset val="1"/>
    </font>
    <font>
      <sz val="11"/>
      <color theme="1"/>
      <name val="Arial"/>
      <family val="0"/>
      <charset val="1"/>
    </font>
    <font>
      <b val="true"/>
      <sz val="11"/>
      <name val="Arial"/>
      <family val="0"/>
      <charset val="1"/>
    </font>
    <font>
      <b val="true"/>
      <sz val="11"/>
      <color theme="3"/>
      <name val="Arial"/>
      <family val="0"/>
      <charset val="1"/>
    </font>
    <font>
      <i val="true"/>
      <sz val="11"/>
      <color rgb="FF808080"/>
      <name val="Arial"/>
      <family val="0"/>
      <charset val="1"/>
    </font>
    <font>
      <b val="true"/>
      <sz val="11"/>
      <color rgb="FF5B9BD5"/>
      <name val="Arial"/>
      <family val="0"/>
      <charset val="1"/>
    </font>
    <font>
      <b val="true"/>
      <sz val="11"/>
      <color rgb="FF70AD47"/>
      <name val="Arial"/>
      <family val="0"/>
      <charset val="1"/>
    </font>
    <font>
      <b val="true"/>
      <sz val="11"/>
      <color rgb="FFED7D31"/>
      <name val="Arial"/>
      <family val="0"/>
      <charset val="1"/>
    </font>
    <font>
      <b val="true"/>
      <sz val="11"/>
      <color rgb="FFA5A5A5"/>
      <name val="Arial"/>
      <family val="0"/>
      <charset val="1"/>
    </font>
    <font>
      <b val="true"/>
      <sz val="11"/>
      <color rgb="FFFF0000"/>
      <name val="Arial"/>
      <family val="0"/>
      <charset val="1"/>
    </font>
    <font>
      <b val="true"/>
      <sz val="11"/>
      <color rgb="FF1F4E79"/>
      <name val="Arial"/>
      <family val="0"/>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sz val="11"/>
      <color theme="3"/>
      <name val="Arial"/>
      <family val="0"/>
      <charset val="1"/>
    </font>
    <font>
      <sz val="11"/>
      <color rgb="FF808080"/>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
      <b val="true"/>
      <sz val="18"/>
      <name val="Arial"/>
      <family val="0"/>
      <charset val="1"/>
    </font>
  </fonts>
  <fills count="8">
    <fill>
      <patternFill patternType="none"/>
    </fill>
    <fill>
      <patternFill patternType="gray125"/>
    </fill>
    <fill>
      <patternFill patternType="solid">
        <fgColor theme="3"/>
        <bgColor rgb="FF1F4E79"/>
      </patternFill>
    </fill>
    <fill>
      <patternFill patternType="solid">
        <fgColor rgb="FFD6E4F0"/>
        <bgColor rgb="FFC6D9F1"/>
      </patternFill>
    </fill>
    <fill>
      <patternFill patternType="solid">
        <fgColor theme="3" tint="0.8"/>
        <bgColor rgb="FFD6E4F0"/>
      </patternFill>
    </fill>
    <fill>
      <patternFill patternType="solid">
        <fgColor rgb="FFFFF2CC"/>
        <bgColor rgb="FFF2F2F2"/>
      </patternFill>
    </fill>
    <fill>
      <patternFill patternType="solid">
        <fgColor rgb="FF1F4E79"/>
        <bgColor rgb="FF1F497D"/>
      </patternFill>
    </fill>
    <fill>
      <patternFill patternType="solid">
        <fgColor rgb="FFF2F2F2"/>
        <bgColor rgb="FFFFFFFF"/>
      </patternFill>
    </fill>
  </fills>
  <borders count="4">
    <border diagonalUp="false" diagonalDown="false">
      <left/>
      <right/>
      <top/>
      <bottom/>
      <diagonal/>
    </border>
    <border diagonalUp="false" diagonalDown="false">
      <left/>
      <right/>
      <top/>
      <bottom style="thin">
        <color rgb="FF1F4E79"/>
      </bottom>
      <diagonal/>
    </border>
    <border diagonalUp="false" diagonalDown="false">
      <left/>
      <right/>
      <top style="thin"/>
      <bottom/>
      <diagonal/>
    </border>
    <border diagonalUp="false" diagonalDown="false">
      <left/>
      <right/>
      <top style="double"/>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left" vertical="bottom" textRotation="0" wrapText="false" indent="0" shrinkToFit="false"/>
      <protection locked="true" hidden="false"/>
    </xf>
    <xf numFmtId="164" fontId="11" fillId="0" borderId="0" xfId="0" applyFont="true" applyBorder="false" applyAlignment="true" applyProtection="false">
      <alignment horizontal="left" vertical="bottom" textRotation="0" wrapText="false" indent="0" shrinkToFit="false"/>
      <protection locked="true" hidden="false"/>
    </xf>
    <xf numFmtId="164" fontId="12" fillId="0" borderId="0" xfId="0" applyFont="true" applyBorder="false" applyAlignment="true" applyProtection="false">
      <alignment horizontal="left" vertical="bottom" textRotation="0" wrapText="false" indent="0" shrinkToFit="false"/>
      <protection locked="true" hidden="false"/>
    </xf>
    <xf numFmtId="164" fontId="13" fillId="0" borderId="0" xfId="0" applyFont="true" applyBorder="false" applyAlignment="true" applyProtection="false">
      <alignment horizontal="left" vertical="bottom" textRotation="0" wrapText="false" indent="0" shrinkToFit="false"/>
      <protection locked="true" hidden="false"/>
    </xf>
    <xf numFmtId="164" fontId="14" fillId="0" borderId="0" xfId="0" applyFont="true" applyBorder="false" applyAlignment="true" applyProtection="false">
      <alignment horizontal="left" vertical="bottom" textRotation="0" wrapText="false" indent="0" shrinkToFit="false"/>
      <protection locked="true" hidden="false"/>
    </xf>
    <xf numFmtId="164" fontId="15" fillId="0" borderId="0" xfId="0" applyFont="true" applyBorder="false" applyAlignment="true" applyProtection="false">
      <alignment horizontal="left" vertical="bottom" textRotation="0" wrapText="false" indent="0" shrinkToFit="false"/>
      <protection locked="true" hidden="false"/>
    </xf>
    <xf numFmtId="164" fontId="16"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17" fillId="3" borderId="0" xfId="0" applyFont="true" applyBorder="false" applyAlignment="true" applyProtection="false">
      <alignment horizontal="left" vertical="center" textRotation="0" wrapText="false" indent="0" shrinkToFit="false"/>
      <protection locked="true" hidden="false"/>
    </xf>
    <xf numFmtId="164" fontId="8" fillId="3"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left" vertical="top" textRotation="0" wrapText="true" indent="0" shrinkToFit="false"/>
      <protection locked="true" hidden="false"/>
    </xf>
    <xf numFmtId="164" fontId="19" fillId="0" borderId="0" xfId="0" applyFont="true" applyBorder="true" applyAlignment="true" applyProtection="false">
      <alignment horizontal="left" vertical="center" textRotation="0" wrapText="false" indent="0" shrinkToFit="false"/>
      <protection locked="true" hidden="false"/>
    </xf>
    <xf numFmtId="164" fontId="20" fillId="0" borderId="0" xfId="0" applyFont="true" applyBorder="false" applyAlignment="true" applyProtection="false">
      <alignment horizontal="left" vertical="center" textRotation="0" wrapText="false" indent="0" shrinkToFit="false"/>
      <protection locked="true" hidden="false"/>
    </xf>
    <xf numFmtId="164" fontId="6" fillId="2" borderId="0" xfId="0" applyFont="true" applyBorder="false" applyAlignment="true" applyProtection="false">
      <alignment horizontal="left" vertical="bottom" textRotation="0" wrapText="false" indent="0" shrinkToFit="false"/>
      <protection locked="true" hidden="false"/>
    </xf>
    <xf numFmtId="164" fontId="6" fillId="2" borderId="0" xfId="0" applyFont="true" applyBorder="false" applyAlignment="true" applyProtection="false">
      <alignment horizontal="right" vertical="bottom" textRotation="0" wrapText="false" indent="0" shrinkToFit="false"/>
      <protection locked="true" hidden="false"/>
    </xf>
    <xf numFmtId="164" fontId="10" fillId="4" borderId="0" xfId="0" applyFont="true" applyBorder="false" applyAlignment="true" applyProtection="false">
      <alignment horizontal="left" vertical="bottom" textRotation="0" wrapText="false" indent="0" shrinkToFit="false"/>
      <protection locked="true" hidden="false"/>
    </xf>
    <xf numFmtId="164" fontId="8" fillId="4" borderId="0" xfId="0" applyFont="true" applyBorder="false" applyAlignment="false" applyProtection="false">
      <alignment horizontal="general" vertical="bottom" textRotation="0" wrapText="false" indent="0" shrinkToFit="false"/>
      <protection locked="true" hidden="false"/>
    </xf>
    <xf numFmtId="164" fontId="21" fillId="5" borderId="0" xfId="0" applyFont="true" applyBorder="false" applyAlignment="true" applyProtection="false">
      <alignment horizontal="right" vertical="bottom" textRotation="0" wrapText="false" indent="0" shrinkToFit="false"/>
      <protection locked="true" hidden="false"/>
    </xf>
    <xf numFmtId="164" fontId="22" fillId="0" borderId="0" xfId="0" applyFont="true" applyBorder="false" applyAlignment="true" applyProtection="false">
      <alignment horizontal="left" vertical="bottom" textRotation="0" wrapText="false" indent="0" shrinkToFit="false"/>
      <protection locked="true" hidden="false"/>
    </xf>
    <xf numFmtId="165" fontId="21" fillId="5" borderId="0" xfId="0" applyFont="true" applyBorder="false" applyAlignment="true" applyProtection="false">
      <alignment horizontal="right" vertical="bottom" textRotation="0" wrapText="false" indent="0" shrinkToFit="false"/>
      <protection locked="true" hidden="false"/>
    </xf>
    <xf numFmtId="166" fontId="21" fillId="5" borderId="0" xfId="0" applyFont="true" applyBorder="false" applyAlignment="true" applyProtection="false">
      <alignment horizontal="right" vertical="bottom" textRotation="0" wrapText="false" indent="0" shrinkToFit="false"/>
      <protection locked="true" hidden="false"/>
    </xf>
    <xf numFmtId="164" fontId="23" fillId="0" borderId="0" xfId="0" applyFont="true" applyBorder="false" applyAlignment="true" applyProtection="false">
      <alignment horizontal="left" vertical="center" textRotation="0" wrapText="false" indent="0" shrinkToFit="false"/>
      <protection locked="true" hidden="false"/>
    </xf>
    <xf numFmtId="164" fontId="8" fillId="0" borderId="1" xfId="0" applyFont="true" applyBorder="true" applyAlignment="false" applyProtection="false">
      <alignment horizontal="general" vertical="bottom" textRotation="0" wrapText="false" indent="0" shrinkToFit="false"/>
      <protection locked="true" hidden="false"/>
    </xf>
    <xf numFmtId="164" fontId="24" fillId="6" borderId="0" xfId="0" applyFont="true" applyBorder="false" applyAlignment="true" applyProtection="false">
      <alignment horizontal="left" vertical="center" textRotation="0" wrapText="false" indent="1" shrinkToFit="false"/>
      <protection locked="true" hidden="false"/>
    </xf>
    <xf numFmtId="164" fontId="25" fillId="0" borderId="0" xfId="0" applyFont="true" applyBorder="false" applyAlignment="true" applyProtection="false">
      <alignment horizontal="left" vertical="top" textRotation="0" wrapText="true" indent="1" shrinkToFit="false"/>
      <protection locked="true" hidden="false"/>
    </xf>
    <xf numFmtId="164" fontId="26" fillId="0" borderId="0" xfId="0" applyFont="true" applyBorder="false" applyAlignment="true" applyProtection="false">
      <alignment horizontal="left" vertical="center" textRotation="0" wrapText="false" indent="1" shrinkToFit="false"/>
      <protection locked="true" hidden="false"/>
    </xf>
    <xf numFmtId="164" fontId="17" fillId="0" borderId="0" xfId="0" applyFont="true" applyBorder="false" applyAlignment="true" applyProtection="false">
      <alignment horizontal="left" vertical="center" textRotation="0" wrapText="false" indent="1" shrinkToFit="false"/>
      <protection locked="true" hidden="false"/>
    </xf>
    <xf numFmtId="164" fontId="27" fillId="7" borderId="0" xfId="0" applyFont="true" applyBorder="false" applyAlignment="true" applyProtection="false">
      <alignment horizontal="left" vertical="top" textRotation="0" wrapText="true" indent="1" shrinkToFit="false"/>
      <protection locked="true" hidden="false"/>
    </xf>
    <xf numFmtId="164" fontId="28" fillId="0" borderId="0" xfId="0" applyFont="true" applyBorder="false" applyAlignment="true" applyProtection="false">
      <alignment horizontal="left" vertical="center" textRotation="0" wrapText="false" indent="1" shrinkToFit="false"/>
      <protection locked="true" hidden="false"/>
    </xf>
    <xf numFmtId="164" fontId="29"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24" fillId="6" borderId="0" xfId="0" applyFont="true" applyBorder="false" applyAlignment="true" applyProtection="false">
      <alignment horizontal="left" vertical="bottom" textRotation="0" wrapText="false" indent="0" shrinkToFit="false"/>
      <protection locked="true" hidden="false"/>
    </xf>
    <xf numFmtId="167" fontId="24" fillId="6" borderId="0" xfId="0" applyFont="true" applyBorder="false" applyAlignment="true" applyProtection="false">
      <alignment horizontal="right" vertical="bottom" textRotation="0" wrapText="false" indent="0" shrinkToFit="false"/>
      <protection locked="true" hidden="false"/>
    </xf>
    <xf numFmtId="167" fontId="11" fillId="0" borderId="0" xfId="0" applyFont="true" applyBorder="false" applyAlignment="true" applyProtection="false">
      <alignment horizontal="right" vertical="bottom" textRotation="0" wrapText="false" indent="0" shrinkToFit="false"/>
      <protection locked="true" hidden="false"/>
    </xf>
    <xf numFmtId="164" fontId="17" fillId="3" borderId="0" xfId="0" applyFont="true" applyBorder="false" applyAlignment="true" applyProtection="false">
      <alignment horizontal="left" vertical="bottom" textRotation="0" wrapText="false" indent="0" shrinkToFit="false"/>
      <protection locked="true" hidden="false"/>
    </xf>
    <xf numFmtId="168" fontId="0" fillId="0" borderId="0" xfId="0" applyFont="true" applyBorder="false" applyAlignment="true" applyProtection="false">
      <alignment horizontal="right"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1" shrinkToFit="false"/>
      <protection locked="true" hidden="false"/>
    </xf>
    <xf numFmtId="164" fontId="9" fillId="0" borderId="0" xfId="0" applyFont="true" applyBorder="false" applyAlignment="true" applyProtection="false">
      <alignment horizontal="left" vertical="bottom" textRotation="0" wrapText="false" indent="0" shrinkToFit="false"/>
      <protection locked="true" hidden="false"/>
    </xf>
    <xf numFmtId="168" fontId="9" fillId="0" borderId="2" xfId="0" applyFont="true" applyBorder="true" applyAlignment="true" applyProtection="false">
      <alignment horizontal="right" vertical="bottom" textRotation="0" wrapText="false" indent="0" shrinkToFit="false"/>
      <protection locked="true" hidden="false"/>
    </xf>
    <xf numFmtId="168" fontId="9" fillId="0" borderId="3" xfId="0" applyFont="true" applyBorder="true" applyAlignment="true" applyProtection="false">
      <alignment horizontal="right" vertical="bottom" textRotation="0" wrapText="false" indent="0" shrinkToFit="false"/>
      <protection locked="true" hidden="false"/>
    </xf>
    <xf numFmtId="165" fontId="0" fillId="0" borderId="0" xfId="0" applyFont="true" applyBorder="false" applyAlignment="true" applyProtection="false">
      <alignment horizontal="right" vertical="bottom" textRotation="0" wrapText="false" indent="0" shrinkToFit="false"/>
      <protection locked="true" hidden="false"/>
    </xf>
    <xf numFmtId="166" fontId="0" fillId="0" borderId="0" xfId="0" applyFont="true" applyBorder="false" applyAlignment="true" applyProtection="false">
      <alignment horizontal="right" vertical="bottom"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5" fontId="9" fillId="0" borderId="0" xfId="0" applyFont="true" applyBorder="false" applyAlignment="true" applyProtection="false">
      <alignment horizontal="right" vertical="bottom" textRotation="0" wrapText="false" indent="0" shrinkToFit="false"/>
      <protection locked="true" hidden="false"/>
    </xf>
    <xf numFmtId="166" fontId="9" fillId="0" borderId="0" xfId="0" applyFont="true" applyBorder="false" applyAlignment="true" applyProtection="false">
      <alignment horizontal="right" vertical="bottom" textRotation="0" wrapText="false" indent="0" shrinkToFit="false"/>
      <protection locked="true" hidden="false"/>
    </xf>
    <xf numFmtId="168" fontId="9" fillId="0" borderId="0" xfId="0" applyFont="true" applyBorder="fals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5B9BD5"/>
      <rgbColor rgb="FF993366"/>
      <rgbColor rgb="FFFFF2CC"/>
      <rgbColor rgb="FFD6E4F0"/>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F2F2F2"/>
      <rgbColor rgb="FFCCFFCC"/>
      <rgbColor rgb="FFFFFF99"/>
      <rgbColor rgb="FF99CCFF"/>
      <rgbColor rgb="FFFF99CC"/>
      <rgbColor rgb="FFCC99FF"/>
      <rgbColor rgb="FFFFCC99"/>
      <rgbColor rgb="FF3366FF"/>
      <rgbColor rgb="FF33CCCC"/>
      <rgbColor rgb="FF99CC00"/>
      <rgbColor rgb="FFFFCC00"/>
      <rgbColor rgb="FFFF9900"/>
      <rgbColor rgb="FFED7D31"/>
      <rgbColor rgb="FF595959"/>
      <rgbColor rgb="FFA5A5A5"/>
      <rgbColor rgb="FF1F4E79"/>
      <rgbColor rgb="FF70AD47"/>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31"/>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50"/>
    <col collapsed="false" customWidth="true" hidden="false" outlineLevel="0" max="3" min="3" style="0" width="40"/>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0</v>
      </c>
      <c r="C2" s="1"/>
      <c r="D2" s="3" t="s">
        <v>1</v>
      </c>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2</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c r="W4" s="5"/>
      <c r="X4" s="5"/>
      <c r="Y4" s="5"/>
      <c r="Z4" s="5"/>
      <c r="AA4" s="5"/>
      <c r="AB4" s="5"/>
      <c r="AC4" s="5"/>
      <c r="AD4" s="5"/>
    </row>
    <row r="5" customFormat="false" ht="15" hidden="false" customHeight="false" outlineLevel="0" collapsed="false">
      <c r="A5" s="5"/>
      <c r="B5" s="6" t="s">
        <v>3</v>
      </c>
      <c r="C5" s="5"/>
      <c r="D5" s="5"/>
      <c r="E5" s="5"/>
      <c r="F5" s="5"/>
      <c r="G5" s="5"/>
      <c r="H5" s="5"/>
      <c r="I5" s="5"/>
      <c r="J5" s="5"/>
      <c r="K5" s="5"/>
      <c r="L5" s="5"/>
      <c r="M5" s="5"/>
      <c r="N5" s="5"/>
      <c r="O5" s="5"/>
      <c r="P5" s="5"/>
      <c r="Q5" s="5"/>
      <c r="R5" s="5"/>
      <c r="S5" s="5"/>
      <c r="T5" s="5"/>
      <c r="U5" s="5"/>
      <c r="V5" s="5"/>
      <c r="W5" s="5"/>
      <c r="X5" s="5"/>
      <c r="Y5" s="5"/>
      <c r="Z5" s="5"/>
      <c r="AA5" s="5"/>
      <c r="AB5" s="5"/>
      <c r="AC5" s="5"/>
      <c r="AD5" s="5"/>
    </row>
    <row r="6" customFormat="false" ht="15" hidden="false" customHeight="false" outlineLevel="0" collapsed="false">
      <c r="A6" s="5"/>
      <c r="B6" s="5"/>
      <c r="C6" s="5"/>
      <c r="D6" s="5"/>
      <c r="E6" s="5"/>
      <c r="F6" s="5"/>
      <c r="G6" s="5"/>
      <c r="H6" s="5"/>
      <c r="I6" s="5"/>
      <c r="J6" s="5"/>
      <c r="K6" s="5"/>
      <c r="L6" s="5"/>
      <c r="M6" s="5"/>
      <c r="N6" s="5"/>
      <c r="O6" s="5"/>
      <c r="P6" s="5"/>
      <c r="Q6" s="5"/>
      <c r="R6" s="5"/>
      <c r="S6" s="5"/>
      <c r="T6" s="5"/>
      <c r="U6" s="5"/>
      <c r="V6" s="5"/>
      <c r="W6" s="5"/>
      <c r="X6" s="5"/>
      <c r="Y6" s="5"/>
      <c r="Z6" s="5"/>
      <c r="AA6" s="5"/>
      <c r="AB6" s="5"/>
      <c r="AC6" s="5"/>
      <c r="AD6" s="5"/>
    </row>
    <row r="7" customFormat="false" ht="15" hidden="false" customHeight="false" outlineLevel="0" collapsed="false">
      <c r="A7" s="5"/>
      <c r="B7" s="7" t="s">
        <v>4</v>
      </c>
      <c r="C7" s="8" t="s">
        <v>5</v>
      </c>
      <c r="D7" s="5"/>
      <c r="E7" s="5"/>
      <c r="F7" s="5"/>
      <c r="G7" s="5"/>
      <c r="H7" s="5"/>
      <c r="I7" s="5"/>
      <c r="J7" s="5"/>
      <c r="K7" s="5"/>
      <c r="L7" s="5"/>
      <c r="M7" s="5"/>
      <c r="N7" s="5"/>
      <c r="O7" s="5"/>
      <c r="P7" s="5"/>
      <c r="Q7" s="5"/>
      <c r="R7" s="5"/>
      <c r="S7" s="5"/>
      <c r="T7" s="5"/>
      <c r="U7" s="5"/>
      <c r="V7" s="5"/>
      <c r="W7" s="5"/>
      <c r="X7" s="5"/>
      <c r="Y7" s="5"/>
      <c r="Z7" s="5"/>
      <c r="AA7" s="5"/>
      <c r="AB7" s="5"/>
      <c r="AC7" s="5"/>
      <c r="AD7" s="5"/>
    </row>
    <row r="8" customFormat="false" ht="15" hidden="false" customHeight="false" outlineLevel="0" collapsed="false">
      <c r="A8" s="5"/>
      <c r="B8" s="9" t="s">
        <v>6</v>
      </c>
      <c r="C8" s="8" t="s">
        <v>7</v>
      </c>
      <c r="D8" s="5"/>
      <c r="E8" s="5"/>
      <c r="F8" s="5"/>
      <c r="G8" s="5"/>
      <c r="H8" s="5"/>
      <c r="I8" s="5"/>
      <c r="J8" s="5"/>
      <c r="K8" s="5"/>
      <c r="L8" s="5"/>
      <c r="M8" s="5"/>
      <c r="N8" s="5"/>
      <c r="O8" s="5"/>
      <c r="P8" s="5"/>
      <c r="Q8" s="5"/>
      <c r="R8" s="5"/>
      <c r="S8" s="5"/>
      <c r="T8" s="5"/>
      <c r="U8" s="5"/>
      <c r="V8" s="5"/>
      <c r="W8" s="5"/>
      <c r="X8" s="5"/>
      <c r="Y8" s="5"/>
      <c r="Z8" s="5"/>
      <c r="AA8" s="5"/>
      <c r="AB8" s="5"/>
      <c r="AC8" s="5"/>
      <c r="AD8" s="5"/>
    </row>
    <row r="9" customFormat="false" ht="15" hidden="false" customHeight="false" outlineLevel="0" collapsed="false">
      <c r="A9" s="5"/>
      <c r="B9" s="10" t="s">
        <v>8</v>
      </c>
      <c r="C9" s="8" t="s">
        <v>9</v>
      </c>
      <c r="D9" s="5"/>
      <c r="E9" s="5"/>
      <c r="F9" s="5"/>
      <c r="G9" s="5"/>
      <c r="H9" s="5"/>
      <c r="I9" s="5"/>
      <c r="J9" s="5"/>
      <c r="K9" s="5"/>
      <c r="L9" s="5"/>
      <c r="M9" s="5"/>
      <c r="N9" s="5"/>
      <c r="O9" s="5"/>
      <c r="P9" s="5"/>
      <c r="Q9" s="5"/>
      <c r="R9" s="5"/>
      <c r="S9" s="5"/>
      <c r="T9" s="5"/>
      <c r="U9" s="5"/>
      <c r="V9" s="5"/>
      <c r="W9" s="5"/>
      <c r="X9" s="5"/>
      <c r="Y9" s="5"/>
      <c r="Z9" s="5"/>
      <c r="AA9" s="5"/>
      <c r="AB9" s="5"/>
      <c r="AC9" s="5"/>
      <c r="AD9" s="5"/>
    </row>
    <row r="10" customFormat="false" ht="15" hidden="false" customHeight="false" outlineLevel="0" collapsed="false">
      <c r="A10" s="5"/>
      <c r="B10" s="11" t="s">
        <v>10</v>
      </c>
      <c r="C10" s="8" t="s">
        <v>11</v>
      </c>
      <c r="D10" s="5"/>
      <c r="E10" s="5"/>
      <c r="F10" s="5"/>
      <c r="G10" s="5"/>
      <c r="H10" s="5"/>
      <c r="I10" s="5"/>
      <c r="J10" s="5"/>
      <c r="K10" s="5"/>
      <c r="L10" s="5"/>
      <c r="M10" s="5"/>
      <c r="N10" s="5"/>
      <c r="O10" s="5"/>
      <c r="P10" s="5"/>
      <c r="Q10" s="5"/>
      <c r="R10" s="5"/>
      <c r="S10" s="5"/>
      <c r="T10" s="5"/>
      <c r="U10" s="5"/>
      <c r="V10" s="5"/>
      <c r="W10" s="5"/>
      <c r="X10" s="5"/>
      <c r="Y10" s="5"/>
      <c r="Z10" s="5"/>
      <c r="AA10" s="5"/>
      <c r="AB10" s="5"/>
      <c r="AC10" s="5"/>
      <c r="AD10" s="5"/>
    </row>
    <row r="11" customFormat="false" ht="15" hidden="false" customHeight="false" outlineLevel="0" collapsed="false">
      <c r="A11" s="5"/>
      <c r="B11" s="12" t="s">
        <v>12</v>
      </c>
      <c r="C11" s="8" t="s">
        <v>13</v>
      </c>
      <c r="D11" s="5"/>
      <c r="E11" s="5"/>
      <c r="F11" s="5"/>
      <c r="G11" s="5"/>
      <c r="H11" s="5"/>
      <c r="I11" s="5"/>
      <c r="J11" s="5"/>
      <c r="K11" s="5"/>
      <c r="L11" s="5"/>
      <c r="M11" s="5"/>
      <c r="N11" s="5"/>
      <c r="O11" s="5"/>
      <c r="P11" s="5"/>
      <c r="Q11" s="5"/>
      <c r="R11" s="5"/>
      <c r="S11" s="5"/>
      <c r="T11" s="5"/>
      <c r="U11" s="5"/>
      <c r="V11" s="5"/>
      <c r="W11" s="5"/>
      <c r="X11" s="5"/>
      <c r="Y11" s="5"/>
      <c r="Z11" s="5"/>
      <c r="AA11" s="5"/>
      <c r="AB11" s="5"/>
      <c r="AC11" s="5"/>
      <c r="AD11" s="5"/>
    </row>
    <row r="12" customFormat="false" ht="15" hidden="false" customHeight="false" outlineLevel="0" collapsed="false">
      <c r="A12" s="5"/>
      <c r="B12" s="13" t="s">
        <v>14</v>
      </c>
      <c r="C12" s="8" t="s">
        <v>15</v>
      </c>
      <c r="D12" s="5"/>
      <c r="E12" s="5"/>
      <c r="F12" s="5"/>
      <c r="G12" s="5"/>
      <c r="H12" s="5"/>
      <c r="I12" s="5"/>
      <c r="J12" s="5"/>
      <c r="K12" s="5"/>
      <c r="L12" s="5"/>
      <c r="M12" s="5"/>
      <c r="N12" s="5"/>
      <c r="O12" s="5"/>
      <c r="P12" s="5"/>
      <c r="Q12" s="5"/>
      <c r="R12" s="5"/>
      <c r="S12" s="5"/>
      <c r="T12" s="5"/>
      <c r="U12" s="5"/>
      <c r="V12" s="5"/>
      <c r="W12" s="5"/>
      <c r="X12" s="5"/>
      <c r="Y12" s="5"/>
      <c r="Z12" s="5"/>
      <c r="AA12" s="5"/>
      <c r="AB12" s="5"/>
      <c r="AC12" s="5"/>
      <c r="AD12" s="5"/>
    </row>
    <row r="13" customFormat="false" ht="15" hidden="false" customHeight="false" outlineLevel="0" collapsed="false">
      <c r="A13" s="5"/>
      <c r="B13" s="12" t="s">
        <v>16</v>
      </c>
      <c r="C13" s="8" t="s">
        <v>17</v>
      </c>
      <c r="D13" s="5"/>
      <c r="E13" s="5"/>
      <c r="F13" s="5"/>
      <c r="G13" s="5"/>
      <c r="H13" s="5"/>
      <c r="I13" s="5"/>
      <c r="J13" s="5"/>
      <c r="K13" s="5"/>
      <c r="L13" s="5"/>
      <c r="M13" s="5"/>
      <c r="N13" s="5"/>
      <c r="O13" s="5"/>
      <c r="P13" s="5"/>
      <c r="Q13" s="5"/>
      <c r="R13" s="5"/>
      <c r="S13" s="5"/>
      <c r="T13" s="5"/>
      <c r="U13" s="5"/>
      <c r="V13" s="5"/>
      <c r="W13" s="5"/>
      <c r="X13" s="5"/>
      <c r="Y13" s="5"/>
      <c r="Z13" s="5"/>
      <c r="AA13" s="5"/>
      <c r="AB13" s="5"/>
      <c r="AC13" s="5"/>
      <c r="AD13" s="5"/>
    </row>
    <row r="14" customFormat="false" ht="15" hidden="false" customHeight="false" outlineLevel="0" collapsed="false">
      <c r="A14" s="5"/>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row>
    <row r="15" customFormat="false" ht="15" hidden="false" customHeight="false" outlineLevel="0" collapsed="false">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row>
    <row r="16" customFormat="false" ht="15" hidden="false" customHeight="false" outlineLevel="0" collapsed="false">
      <c r="A16" s="5"/>
      <c r="B16" s="6" t="s">
        <v>18</v>
      </c>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row>
    <row r="17" customFormat="false" ht="15" hidden="false" customHeight="false" outlineLevel="0" collapsed="false">
      <c r="A17" s="5"/>
      <c r="B17" s="7" t="s">
        <v>19</v>
      </c>
      <c r="C17" s="14" t="s">
        <v>4</v>
      </c>
      <c r="D17" s="5"/>
      <c r="E17" s="5"/>
      <c r="F17" s="5"/>
      <c r="G17" s="5"/>
      <c r="H17" s="5"/>
      <c r="I17" s="5"/>
      <c r="J17" s="5"/>
      <c r="K17" s="5"/>
      <c r="L17" s="5"/>
      <c r="M17" s="5"/>
      <c r="N17" s="5"/>
      <c r="O17" s="5"/>
      <c r="P17" s="5"/>
      <c r="Q17" s="5"/>
      <c r="R17" s="5"/>
      <c r="S17" s="5"/>
      <c r="T17" s="5"/>
      <c r="U17" s="5"/>
      <c r="V17" s="5"/>
      <c r="W17" s="5"/>
      <c r="X17" s="5"/>
      <c r="Y17" s="5"/>
      <c r="Z17" s="5"/>
      <c r="AA17" s="5"/>
      <c r="AB17" s="5"/>
      <c r="AC17" s="5"/>
      <c r="AD17" s="5"/>
    </row>
    <row r="18" customFormat="false" ht="15" hidden="false" customHeight="false" outlineLevel="0" collapsed="false">
      <c r="A18" s="5"/>
      <c r="B18" s="9" t="s">
        <v>20</v>
      </c>
      <c r="C18" s="14" t="s">
        <v>21</v>
      </c>
      <c r="D18" s="5"/>
      <c r="E18" s="5"/>
      <c r="F18" s="5"/>
      <c r="G18" s="5"/>
      <c r="H18" s="5"/>
      <c r="I18" s="5"/>
      <c r="J18" s="5"/>
      <c r="K18" s="5"/>
      <c r="L18" s="5"/>
      <c r="M18" s="5"/>
      <c r="N18" s="5"/>
      <c r="O18" s="5"/>
      <c r="P18" s="5"/>
      <c r="Q18" s="5"/>
      <c r="R18" s="5"/>
      <c r="S18" s="5"/>
      <c r="T18" s="5"/>
      <c r="U18" s="5"/>
      <c r="V18" s="5"/>
      <c r="W18" s="5"/>
      <c r="X18" s="5"/>
      <c r="Y18" s="5"/>
      <c r="Z18" s="5"/>
      <c r="AA18" s="5"/>
      <c r="AB18" s="5"/>
      <c r="AC18" s="5"/>
      <c r="AD18" s="5"/>
    </row>
    <row r="19" customFormat="false" ht="15" hidden="false" customHeight="false" outlineLevel="0" collapsed="false">
      <c r="A19" s="5"/>
      <c r="B19" s="10" t="s">
        <v>22</v>
      </c>
      <c r="C19" s="14" t="s">
        <v>23</v>
      </c>
      <c r="D19" s="5"/>
      <c r="E19" s="5"/>
      <c r="F19" s="5"/>
      <c r="G19" s="5"/>
      <c r="H19" s="5"/>
      <c r="I19" s="5"/>
      <c r="J19" s="5"/>
      <c r="K19" s="5"/>
      <c r="L19" s="5"/>
      <c r="M19" s="5"/>
      <c r="N19" s="5"/>
      <c r="O19" s="5"/>
      <c r="P19" s="5"/>
      <c r="Q19" s="5"/>
      <c r="R19" s="5"/>
      <c r="S19" s="5"/>
      <c r="T19" s="5"/>
      <c r="U19" s="5"/>
      <c r="V19" s="5"/>
      <c r="W19" s="5"/>
      <c r="X19" s="5"/>
      <c r="Y19" s="5"/>
      <c r="Z19" s="5"/>
      <c r="AA19" s="5"/>
      <c r="AB19" s="5"/>
      <c r="AC19" s="5"/>
      <c r="AD19" s="5"/>
    </row>
    <row r="20" customFormat="false" ht="15" hidden="false" customHeight="false" outlineLevel="0" collapsed="false">
      <c r="A20" s="5"/>
      <c r="B20" s="11" t="s">
        <v>24</v>
      </c>
      <c r="C20" s="14" t="s">
        <v>25</v>
      </c>
      <c r="D20" s="5"/>
      <c r="E20" s="5"/>
      <c r="F20" s="5"/>
      <c r="G20" s="5"/>
      <c r="H20" s="5"/>
      <c r="I20" s="5"/>
      <c r="J20" s="5"/>
      <c r="K20" s="5"/>
      <c r="L20" s="5"/>
      <c r="M20" s="5"/>
      <c r="N20" s="5"/>
      <c r="O20" s="5"/>
      <c r="P20" s="5"/>
      <c r="Q20" s="5"/>
      <c r="R20" s="5"/>
      <c r="S20" s="5"/>
      <c r="T20" s="5"/>
      <c r="U20" s="5"/>
      <c r="V20" s="5"/>
      <c r="W20" s="5"/>
      <c r="X20" s="5"/>
      <c r="Y20" s="5"/>
      <c r="Z20" s="5"/>
      <c r="AA20" s="5"/>
      <c r="AB20" s="5"/>
      <c r="AC20" s="5"/>
      <c r="AD20" s="5"/>
    </row>
    <row r="21" customFormat="false" ht="15" hidden="false" customHeight="false" outlineLevel="0" collapsed="false">
      <c r="A21" s="5"/>
      <c r="B21" s="12" t="s">
        <v>26</v>
      </c>
      <c r="C21" s="14" t="s">
        <v>27</v>
      </c>
      <c r="D21" s="5"/>
      <c r="E21" s="5"/>
      <c r="F21" s="5"/>
      <c r="G21" s="5"/>
      <c r="H21" s="5"/>
      <c r="I21" s="5"/>
      <c r="J21" s="5"/>
      <c r="K21" s="5"/>
      <c r="L21" s="5"/>
      <c r="M21" s="5"/>
      <c r="N21" s="5"/>
      <c r="O21" s="5"/>
      <c r="P21" s="5"/>
      <c r="Q21" s="5"/>
      <c r="R21" s="5"/>
      <c r="S21" s="5"/>
      <c r="T21" s="5"/>
      <c r="U21" s="5"/>
      <c r="V21" s="5"/>
      <c r="W21" s="5"/>
      <c r="X21" s="5"/>
      <c r="Y21" s="5"/>
      <c r="Z21" s="5"/>
      <c r="AA21" s="5"/>
      <c r="AB21" s="5"/>
      <c r="AC21" s="5"/>
      <c r="AD21" s="5"/>
    </row>
    <row r="22" customFormat="false" ht="15" hidden="false" customHeight="false" outlineLevel="0" collapsed="false">
      <c r="A22" s="5"/>
      <c r="B22" s="13" t="s">
        <v>28</v>
      </c>
      <c r="C22" s="14" t="s">
        <v>29</v>
      </c>
      <c r="D22" s="5"/>
      <c r="E22" s="5"/>
      <c r="F22" s="5"/>
      <c r="G22" s="5"/>
      <c r="H22" s="5"/>
      <c r="I22" s="5"/>
      <c r="J22" s="5"/>
      <c r="K22" s="5"/>
      <c r="L22" s="5"/>
      <c r="M22" s="5"/>
      <c r="N22" s="5"/>
      <c r="O22" s="5"/>
      <c r="P22" s="5"/>
      <c r="Q22" s="5"/>
      <c r="R22" s="5"/>
      <c r="S22" s="5"/>
      <c r="T22" s="5"/>
      <c r="U22" s="5"/>
      <c r="V22" s="5"/>
      <c r="W22" s="5"/>
      <c r="X22" s="5"/>
      <c r="Y22" s="5"/>
      <c r="Z22" s="5"/>
      <c r="AA22" s="5"/>
      <c r="AB22" s="5"/>
      <c r="AC22" s="5"/>
      <c r="AD22" s="5"/>
    </row>
    <row r="23" customFormat="false" ht="15" hidden="false" customHeight="false" outlineLevel="0" collapsed="false">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row>
    <row r="24" customFormat="false" ht="15" hidden="false" customHeight="false" outlineLevel="0" collapsed="false">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row>
    <row r="25" customFormat="false" ht="19.5" hidden="false" customHeight="true" outlineLevel="0" collapsed="false">
      <c r="A25" s="5"/>
      <c r="B25" s="15" t="s">
        <v>30</v>
      </c>
      <c r="C25" s="16"/>
      <c r="D25" s="16"/>
      <c r="E25" s="16"/>
      <c r="F25" s="16"/>
      <c r="G25" s="16"/>
      <c r="H25" s="5"/>
      <c r="I25" s="5"/>
      <c r="J25" s="5"/>
      <c r="K25" s="5"/>
      <c r="L25" s="5"/>
      <c r="M25" s="5"/>
      <c r="N25" s="5"/>
      <c r="O25" s="5"/>
      <c r="P25" s="5"/>
      <c r="Q25" s="5"/>
      <c r="R25" s="5"/>
      <c r="S25" s="5"/>
      <c r="T25" s="5"/>
      <c r="U25" s="5"/>
      <c r="V25" s="5"/>
      <c r="W25" s="5"/>
      <c r="X25" s="5"/>
      <c r="Y25" s="5"/>
      <c r="Z25" s="5"/>
      <c r="AA25" s="5"/>
      <c r="AB25" s="5"/>
      <c r="AC25" s="5"/>
      <c r="AD25" s="5"/>
    </row>
    <row r="26" customFormat="false" ht="258.75" hidden="false" customHeight="true" outlineLevel="0" collapsed="false">
      <c r="A26" s="5"/>
      <c r="B26" s="17" t="s">
        <v>31</v>
      </c>
      <c r="C26" s="17"/>
      <c r="D26" s="17"/>
      <c r="E26" s="17"/>
      <c r="F26" s="17"/>
      <c r="G26" s="17"/>
      <c r="H26" s="5"/>
      <c r="I26" s="5"/>
      <c r="J26" s="5"/>
      <c r="K26" s="5"/>
      <c r="L26" s="5"/>
      <c r="M26" s="5"/>
      <c r="N26" s="5"/>
      <c r="O26" s="5"/>
      <c r="P26" s="5"/>
      <c r="Q26" s="5"/>
      <c r="R26" s="5"/>
      <c r="S26" s="5"/>
      <c r="T26" s="5"/>
      <c r="U26" s="5"/>
      <c r="V26" s="5"/>
      <c r="W26" s="5"/>
      <c r="X26" s="5"/>
      <c r="Y26" s="5"/>
      <c r="Z26" s="5"/>
      <c r="AA26" s="5"/>
      <c r="AB26" s="5"/>
      <c r="AC26" s="5"/>
      <c r="AD26" s="5"/>
    </row>
    <row r="27" customFormat="false" ht="15" hidden="false" customHeight="false" outlineLevel="0" collapsed="false">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row>
    <row r="28" customFormat="false" ht="19.5" hidden="false" customHeight="true" outlineLevel="0" collapsed="false">
      <c r="A28" s="5"/>
      <c r="B28" s="15" t="s">
        <v>32</v>
      </c>
      <c r="C28" s="16"/>
      <c r="D28" s="16"/>
      <c r="E28" s="16"/>
      <c r="F28" s="16"/>
      <c r="G28" s="16"/>
      <c r="H28" s="5"/>
      <c r="I28" s="5"/>
      <c r="J28" s="5"/>
      <c r="K28" s="5"/>
      <c r="L28" s="5"/>
      <c r="M28" s="5"/>
      <c r="N28" s="5"/>
      <c r="O28" s="5"/>
      <c r="P28" s="5"/>
      <c r="Q28" s="5"/>
      <c r="R28" s="5"/>
      <c r="S28" s="5"/>
      <c r="T28" s="5"/>
      <c r="U28" s="5"/>
      <c r="V28" s="5"/>
      <c r="W28" s="5"/>
      <c r="X28" s="5"/>
      <c r="Y28" s="5"/>
      <c r="Z28" s="5"/>
      <c r="AA28" s="5"/>
      <c r="AB28" s="5"/>
      <c r="AC28" s="5"/>
      <c r="AD28" s="5"/>
    </row>
    <row r="29" customFormat="false" ht="57" hidden="false" customHeight="true" outlineLevel="0" collapsed="false">
      <c r="A29" s="5"/>
      <c r="B29" s="17" t="s">
        <v>33</v>
      </c>
      <c r="C29" s="17"/>
      <c r="D29" s="17"/>
      <c r="E29" s="17"/>
      <c r="F29" s="17"/>
      <c r="G29" s="17"/>
      <c r="H29" s="5"/>
      <c r="I29" s="5"/>
      <c r="J29" s="5"/>
      <c r="K29" s="5"/>
      <c r="L29" s="5"/>
      <c r="M29" s="5"/>
      <c r="N29" s="5"/>
      <c r="O29" s="5"/>
      <c r="P29" s="5"/>
      <c r="Q29" s="5"/>
      <c r="R29" s="5"/>
      <c r="S29" s="5"/>
      <c r="T29" s="5"/>
      <c r="U29" s="5"/>
      <c r="V29" s="5"/>
      <c r="W29" s="5"/>
      <c r="X29" s="5"/>
      <c r="Y29" s="5"/>
      <c r="Z29" s="5"/>
      <c r="AA29" s="5"/>
      <c r="AB29" s="5"/>
      <c r="AC29" s="5"/>
      <c r="AD29" s="5"/>
    </row>
    <row r="30" customFormat="false" ht="15" hidden="false" customHeight="false" outlineLevel="0" collapsed="false">
      <c r="A30" s="5"/>
      <c r="B30" s="18" t="s">
        <v>34</v>
      </c>
      <c r="C30" s="18"/>
      <c r="D30" s="18"/>
      <c r="E30" s="18"/>
      <c r="F30" s="18"/>
      <c r="G30" s="18"/>
      <c r="H30" s="5"/>
      <c r="I30" s="5"/>
      <c r="J30" s="5"/>
      <c r="K30" s="5"/>
      <c r="L30" s="5"/>
      <c r="M30" s="5"/>
      <c r="N30" s="5"/>
      <c r="O30" s="5"/>
      <c r="P30" s="5"/>
      <c r="Q30" s="5"/>
      <c r="R30" s="5"/>
      <c r="S30" s="5"/>
      <c r="T30" s="5"/>
      <c r="U30" s="5"/>
      <c r="V30" s="5"/>
      <c r="W30" s="5"/>
      <c r="X30" s="5"/>
      <c r="Y30" s="5"/>
      <c r="Z30" s="5"/>
      <c r="AA30" s="5"/>
      <c r="AB30" s="5"/>
      <c r="AC30" s="5"/>
      <c r="AD30" s="5"/>
    </row>
    <row r="31" customFormat="false" ht="15" hidden="false" customHeight="false" outlineLevel="0" collapsed="false">
      <c r="A31" s="5"/>
      <c r="B31" s="19" t="s">
        <v>35</v>
      </c>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row>
  </sheetData>
  <mergeCells count="3">
    <mergeCell ref="B26:G26"/>
    <mergeCell ref="B29:G29"/>
    <mergeCell ref="B30:G30"/>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AD5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4"/>
    <col collapsed="false" customWidth="true" hidden="false" outlineLevel="0" max="3" min="3" style="0" width="16"/>
    <col collapsed="false" customWidth="true" hidden="false" outlineLevel="0" max="4" min="4" style="0" width="10"/>
    <col collapsed="false" customWidth="true" hidden="false" outlineLevel="0" max="5" min="5" style="0" width="40"/>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6</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36</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c r="W4" s="5"/>
      <c r="X4" s="5"/>
      <c r="Y4" s="5"/>
      <c r="Z4" s="5"/>
      <c r="AA4" s="5"/>
      <c r="AB4" s="5"/>
      <c r="AC4" s="5"/>
      <c r="AD4" s="5"/>
    </row>
    <row r="5" customFormat="false" ht="15" hidden="false" customHeight="false" outlineLevel="0" collapsed="false">
      <c r="A5" s="5"/>
      <c r="B5" s="20" t="s">
        <v>37</v>
      </c>
      <c r="C5" s="21" t="s">
        <v>38</v>
      </c>
      <c r="D5" s="20" t="s">
        <v>39</v>
      </c>
      <c r="E5" s="20" t="s">
        <v>40</v>
      </c>
      <c r="F5" s="5"/>
      <c r="G5" s="5"/>
      <c r="H5" s="5"/>
      <c r="I5" s="5"/>
      <c r="J5" s="5"/>
      <c r="K5" s="5"/>
      <c r="L5" s="5"/>
      <c r="M5" s="5"/>
      <c r="N5" s="5"/>
      <c r="O5" s="5"/>
      <c r="P5" s="5"/>
      <c r="Q5" s="5"/>
      <c r="R5" s="5"/>
      <c r="S5" s="5"/>
      <c r="T5" s="5"/>
      <c r="U5" s="5"/>
      <c r="V5" s="5"/>
      <c r="W5" s="5"/>
      <c r="X5" s="5"/>
      <c r="Y5" s="5"/>
      <c r="Z5" s="5"/>
      <c r="AA5" s="5"/>
      <c r="AB5" s="5"/>
      <c r="AC5" s="5"/>
      <c r="AD5" s="5"/>
    </row>
    <row r="6" customFormat="false" ht="15" hidden="false" customHeight="false" outlineLevel="0" collapsed="false">
      <c r="A6" s="5"/>
      <c r="B6" s="5"/>
      <c r="C6" s="5"/>
      <c r="D6" s="5"/>
      <c r="E6" s="5"/>
      <c r="F6" s="5"/>
      <c r="G6" s="5"/>
      <c r="H6" s="5"/>
      <c r="I6" s="5"/>
      <c r="J6" s="5"/>
      <c r="K6" s="5"/>
      <c r="L6" s="5"/>
      <c r="M6" s="5"/>
      <c r="N6" s="5"/>
      <c r="O6" s="5"/>
      <c r="P6" s="5"/>
      <c r="Q6" s="5"/>
      <c r="R6" s="5"/>
      <c r="S6" s="5"/>
      <c r="T6" s="5"/>
      <c r="U6" s="5"/>
      <c r="V6" s="5"/>
      <c r="W6" s="5"/>
      <c r="X6" s="5"/>
      <c r="Y6" s="5"/>
      <c r="Z6" s="5"/>
      <c r="AA6" s="5"/>
      <c r="AB6" s="5"/>
      <c r="AC6" s="5"/>
      <c r="AD6" s="5"/>
    </row>
    <row r="7" customFormat="false" ht="15" hidden="false" customHeight="false" outlineLevel="0" collapsed="false">
      <c r="A7" s="5"/>
      <c r="B7" s="22" t="s">
        <v>41</v>
      </c>
      <c r="C7" s="23"/>
      <c r="D7" s="23"/>
      <c r="E7" s="23"/>
      <c r="F7" s="5"/>
      <c r="G7" s="5"/>
      <c r="H7" s="5"/>
      <c r="I7" s="5"/>
      <c r="J7" s="5"/>
      <c r="K7" s="5"/>
      <c r="L7" s="5"/>
      <c r="M7" s="5"/>
      <c r="N7" s="5"/>
      <c r="O7" s="5"/>
      <c r="P7" s="5"/>
      <c r="Q7" s="5"/>
      <c r="R7" s="5"/>
      <c r="S7" s="5"/>
      <c r="T7" s="5"/>
      <c r="U7" s="5"/>
      <c r="V7" s="5"/>
      <c r="W7" s="5"/>
      <c r="X7" s="5"/>
      <c r="Y7" s="5"/>
      <c r="Z7" s="5"/>
      <c r="AA7" s="5"/>
      <c r="AB7" s="5"/>
      <c r="AC7" s="5"/>
      <c r="AD7" s="5"/>
    </row>
    <row r="8" customFormat="false" ht="15" hidden="false" customHeight="false" outlineLevel="0" collapsed="false">
      <c r="A8" s="5"/>
      <c r="B8" s="14" t="s">
        <v>42</v>
      </c>
      <c r="C8" s="24" t="n">
        <v>8</v>
      </c>
      <c r="D8" s="25" t="s">
        <v>43</v>
      </c>
      <c r="E8" s="8" t="s">
        <v>44</v>
      </c>
      <c r="F8" s="5"/>
      <c r="G8" s="5"/>
      <c r="H8" s="5"/>
      <c r="I8" s="5"/>
      <c r="J8" s="5"/>
      <c r="K8" s="5"/>
      <c r="L8" s="5"/>
      <c r="M8" s="5"/>
      <c r="N8" s="5"/>
      <c r="O8" s="5"/>
      <c r="P8" s="5"/>
      <c r="Q8" s="5"/>
      <c r="R8" s="5"/>
      <c r="S8" s="5"/>
      <c r="T8" s="5"/>
      <c r="U8" s="5"/>
      <c r="V8" s="5"/>
      <c r="W8" s="5"/>
      <c r="X8" s="5"/>
      <c r="Y8" s="5"/>
      <c r="Z8" s="5"/>
      <c r="AA8" s="5"/>
      <c r="AB8" s="5"/>
      <c r="AC8" s="5"/>
      <c r="AD8" s="5"/>
    </row>
    <row r="9" customFormat="false" ht="15" hidden="false" customHeight="false" outlineLevel="0" collapsed="false">
      <c r="A9" s="5"/>
      <c r="B9" s="14" t="s">
        <v>45</v>
      </c>
      <c r="C9" s="26" t="n">
        <v>0.045</v>
      </c>
      <c r="D9" s="25" t="s">
        <v>46</v>
      </c>
      <c r="E9" s="8" t="s">
        <v>47</v>
      </c>
      <c r="F9" s="5"/>
      <c r="G9" s="5"/>
      <c r="H9" s="5"/>
      <c r="I9" s="5"/>
      <c r="J9" s="5"/>
      <c r="K9" s="5"/>
      <c r="L9" s="5"/>
      <c r="M9" s="5"/>
      <c r="N9" s="5"/>
      <c r="O9" s="5"/>
      <c r="P9" s="5"/>
      <c r="Q9" s="5"/>
      <c r="R9" s="5"/>
      <c r="S9" s="5"/>
      <c r="T9" s="5"/>
      <c r="U9" s="5"/>
      <c r="V9" s="5"/>
      <c r="W9" s="5"/>
      <c r="X9" s="5"/>
      <c r="Y9" s="5"/>
      <c r="Z9" s="5"/>
      <c r="AA9" s="5"/>
      <c r="AB9" s="5"/>
      <c r="AC9" s="5"/>
      <c r="AD9" s="5"/>
    </row>
    <row r="10" customFormat="false" ht="15" hidden="false" customHeight="false" outlineLevel="0" collapsed="false">
      <c r="A10" s="5"/>
      <c r="B10" s="14" t="s">
        <v>48</v>
      </c>
      <c r="C10" s="24" t="n">
        <v>5</v>
      </c>
      <c r="D10" s="25" t="s">
        <v>49</v>
      </c>
      <c r="E10" s="8" t="s">
        <v>50</v>
      </c>
      <c r="F10" s="5"/>
      <c r="G10" s="5"/>
      <c r="H10" s="5"/>
      <c r="I10" s="5"/>
      <c r="J10" s="5"/>
      <c r="K10" s="5"/>
      <c r="L10" s="5"/>
      <c r="M10" s="5"/>
      <c r="N10" s="5"/>
      <c r="O10" s="5"/>
      <c r="P10" s="5"/>
      <c r="Q10" s="5"/>
      <c r="R10" s="5"/>
      <c r="S10" s="5"/>
      <c r="T10" s="5"/>
      <c r="U10" s="5"/>
      <c r="V10" s="5"/>
      <c r="W10" s="5"/>
      <c r="X10" s="5"/>
      <c r="Y10" s="5"/>
      <c r="Z10" s="5"/>
      <c r="AA10" s="5"/>
      <c r="AB10" s="5"/>
      <c r="AC10" s="5"/>
      <c r="AD10" s="5"/>
    </row>
    <row r="11" customFormat="false" ht="15" hidden="false" customHeight="false" outlineLevel="0" collapsed="false">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row>
    <row r="12" customFormat="false" ht="15" hidden="false" customHeight="false" outlineLevel="0" collapsed="false">
      <c r="A12" s="5"/>
      <c r="B12" s="22" t="s">
        <v>51</v>
      </c>
      <c r="C12" s="23"/>
      <c r="D12" s="23"/>
      <c r="E12" s="23"/>
      <c r="F12" s="5"/>
      <c r="G12" s="5"/>
      <c r="H12" s="5"/>
      <c r="I12" s="5"/>
      <c r="J12" s="5"/>
      <c r="K12" s="5"/>
      <c r="L12" s="5"/>
      <c r="M12" s="5"/>
      <c r="N12" s="5"/>
      <c r="O12" s="5"/>
      <c r="P12" s="5"/>
      <c r="Q12" s="5"/>
      <c r="R12" s="5"/>
      <c r="S12" s="5"/>
      <c r="T12" s="5"/>
      <c r="U12" s="5"/>
      <c r="V12" s="5"/>
      <c r="W12" s="5"/>
      <c r="X12" s="5"/>
      <c r="Y12" s="5"/>
      <c r="Z12" s="5"/>
      <c r="AA12" s="5"/>
      <c r="AB12" s="5"/>
      <c r="AC12" s="5"/>
      <c r="AD12" s="5"/>
    </row>
    <row r="13" customFormat="false" ht="15" hidden="false" customHeight="false" outlineLevel="0" collapsed="false">
      <c r="A13" s="5"/>
      <c r="B13" s="14" t="s">
        <v>52</v>
      </c>
      <c r="C13" s="24" t="n">
        <v>500</v>
      </c>
      <c r="D13" s="25" t="s">
        <v>53</v>
      </c>
      <c r="E13" s="8" t="s">
        <v>54</v>
      </c>
      <c r="F13" s="5"/>
      <c r="G13" s="5"/>
      <c r="H13" s="5"/>
      <c r="I13" s="5"/>
      <c r="J13" s="5"/>
      <c r="K13" s="5"/>
      <c r="L13" s="5"/>
      <c r="M13" s="5"/>
      <c r="N13" s="5"/>
      <c r="O13" s="5"/>
      <c r="P13" s="5"/>
      <c r="Q13" s="5"/>
      <c r="R13" s="5"/>
      <c r="S13" s="5"/>
      <c r="T13" s="5"/>
      <c r="U13" s="5"/>
      <c r="V13" s="5"/>
      <c r="W13" s="5"/>
      <c r="X13" s="5"/>
      <c r="Y13" s="5"/>
      <c r="Z13" s="5"/>
      <c r="AA13" s="5"/>
      <c r="AB13" s="5"/>
      <c r="AC13" s="5"/>
      <c r="AD13" s="5"/>
    </row>
    <row r="14" customFormat="false" ht="15" hidden="false" customHeight="false" outlineLevel="0" collapsed="false">
      <c r="A14" s="5"/>
      <c r="B14" s="14" t="s">
        <v>55</v>
      </c>
      <c r="C14" s="26" t="n">
        <v>0.035</v>
      </c>
      <c r="D14" s="25" t="s">
        <v>46</v>
      </c>
      <c r="E14" s="8" t="s">
        <v>56</v>
      </c>
      <c r="F14" s="5"/>
      <c r="G14" s="5"/>
      <c r="H14" s="5"/>
      <c r="I14" s="5"/>
      <c r="J14" s="5"/>
      <c r="K14" s="5"/>
      <c r="L14" s="5"/>
      <c r="M14" s="5"/>
      <c r="N14" s="5"/>
      <c r="O14" s="5"/>
      <c r="P14" s="5"/>
      <c r="Q14" s="5"/>
      <c r="R14" s="5"/>
      <c r="S14" s="5"/>
      <c r="T14" s="5"/>
      <c r="U14" s="5"/>
      <c r="V14" s="5"/>
      <c r="W14" s="5"/>
      <c r="X14" s="5"/>
      <c r="Y14" s="5"/>
      <c r="Z14" s="5"/>
      <c r="AA14" s="5"/>
      <c r="AB14" s="5"/>
      <c r="AC14" s="5"/>
      <c r="AD14" s="5"/>
    </row>
    <row r="15" customFormat="false" ht="15" hidden="false" customHeight="false" outlineLevel="0" collapsed="false">
      <c r="A15" s="5"/>
      <c r="B15" s="14" t="s">
        <v>57</v>
      </c>
      <c r="C15" s="26" t="n">
        <v>0.02</v>
      </c>
      <c r="D15" s="25" t="s">
        <v>46</v>
      </c>
      <c r="E15" s="8" t="s">
        <v>58</v>
      </c>
      <c r="F15" s="5"/>
      <c r="G15" s="5"/>
      <c r="H15" s="5"/>
      <c r="I15" s="5"/>
      <c r="J15" s="5"/>
      <c r="K15" s="5"/>
      <c r="L15" s="5"/>
      <c r="M15" s="5"/>
      <c r="N15" s="5"/>
      <c r="O15" s="5"/>
      <c r="P15" s="5"/>
      <c r="Q15" s="5"/>
      <c r="R15" s="5"/>
      <c r="S15" s="5"/>
      <c r="T15" s="5"/>
      <c r="U15" s="5"/>
      <c r="V15" s="5"/>
      <c r="W15" s="5"/>
      <c r="X15" s="5"/>
      <c r="Y15" s="5"/>
      <c r="Z15" s="5"/>
      <c r="AA15" s="5"/>
      <c r="AB15" s="5"/>
      <c r="AC15" s="5"/>
      <c r="AD15" s="5"/>
    </row>
    <row r="16" customFormat="false" ht="15" hidden="false" customHeight="false" outlineLevel="0" collapsed="false">
      <c r="A16" s="5"/>
      <c r="B16" s="14" t="s">
        <v>59</v>
      </c>
      <c r="C16" s="26" t="n">
        <v>0.65</v>
      </c>
      <c r="D16" s="25" t="s">
        <v>46</v>
      </c>
      <c r="E16" s="8" t="s">
        <v>60</v>
      </c>
      <c r="F16" s="5"/>
      <c r="G16" s="5"/>
      <c r="H16" s="5"/>
      <c r="I16" s="5"/>
      <c r="J16" s="5"/>
      <c r="K16" s="5"/>
      <c r="L16" s="5"/>
      <c r="M16" s="5"/>
      <c r="N16" s="5"/>
      <c r="O16" s="5"/>
      <c r="P16" s="5"/>
      <c r="Q16" s="5"/>
      <c r="R16" s="5"/>
      <c r="S16" s="5"/>
      <c r="T16" s="5"/>
      <c r="U16" s="5"/>
      <c r="V16" s="5"/>
      <c r="W16" s="5"/>
      <c r="X16" s="5"/>
      <c r="Y16" s="5"/>
      <c r="Z16" s="5"/>
      <c r="AA16" s="5"/>
      <c r="AB16" s="5"/>
      <c r="AC16" s="5"/>
      <c r="AD16" s="5"/>
    </row>
    <row r="17" customFormat="false" ht="15" hidden="false" customHeight="false" outlineLevel="0" collapsed="false">
      <c r="A17" s="5"/>
      <c r="B17" s="14" t="s">
        <v>61</v>
      </c>
      <c r="C17" s="26" t="n">
        <v>0.1</v>
      </c>
      <c r="D17" s="25" t="s">
        <v>46</v>
      </c>
      <c r="E17" s="8" t="s">
        <v>62</v>
      </c>
      <c r="F17" s="5"/>
      <c r="G17" s="5"/>
      <c r="H17" s="5"/>
      <c r="I17" s="5"/>
      <c r="J17" s="5"/>
      <c r="K17" s="5"/>
      <c r="L17" s="5"/>
      <c r="M17" s="5"/>
      <c r="N17" s="5"/>
      <c r="O17" s="5"/>
      <c r="P17" s="5"/>
      <c r="Q17" s="5"/>
      <c r="R17" s="5"/>
      <c r="S17" s="5"/>
      <c r="T17" s="5"/>
      <c r="U17" s="5"/>
      <c r="V17" s="5"/>
      <c r="W17" s="5"/>
      <c r="X17" s="5"/>
      <c r="Y17" s="5"/>
      <c r="Z17" s="5"/>
      <c r="AA17" s="5"/>
      <c r="AB17" s="5"/>
      <c r="AC17" s="5"/>
      <c r="AD17" s="5"/>
    </row>
    <row r="18" customFormat="false" ht="15" hidden="false" customHeight="false" outlineLevel="0" collapsed="false">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row>
    <row r="19" customFormat="false" ht="15" hidden="false" customHeight="false" outlineLevel="0" collapsed="false">
      <c r="A19" s="5"/>
      <c r="B19" s="22" t="s">
        <v>63</v>
      </c>
      <c r="C19" s="23"/>
      <c r="D19" s="23"/>
      <c r="E19" s="23"/>
      <c r="F19" s="5"/>
      <c r="G19" s="5"/>
      <c r="H19" s="5"/>
      <c r="I19" s="5"/>
      <c r="J19" s="5"/>
      <c r="K19" s="5"/>
      <c r="L19" s="5"/>
      <c r="M19" s="5"/>
      <c r="N19" s="5"/>
      <c r="O19" s="5"/>
      <c r="P19" s="5"/>
      <c r="Q19" s="5"/>
      <c r="R19" s="5"/>
      <c r="S19" s="5"/>
      <c r="T19" s="5"/>
      <c r="U19" s="5"/>
      <c r="V19" s="5"/>
      <c r="W19" s="5"/>
      <c r="X19" s="5"/>
      <c r="Y19" s="5"/>
      <c r="Z19" s="5"/>
      <c r="AA19" s="5"/>
      <c r="AB19" s="5"/>
      <c r="AC19" s="5"/>
      <c r="AD19" s="5"/>
    </row>
    <row r="20" customFormat="false" ht="15" hidden="false" customHeight="false" outlineLevel="0" collapsed="false">
      <c r="A20" s="5"/>
      <c r="B20" s="14" t="s">
        <v>64</v>
      </c>
      <c r="C20" s="24" t="n">
        <v>315</v>
      </c>
      <c r="D20" s="25" t="s">
        <v>53</v>
      </c>
      <c r="E20" s="8" t="s">
        <v>65</v>
      </c>
      <c r="F20" s="5"/>
      <c r="G20" s="5"/>
      <c r="H20" s="5"/>
      <c r="I20" s="5"/>
      <c r="J20" s="5"/>
      <c r="K20" s="5"/>
      <c r="L20" s="5"/>
      <c r="M20" s="5"/>
      <c r="N20" s="5"/>
      <c r="O20" s="5"/>
      <c r="P20" s="5"/>
      <c r="Q20" s="5"/>
      <c r="R20" s="5"/>
      <c r="S20" s="5"/>
      <c r="T20" s="5"/>
      <c r="U20" s="5"/>
      <c r="V20" s="5"/>
      <c r="W20" s="5"/>
      <c r="X20" s="5"/>
      <c r="Y20" s="5"/>
      <c r="Z20" s="5"/>
      <c r="AA20" s="5"/>
      <c r="AB20" s="5"/>
      <c r="AC20" s="5"/>
      <c r="AD20" s="5"/>
    </row>
    <row r="21" customFormat="false" ht="15" hidden="false" customHeight="false" outlineLevel="0" collapsed="false">
      <c r="A21" s="5"/>
      <c r="B21" s="14" t="s">
        <v>66</v>
      </c>
      <c r="C21" s="26" t="n">
        <v>0.0145</v>
      </c>
      <c r="D21" s="25" t="s">
        <v>46</v>
      </c>
      <c r="E21" s="8" t="s">
        <v>56</v>
      </c>
      <c r="F21" s="5"/>
      <c r="G21" s="5"/>
      <c r="H21" s="5"/>
      <c r="I21" s="5"/>
      <c r="J21" s="5"/>
      <c r="K21" s="5"/>
      <c r="L21" s="5"/>
      <c r="M21" s="5"/>
      <c r="N21" s="5"/>
      <c r="O21" s="5"/>
      <c r="P21" s="5"/>
      <c r="Q21" s="5"/>
      <c r="R21" s="5"/>
      <c r="S21" s="5"/>
      <c r="T21" s="5"/>
      <c r="U21" s="5"/>
      <c r="V21" s="5"/>
      <c r="W21" s="5"/>
      <c r="X21" s="5"/>
      <c r="Y21" s="5"/>
      <c r="Z21" s="5"/>
      <c r="AA21" s="5"/>
      <c r="AB21" s="5"/>
      <c r="AC21" s="5"/>
      <c r="AD21" s="5"/>
    </row>
    <row r="22" customFormat="false" ht="15" hidden="false" customHeight="false" outlineLevel="0" collapsed="false">
      <c r="A22" s="5"/>
      <c r="B22" s="14" t="s">
        <v>67</v>
      </c>
      <c r="C22" s="27" t="n">
        <v>1.25</v>
      </c>
      <c r="D22" s="25" t="s">
        <v>68</v>
      </c>
      <c r="E22" s="8" t="s">
        <v>69</v>
      </c>
      <c r="F22" s="5"/>
      <c r="G22" s="5"/>
      <c r="H22" s="5"/>
      <c r="I22" s="5"/>
      <c r="J22" s="5"/>
      <c r="K22" s="5"/>
      <c r="L22" s="5"/>
      <c r="M22" s="5"/>
      <c r="N22" s="5"/>
      <c r="O22" s="5"/>
      <c r="P22" s="5"/>
      <c r="Q22" s="5"/>
      <c r="R22" s="5"/>
      <c r="S22" s="5"/>
      <c r="T22" s="5"/>
      <c r="U22" s="5"/>
      <c r="V22" s="5"/>
      <c r="W22" s="5"/>
      <c r="X22" s="5"/>
      <c r="Y22" s="5"/>
      <c r="Z22" s="5"/>
      <c r="AA22" s="5"/>
      <c r="AB22" s="5"/>
      <c r="AC22" s="5"/>
      <c r="AD22" s="5"/>
    </row>
    <row r="23" customFormat="false" ht="15" hidden="false" customHeight="false" outlineLevel="0" collapsed="false">
      <c r="A23" s="5"/>
      <c r="B23" s="14" t="s">
        <v>70</v>
      </c>
      <c r="C23" s="27" t="n">
        <v>1.2</v>
      </c>
      <c r="D23" s="25" t="s">
        <v>68</v>
      </c>
      <c r="E23" s="8" t="s">
        <v>71</v>
      </c>
      <c r="F23" s="5"/>
      <c r="G23" s="5"/>
      <c r="H23" s="5"/>
      <c r="I23" s="5"/>
      <c r="J23" s="5"/>
      <c r="K23" s="5"/>
      <c r="L23" s="5"/>
      <c r="M23" s="5"/>
      <c r="N23" s="5"/>
      <c r="O23" s="5"/>
      <c r="P23" s="5"/>
      <c r="Q23" s="5"/>
      <c r="R23" s="5"/>
      <c r="S23" s="5"/>
      <c r="T23" s="5"/>
      <c r="U23" s="5"/>
      <c r="V23" s="5"/>
      <c r="W23" s="5"/>
      <c r="X23" s="5"/>
      <c r="Y23" s="5"/>
      <c r="Z23" s="5"/>
      <c r="AA23" s="5"/>
      <c r="AB23" s="5"/>
      <c r="AC23" s="5"/>
      <c r="AD23" s="5"/>
    </row>
    <row r="24" customFormat="false" ht="15" hidden="false" customHeight="false" outlineLevel="0" collapsed="false">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row>
    <row r="25" customFormat="false" ht="15" hidden="false" customHeight="false" outlineLevel="0" collapsed="false">
      <c r="A25" s="5"/>
      <c r="B25" s="22" t="s">
        <v>72</v>
      </c>
      <c r="C25" s="23"/>
      <c r="D25" s="23"/>
      <c r="E25" s="23"/>
      <c r="F25" s="5"/>
      <c r="G25" s="5"/>
      <c r="H25" s="5"/>
      <c r="I25" s="5"/>
      <c r="J25" s="5"/>
      <c r="K25" s="5"/>
      <c r="L25" s="5"/>
      <c r="M25" s="5"/>
      <c r="N25" s="5"/>
      <c r="O25" s="5"/>
      <c r="P25" s="5"/>
      <c r="Q25" s="5"/>
      <c r="R25" s="5"/>
      <c r="S25" s="5"/>
      <c r="T25" s="5"/>
      <c r="U25" s="5"/>
      <c r="V25" s="5"/>
      <c r="W25" s="5"/>
      <c r="X25" s="5"/>
      <c r="Y25" s="5"/>
      <c r="Z25" s="5"/>
      <c r="AA25" s="5"/>
      <c r="AB25" s="5"/>
      <c r="AC25" s="5"/>
      <c r="AD25" s="5"/>
    </row>
    <row r="26" customFormat="false" ht="15" hidden="false" customHeight="false" outlineLevel="0" collapsed="false">
      <c r="A26" s="5"/>
      <c r="B26" s="14" t="s">
        <v>73</v>
      </c>
      <c r="C26" s="24" t="n">
        <v>55</v>
      </c>
      <c r="D26" s="25" t="s">
        <v>53</v>
      </c>
      <c r="E26" s="8" t="s">
        <v>74</v>
      </c>
      <c r="F26" s="5"/>
      <c r="G26" s="5"/>
      <c r="H26" s="5"/>
      <c r="I26" s="5"/>
      <c r="J26" s="5"/>
      <c r="K26" s="5"/>
      <c r="L26" s="5"/>
      <c r="M26" s="5"/>
      <c r="N26" s="5"/>
      <c r="O26" s="5"/>
      <c r="P26" s="5"/>
      <c r="Q26" s="5"/>
      <c r="R26" s="5"/>
      <c r="S26" s="5"/>
      <c r="T26" s="5"/>
      <c r="U26" s="5"/>
      <c r="V26" s="5"/>
      <c r="W26" s="5"/>
      <c r="X26" s="5"/>
      <c r="Y26" s="5"/>
      <c r="Z26" s="5"/>
      <c r="AA26" s="5"/>
      <c r="AB26" s="5"/>
      <c r="AC26" s="5"/>
      <c r="AD26" s="5"/>
    </row>
    <row r="27" customFormat="false" ht="15" hidden="false" customHeight="false" outlineLevel="0" collapsed="false">
      <c r="A27" s="5"/>
      <c r="B27" s="14" t="s">
        <v>75</v>
      </c>
      <c r="C27" s="26" t="n">
        <v>0.02</v>
      </c>
      <c r="D27" s="25" t="s">
        <v>46</v>
      </c>
      <c r="E27" s="8" t="s">
        <v>56</v>
      </c>
      <c r="F27" s="5"/>
      <c r="G27" s="5"/>
      <c r="H27" s="5"/>
      <c r="I27" s="5"/>
      <c r="J27" s="5"/>
      <c r="K27" s="5"/>
      <c r="L27" s="5"/>
      <c r="M27" s="5"/>
      <c r="N27" s="5"/>
      <c r="O27" s="5"/>
      <c r="P27" s="5"/>
      <c r="Q27" s="5"/>
      <c r="R27" s="5"/>
      <c r="S27" s="5"/>
      <c r="T27" s="5"/>
      <c r="U27" s="5"/>
      <c r="V27" s="5"/>
      <c r="W27" s="5"/>
      <c r="X27" s="5"/>
      <c r="Y27" s="5"/>
      <c r="Z27" s="5"/>
      <c r="AA27" s="5"/>
      <c r="AB27" s="5"/>
      <c r="AC27" s="5"/>
      <c r="AD27" s="5"/>
    </row>
    <row r="28" customFormat="false" ht="15" hidden="false" customHeight="false" outlineLevel="0" collapsed="false">
      <c r="A28" s="5"/>
      <c r="B28" s="14" t="s">
        <v>76</v>
      </c>
      <c r="C28" s="27" t="n">
        <v>1.15</v>
      </c>
      <c r="D28" s="25" t="s">
        <v>68</v>
      </c>
      <c r="E28" s="8" t="s">
        <v>69</v>
      </c>
      <c r="F28" s="5"/>
      <c r="G28" s="5"/>
      <c r="H28" s="5"/>
      <c r="I28" s="5"/>
      <c r="J28" s="5"/>
      <c r="K28" s="5"/>
      <c r="L28" s="5"/>
      <c r="M28" s="5"/>
      <c r="N28" s="5"/>
      <c r="O28" s="5"/>
      <c r="P28" s="5"/>
      <c r="Q28" s="5"/>
      <c r="R28" s="5"/>
      <c r="S28" s="5"/>
      <c r="T28" s="5"/>
      <c r="U28" s="5"/>
      <c r="V28" s="5"/>
      <c r="W28" s="5"/>
      <c r="X28" s="5"/>
      <c r="Y28" s="5"/>
      <c r="Z28" s="5"/>
      <c r="AA28" s="5"/>
      <c r="AB28" s="5"/>
      <c r="AC28" s="5"/>
      <c r="AD28" s="5"/>
    </row>
    <row r="29" customFormat="false" ht="15" hidden="false" customHeight="false" outlineLevel="0" collapsed="false">
      <c r="A29" s="5"/>
      <c r="B29" s="14" t="s">
        <v>77</v>
      </c>
      <c r="C29" s="27" t="n">
        <v>1.1</v>
      </c>
      <c r="D29" s="25" t="s">
        <v>68</v>
      </c>
      <c r="E29" s="8" t="s">
        <v>71</v>
      </c>
      <c r="F29" s="5"/>
      <c r="G29" s="5"/>
      <c r="H29" s="5"/>
      <c r="I29" s="5"/>
      <c r="J29" s="5"/>
      <c r="K29" s="5"/>
      <c r="L29" s="5"/>
      <c r="M29" s="5"/>
      <c r="N29" s="5"/>
      <c r="O29" s="5"/>
      <c r="P29" s="5"/>
      <c r="Q29" s="5"/>
      <c r="R29" s="5"/>
      <c r="S29" s="5"/>
      <c r="T29" s="5"/>
      <c r="U29" s="5"/>
      <c r="V29" s="5"/>
      <c r="W29" s="5"/>
      <c r="X29" s="5"/>
      <c r="Y29" s="5"/>
      <c r="Z29" s="5"/>
      <c r="AA29" s="5"/>
      <c r="AB29" s="5"/>
      <c r="AC29" s="5"/>
      <c r="AD29" s="5"/>
    </row>
    <row r="30" customFormat="false" ht="15" hidden="false" customHeight="false" outlineLevel="0" collapsed="false">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row>
    <row r="31" customFormat="false" ht="15" hidden="false" customHeight="false" outlineLevel="0" collapsed="false">
      <c r="A31" s="5"/>
      <c r="B31" s="22" t="s">
        <v>78</v>
      </c>
      <c r="C31" s="23"/>
      <c r="D31" s="23"/>
      <c r="E31" s="23"/>
      <c r="F31" s="5"/>
      <c r="G31" s="5"/>
      <c r="H31" s="5"/>
      <c r="I31" s="5"/>
      <c r="J31" s="5"/>
      <c r="K31" s="5"/>
      <c r="L31" s="5"/>
      <c r="M31" s="5"/>
      <c r="N31" s="5"/>
      <c r="O31" s="5"/>
      <c r="P31" s="5"/>
      <c r="Q31" s="5"/>
      <c r="R31" s="5"/>
      <c r="S31" s="5"/>
      <c r="T31" s="5"/>
      <c r="U31" s="5"/>
      <c r="V31" s="5"/>
      <c r="W31" s="5"/>
      <c r="X31" s="5"/>
      <c r="Y31" s="5"/>
      <c r="Z31" s="5"/>
      <c r="AA31" s="5"/>
      <c r="AB31" s="5"/>
      <c r="AC31" s="5"/>
      <c r="AD31" s="5"/>
    </row>
    <row r="32" customFormat="false" ht="15" hidden="false" customHeight="false" outlineLevel="0" collapsed="false">
      <c r="A32" s="5"/>
      <c r="B32" s="14" t="s">
        <v>79</v>
      </c>
      <c r="C32" s="24" t="n">
        <v>45</v>
      </c>
      <c r="D32" s="25" t="s">
        <v>53</v>
      </c>
      <c r="E32" s="8" t="s">
        <v>80</v>
      </c>
      <c r="F32" s="5"/>
      <c r="G32" s="5"/>
      <c r="H32" s="5"/>
      <c r="I32" s="5"/>
      <c r="J32" s="5"/>
      <c r="K32" s="5"/>
      <c r="L32" s="5"/>
      <c r="M32" s="5"/>
      <c r="N32" s="5"/>
      <c r="O32" s="5"/>
      <c r="P32" s="5"/>
      <c r="Q32" s="5"/>
      <c r="R32" s="5"/>
      <c r="S32" s="5"/>
      <c r="T32" s="5"/>
      <c r="U32" s="5"/>
      <c r="V32" s="5"/>
      <c r="W32" s="5"/>
      <c r="X32" s="5"/>
      <c r="Y32" s="5"/>
      <c r="Z32" s="5"/>
      <c r="AA32" s="5"/>
      <c r="AB32" s="5"/>
      <c r="AC32" s="5"/>
      <c r="AD32" s="5"/>
    </row>
    <row r="33" customFormat="false" ht="15" hidden="false" customHeight="false" outlineLevel="0" collapsed="false">
      <c r="A33" s="5"/>
      <c r="B33" s="14" t="s">
        <v>81</v>
      </c>
      <c r="C33" s="26" t="n">
        <v>0.0275</v>
      </c>
      <c r="D33" s="25" t="s">
        <v>46</v>
      </c>
      <c r="E33" s="8" t="s">
        <v>56</v>
      </c>
      <c r="F33" s="5"/>
      <c r="G33" s="5"/>
      <c r="H33" s="5"/>
      <c r="I33" s="5"/>
      <c r="J33" s="5"/>
      <c r="K33" s="5"/>
      <c r="L33" s="5"/>
      <c r="M33" s="5"/>
      <c r="N33" s="5"/>
      <c r="O33" s="5"/>
      <c r="P33" s="5"/>
      <c r="Q33" s="5"/>
      <c r="R33" s="5"/>
      <c r="S33" s="5"/>
      <c r="T33" s="5"/>
      <c r="U33" s="5"/>
      <c r="V33" s="5"/>
      <c r="W33" s="5"/>
      <c r="X33" s="5"/>
      <c r="Y33" s="5"/>
      <c r="Z33" s="5"/>
      <c r="AA33" s="5"/>
      <c r="AB33" s="5"/>
      <c r="AC33" s="5"/>
      <c r="AD33" s="5"/>
    </row>
    <row r="34" customFormat="false" ht="15" hidden="false" customHeight="false" outlineLevel="0" collapsed="false">
      <c r="A34" s="5"/>
      <c r="B34" s="14" t="s">
        <v>82</v>
      </c>
      <c r="C34" s="27" t="n">
        <v>1.1</v>
      </c>
      <c r="D34" s="25" t="s">
        <v>68</v>
      </c>
      <c r="E34" s="8" t="s">
        <v>69</v>
      </c>
      <c r="F34" s="5"/>
      <c r="G34" s="5"/>
      <c r="H34" s="5"/>
      <c r="I34" s="5"/>
      <c r="J34" s="5"/>
      <c r="K34" s="5"/>
      <c r="L34" s="5"/>
      <c r="M34" s="5"/>
      <c r="N34" s="5"/>
      <c r="O34" s="5"/>
      <c r="P34" s="5"/>
      <c r="Q34" s="5"/>
      <c r="R34" s="5"/>
      <c r="S34" s="5"/>
      <c r="T34" s="5"/>
      <c r="U34" s="5"/>
      <c r="V34" s="5"/>
      <c r="W34" s="5"/>
      <c r="X34" s="5"/>
      <c r="Y34" s="5"/>
      <c r="Z34" s="5"/>
      <c r="AA34" s="5"/>
      <c r="AB34" s="5"/>
      <c r="AC34" s="5"/>
      <c r="AD34" s="5"/>
    </row>
    <row r="35" customFormat="false" ht="15" hidden="false" customHeight="false" outlineLevel="0" collapsed="false">
      <c r="A35" s="5"/>
      <c r="B35" s="14" t="s">
        <v>83</v>
      </c>
      <c r="C35" s="27" t="n">
        <v>1.05</v>
      </c>
      <c r="D35" s="25" t="s">
        <v>68</v>
      </c>
      <c r="E35" s="8" t="s">
        <v>71</v>
      </c>
      <c r="F35" s="5"/>
      <c r="G35" s="5"/>
      <c r="H35" s="5"/>
      <c r="I35" s="5"/>
      <c r="J35" s="5"/>
      <c r="K35" s="5"/>
      <c r="L35" s="5"/>
      <c r="M35" s="5"/>
      <c r="N35" s="5"/>
      <c r="O35" s="5"/>
      <c r="P35" s="5"/>
      <c r="Q35" s="5"/>
      <c r="R35" s="5"/>
      <c r="S35" s="5"/>
      <c r="T35" s="5"/>
      <c r="U35" s="5"/>
      <c r="V35" s="5"/>
      <c r="W35" s="5"/>
      <c r="X35" s="5"/>
      <c r="Y35" s="5"/>
      <c r="Z35" s="5"/>
      <c r="AA35" s="5"/>
      <c r="AB35" s="5"/>
      <c r="AC35" s="5"/>
      <c r="AD35" s="5"/>
    </row>
    <row r="36" customFormat="false" ht="15" hidden="false" customHeight="false" outlineLevel="0" collapsed="false">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row>
    <row r="37" customFormat="false" ht="15" hidden="false" customHeight="false" outlineLevel="0" collapsed="false">
      <c r="A37" s="5"/>
      <c r="B37" s="22" t="s">
        <v>84</v>
      </c>
      <c r="C37" s="23"/>
      <c r="D37" s="23"/>
      <c r="E37" s="23"/>
      <c r="F37" s="5"/>
      <c r="G37" s="5"/>
      <c r="H37" s="5"/>
      <c r="I37" s="5"/>
      <c r="J37" s="5"/>
      <c r="K37" s="5"/>
      <c r="L37" s="5"/>
      <c r="M37" s="5"/>
      <c r="N37" s="5"/>
      <c r="O37" s="5"/>
      <c r="P37" s="5"/>
      <c r="Q37" s="5"/>
      <c r="R37" s="5"/>
      <c r="S37" s="5"/>
      <c r="T37" s="5"/>
      <c r="U37" s="5"/>
      <c r="V37" s="5"/>
      <c r="W37" s="5"/>
      <c r="X37" s="5"/>
      <c r="Y37" s="5"/>
      <c r="Z37" s="5"/>
      <c r="AA37" s="5"/>
      <c r="AB37" s="5"/>
      <c r="AC37" s="5"/>
      <c r="AD37" s="5"/>
    </row>
    <row r="38" customFormat="false" ht="15" hidden="false" customHeight="false" outlineLevel="0" collapsed="false">
      <c r="A38" s="5"/>
      <c r="B38" s="14" t="s">
        <v>85</v>
      </c>
      <c r="C38" s="24" t="n">
        <v>35</v>
      </c>
      <c r="D38" s="25" t="s">
        <v>53</v>
      </c>
      <c r="E38" s="8" t="s">
        <v>86</v>
      </c>
      <c r="F38" s="5"/>
      <c r="G38" s="5"/>
      <c r="H38" s="5"/>
      <c r="I38" s="5"/>
      <c r="J38" s="5"/>
      <c r="K38" s="5"/>
      <c r="L38" s="5"/>
      <c r="M38" s="5"/>
      <c r="N38" s="5"/>
      <c r="O38" s="5"/>
      <c r="P38" s="5"/>
      <c r="Q38" s="5"/>
      <c r="R38" s="5"/>
      <c r="S38" s="5"/>
      <c r="T38" s="5"/>
      <c r="U38" s="5"/>
      <c r="V38" s="5"/>
      <c r="W38" s="5"/>
      <c r="X38" s="5"/>
      <c r="Y38" s="5"/>
      <c r="Z38" s="5"/>
      <c r="AA38" s="5"/>
      <c r="AB38" s="5"/>
      <c r="AC38" s="5"/>
      <c r="AD38" s="5"/>
    </row>
    <row r="39" customFormat="false" ht="15" hidden="false" customHeight="false" outlineLevel="0" collapsed="false">
      <c r="A39" s="5"/>
      <c r="B39" s="14" t="s">
        <v>87</v>
      </c>
      <c r="C39" s="26" t="n">
        <v>0.04</v>
      </c>
      <c r="D39" s="25" t="s">
        <v>46</v>
      </c>
      <c r="E39" s="8" t="s">
        <v>56</v>
      </c>
      <c r="F39" s="5"/>
      <c r="G39" s="5"/>
      <c r="H39" s="5"/>
      <c r="I39" s="5"/>
      <c r="J39" s="5"/>
      <c r="K39" s="5"/>
      <c r="L39" s="5"/>
      <c r="M39" s="5"/>
      <c r="N39" s="5"/>
      <c r="O39" s="5"/>
      <c r="P39" s="5"/>
      <c r="Q39" s="5"/>
      <c r="R39" s="5"/>
      <c r="S39" s="5"/>
      <c r="T39" s="5"/>
      <c r="U39" s="5"/>
      <c r="V39" s="5"/>
      <c r="W39" s="5"/>
      <c r="X39" s="5"/>
      <c r="Y39" s="5"/>
      <c r="Z39" s="5"/>
      <c r="AA39" s="5"/>
      <c r="AB39" s="5"/>
      <c r="AC39" s="5"/>
      <c r="AD39" s="5"/>
    </row>
    <row r="40" customFormat="false" ht="15" hidden="false" customHeight="false" outlineLevel="0" collapsed="false">
      <c r="A40" s="5"/>
      <c r="B40" s="14" t="s">
        <v>88</v>
      </c>
      <c r="C40" s="27" t="n">
        <v>1.05</v>
      </c>
      <c r="D40" s="25" t="s">
        <v>68</v>
      </c>
      <c r="E40" s="8" t="s">
        <v>69</v>
      </c>
      <c r="F40" s="5"/>
      <c r="G40" s="5"/>
      <c r="H40" s="5"/>
      <c r="I40" s="5"/>
      <c r="J40" s="5"/>
      <c r="K40" s="5"/>
      <c r="L40" s="5"/>
      <c r="M40" s="5"/>
      <c r="N40" s="5"/>
      <c r="O40" s="5"/>
      <c r="P40" s="5"/>
      <c r="Q40" s="5"/>
      <c r="R40" s="5"/>
      <c r="S40" s="5"/>
      <c r="T40" s="5"/>
      <c r="U40" s="5"/>
      <c r="V40" s="5"/>
      <c r="W40" s="5"/>
      <c r="X40" s="5"/>
      <c r="Y40" s="5"/>
      <c r="Z40" s="5"/>
      <c r="AA40" s="5"/>
      <c r="AB40" s="5"/>
      <c r="AC40" s="5"/>
      <c r="AD40" s="5"/>
    </row>
    <row r="41" customFormat="false" ht="15" hidden="false" customHeight="false" outlineLevel="0" collapsed="false">
      <c r="A41" s="5"/>
      <c r="B41" s="14" t="s">
        <v>89</v>
      </c>
      <c r="C41" s="27" t="n">
        <v>1</v>
      </c>
      <c r="D41" s="25" t="s">
        <v>68</v>
      </c>
      <c r="E41" s="8" t="s">
        <v>71</v>
      </c>
      <c r="F41" s="5"/>
      <c r="G41" s="5"/>
      <c r="H41" s="5"/>
      <c r="I41" s="5"/>
      <c r="J41" s="5"/>
      <c r="K41" s="5"/>
      <c r="L41" s="5"/>
      <c r="M41" s="5"/>
      <c r="N41" s="5"/>
      <c r="O41" s="5"/>
      <c r="P41" s="5"/>
      <c r="Q41" s="5"/>
      <c r="R41" s="5"/>
      <c r="S41" s="5"/>
      <c r="T41" s="5"/>
      <c r="U41" s="5"/>
      <c r="V41" s="5"/>
      <c r="W41" s="5"/>
      <c r="X41" s="5"/>
      <c r="Y41" s="5"/>
      <c r="Z41" s="5"/>
      <c r="AA41" s="5"/>
      <c r="AB41" s="5"/>
      <c r="AC41" s="5"/>
      <c r="AD41" s="5"/>
    </row>
    <row r="42" customFormat="false" ht="15" hidden="false" customHeight="false" outlineLevel="0" collapsed="false">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row>
    <row r="43" customFormat="false" ht="15" hidden="false" customHeight="false" outlineLevel="0" collapsed="false">
      <c r="A43" s="5"/>
      <c r="B43" s="22" t="s">
        <v>90</v>
      </c>
      <c r="C43" s="23"/>
      <c r="D43" s="23"/>
      <c r="E43" s="23"/>
      <c r="F43" s="5"/>
      <c r="G43" s="5"/>
      <c r="H43" s="5"/>
      <c r="I43" s="5"/>
      <c r="J43" s="5"/>
      <c r="K43" s="5"/>
      <c r="L43" s="5"/>
      <c r="M43" s="5"/>
      <c r="N43" s="5"/>
      <c r="O43" s="5"/>
      <c r="P43" s="5"/>
      <c r="Q43" s="5"/>
      <c r="R43" s="5"/>
      <c r="S43" s="5"/>
      <c r="T43" s="5"/>
      <c r="U43" s="5"/>
      <c r="V43" s="5"/>
      <c r="W43" s="5"/>
      <c r="X43" s="5"/>
      <c r="Y43" s="5"/>
      <c r="Z43" s="5"/>
      <c r="AA43" s="5"/>
      <c r="AB43" s="5"/>
      <c r="AC43" s="5"/>
      <c r="AD43" s="5"/>
    </row>
    <row r="44" customFormat="false" ht="15" hidden="false" customHeight="false" outlineLevel="0" collapsed="false">
      <c r="A44" s="5"/>
      <c r="B44" s="14" t="s">
        <v>91</v>
      </c>
      <c r="C44" s="24" t="n">
        <v>50</v>
      </c>
      <c r="D44" s="25" t="s">
        <v>53</v>
      </c>
      <c r="E44" s="8" t="s">
        <v>92</v>
      </c>
      <c r="F44" s="5"/>
      <c r="G44" s="5"/>
      <c r="H44" s="5"/>
      <c r="I44" s="5"/>
      <c r="J44" s="5"/>
      <c r="K44" s="5"/>
      <c r="L44" s="5"/>
      <c r="M44" s="5"/>
      <c r="N44" s="5"/>
      <c r="O44" s="5"/>
      <c r="P44" s="5"/>
      <c r="Q44" s="5"/>
      <c r="R44" s="5"/>
      <c r="S44" s="5"/>
      <c r="T44" s="5"/>
      <c r="U44" s="5"/>
      <c r="V44" s="5"/>
      <c r="W44" s="5"/>
      <c r="X44" s="5"/>
      <c r="Y44" s="5"/>
      <c r="Z44" s="5"/>
      <c r="AA44" s="5"/>
      <c r="AB44" s="5"/>
      <c r="AC44" s="5"/>
      <c r="AD44" s="5"/>
    </row>
    <row r="45" customFormat="false" ht="15" hidden="false" customHeight="false" outlineLevel="0" collapsed="false">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row>
    <row r="46" customFormat="false" ht="15" hidden="false" customHeight="false" outlineLevel="0" collapsed="false">
      <c r="A46" s="5"/>
      <c r="B46" s="22" t="s">
        <v>93</v>
      </c>
      <c r="C46" s="23"/>
      <c r="D46" s="23"/>
      <c r="E46" s="23"/>
      <c r="F46" s="5"/>
      <c r="G46" s="5"/>
      <c r="H46" s="5"/>
      <c r="I46" s="5"/>
      <c r="J46" s="5"/>
      <c r="K46" s="5"/>
      <c r="L46" s="5"/>
      <c r="M46" s="5"/>
      <c r="N46" s="5"/>
      <c r="O46" s="5"/>
      <c r="P46" s="5"/>
      <c r="Q46" s="5"/>
      <c r="R46" s="5"/>
      <c r="S46" s="5"/>
      <c r="T46" s="5"/>
      <c r="U46" s="5"/>
      <c r="V46" s="5"/>
      <c r="W46" s="5"/>
      <c r="X46" s="5"/>
      <c r="Y46" s="5"/>
      <c r="Z46" s="5"/>
      <c r="AA46" s="5"/>
      <c r="AB46" s="5"/>
      <c r="AC46" s="5"/>
      <c r="AD46" s="5"/>
    </row>
    <row r="47" customFormat="false" ht="15" hidden="false" customHeight="false" outlineLevel="0" collapsed="false">
      <c r="A47" s="5"/>
      <c r="B47" s="14" t="s">
        <v>94</v>
      </c>
      <c r="C47" s="26" t="n">
        <v>0.0002</v>
      </c>
      <c r="D47" s="25" t="s">
        <v>46</v>
      </c>
      <c r="E47" s="8" t="s">
        <v>95</v>
      </c>
      <c r="F47" s="5"/>
      <c r="G47" s="5"/>
      <c r="H47" s="5"/>
      <c r="I47" s="5"/>
      <c r="J47" s="5"/>
      <c r="K47" s="5"/>
      <c r="L47" s="5"/>
      <c r="M47" s="5"/>
      <c r="N47" s="5"/>
      <c r="O47" s="5"/>
      <c r="P47" s="5"/>
      <c r="Q47" s="5"/>
      <c r="R47" s="5"/>
      <c r="S47" s="5"/>
      <c r="T47" s="5"/>
      <c r="U47" s="5"/>
      <c r="V47" s="5"/>
      <c r="W47" s="5"/>
      <c r="X47" s="5"/>
      <c r="Y47" s="5"/>
      <c r="Z47" s="5"/>
      <c r="AA47" s="5"/>
      <c r="AB47" s="5"/>
      <c r="AC47" s="5"/>
      <c r="AD47" s="5"/>
    </row>
    <row r="48" customFormat="false" ht="15" hidden="false" customHeight="false" outlineLevel="0" collapsed="false">
      <c r="A48" s="5"/>
      <c r="B48" s="14" t="s">
        <v>96</v>
      </c>
      <c r="C48" s="26" t="n">
        <v>0.0003</v>
      </c>
      <c r="D48" s="25" t="s">
        <v>46</v>
      </c>
      <c r="E48" s="8" t="s">
        <v>95</v>
      </c>
      <c r="F48" s="5"/>
      <c r="G48" s="5"/>
      <c r="H48" s="5"/>
      <c r="I48" s="5"/>
      <c r="J48" s="5"/>
      <c r="K48" s="5"/>
      <c r="L48" s="5"/>
      <c r="M48" s="5"/>
      <c r="N48" s="5"/>
      <c r="O48" s="5"/>
      <c r="P48" s="5"/>
      <c r="Q48" s="5"/>
      <c r="R48" s="5"/>
      <c r="S48" s="5"/>
      <c r="T48" s="5"/>
      <c r="U48" s="5"/>
      <c r="V48" s="5"/>
      <c r="W48" s="5"/>
      <c r="X48" s="5"/>
      <c r="Y48" s="5"/>
      <c r="Z48" s="5"/>
      <c r="AA48" s="5"/>
      <c r="AB48" s="5"/>
      <c r="AC48" s="5"/>
      <c r="AD48" s="5"/>
    </row>
    <row r="49" customFormat="false" ht="15" hidden="false" customHeight="false" outlineLevel="0" collapsed="false">
      <c r="A49" s="5"/>
      <c r="B49" s="14" t="s">
        <v>97</v>
      </c>
      <c r="C49" s="26" t="n">
        <v>0.002</v>
      </c>
      <c r="D49" s="25" t="s">
        <v>46</v>
      </c>
      <c r="E49" s="8" t="s">
        <v>95</v>
      </c>
      <c r="F49" s="5"/>
      <c r="G49" s="5"/>
      <c r="H49" s="5"/>
      <c r="I49" s="5"/>
      <c r="J49" s="5"/>
      <c r="K49" s="5"/>
      <c r="L49" s="5"/>
      <c r="M49" s="5"/>
      <c r="N49" s="5"/>
      <c r="O49" s="5"/>
      <c r="P49" s="5"/>
      <c r="Q49" s="5"/>
      <c r="R49" s="5"/>
      <c r="S49" s="5"/>
      <c r="T49" s="5"/>
      <c r="U49" s="5"/>
      <c r="V49" s="5"/>
      <c r="W49" s="5"/>
      <c r="X49" s="5"/>
      <c r="Y49" s="5"/>
      <c r="Z49" s="5"/>
      <c r="AA49" s="5"/>
      <c r="AB49" s="5"/>
      <c r="AC49" s="5"/>
      <c r="AD49" s="5"/>
    </row>
    <row r="50" customFormat="false" ht="15" hidden="false" customHeight="false" outlineLevel="0" collapsed="false">
      <c r="A50" s="5"/>
      <c r="B50" s="14" t="s">
        <v>98</v>
      </c>
      <c r="C50" s="26" t="n">
        <v>0.002</v>
      </c>
      <c r="D50" s="25" t="s">
        <v>46</v>
      </c>
      <c r="E50" s="8" t="s">
        <v>95</v>
      </c>
      <c r="F50" s="5"/>
      <c r="G50" s="5"/>
      <c r="H50" s="5"/>
      <c r="I50" s="5"/>
      <c r="J50" s="5"/>
      <c r="K50" s="5"/>
      <c r="L50" s="5"/>
      <c r="M50" s="5"/>
      <c r="N50" s="5"/>
      <c r="O50" s="5"/>
      <c r="P50" s="5"/>
      <c r="Q50" s="5"/>
      <c r="R50" s="5"/>
      <c r="S50" s="5"/>
      <c r="T50" s="5"/>
      <c r="U50" s="5"/>
      <c r="V50" s="5"/>
      <c r="W50" s="5"/>
      <c r="X50" s="5"/>
      <c r="Y50" s="5"/>
      <c r="Z50" s="5"/>
      <c r="AA50" s="5"/>
      <c r="AB50" s="5"/>
      <c r="AC50" s="5"/>
      <c r="AD50"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1" customFormat="false" ht="15" hidden="false" customHeight="false" outlineLevel="0" collapsed="false">
      <c r="A1" s="5"/>
      <c r="B1" s="5"/>
    </row>
    <row r="2" customFormat="false" ht="31.5" hidden="false" customHeight="true" outlineLevel="0" collapsed="false">
      <c r="A2" s="5"/>
      <c r="B2" s="28" t="s">
        <v>99</v>
      </c>
    </row>
    <row r="3" customFormat="false" ht="3.75" hidden="false" customHeight="true" outlineLevel="0" collapsed="false">
      <c r="A3" s="5"/>
      <c r="B3" s="29"/>
    </row>
    <row r="4" customFormat="false" ht="15" hidden="false" customHeight="false" outlineLevel="0" collapsed="false">
      <c r="A4" s="5"/>
      <c r="B4" s="5"/>
    </row>
    <row r="5" customFormat="false" ht="19.5" hidden="false" customHeight="true" outlineLevel="0" collapsed="false">
      <c r="A5" s="5"/>
      <c r="B5" s="30" t="s">
        <v>100</v>
      </c>
    </row>
    <row r="6" customFormat="false" ht="48" hidden="false" customHeight="true" outlineLevel="0" collapsed="false">
      <c r="A6" s="5"/>
      <c r="B6" s="31" t="s">
        <v>101</v>
      </c>
    </row>
    <row r="7" customFormat="false" ht="15" hidden="false" customHeight="false" outlineLevel="0" collapsed="false">
      <c r="A7" s="5"/>
      <c r="B7" s="5"/>
    </row>
    <row r="8" customFormat="false" ht="19.5" hidden="false" customHeight="true" outlineLevel="0" collapsed="false">
      <c r="A8" s="5"/>
      <c r="B8" s="30" t="s">
        <v>102</v>
      </c>
    </row>
    <row r="9" customFormat="false" ht="61.5" hidden="false" customHeight="true" outlineLevel="0" collapsed="false">
      <c r="A9" s="5"/>
      <c r="B9" s="31" t="s">
        <v>103</v>
      </c>
    </row>
    <row r="10" customFormat="false" ht="15" hidden="false" customHeight="false" outlineLevel="0" collapsed="false">
      <c r="A10" s="5"/>
      <c r="B10" s="5"/>
    </row>
    <row r="11" customFormat="false" ht="19.5" hidden="false" customHeight="true" outlineLevel="0" collapsed="false">
      <c r="A11" s="5"/>
      <c r="B11" s="30" t="s">
        <v>104</v>
      </c>
    </row>
    <row r="12" customFormat="false" ht="75.75" hidden="false" customHeight="true" outlineLevel="0" collapsed="false">
      <c r="A12" s="5"/>
      <c r="B12" s="31" t="s">
        <v>105</v>
      </c>
    </row>
    <row r="13" customFormat="false" ht="15" hidden="false" customHeight="false" outlineLevel="0" collapsed="false">
      <c r="A13" s="5"/>
      <c r="B13" s="5"/>
    </row>
    <row r="14" customFormat="false" ht="19.5" hidden="false" customHeight="true" outlineLevel="0" collapsed="false">
      <c r="A14" s="5"/>
      <c r="B14" s="30" t="s">
        <v>106</v>
      </c>
    </row>
    <row r="15" customFormat="false" ht="61.5" hidden="false" customHeight="true" outlineLevel="0" collapsed="false">
      <c r="A15" s="5"/>
      <c r="B15" s="31" t="s">
        <v>107</v>
      </c>
    </row>
    <row r="16" customFormat="false" ht="15" hidden="false" customHeight="false" outlineLevel="0" collapsed="false">
      <c r="A16" s="5"/>
      <c r="B16" s="5"/>
    </row>
    <row r="17" customFormat="false" ht="19.5" hidden="false" customHeight="true" outlineLevel="0" collapsed="false">
      <c r="A17" s="5"/>
      <c r="B17" s="30" t="s">
        <v>108</v>
      </c>
    </row>
    <row r="18" customFormat="false" ht="33.75" hidden="false" customHeight="true" outlineLevel="0" collapsed="false">
      <c r="A18" s="5"/>
      <c r="B18" s="31" t="s">
        <v>109</v>
      </c>
    </row>
    <row r="19" customFormat="false" ht="15" hidden="false" customHeight="false" outlineLevel="0" collapsed="false">
      <c r="A19" s="5"/>
      <c r="B19" s="5"/>
    </row>
    <row r="20" customFormat="false" ht="19.5" hidden="false" customHeight="true" outlineLevel="0" collapsed="false">
      <c r="A20" s="5"/>
      <c r="B20" s="30" t="s">
        <v>110</v>
      </c>
    </row>
    <row r="21" customFormat="false" ht="33.75" hidden="false" customHeight="true" outlineLevel="0" collapsed="false">
      <c r="A21" s="5"/>
      <c r="B21" s="31" t="s">
        <v>111</v>
      </c>
    </row>
    <row r="22" customFormat="false" ht="15" hidden="false" customHeight="false" outlineLevel="0" collapsed="false">
      <c r="A22" s="5"/>
      <c r="B22" s="5"/>
    </row>
    <row r="23" customFormat="false" ht="21.75" hidden="false" customHeight="true" outlineLevel="0" collapsed="false">
      <c r="A23" s="5"/>
      <c r="B23" s="32" t="s">
        <v>112</v>
      </c>
    </row>
    <row r="24" customFormat="false" ht="15" hidden="false" customHeight="false" outlineLevel="0" collapsed="false">
      <c r="A24" s="5"/>
      <c r="B24" s="5"/>
    </row>
    <row r="25" customFormat="false" ht="18" hidden="false" customHeight="true" outlineLevel="0" collapsed="false">
      <c r="A25" s="5"/>
      <c r="B25" s="33" t="s">
        <v>113</v>
      </c>
    </row>
    <row r="26" customFormat="false" ht="201.75" hidden="false" customHeight="true" outlineLevel="0" collapsed="false">
      <c r="A26" s="5"/>
      <c r="B26" s="34" t="s">
        <v>114</v>
      </c>
    </row>
    <row r="27" customFormat="false" ht="15" hidden="false" customHeight="false" outlineLevel="0" collapsed="false">
      <c r="A27" s="5"/>
      <c r="B27" s="5"/>
    </row>
    <row r="28" customFormat="false" ht="18" hidden="false" customHeight="true" outlineLevel="0" collapsed="false">
      <c r="A28" s="5"/>
      <c r="B28" s="35" t="s">
        <v>115</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J2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4"/>
    <col collapsed="false" customWidth="true" hidden="false" outlineLevel="0" max="10" min="3" style="0" width="16"/>
  </cols>
  <sheetData>
    <row r="1" customFormat="false" ht="15" hidden="false" customHeight="false" outlineLevel="0" collapsed="false">
      <c r="A1" s="5"/>
      <c r="B1" s="5"/>
      <c r="C1" s="5"/>
      <c r="D1" s="5"/>
      <c r="E1" s="5"/>
      <c r="F1" s="5"/>
      <c r="G1" s="5"/>
      <c r="H1" s="5"/>
      <c r="I1" s="5"/>
      <c r="J1" s="5"/>
    </row>
    <row r="2" customFormat="false" ht="22.05" hidden="false" customHeight="false" outlineLevel="0" collapsed="false">
      <c r="A2" s="5"/>
      <c r="B2" s="36" t="s">
        <v>116</v>
      </c>
      <c r="C2" s="5"/>
      <c r="D2" s="5"/>
      <c r="E2" s="5"/>
      <c r="F2" s="5"/>
      <c r="G2" s="5"/>
      <c r="H2" s="5"/>
      <c r="I2" s="5"/>
      <c r="J2" s="5"/>
    </row>
    <row r="3" customFormat="false" ht="15" hidden="false" customHeight="false" outlineLevel="0" collapsed="false">
      <c r="A3" s="5"/>
      <c r="B3" s="37" t="s">
        <v>117</v>
      </c>
      <c r="C3" s="5"/>
      <c r="D3" s="5"/>
      <c r="E3" s="5"/>
      <c r="F3" s="5"/>
      <c r="G3" s="5"/>
      <c r="H3" s="5"/>
      <c r="I3" s="5"/>
      <c r="J3" s="5"/>
    </row>
    <row r="4" customFormat="false" ht="15" hidden="false" customHeight="false" outlineLevel="0" collapsed="false">
      <c r="A4" s="5"/>
      <c r="B4" s="5"/>
      <c r="C4" s="5"/>
      <c r="D4" s="5"/>
      <c r="E4" s="5"/>
      <c r="F4" s="5"/>
      <c r="G4" s="5"/>
      <c r="H4" s="5"/>
      <c r="I4" s="5"/>
      <c r="J4" s="5"/>
    </row>
    <row r="5" customFormat="false" ht="15" hidden="false" customHeight="false" outlineLevel="0" collapsed="false">
      <c r="A5" s="5"/>
      <c r="B5" s="38" t="s">
        <v>118</v>
      </c>
      <c r="C5" s="39" t="n">
        <v>2025</v>
      </c>
      <c r="D5" s="39" t="n">
        <v>2026</v>
      </c>
      <c r="E5" s="39" t="n">
        <v>2027</v>
      </c>
      <c r="F5" s="39" t="n">
        <v>2028</v>
      </c>
      <c r="G5" s="39" t="n">
        <v>2029</v>
      </c>
      <c r="H5" s="39" t="n">
        <v>2030</v>
      </c>
      <c r="I5" s="39" t="n">
        <v>2031</v>
      </c>
      <c r="J5" s="39" t="n">
        <v>2032</v>
      </c>
    </row>
    <row r="6" customFormat="false" ht="15" hidden="false" customHeight="false" outlineLevel="0" collapsed="false">
      <c r="A6" s="5"/>
      <c r="B6" s="8" t="s">
        <v>119</v>
      </c>
      <c r="C6" s="40" t="n">
        <v>1</v>
      </c>
      <c r="D6" s="40" t="n">
        <v>2</v>
      </c>
      <c r="E6" s="40" t="n">
        <v>3</v>
      </c>
      <c r="F6" s="40" t="n">
        <v>4</v>
      </c>
      <c r="G6" s="40" t="n">
        <v>5</v>
      </c>
      <c r="H6" s="40" t="n">
        <v>6</v>
      </c>
      <c r="I6" s="40" t="n">
        <v>7</v>
      </c>
      <c r="J6" s="40" t="n">
        <v>8</v>
      </c>
    </row>
    <row r="7" customFormat="false" ht="15" hidden="false" customHeight="false" outlineLevel="0" collapsed="false">
      <c r="A7" s="5"/>
      <c r="B7" s="5"/>
      <c r="C7" s="5"/>
      <c r="D7" s="5"/>
      <c r="E7" s="5"/>
      <c r="F7" s="5"/>
      <c r="G7" s="5"/>
      <c r="H7" s="5"/>
      <c r="I7" s="5"/>
      <c r="J7" s="5"/>
    </row>
    <row r="8" customFormat="false" ht="15" hidden="false" customHeight="false" outlineLevel="0" collapsed="false">
      <c r="A8" s="5"/>
      <c r="B8" s="41" t="s">
        <v>120</v>
      </c>
      <c r="C8" s="16"/>
      <c r="D8" s="16"/>
      <c r="E8" s="16"/>
      <c r="F8" s="16"/>
      <c r="G8" s="16"/>
      <c r="H8" s="16"/>
      <c r="I8" s="16"/>
      <c r="J8" s="16"/>
    </row>
    <row r="9" customFormat="false" ht="15" hidden="false" customHeight="false" outlineLevel="0" collapsed="false">
      <c r="A9" s="5"/>
      <c r="B9" s="14" t="s">
        <v>121</v>
      </c>
      <c r="C9" s="42" t="n">
        <f aca="false">Portfolio_Par</f>
        <v>500</v>
      </c>
      <c r="D9" s="42" t="n">
        <f aca="false">C15</f>
        <v>496.5</v>
      </c>
      <c r="E9" s="42" t="n">
        <f aca="false">D15</f>
        <v>493.0245</v>
      </c>
      <c r="F9" s="42" t="n">
        <f aca="false">E15</f>
        <v>489.5733285</v>
      </c>
      <c r="G9" s="42" t="n">
        <f aca="false">F15</f>
        <v>486.1463152005</v>
      </c>
      <c r="H9" s="42" t="n">
        <f aca="false">G15</f>
        <v>482.743290994097</v>
      </c>
      <c r="I9" s="42" t="n">
        <f aca="false">H15</f>
        <v>431.089758857728</v>
      </c>
      <c r="J9" s="42" t="n">
        <f aca="false">I15</f>
        <v>384.963154659951</v>
      </c>
    </row>
    <row r="10" customFormat="false" ht="15" hidden="false" customHeight="false" outlineLevel="0" collapsed="false">
      <c r="A10" s="5"/>
      <c r="B10" s="43" t="s">
        <v>122</v>
      </c>
      <c r="C10" s="42" t="n">
        <f aca="false">C9*Default_Rate</f>
        <v>10</v>
      </c>
      <c r="D10" s="42" t="n">
        <f aca="false">D9*Default_Rate</f>
        <v>9.93</v>
      </c>
      <c r="E10" s="42" t="n">
        <f aca="false">E9*Default_Rate</f>
        <v>9.86049</v>
      </c>
      <c r="F10" s="42" t="n">
        <f aca="false">F9*Default_Rate</f>
        <v>9.79146657</v>
      </c>
      <c r="G10" s="42" t="n">
        <f aca="false">G9*Default_Rate</f>
        <v>9.72292630401</v>
      </c>
      <c r="H10" s="42" t="n">
        <f aca="false">H9*Default_Rate</f>
        <v>9.65486581988193</v>
      </c>
      <c r="I10" s="42" t="n">
        <f aca="false">I9*Default_Rate</f>
        <v>8.62179517715456</v>
      </c>
      <c r="J10" s="42" t="n">
        <f aca="false">J9*Default_Rate</f>
        <v>7.69926309319903</v>
      </c>
    </row>
    <row r="11" customFormat="false" ht="15" hidden="false" customHeight="false" outlineLevel="0" collapsed="false">
      <c r="A11" s="5"/>
      <c r="B11" s="43" t="s">
        <v>123</v>
      </c>
      <c r="C11" s="42" t="n">
        <f aca="false">C10*Recovery_Rate</f>
        <v>6.5</v>
      </c>
      <c r="D11" s="42" t="n">
        <f aca="false">D10*Recovery_Rate</f>
        <v>6.4545</v>
      </c>
      <c r="E11" s="42" t="n">
        <f aca="false">E10*Recovery_Rate</f>
        <v>6.4093185</v>
      </c>
      <c r="F11" s="42" t="n">
        <f aca="false">F10*Recovery_Rate</f>
        <v>6.3644532705</v>
      </c>
      <c r="G11" s="42" t="n">
        <f aca="false">G10*Recovery_Rate</f>
        <v>6.3199020976065</v>
      </c>
      <c r="H11" s="42" t="n">
        <f aca="false">H10*Recovery_Rate</f>
        <v>6.27566278292326</v>
      </c>
      <c r="I11" s="42" t="n">
        <f aca="false">I10*Recovery_Rate</f>
        <v>5.60416686515047</v>
      </c>
      <c r="J11" s="42" t="n">
        <f aca="false">J10*Recovery_Rate</f>
        <v>5.00452101057937</v>
      </c>
    </row>
    <row r="12" customFormat="false" ht="15" hidden="false" customHeight="false" outlineLevel="0" collapsed="false">
      <c r="A12" s="5"/>
      <c r="B12" s="44" t="s">
        <v>124</v>
      </c>
      <c r="C12" s="45" t="n">
        <f aca="false">C10-C11</f>
        <v>3.5</v>
      </c>
      <c r="D12" s="45" t="n">
        <f aca="false">D10-D11</f>
        <v>3.4755</v>
      </c>
      <c r="E12" s="45" t="n">
        <f aca="false">E10-E11</f>
        <v>3.4511715</v>
      </c>
      <c r="F12" s="45" t="n">
        <f aca="false">F10-F11</f>
        <v>3.4270132995</v>
      </c>
      <c r="G12" s="45" t="n">
        <f aca="false">G10-G11</f>
        <v>3.4030242064035</v>
      </c>
      <c r="H12" s="45" t="n">
        <f aca="false">H10-H11</f>
        <v>3.37920303695868</v>
      </c>
      <c r="I12" s="45" t="n">
        <f aca="false">I10-I11</f>
        <v>3.0176283120041</v>
      </c>
      <c r="J12" s="45" t="n">
        <f aca="false">J10-J11</f>
        <v>2.69474208261966</v>
      </c>
    </row>
    <row r="13" customFormat="false" ht="15" hidden="false" customHeight="false" outlineLevel="0" collapsed="false">
      <c r="A13" s="5"/>
      <c r="B13" s="5"/>
      <c r="C13" s="5"/>
      <c r="D13" s="5"/>
      <c r="E13" s="5"/>
      <c r="F13" s="5"/>
      <c r="G13" s="5"/>
      <c r="H13" s="5"/>
      <c r="I13" s="5"/>
      <c r="J13" s="5"/>
    </row>
    <row r="14" customFormat="false" ht="15" hidden="false" customHeight="false" outlineLevel="0" collapsed="false">
      <c r="A14" s="5"/>
      <c r="B14" s="43" t="s">
        <v>125</v>
      </c>
      <c r="C14" s="42" t="n">
        <f aca="false">IF(C6&gt;Reinvest_End,C9*Amort_Rate,0)</f>
        <v>0</v>
      </c>
      <c r="D14" s="42" t="n">
        <f aca="false">IF(D6&gt;Reinvest_End,D9*Amort_Rate,0)</f>
        <v>0</v>
      </c>
      <c r="E14" s="42" t="n">
        <f aca="false">IF(E6&gt;Reinvest_End,E9*Amort_Rate,0)</f>
        <v>0</v>
      </c>
      <c r="F14" s="42" t="n">
        <f aca="false">IF(F6&gt;Reinvest_End,F9*Amort_Rate,0)</f>
        <v>0</v>
      </c>
      <c r="G14" s="42" t="n">
        <f aca="false">IF(G6&gt;Reinvest_End,G9*Amort_Rate,0)</f>
        <v>0</v>
      </c>
      <c r="H14" s="42" t="n">
        <f aca="false">IF(H6&gt;Reinvest_End,H9*Amort_Rate,0)</f>
        <v>48.2743290994097</v>
      </c>
      <c r="I14" s="42" t="n">
        <f aca="false">IF(I6&gt;Reinvest_End,I9*Amort_Rate,0)</f>
        <v>43.1089758857728</v>
      </c>
      <c r="J14" s="42" t="n">
        <f aca="false">IF(J6&gt;Reinvest_End,J9*Amort_Rate,0)</f>
        <v>38.4963154659951</v>
      </c>
    </row>
    <row r="15" customFormat="false" ht="15" hidden="false" customHeight="false" outlineLevel="0" collapsed="false">
      <c r="A15" s="5"/>
      <c r="B15" s="44" t="s">
        <v>126</v>
      </c>
      <c r="C15" s="46" t="n">
        <f aca="false">C9-C12-C14</f>
        <v>496.5</v>
      </c>
      <c r="D15" s="46" t="n">
        <f aca="false">D9-D12-D14</f>
        <v>493.0245</v>
      </c>
      <c r="E15" s="46" t="n">
        <f aca="false">E9-E12-E14</f>
        <v>489.5733285</v>
      </c>
      <c r="F15" s="46" t="n">
        <f aca="false">F9-F12-F14</f>
        <v>486.1463152005</v>
      </c>
      <c r="G15" s="46" t="n">
        <f aca="false">G9-G12-G14</f>
        <v>482.743290994097</v>
      </c>
      <c r="H15" s="46" t="n">
        <f aca="false">H9-H12-H14</f>
        <v>431.089758857728</v>
      </c>
      <c r="I15" s="46" t="n">
        <f aca="false">I9-I12-I14</f>
        <v>384.963154659951</v>
      </c>
      <c r="J15" s="46" t="n">
        <f aca="false">J9-J12-J14</f>
        <v>343.772097111336</v>
      </c>
    </row>
    <row r="16" customFormat="false" ht="15" hidden="false" customHeight="false" outlineLevel="0" collapsed="false">
      <c r="A16" s="5"/>
      <c r="B16" s="5"/>
      <c r="C16" s="5"/>
      <c r="D16" s="5"/>
      <c r="E16" s="5"/>
      <c r="F16" s="5"/>
      <c r="G16" s="5"/>
      <c r="H16" s="5"/>
      <c r="I16" s="5"/>
      <c r="J16" s="5"/>
    </row>
    <row r="17" customFormat="false" ht="15" hidden="false" customHeight="false" outlineLevel="0" collapsed="false">
      <c r="A17" s="5"/>
      <c r="B17" s="41" t="s">
        <v>127</v>
      </c>
      <c r="C17" s="16"/>
      <c r="D17" s="16"/>
      <c r="E17" s="16"/>
      <c r="F17" s="16"/>
      <c r="G17" s="16"/>
      <c r="H17" s="16"/>
      <c r="I17" s="16"/>
      <c r="J17" s="16"/>
    </row>
    <row r="18" customFormat="false" ht="15" hidden="false" customHeight="false" outlineLevel="0" collapsed="false">
      <c r="A18" s="5"/>
      <c r="B18" s="43" t="s">
        <v>128</v>
      </c>
      <c r="C18" s="47" t="n">
        <f aca="false">Base_Rate+WAC_Spread</f>
        <v>0.08</v>
      </c>
      <c r="D18" s="47" t="n">
        <f aca="false">Base_Rate+WAC_Spread</f>
        <v>0.08</v>
      </c>
      <c r="E18" s="47" t="n">
        <f aca="false">Base_Rate+WAC_Spread</f>
        <v>0.08</v>
      </c>
      <c r="F18" s="47" t="n">
        <f aca="false">Base_Rate+WAC_Spread</f>
        <v>0.08</v>
      </c>
      <c r="G18" s="47" t="n">
        <f aca="false">Base_Rate+WAC_Spread</f>
        <v>0.08</v>
      </c>
      <c r="H18" s="47" t="n">
        <f aca="false">Base_Rate+WAC_Spread</f>
        <v>0.08</v>
      </c>
      <c r="I18" s="47" t="n">
        <f aca="false">Base_Rate+WAC_Spread</f>
        <v>0.08</v>
      </c>
      <c r="J18" s="47" t="n">
        <f aca="false">Base_Rate+WAC_Spread</f>
        <v>0.08</v>
      </c>
    </row>
    <row r="19" customFormat="false" ht="15" hidden="false" customHeight="false" outlineLevel="0" collapsed="false">
      <c r="A19" s="5"/>
      <c r="B19" s="44" t="s">
        <v>127</v>
      </c>
      <c r="C19" s="45" t="n">
        <f aca="false">C9*C18</f>
        <v>40</v>
      </c>
      <c r="D19" s="45" t="n">
        <f aca="false">D9*D18</f>
        <v>39.72</v>
      </c>
      <c r="E19" s="45" t="n">
        <f aca="false">E9*E18</f>
        <v>39.44196</v>
      </c>
      <c r="F19" s="45" t="n">
        <f aca="false">F9*F18</f>
        <v>39.16586628</v>
      </c>
      <c r="G19" s="45" t="n">
        <f aca="false">G9*G18</f>
        <v>38.89170521604</v>
      </c>
      <c r="H19" s="45" t="n">
        <f aca="false">H9*H18</f>
        <v>38.6194632795277</v>
      </c>
      <c r="I19" s="45" t="n">
        <f aca="false">I9*I18</f>
        <v>34.4871807086183</v>
      </c>
      <c r="J19" s="45" t="n">
        <f aca="false">J9*J18</f>
        <v>30.7970523727961</v>
      </c>
    </row>
    <row r="20" customFormat="false" ht="15" hidden="false" customHeight="false" outlineLevel="0" collapsed="false">
      <c r="A20" s="5"/>
      <c r="B20" s="5"/>
      <c r="C20" s="5"/>
      <c r="D20" s="5"/>
      <c r="E20" s="5"/>
      <c r="F20" s="5"/>
      <c r="G20" s="5"/>
      <c r="H20" s="5"/>
      <c r="I20" s="5"/>
      <c r="J20" s="5"/>
    </row>
    <row r="21" customFormat="false" ht="15" hidden="false" customHeight="false" outlineLevel="0" collapsed="false">
      <c r="A21" s="5"/>
      <c r="B21" s="41" t="s">
        <v>129</v>
      </c>
      <c r="C21" s="16"/>
      <c r="D21" s="16"/>
      <c r="E21" s="16"/>
      <c r="F21" s="16"/>
      <c r="G21" s="16"/>
      <c r="H21" s="16"/>
      <c r="I21" s="16"/>
      <c r="J21" s="16"/>
    </row>
    <row r="22" customFormat="false" ht="15" hidden="false" customHeight="false" outlineLevel="0" collapsed="false">
      <c r="A22" s="5"/>
      <c r="B22" s="43" t="s">
        <v>130</v>
      </c>
      <c r="C22" s="42" t="n">
        <f aca="false">C14</f>
        <v>0</v>
      </c>
      <c r="D22" s="42" t="n">
        <f aca="false">D14</f>
        <v>0</v>
      </c>
      <c r="E22" s="42" t="n">
        <f aca="false">E14</f>
        <v>0</v>
      </c>
      <c r="F22" s="42" t="n">
        <f aca="false">F14</f>
        <v>0</v>
      </c>
      <c r="G22" s="42" t="n">
        <f aca="false">G14</f>
        <v>0</v>
      </c>
      <c r="H22" s="42" t="n">
        <f aca="false">H14</f>
        <v>48.2743290994097</v>
      </c>
      <c r="I22" s="42" t="n">
        <f aca="false">I14</f>
        <v>43.1089758857728</v>
      </c>
      <c r="J22" s="42" t="n">
        <f aca="false">J14</f>
        <v>38.4963154659951</v>
      </c>
    </row>
    <row r="23" customFormat="false" ht="15" hidden="false" customHeight="false" outlineLevel="0" collapsed="false">
      <c r="A23" s="5"/>
      <c r="B23" s="43" t="s">
        <v>131</v>
      </c>
      <c r="C23" s="42" t="n">
        <f aca="false">C11</f>
        <v>6.5</v>
      </c>
      <c r="D23" s="42" t="n">
        <f aca="false">D11</f>
        <v>6.4545</v>
      </c>
      <c r="E23" s="42" t="n">
        <f aca="false">E11</f>
        <v>6.4093185</v>
      </c>
      <c r="F23" s="42" t="n">
        <f aca="false">F11</f>
        <v>6.3644532705</v>
      </c>
      <c r="G23" s="42" t="n">
        <f aca="false">G11</f>
        <v>6.3199020976065</v>
      </c>
      <c r="H23" s="42" t="n">
        <f aca="false">H11</f>
        <v>6.27566278292326</v>
      </c>
      <c r="I23" s="42" t="n">
        <f aca="false">I11</f>
        <v>5.60416686515047</v>
      </c>
      <c r="J23" s="42" t="n">
        <f aca="false">J11</f>
        <v>5.00452101057937</v>
      </c>
    </row>
    <row r="24" customFormat="false" ht="15" hidden="false" customHeight="false" outlineLevel="0" collapsed="false">
      <c r="A24" s="5"/>
      <c r="B24" s="44" t="s">
        <v>132</v>
      </c>
      <c r="C24" s="45" t="n">
        <f aca="false">C22+C23</f>
        <v>6.5</v>
      </c>
      <c r="D24" s="45" t="n">
        <f aca="false">D22+D23</f>
        <v>6.4545</v>
      </c>
      <c r="E24" s="45" t="n">
        <f aca="false">E22+E23</f>
        <v>6.4093185</v>
      </c>
      <c r="F24" s="45" t="n">
        <f aca="false">F22+F23</f>
        <v>6.3644532705</v>
      </c>
      <c r="G24" s="45" t="n">
        <f aca="false">G22+G23</f>
        <v>6.3199020976065</v>
      </c>
      <c r="H24" s="45" t="n">
        <f aca="false">H22+H23</f>
        <v>54.5499918823329</v>
      </c>
      <c r="I24" s="45" t="n">
        <f aca="false">I22+I23</f>
        <v>48.7131427509233</v>
      </c>
      <c r="J24" s="45" t="n">
        <f aca="false">J22+J23</f>
        <v>43.5008364765745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J5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4"/>
    <col collapsed="false" customWidth="true" hidden="false" outlineLevel="0" max="10" min="3" style="0" width="16"/>
  </cols>
  <sheetData>
    <row r="1" customFormat="false" ht="15" hidden="false" customHeight="false" outlineLevel="0" collapsed="false">
      <c r="A1" s="5"/>
      <c r="B1" s="5"/>
      <c r="C1" s="5"/>
      <c r="D1" s="5"/>
      <c r="E1" s="5"/>
      <c r="F1" s="5"/>
      <c r="G1" s="5"/>
      <c r="H1" s="5"/>
      <c r="I1" s="5"/>
      <c r="J1" s="5"/>
    </row>
    <row r="2" customFormat="false" ht="22.05" hidden="false" customHeight="false" outlineLevel="0" collapsed="false">
      <c r="A2" s="5"/>
      <c r="B2" s="36" t="s">
        <v>133</v>
      </c>
      <c r="C2" s="5"/>
      <c r="D2" s="5"/>
      <c r="E2" s="5"/>
      <c r="F2" s="5"/>
      <c r="G2" s="5"/>
      <c r="H2" s="5"/>
      <c r="I2" s="5"/>
      <c r="J2" s="5"/>
    </row>
    <row r="3" customFormat="false" ht="15" hidden="false" customHeight="false" outlineLevel="0" collapsed="false">
      <c r="A3" s="5"/>
      <c r="B3" s="37" t="s">
        <v>134</v>
      </c>
      <c r="C3" s="5"/>
      <c r="D3" s="5"/>
      <c r="E3" s="5"/>
      <c r="F3" s="5"/>
      <c r="G3" s="5"/>
      <c r="H3" s="5"/>
      <c r="I3" s="5"/>
      <c r="J3" s="5"/>
    </row>
    <row r="4" customFormat="false" ht="15" hidden="false" customHeight="false" outlineLevel="0" collapsed="false">
      <c r="A4" s="5"/>
      <c r="B4" s="5"/>
      <c r="C4" s="5"/>
      <c r="D4" s="5"/>
      <c r="E4" s="5"/>
      <c r="F4" s="5"/>
      <c r="G4" s="5"/>
      <c r="H4" s="5"/>
      <c r="I4" s="5"/>
      <c r="J4" s="5"/>
    </row>
    <row r="5" customFormat="false" ht="15" hidden="false" customHeight="false" outlineLevel="0" collapsed="false">
      <c r="A5" s="5"/>
      <c r="B5" s="38" t="s">
        <v>118</v>
      </c>
      <c r="C5" s="39" t="n">
        <v>2025</v>
      </c>
      <c r="D5" s="39" t="n">
        <v>2026</v>
      </c>
      <c r="E5" s="39" t="n">
        <v>2027</v>
      </c>
      <c r="F5" s="39" t="n">
        <v>2028</v>
      </c>
      <c r="G5" s="39" t="n">
        <v>2029</v>
      </c>
      <c r="H5" s="39" t="n">
        <v>2030</v>
      </c>
      <c r="I5" s="39" t="n">
        <v>2031</v>
      </c>
      <c r="J5" s="39" t="n">
        <v>2032</v>
      </c>
    </row>
    <row r="6" customFormat="false" ht="15" hidden="false" customHeight="false" outlineLevel="0" collapsed="false">
      <c r="A6" s="5"/>
      <c r="B6" s="8" t="s">
        <v>119</v>
      </c>
      <c r="C6" s="40" t="n">
        <v>1</v>
      </c>
      <c r="D6" s="40" t="n">
        <v>2</v>
      </c>
      <c r="E6" s="40" t="n">
        <v>3</v>
      </c>
      <c r="F6" s="40" t="n">
        <v>4</v>
      </c>
      <c r="G6" s="40" t="n">
        <v>5</v>
      </c>
      <c r="H6" s="40" t="n">
        <v>6</v>
      </c>
      <c r="I6" s="40" t="n">
        <v>7</v>
      </c>
      <c r="J6" s="40" t="n">
        <v>8</v>
      </c>
    </row>
    <row r="7" customFormat="false" ht="15" hidden="false" customHeight="false" outlineLevel="0" collapsed="false">
      <c r="A7" s="5"/>
      <c r="B7" s="5"/>
      <c r="C7" s="5"/>
      <c r="D7" s="5"/>
      <c r="E7" s="5"/>
      <c r="F7" s="5"/>
      <c r="G7" s="5"/>
      <c r="H7" s="5"/>
      <c r="I7" s="5"/>
      <c r="J7" s="5"/>
    </row>
    <row r="8" customFormat="false" ht="15" hidden="false" customHeight="false" outlineLevel="0" collapsed="false">
      <c r="A8" s="5"/>
      <c r="B8" s="41" t="s">
        <v>63</v>
      </c>
      <c r="C8" s="16"/>
      <c r="D8" s="16"/>
      <c r="E8" s="16"/>
      <c r="F8" s="16"/>
      <c r="G8" s="16"/>
      <c r="H8" s="16"/>
      <c r="I8" s="16"/>
      <c r="J8" s="16"/>
    </row>
    <row r="9" customFormat="false" ht="15" hidden="false" customHeight="false" outlineLevel="0" collapsed="false">
      <c r="A9" s="5"/>
      <c r="B9" s="43" t="s">
        <v>135</v>
      </c>
      <c r="C9" s="42" t="n">
        <f aca="false">SR_Size</f>
        <v>315</v>
      </c>
      <c r="D9" s="42" t="n">
        <f aca="false">C11</f>
        <v>315</v>
      </c>
      <c r="E9" s="42" t="n">
        <f aca="false">D11</f>
        <v>315</v>
      </c>
      <c r="F9" s="42" t="n">
        <f aca="false">E11</f>
        <v>315</v>
      </c>
      <c r="G9" s="42" t="n">
        <f aca="false">F11</f>
        <v>315</v>
      </c>
      <c r="H9" s="42" t="n">
        <f aca="false">G11</f>
        <v>315</v>
      </c>
      <c r="I9" s="42" t="n">
        <f aca="false">H11</f>
        <v>308.680097902394</v>
      </c>
      <c r="J9" s="42" t="n">
        <f aca="false">I11</f>
        <v>302.360195804787</v>
      </c>
    </row>
    <row r="10" customFormat="false" ht="15" hidden="false" customHeight="false" outlineLevel="0" collapsed="false">
      <c r="A10" s="5"/>
      <c r="B10" s="43" t="s">
        <v>136</v>
      </c>
      <c r="C10" s="42" t="n">
        <f aca="false">IF(C6&gt;Reinvest_End,MIN(PS_Total_Princ,C9),0)</f>
        <v>0</v>
      </c>
      <c r="D10" s="42" t="n">
        <f aca="false">IF(D6&gt;Reinvest_End,MIN(PS_Total_Princ,D9),0)</f>
        <v>0</v>
      </c>
      <c r="E10" s="42" t="n">
        <f aca="false">IF(E6&gt;Reinvest_End,MIN(PS_Total_Princ,E9),0)</f>
        <v>0</v>
      </c>
      <c r="F10" s="42" t="n">
        <f aca="false">IF(F6&gt;Reinvest_End,MIN(PS_Total_Princ,F9),0)</f>
        <v>0</v>
      </c>
      <c r="G10" s="42" t="n">
        <f aca="false">IF(G6&gt;Reinvest_End,MIN(PS_Total_Princ,G9),0)</f>
        <v>0</v>
      </c>
      <c r="H10" s="42" t="n">
        <f aca="false">IF(H6&gt;Reinvest_End,MIN(PS_Total_Princ,H9),0)</f>
        <v>6.3199020976065</v>
      </c>
      <c r="I10" s="42" t="n">
        <f aca="false">IF(I6&gt;Reinvest_End,MIN(PS_Total_Princ,I9),0)</f>
        <v>6.3199020976065</v>
      </c>
      <c r="J10" s="42" t="n">
        <f aca="false">IF(J6&gt;Reinvest_End,MIN(PS_Total_Princ,J9),0)</f>
        <v>6.3199020976065</v>
      </c>
    </row>
    <row r="11" customFormat="false" ht="15" hidden="false" customHeight="false" outlineLevel="0" collapsed="false">
      <c r="A11" s="5"/>
      <c r="B11" s="44" t="s">
        <v>137</v>
      </c>
      <c r="C11" s="45" t="n">
        <f aca="false">C9-C10</f>
        <v>315</v>
      </c>
      <c r="D11" s="45" t="n">
        <f aca="false">D9-D10</f>
        <v>315</v>
      </c>
      <c r="E11" s="45" t="n">
        <f aca="false">E9-E10</f>
        <v>315</v>
      </c>
      <c r="F11" s="45" t="n">
        <f aca="false">F9-F10</f>
        <v>315</v>
      </c>
      <c r="G11" s="45" t="n">
        <f aca="false">G9-G10</f>
        <v>315</v>
      </c>
      <c r="H11" s="45" t="n">
        <f aca="false">H9-H10</f>
        <v>308.680097902394</v>
      </c>
      <c r="I11" s="45" t="n">
        <f aca="false">I9-I10</f>
        <v>302.360195804787</v>
      </c>
      <c r="J11" s="45" t="n">
        <f aca="false">J9-J10</f>
        <v>296.040293707181</v>
      </c>
    </row>
    <row r="12" customFormat="false" ht="15" hidden="false" customHeight="false" outlineLevel="0" collapsed="false">
      <c r="A12" s="5"/>
      <c r="B12" s="43" t="s">
        <v>138</v>
      </c>
      <c r="C12" s="42" t="n">
        <f aca="false">C9*(Base_Rate+SR_Spread)</f>
        <v>18.7425</v>
      </c>
      <c r="D12" s="42" t="n">
        <f aca="false">D9*(Base_Rate+SR_Spread)</f>
        <v>18.7425</v>
      </c>
      <c r="E12" s="42" t="n">
        <f aca="false">E9*(Base_Rate+SR_Spread)</f>
        <v>18.7425</v>
      </c>
      <c r="F12" s="42" t="n">
        <f aca="false">F9*(Base_Rate+SR_Spread)</f>
        <v>18.7425</v>
      </c>
      <c r="G12" s="42" t="n">
        <f aca="false">G9*(Base_Rate+SR_Spread)</f>
        <v>18.7425</v>
      </c>
      <c r="H12" s="42" t="n">
        <f aca="false">H9*(Base_Rate+SR_Spread)</f>
        <v>18.7425</v>
      </c>
      <c r="I12" s="42" t="n">
        <f aca="false">I9*(Base_Rate+SR_Spread)</f>
        <v>18.3664658251924</v>
      </c>
      <c r="J12" s="42" t="n">
        <f aca="false">J9*(Base_Rate+SR_Spread)</f>
        <v>17.9904316503848</v>
      </c>
    </row>
    <row r="13" customFormat="false" ht="15" hidden="false" customHeight="false" outlineLevel="0" collapsed="false">
      <c r="A13" s="5"/>
      <c r="B13" s="5"/>
      <c r="C13" s="5"/>
      <c r="D13" s="5"/>
      <c r="E13" s="5"/>
      <c r="F13" s="5"/>
      <c r="G13" s="5"/>
      <c r="H13" s="5"/>
      <c r="I13" s="5"/>
      <c r="J13" s="5"/>
    </row>
    <row r="14" customFormat="false" ht="15" hidden="false" customHeight="false" outlineLevel="0" collapsed="false">
      <c r="A14" s="5"/>
      <c r="B14" s="41" t="s">
        <v>72</v>
      </c>
      <c r="C14" s="16"/>
      <c r="D14" s="16"/>
      <c r="E14" s="16"/>
      <c r="F14" s="16"/>
      <c r="G14" s="16"/>
      <c r="H14" s="16"/>
      <c r="I14" s="16"/>
      <c r="J14" s="16"/>
    </row>
    <row r="15" customFormat="false" ht="15" hidden="false" customHeight="false" outlineLevel="0" collapsed="false">
      <c r="A15" s="5"/>
      <c r="B15" s="43" t="s">
        <v>135</v>
      </c>
      <c r="C15" s="42" t="n">
        <f aca="false">MA_Size</f>
        <v>55</v>
      </c>
      <c r="D15" s="42" t="n">
        <f aca="false">C17</f>
        <v>55</v>
      </c>
      <c r="E15" s="42" t="n">
        <f aca="false">D17</f>
        <v>55</v>
      </c>
      <c r="F15" s="42" t="n">
        <f aca="false">E17</f>
        <v>55</v>
      </c>
      <c r="G15" s="42" t="n">
        <f aca="false">F17</f>
        <v>55</v>
      </c>
      <c r="H15" s="42" t="n">
        <f aca="false">G17</f>
        <v>55</v>
      </c>
      <c r="I15" s="42" t="n">
        <f aca="false">H17</f>
        <v>6.76991021527359</v>
      </c>
      <c r="J15" s="42" t="n">
        <f aca="false">I17</f>
        <v>0</v>
      </c>
    </row>
    <row r="16" customFormat="false" ht="15" hidden="false" customHeight="false" outlineLevel="0" collapsed="false">
      <c r="A16" s="5"/>
      <c r="B16" s="43" t="s">
        <v>136</v>
      </c>
      <c r="C16" s="42" t="n">
        <f aca="false">IF(C6&gt;Reinvest_End,MIN(MAX(PS_Total_Princ-C10,0),C15),0)</f>
        <v>0</v>
      </c>
      <c r="D16" s="42" t="n">
        <f aca="false">IF(D6&gt;Reinvest_End,MIN(MAX(PS_Total_Princ-D10,0),D15),0)</f>
        <v>0</v>
      </c>
      <c r="E16" s="42" t="n">
        <f aca="false">IF(E6&gt;Reinvest_End,MIN(MAX(PS_Total_Princ-E10,0),E15),0)</f>
        <v>0</v>
      </c>
      <c r="F16" s="42" t="n">
        <f aca="false">IF(F6&gt;Reinvest_End,MIN(MAX(PS_Total_Princ-F10,0),F15),0)</f>
        <v>0</v>
      </c>
      <c r="G16" s="42" t="n">
        <f aca="false">IF(G6&gt;Reinvest_End,MIN(MAX(PS_Total_Princ-G10,0),G15),0)</f>
        <v>0</v>
      </c>
      <c r="H16" s="42" t="n">
        <f aca="false">IF(H6&gt;Reinvest_End,MIN(MAX(PS_Total_Princ-H10,0),H15),0)</f>
        <v>48.2300897847264</v>
      </c>
      <c r="I16" s="42" t="n">
        <f aca="false">IF(I6&gt;Reinvest_End,MIN(MAX(PS_Total_Princ-I10,0),I15),0)</f>
        <v>6.76991021527359</v>
      </c>
      <c r="J16" s="42" t="n">
        <f aca="false">IF(J6&gt;Reinvest_End,MIN(MAX(PS_Total_Princ-J10,0),J15),0)</f>
        <v>0</v>
      </c>
    </row>
    <row r="17" customFormat="false" ht="15" hidden="false" customHeight="false" outlineLevel="0" collapsed="false">
      <c r="A17" s="5"/>
      <c r="B17" s="44" t="s">
        <v>137</v>
      </c>
      <c r="C17" s="45" t="n">
        <f aca="false">C15-C16</f>
        <v>55</v>
      </c>
      <c r="D17" s="45" t="n">
        <f aca="false">D15-D16</f>
        <v>55</v>
      </c>
      <c r="E17" s="45" t="n">
        <f aca="false">E15-E16</f>
        <v>55</v>
      </c>
      <c r="F17" s="45" t="n">
        <f aca="false">F15-F16</f>
        <v>55</v>
      </c>
      <c r="G17" s="45" t="n">
        <f aca="false">G15-G16</f>
        <v>55</v>
      </c>
      <c r="H17" s="45" t="n">
        <f aca="false">H15-H16</f>
        <v>6.76991021527359</v>
      </c>
      <c r="I17" s="45" t="n">
        <f aca="false">I15-I16</f>
        <v>0</v>
      </c>
      <c r="J17" s="45" t="n">
        <f aca="false">J15-J16</f>
        <v>0</v>
      </c>
    </row>
    <row r="18" customFormat="false" ht="15" hidden="false" customHeight="false" outlineLevel="0" collapsed="false">
      <c r="A18" s="5"/>
      <c r="B18" s="43" t="s">
        <v>138</v>
      </c>
      <c r="C18" s="42" t="n">
        <f aca="false">C15*(Base_Rate+MA_Spread)</f>
        <v>3.575</v>
      </c>
      <c r="D18" s="42" t="n">
        <f aca="false">D15*(Base_Rate+MA_Spread)</f>
        <v>3.575</v>
      </c>
      <c r="E18" s="42" t="n">
        <f aca="false">E15*(Base_Rate+MA_Spread)</f>
        <v>3.575</v>
      </c>
      <c r="F18" s="42" t="n">
        <f aca="false">F15*(Base_Rate+MA_Spread)</f>
        <v>3.575</v>
      </c>
      <c r="G18" s="42" t="n">
        <f aca="false">G15*(Base_Rate+MA_Spread)</f>
        <v>3.575</v>
      </c>
      <c r="H18" s="42" t="n">
        <f aca="false">H15*(Base_Rate+MA_Spread)</f>
        <v>3.575</v>
      </c>
      <c r="I18" s="42" t="n">
        <f aca="false">I15*(Base_Rate+MA_Spread)</f>
        <v>0.440044163992783</v>
      </c>
      <c r="J18" s="42" t="n">
        <f aca="false">J15*(Base_Rate+MA_Spread)</f>
        <v>0</v>
      </c>
    </row>
    <row r="19" customFormat="false" ht="15" hidden="false" customHeight="false" outlineLevel="0" collapsed="false">
      <c r="A19" s="5"/>
      <c r="B19" s="5"/>
      <c r="C19" s="5"/>
      <c r="D19" s="5"/>
      <c r="E19" s="5"/>
      <c r="F19" s="5"/>
      <c r="G19" s="5"/>
      <c r="H19" s="5"/>
      <c r="I19" s="5"/>
      <c r="J19" s="5"/>
    </row>
    <row r="20" customFormat="false" ht="15" hidden="false" customHeight="false" outlineLevel="0" collapsed="false">
      <c r="A20" s="5"/>
      <c r="B20" s="41" t="s">
        <v>78</v>
      </c>
      <c r="C20" s="16"/>
      <c r="D20" s="16"/>
      <c r="E20" s="16"/>
      <c r="F20" s="16"/>
      <c r="G20" s="16"/>
      <c r="H20" s="16"/>
      <c r="I20" s="16"/>
      <c r="J20" s="16"/>
    </row>
    <row r="21" customFormat="false" ht="15" hidden="false" customHeight="false" outlineLevel="0" collapsed="false">
      <c r="A21" s="5"/>
      <c r="B21" s="43" t="s">
        <v>135</v>
      </c>
      <c r="C21" s="42" t="n">
        <f aca="false">MB_Size</f>
        <v>45</v>
      </c>
      <c r="D21" s="42" t="n">
        <f aca="false">C23</f>
        <v>45</v>
      </c>
      <c r="E21" s="42" t="n">
        <f aca="false">D23</f>
        <v>45</v>
      </c>
      <c r="F21" s="42" t="n">
        <f aca="false">E23</f>
        <v>45</v>
      </c>
      <c r="G21" s="42" t="n">
        <f aca="false">F23</f>
        <v>45</v>
      </c>
      <c r="H21" s="42" t="n">
        <f aca="false">G23</f>
        <v>45</v>
      </c>
      <c r="I21" s="42" t="n">
        <f aca="false">H23</f>
        <v>45</v>
      </c>
      <c r="J21" s="42" t="n">
        <f aca="false">I23</f>
        <v>9.3766695619568</v>
      </c>
    </row>
    <row r="22" customFormat="false" ht="15" hidden="false" customHeight="false" outlineLevel="0" collapsed="false">
      <c r="A22" s="5"/>
      <c r="B22" s="43" t="s">
        <v>136</v>
      </c>
      <c r="C22" s="42" t="n">
        <f aca="false">IF(C6&gt;Reinvest_End,MIN(MAX(PS_Total_Princ-C10-C16,0),C21),0)</f>
        <v>0</v>
      </c>
      <c r="D22" s="42" t="n">
        <f aca="false">IF(D6&gt;Reinvest_End,MIN(MAX(PS_Total_Princ-D10-D16,0),D21),0)</f>
        <v>0</v>
      </c>
      <c r="E22" s="42" t="n">
        <f aca="false">IF(E6&gt;Reinvest_End,MIN(MAX(PS_Total_Princ-E10-E16,0),E21),0)</f>
        <v>0</v>
      </c>
      <c r="F22" s="42" t="n">
        <f aca="false">IF(F6&gt;Reinvest_End,MIN(MAX(PS_Total_Princ-F10-F16,0),F21),0)</f>
        <v>0</v>
      </c>
      <c r="G22" s="42" t="n">
        <f aca="false">IF(G6&gt;Reinvest_End,MIN(MAX(PS_Total_Princ-G10-G16,0),G21),0)</f>
        <v>0</v>
      </c>
      <c r="H22" s="42" t="n">
        <f aca="false">IF(H6&gt;Reinvest_End,MIN(MAX(PS_Total_Princ-H10-H16,0),H21),0)</f>
        <v>0</v>
      </c>
      <c r="I22" s="42" t="n">
        <f aca="false">IF(I6&gt;Reinvest_End,MIN(MAX(PS_Total_Princ-I10-I16,0),I21),0)</f>
        <v>35.6233304380432</v>
      </c>
      <c r="J22" s="42" t="n">
        <f aca="false">IF(J6&gt;Reinvest_End,MIN(MAX(PS_Total_Princ-J10-J16,0),J21),0)</f>
        <v>9.3766695619568</v>
      </c>
    </row>
    <row r="23" customFormat="false" ht="15" hidden="false" customHeight="false" outlineLevel="0" collapsed="false">
      <c r="A23" s="5"/>
      <c r="B23" s="44" t="s">
        <v>137</v>
      </c>
      <c r="C23" s="45" t="n">
        <f aca="false">C21-C22</f>
        <v>45</v>
      </c>
      <c r="D23" s="45" t="n">
        <f aca="false">D21-D22</f>
        <v>45</v>
      </c>
      <c r="E23" s="45" t="n">
        <f aca="false">E21-E22</f>
        <v>45</v>
      </c>
      <c r="F23" s="45" t="n">
        <f aca="false">F21-F22</f>
        <v>45</v>
      </c>
      <c r="G23" s="45" t="n">
        <f aca="false">G21-G22</f>
        <v>45</v>
      </c>
      <c r="H23" s="45" t="n">
        <f aca="false">H21-H22</f>
        <v>45</v>
      </c>
      <c r="I23" s="45" t="n">
        <f aca="false">I21-I22</f>
        <v>9.3766695619568</v>
      </c>
      <c r="J23" s="45" t="n">
        <f aca="false">J21-J22</f>
        <v>0</v>
      </c>
    </row>
    <row r="24" customFormat="false" ht="15" hidden="false" customHeight="false" outlineLevel="0" collapsed="false">
      <c r="A24" s="5"/>
      <c r="B24" s="43" t="s">
        <v>138</v>
      </c>
      <c r="C24" s="42" t="n">
        <f aca="false">C21*(Base_Rate+MB_Spread)</f>
        <v>3.2625</v>
      </c>
      <c r="D24" s="42" t="n">
        <f aca="false">D21*(Base_Rate+MB_Spread)</f>
        <v>3.2625</v>
      </c>
      <c r="E24" s="42" t="n">
        <f aca="false">E21*(Base_Rate+MB_Spread)</f>
        <v>3.2625</v>
      </c>
      <c r="F24" s="42" t="n">
        <f aca="false">F21*(Base_Rate+MB_Spread)</f>
        <v>3.2625</v>
      </c>
      <c r="G24" s="42" t="n">
        <f aca="false">G21*(Base_Rate+MB_Spread)</f>
        <v>3.2625</v>
      </c>
      <c r="H24" s="42" t="n">
        <f aca="false">H21*(Base_Rate+MB_Spread)</f>
        <v>3.2625</v>
      </c>
      <c r="I24" s="42" t="n">
        <f aca="false">I21*(Base_Rate+MB_Spread)</f>
        <v>3.2625</v>
      </c>
      <c r="J24" s="42" t="n">
        <f aca="false">J21*(Base_Rate+MB_Spread)</f>
        <v>0.679808543241868</v>
      </c>
    </row>
    <row r="25" customFormat="false" ht="15" hidden="false" customHeight="false" outlineLevel="0" collapsed="false">
      <c r="A25" s="5"/>
      <c r="B25" s="5"/>
      <c r="C25" s="5"/>
      <c r="D25" s="5"/>
      <c r="E25" s="5"/>
      <c r="F25" s="5"/>
      <c r="G25" s="5"/>
      <c r="H25" s="5"/>
      <c r="I25" s="5"/>
      <c r="J25" s="5"/>
    </row>
    <row r="26" customFormat="false" ht="15" hidden="false" customHeight="false" outlineLevel="0" collapsed="false">
      <c r="A26" s="5"/>
      <c r="B26" s="41" t="s">
        <v>84</v>
      </c>
      <c r="C26" s="16"/>
      <c r="D26" s="16"/>
      <c r="E26" s="16"/>
      <c r="F26" s="16"/>
      <c r="G26" s="16"/>
      <c r="H26" s="16"/>
      <c r="I26" s="16"/>
      <c r="J26" s="16"/>
    </row>
    <row r="27" customFormat="false" ht="15" hidden="false" customHeight="false" outlineLevel="0" collapsed="false">
      <c r="A27" s="5"/>
      <c r="B27" s="43" t="s">
        <v>135</v>
      </c>
      <c r="C27" s="42" t="n">
        <f aca="false">MC_Size</f>
        <v>35</v>
      </c>
      <c r="D27" s="42" t="n">
        <f aca="false">C29</f>
        <v>35</v>
      </c>
      <c r="E27" s="42" t="n">
        <f aca="false">D29</f>
        <v>35</v>
      </c>
      <c r="F27" s="42" t="n">
        <f aca="false">E29</f>
        <v>35</v>
      </c>
      <c r="G27" s="42" t="n">
        <f aca="false">F29</f>
        <v>35</v>
      </c>
      <c r="H27" s="42" t="n">
        <f aca="false">G29</f>
        <v>35</v>
      </c>
      <c r="I27" s="42" t="n">
        <f aca="false">H29</f>
        <v>35</v>
      </c>
      <c r="J27" s="42" t="n">
        <f aca="false">I29</f>
        <v>35</v>
      </c>
    </row>
    <row r="28" customFormat="false" ht="15" hidden="false" customHeight="false" outlineLevel="0" collapsed="false">
      <c r="A28" s="5"/>
      <c r="B28" s="43" t="s">
        <v>136</v>
      </c>
      <c r="C28" s="42" t="n">
        <f aca="false">IF(C6&gt;Reinvest_End,MIN(MAX(PS_Total_Princ-C10-C16-C22,0),C27),0)</f>
        <v>0</v>
      </c>
      <c r="D28" s="42" t="n">
        <f aca="false">IF(D6&gt;Reinvest_End,MIN(MAX(PS_Total_Princ-D10-D16-D22,0),D27),0)</f>
        <v>0</v>
      </c>
      <c r="E28" s="42" t="n">
        <f aca="false">IF(E6&gt;Reinvest_End,MIN(MAX(PS_Total_Princ-E10-E16-E22,0),E27),0)</f>
        <v>0</v>
      </c>
      <c r="F28" s="42" t="n">
        <f aca="false">IF(F6&gt;Reinvest_End,MIN(MAX(PS_Total_Princ-F10-F16-F22,0),F27),0)</f>
        <v>0</v>
      </c>
      <c r="G28" s="42" t="n">
        <f aca="false">IF(G6&gt;Reinvest_End,MIN(MAX(PS_Total_Princ-G10-G16-G22,0),G27),0)</f>
        <v>0</v>
      </c>
      <c r="H28" s="42" t="n">
        <f aca="false">IF(H6&gt;Reinvest_End,MIN(MAX(PS_Total_Princ-H10-H16-H22,0),H27),0)</f>
        <v>0</v>
      </c>
      <c r="I28" s="42" t="n">
        <f aca="false">IF(I6&gt;Reinvest_End,MIN(MAX(PS_Total_Princ-I10-I16-I22,0),I27),0)</f>
        <v>0</v>
      </c>
      <c r="J28" s="42" t="n">
        <f aca="false">IF(J6&gt;Reinvest_End,MIN(MAX(PS_Total_Princ-J10-J16-J22,0),J27),0)</f>
        <v>27.8042648170112</v>
      </c>
    </row>
    <row r="29" customFormat="false" ht="15" hidden="false" customHeight="false" outlineLevel="0" collapsed="false">
      <c r="A29" s="5"/>
      <c r="B29" s="44" t="s">
        <v>137</v>
      </c>
      <c r="C29" s="45" t="n">
        <f aca="false">C27-C28</f>
        <v>35</v>
      </c>
      <c r="D29" s="45" t="n">
        <f aca="false">D27-D28</f>
        <v>35</v>
      </c>
      <c r="E29" s="45" t="n">
        <f aca="false">E27-E28</f>
        <v>35</v>
      </c>
      <c r="F29" s="45" t="n">
        <f aca="false">F27-F28</f>
        <v>35</v>
      </c>
      <c r="G29" s="45" t="n">
        <f aca="false">G27-G28</f>
        <v>35</v>
      </c>
      <c r="H29" s="45" t="n">
        <f aca="false">H27-H28</f>
        <v>35</v>
      </c>
      <c r="I29" s="45" t="n">
        <f aca="false">I27-I28</f>
        <v>35</v>
      </c>
      <c r="J29" s="45" t="n">
        <f aca="false">J27-J28</f>
        <v>7.19573518298881</v>
      </c>
    </row>
    <row r="30" customFormat="false" ht="15" hidden="false" customHeight="false" outlineLevel="0" collapsed="false">
      <c r="A30" s="5"/>
      <c r="B30" s="43" t="s">
        <v>138</v>
      </c>
      <c r="C30" s="42" t="n">
        <f aca="false">C27*(Base_Rate+MC_Spread)</f>
        <v>2.975</v>
      </c>
      <c r="D30" s="42" t="n">
        <f aca="false">D27*(Base_Rate+MC_Spread)</f>
        <v>2.975</v>
      </c>
      <c r="E30" s="42" t="n">
        <f aca="false">E27*(Base_Rate+MC_Spread)</f>
        <v>2.975</v>
      </c>
      <c r="F30" s="42" t="n">
        <f aca="false">F27*(Base_Rate+MC_Spread)</f>
        <v>2.975</v>
      </c>
      <c r="G30" s="42" t="n">
        <f aca="false">G27*(Base_Rate+MC_Spread)</f>
        <v>2.975</v>
      </c>
      <c r="H30" s="42" t="n">
        <f aca="false">H27*(Base_Rate+MC_Spread)</f>
        <v>2.975</v>
      </c>
      <c r="I30" s="42" t="n">
        <f aca="false">I27*(Base_Rate+MC_Spread)</f>
        <v>2.975</v>
      </c>
      <c r="J30" s="42" t="n">
        <f aca="false">J27*(Base_Rate+MC_Spread)</f>
        <v>2.975</v>
      </c>
    </row>
    <row r="31" customFormat="false" ht="15" hidden="false" customHeight="false" outlineLevel="0" collapsed="false">
      <c r="A31" s="5"/>
      <c r="B31" s="5"/>
      <c r="C31" s="5"/>
      <c r="D31" s="5"/>
      <c r="E31" s="5"/>
      <c r="F31" s="5"/>
      <c r="G31" s="5"/>
      <c r="H31" s="5"/>
      <c r="I31" s="5"/>
      <c r="J31" s="5"/>
    </row>
    <row r="32" customFormat="false" ht="15" hidden="false" customHeight="false" outlineLevel="0" collapsed="false">
      <c r="A32" s="5"/>
      <c r="B32" s="41" t="s">
        <v>139</v>
      </c>
      <c r="C32" s="16"/>
      <c r="D32" s="16"/>
      <c r="E32" s="16"/>
      <c r="F32" s="16"/>
      <c r="G32" s="16"/>
      <c r="H32" s="16"/>
      <c r="I32" s="16"/>
      <c r="J32" s="16"/>
    </row>
    <row r="33" customFormat="false" ht="15" hidden="false" customHeight="false" outlineLevel="0" collapsed="false">
      <c r="A33" s="5"/>
      <c r="B33" s="44" t="s">
        <v>140</v>
      </c>
      <c r="C33" s="46" t="n">
        <f aca="false">C11+C17+C23+C29</f>
        <v>450</v>
      </c>
      <c r="D33" s="46" t="n">
        <f aca="false">D11+D17+D23+D29</f>
        <v>450</v>
      </c>
      <c r="E33" s="46" t="n">
        <f aca="false">E11+E17+E23+E29</f>
        <v>450</v>
      </c>
      <c r="F33" s="46" t="n">
        <f aca="false">F11+F17+F23+F29</f>
        <v>450</v>
      </c>
      <c r="G33" s="46" t="n">
        <f aca="false">G11+G17+G23+G29</f>
        <v>450</v>
      </c>
      <c r="H33" s="46" t="n">
        <f aca="false">H11+H17+H23+H29</f>
        <v>395.450008117667</v>
      </c>
      <c r="I33" s="46" t="n">
        <f aca="false">I11+I17+I23+I29</f>
        <v>346.736865366744</v>
      </c>
      <c r="J33" s="46" t="n">
        <f aca="false">J11+J17+J23+J29</f>
        <v>303.236028890169</v>
      </c>
    </row>
    <row r="34" customFormat="false" ht="15" hidden="false" customHeight="false" outlineLevel="0" collapsed="false">
      <c r="A34" s="5"/>
      <c r="B34" s="44" t="s">
        <v>141</v>
      </c>
      <c r="C34" s="46" t="n">
        <f aca="false">C12+C18+C24+C30</f>
        <v>28.555</v>
      </c>
      <c r="D34" s="46" t="n">
        <f aca="false">D12+D18+D24+D30</f>
        <v>28.555</v>
      </c>
      <c r="E34" s="46" t="n">
        <f aca="false">E12+E18+E24+E30</f>
        <v>28.555</v>
      </c>
      <c r="F34" s="46" t="n">
        <f aca="false">F12+F18+F24+F30</f>
        <v>28.555</v>
      </c>
      <c r="G34" s="46" t="n">
        <f aca="false">G12+G18+G24+G30</f>
        <v>28.555</v>
      </c>
      <c r="H34" s="46" t="n">
        <f aca="false">H12+H18+H24+H30</f>
        <v>28.555</v>
      </c>
      <c r="I34" s="46" t="n">
        <f aca="false">I12+I18+I24+I30</f>
        <v>25.0440099891852</v>
      </c>
      <c r="J34" s="46" t="n">
        <f aca="false">J12+J18+J24+J30</f>
        <v>21.6452401936267</v>
      </c>
    </row>
    <row r="35" customFormat="false" ht="15" hidden="false" customHeight="false" outlineLevel="0" collapsed="false">
      <c r="A35" s="5"/>
      <c r="B35" s="44" t="s">
        <v>142</v>
      </c>
      <c r="C35" s="45" t="n">
        <f aca="false">C10+C16+C22+C28</f>
        <v>0</v>
      </c>
      <c r="D35" s="45" t="n">
        <f aca="false">D10+D16+D22+D28</f>
        <v>0</v>
      </c>
      <c r="E35" s="45" t="n">
        <f aca="false">E10+E16+E22+E28</f>
        <v>0</v>
      </c>
      <c r="F35" s="45" t="n">
        <f aca="false">F10+F16+F22+F28</f>
        <v>0</v>
      </c>
      <c r="G35" s="45" t="n">
        <f aca="false">G10+G16+G22+G28</f>
        <v>0</v>
      </c>
      <c r="H35" s="45" t="n">
        <f aca="false">H10+H16+H22+H28</f>
        <v>54.5499918823329</v>
      </c>
      <c r="I35" s="45" t="n">
        <f aca="false">I10+I16+I22+I28</f>
        <v>48.7131427509233</v>
      </c>
      <c r="J35" s="45" t="n">
        <f aca="false">J10+J16+J22+J28</f>
        <v>43.5008364765745</v>
      </c>
    </row>
    <row r="36" customFormat="false" ht="15" hidden="false" customHeight="false" outlineLevel="0" collapsed="false">
      <c r="A36" s="5"/>
      <c r="B36" s="5"/>
      <c r="C36" s="5"/>
      <c r="D36" s="5"/>
      <c r="E36" s="5"/>
      <c r="F36" s="5"/>
      <c r="G36" s="5"/>
      <c r="H36" s="5"/>
      <c r="I36" s="5"/>
      <c r="J36" s="5"/>
    </row>
    <row r="37" customFormat="false" ht="15" hidden="false" customHeight="false" outlineLevel="0" collapsed="false">
      <c r="A37" s="5"/>
      <c r="B37" s="41" t="s">
        <v>143</v>
      </c>
      <c r="C37" s="16"/>
      <c r="D37" s="16"/>
      <c r="E37" s="16"/>
      <c r="F37" s="16"/>
      <c r="G37" s="16"/>
      <c r="H37" s="16"/>
      <c r="I37" s="16"/>
      <c r="J37" s="16"/>
    </row>
    <row r="38" customFormat="false" ht="15" hidden="false" customHeight="false" outlineLevel="0" collapsed="false">
      <c r="A38" s="5"/>
      <c r="B38" s="43" t="s">
        <v>144</v>
      </c>
      <c r="C38" s="48" t="n">
        <f aca="false">IFERROR(PS_Closing_Par/C11,0)</f>
        <v>1.57619047619048</v>
      </c>
      <c r="D38" s="48" t="n">
        <f aca="false">IFERROR(PS_Closing_Par/D11,0)</f>
        <v>1.56515714285714</v>
      </c>
      <c r="E38" s="48" t="n">
        <f aca="false">IFERROR(PS_Closing_Par/E11,0)</f>
        <v>1.55420104285714</v>
      </c>
      <c r="F38" s="48" t="n">
        <f aca="false">IFERROR(PS_Closing_Par/F11,0)</f>
        <v>1.54332163555714</v>
      </c>
      <c r="G38" s="48" t="n">
        <f aca="false">IFERROR(PS_Closing_Par/G11,0)</f>
        <v>1.53251838410824</v>
      </c>
      <c r="H38" s="48" t="n">
        <f aca="false">IFERROR(PS_Closing_Par/H11,0)</f>
        <v>1.39655831972051</v>
      </c>
      <c r="I38" s="48" t="n">
        <f aca="false">IFERROR(PS_Closing_Par/I11,0)</f>
        <v>1.27319389258663</v>
      </c>
      <c r="J38" s="48" t="n">
        <f aca="false">IFERROR(PS_Closing_Par/J11,0)</f>
        <v>1.16123414419852</v>
      </c>
    </row>
    <row r="39" customFormat="false" ht="15" hidden="false" customHeight="false" outlineLevel="0" collapsed="false">
      <c r="A39" s="5"/>
      <c r="B39" s="43" t="s">
        <v>145</v>
      </c>
      <c r="C39" s="48" t="n">
        <f aca="false">IFERROR(PS_Closing_Par/(C11+C17),0)</f>
        <v>1.34189189189189</v>
      </c>
      <c r="D39" s="48" t="n">
        <f aca="false">IFERROR(PS_Closing_Par/(D11+D17),0)</f>
        <v>1.33249864864865</v>
      </c>
      <c r="E39" s="48" t="n">
        <f aca="false">IFERROR(PS_Closing_Par/(E11+E17),0)</f>
        <v>1.32317115810811</v>
      </c>
      <c r="F39" s="48" t="n">
        <f aca="false">IFERROR(PS_Closing_Par/(F11+F17),0)</f>
        <v>1.31390896000135</v>
      </c>
      <c r="G39" s="48" t="n">
        <f aca="false">IFERROR(PS_Closing_Par/(G11+G17),0)</f>
        <v>1.30471159728134</v>
      </c>
      <c r="H39" s="48" t="n">
        <f aca="false">IFERROR(PS_Closing_Par/(H11+H17),0)</f>
        <v>1.36658661519808</v>
      </c>
      <c r="I39" s="48" t="n">
        <f aca="false">IFERROR(PS_Closing_Par/(I11+I17),0)</f>
        <v>1.27319389258663</v>
      </c>
      <c r="J39" s="48" t="n">
        <f aca="false">IFERROR(PS_Closing_Par/(J11+J17),0)</f>
        <v>1.16123414419852</v>
      </c>
    </row>
    <row r="40" customFormat="false" ht="15" hidden="false" customHeight="false" outlineLevel="0" collapsed="false">
      <c r="A40" s="5"/>
      <c r="B40" s="43" t="s">
        <v>146</v>
      </c>
      <c r="C40" s="48" t="n">
        <f aca="false">IFERROR(PS_Closing_Par/(C11+C17+C23),0)</f>
        <v>1.19638554216867</v>
      </c>
      <c r="D40" s="48" t="n">
        <f aca="false">IFERROR(PS_Closing_Par/(D11+D17+D23),0)</f>
        <v>1.18801084337349</v>
      </c>
      <c r="E40" s="48" t="n">
        <f aca="false">IFERROR(PS_Closing_Par/(E11+E17+E23),0)</f>
        <v>1.17969476746988</v>
      </c>
      <c r="F40" s="48" t="n">
        <f aca="false">IFERROR(PS_Closing_Par/(F11+F17+F23),0)</f>
        <v>1.17143690409759</v>
      </c>
      <c r="G40" s="48" t="n">
        <f aca="false">IFERROR(PS_Closing_Par/(G11+G17+G23),0)</f>
        <v>1.16323684576891</v>
      </c>
      <c r="H40" s="48" t="n">
        <f aca="false">IFERROR(PS_Closing_Par/(H11+H17+H23),0)</f>
        <v>1.19597655472101</v>
      </c>
      <c r="I40" s="48" t="n">
        <f aca="false">IFERROR(PS_Closing_Par/(I11+I17+I23),0)</f>
        <v>1.23489775329286</v>
      </c>
      <c r="J40" s="48" t="n">
        <f aca="false">IFERROR(PS_Closing_Par/(J11+J17+J23),0)</f>
        <v>1.16123414419852</v>
      </c>
    </row>
    <row r="41" customFormat="false" ht="15" hidden="false" customHeight="false" outlineLevel="0" collapsed="false">
      <c r="A41" s="5"/>
      <c r="B41" s="43" t="s">
        <v>147</v>
      </c>
      <c r="C41" s="48" t="n">
        <f aca="false">IFERROR(PS_Closing_Par/C33,0)</f>
        <v>1.10333333333333</v>
      </c>
      <c r="D41" s="48" t="n">
        <f aca="false">IFERROR(PS_Closing_Par/D33,0)</f>
        <v>1.09561</v>
      </c>
      <c r="E41" s="48" t="n">
        <f aca="false">IFERROR(PS_Closing_Par/E33,0)</f>
        <v>1.08794073</v>
      </c>
      <c r="F41" s="48" t="n">
        <f aca="false">IFERROR(PS_Closing_Par/F33,0)</f>
        <v>1.08032514489</v>
      </c>
      <c r="G41" s="48" t="n">
        <f aca="false">IFERROR(PS_Closing_Par/G33,0)</f>
        <v>1.07276286887577</v>
      </c>
      <c r="H41" s="48" t="n">
        <f aca="false">IFERROR(PS_Closing_Par/H33,0)</f>
        <v>1.09012454168279</v>
      </c>
      <c r="I41" s="48" t="n">
        <f aca="false">IFERROR(PS_Closing_Par/I33,0)</f>
        <v>1.11024581782723</v>
      </c>
      <c r="J41" s="48" t="n">
        <f aca="false">IFERROR(PS_Closing_Par/J33,0)</f>
        <v>1.13367827157455</v>
      </c>
    </row>
    <row r="42" customFormat="false" ht="15" hidden="false" customHeight="false" outlineLevel="0" collapsed="false">
      <c r="A42" s="5"/>
      <c r="B42" s="5"/>
      <c r="C42" s="5"/>
      <c r="D42" s="5"/>
      <c r="E42" s="5"/>
      <c r="F42" s="5"/>
      <c r="G42" s="5"/>
      <c r="H42" s="5"/>
      <c r="I42" s="5"/>
      <c r="J42" s="5"/>
    </row>
    <row r="43" customFormat="false" ht="15" hidden="false" customHeight="false" outlineLevel="0" collapsed="false">
      <c r="A43" s="5"/>
      <c r="B43" s="41" t="s">
        <v>148</v>
      </c>
      <c r="C43" s="16"/>
      <c r="D43" s="16"/>
      <c r="E43" s="16"/>
      <c r="F43" s="16"/>
      <c r="G43" s="16"/>
      <c r="H43" s="16"/>
      <c r="I43" s="16"/>
      <c r="J43" s="16"/>
    </row>
    <row r="44" customFormat="false" ht="15" hidden="false" customHeight="false" outlineLevel="0" collapsed="false">
      <c r="A44" s="5"/>
      <c r="B44" s="43" t="s">
        <v>149</v>
      </c>
      <c r="C44" s="48" t="n">
        <f aca="false">IFERROR(PS_Int_Income/C12,0)</f>
        <v>2.13418700813659</v>
      </c>
      <c r="D44" s="48" t="n">
        <f aca="false">IFERROR(PS_Int_Income/D12,0)</f>
        <v>2.11924769907963</v>
      </c>
      <c r="E44" s="48" t="n">
        <f aca="false">IFERROR(PS_Int_Income/E12,0)</f>
        <v>2.10441296518607</v>
      </c>
      <c r="F44" s="48" t="n">
        <f aca="false">IFERROR(PS_Int_Income/F12,0)</f>
        <v>2.08968207442977</v>
      </c>
      <c r="G44" s="48" t="n">
        <f aca="false">IFERROR(PS_Int_Income/G12,0)</f>
        <v>2.07505429990876</v>
      </c>
      <c r="H44" s="48" t="n">
        <f aca="false">IFERROR(PS_Int_Income/H12,0)</f>
        <v>2.0605289198094</v>
      </c>
      <c r="I44" s="48" t="n">
        <f aca="false">IFERROR(PS_Int_Income/I12,0)</f>
        <v>1.87772547189312</v>
      </c>
      <c r="J44" s="48" t="n">
        <f aca="false">IFERROR(PS_Int_Income/J12,0)</f>
        <v>1.71185733457025</v>
      </c>
    </row>
    <row r="45" customFormat="false" ht="15" hidden="false" customHeight="false" outlineLevel="0" collapsed="false">
      <c r="A45" s="5"/>
      <c r="B45" s="43" t="s">
        <v>150</v>
      </c>
      <c r="C45" s="48" t="n">
        <f aca="false">IFERROR(PS_Int_Income/(C12+C18),0)</f>
        <v>1.79231544751876</v>
      </c>
      <c r="D45" s="48" t="n">
        <f aca="false">IFERROR(PS_Int_Income/(D12+D18),0)</f>
        <v>1.77976923938613</v>
      </c>
      <c r="E45" s="48" t="n">
        <f aca="false">IFERROR(PS_Int_Income/(E12+E18),0)</f>
        <v>1.76731085471043</v>
      </c>
      <c r="F45" s="48" t="n">
        <f aca="false">IFERROR(PS_Int_Income/(F12+F18),0)</f>
        <v>1.75493967872746</v>
      </c>
      <c r="G45" s="48" t="n">
        <f aca="false">IFERROR(PS_Int_Income/(G12+G18),0)</f>
        <v>1.74265510097636</v>
      </c>
      <c r="H45" s="48" t="n">
        <f aca="false">IFERROR(PS_Int_Income/(H12+H18),0)</f>
        <v>1.73045651526953</v>
      </c>
      <c r="I45" s="48" t="n">
        <f aca="false">IFERROR(PS_Int_Income/(I12+I18),0)</f>
        <v>1.83378950844417</v>
      </c>
      <c r="J45" s="48" t="n">
        <f aca="false">IFERROR(PS_Int_Income/(J12+J18),0)</f>
        <v>1.71185733457025</v>
      </c>
    </row>
    <row r="46" customFormat="false" ht="15" hidden="false" customHeight="false" outlineLevel="0" collapsed="false">
      <c r="A46" s="5"/>
      <c r="B46" s="43" t="s">
        <v>151</v>
      </c>
      <c r="C46" s="48" t="n">
        <f aca="false">IFERROR(PS_Int_Income/(C12+C18+C24),0)</f>
        <v>1.56372165754496</v>
      </c>
      <c r="D46" s="48" t="n">
        <f aca="false">IFERROR(PS_Int_Income/(D12+D18+D24),0)</f>
        <v>1.55277560594214</v>
      </c>
      <c r="E46" s="48" t="n">
        <f aca="false">IFERROR(PS_Int_Income/(E12+E18+E24),0)</f>
        <v>1.54190617670055</v>
      </c>
      <c r="F46" s="48" t="n">
        <f aca="false">IFERROR(PS_Int_Income/(F12+F18+F24),0)</f>
        <v>1.53111283346364</v>
      </c>
      <c r="G46" s="48" t="n">
        <f aca="false">IFERROR(PS_Int_Income/(G12+G18+G24),0)</f>
        <v>1.5203950436294</v>
      </c>
      <c r="H46" s="48" t="n">
        <f aca="false">IFERROR(PS_Int_Income/(H12+H18+H24),0)</f>
        <v>1.50975227832399</v>
      </c>
      <c r="I46" s="48" t="n">
        <f aca="false">IFERROR(PS_Int_Income/(I12+I18+I24),0)</f>
        <v>1.56269722681346</v>
      </c>
      <c r="J46" s="48" t="n">
        <f aca="false">IFERROR(PS_Int_Income/(J12+J18+J24),0)</f>
        <v>1.64952630782485</v>
      </c>
    </row>
    <row r="47" customFormat="false" ht="15" hidden="false" customHeight="false" outlineLevel="0" collapsed="false">
      <c r="A47" s="5"/>
      <c r="B47" s="43" t="s">
        <v>152</v>
      </c>
      <c r="C47" s="48" t="n">
        <f aca="false">IFERROR(PS_Int_Income/C34,0)</f>
        <v>1.40080546314131</v>
      </c>
      <c r="D47" s="48" t="n">
        <f aca="false">IFERROR(PS_Int_Income/D34,0)</f>
        <v>1.39099982489932</v>
      </c>
      <c r="E47" s="48" t="n">
        <f aca="false">IFERROR(PS_Int_Income/E34,0)</f>
        <v>1.38126282612502</v>
      </c>
      <c r="F47" s="48" t="n">
        <f aca="false">IFERROR(PS_Int_Income/F34,0)</f>
        <v>1.37159398634215</v>
      </c>
      <c r="G47" s="48" t="n">
        <f aca="false">IFERROR(PS_Int_Income/G34,0)</f>
        <v>1.36199282843775</v>
      </c>
      <c r="H47" s="48" t="n">
        <f aca="false">IFERROR(PS_Int_Income/H34,0)</f>
        <v>1.35245887863869</v>
      </c>
      <c r="I47" s="48" t="n">
        <f aca="false">IFERROR(PS_Int_Income/I34,0)</f>
        <v>1.37706304715223</v>
      </c>
      <c r="J47" s="48" t="n">
        <f aca="false">IFERROR(PS_Int_Income/J34,0)</f>
        <v>1.42280945359359</v>
      </c>
    </row>
    <row r="48" customFormat="false" ht="15" hidden="false" customHeight="false" outlineLevel="0" collapsed="false">
      <c r="A48" s="5"/>
      <c r="B48" s="5"/>
      <c r="C48" s="5"/>
      <c r="D48" s="5"/>
      <c r="E48" s="5"/>
      <c r="F48" s="5"/>
      <c r="G48" s="5"/>
      <c r="H48" s="5"/>
      <c r="I48" s="5"/>
      <c r="J48" s="5"/>
    </row>
    <row r="49" customFormat="false" ht="15" hidden="false" customHeight="false" outlineLevel="0" collapsed="false">
      <c r="A49" s="5"/>
      <c r="B49" s="41" t="s">
        <v>153</v>
      </c>
      <c r="C49" s="16"/>
      <c r="D49" s="16"/>
      <c r="E49" s="16"/>
      <c r="F49" s="16"/>
      <c r="G49" s="16"/>
      <c r="H49" s="16"/>
      <c r="I49" s="16"/>
      <c r="J49" s="16"/>
    </row>
    <row r="50" customFormat="false" ht="15" hidden="false" customHeight="false" outlineLevel="0" collapsed="false">
      <c r="A50" s="5"/>
      <c r="B50" s="43" t="s">
        <v>154</v>
      </c>
      <c r="C50" s="49" t="str">
        <f aca="false">IF(C38&gt;=SR_OC_Trigger,"PASS","FAIL")</f>
        <v>PASS</v>
      </c>
      <c r="D50" s="49" t="str">
        <f aca="false">IF(D38&gt;=SR_OC_Trigger,"PASS","FAIL")</f>
        <v>PASS</v>
      </c>
      <c r="E50" s="49" t="str">
        <f aca="false">IF(E38&gt;=SR_OC_Trigger,"PASS","FAIL")</f>
        <v>PASS</v>
      </c>
      <c r="F50" s="49" t="str">
        <f aca="false">IF(F38&gt;=SR_OC_Trigger,"PASS","FAIL")</f>
        <v>PASS</v>
      </c>
      <c r="G50" s="49" t="str">
        <f aca="false">IF(G38&gt;=SR_OC_Trigger,"PASS","FAIL")</f>
        <v>PASS</v>
      </c>
      <c r="H50" s="49" t="str">
        <f aca="false">IF(H38&gt;=SR_OC_Trigger,"PASS","FAIL")</f>
        <v>PASS</v>
      </c>
      <c r="I50" s="49" t="str">
        <f aca="false">IF(I38&gt;=SR_OC_Trigger,"PASS","FAIL")</f>
        <v>PASS</v>
      </c>
      <c r="J50" s="49" t="str">
        <f aca="false">IF(J38&gt;=SR_OC_Trigger,"PASS","FAIL")</f>
        <v>FAIL</v>
      </c>
    </row>
    <row r="51" customFormat="false" ht="15" hidden="false" customHeight="false" outlineLevel="0" collapsed="false">
      <c r="A51" s="5"/>
      <c r="B51" s="43" t="s">
        <v>155</v>
      </c>
      <c r="C51" s="49" t="str">
        <f aca="false">IF(C39&gt;=MA_OC_Trigger,"PASS","FAIL")</f>
        <v>PASS</v>
      </c>
      <c r="D51" s="49" t="str">
        <f aca="false">IF(D39&gt;=MA_OC_Trigger,"PASS","FAIL")</f>
        <v>PASS</v>
      </c>
      <c r="E51" s="49" t="str">
        <f aca="false">IF(E39&gt;=MA_OC_Trigger,"PASS","FAIL")</f>
        <v>PASS</v>
      </c>
      <c r="F51" s="49" t="str">
        <f aca="false">IF(F39&gt;=MA_OC_Trigger,"PASS","FAIL")</f>
        <v>PASS</v>
      </c>
      <c r="G51" s="49" t="str">
        <f aca="false">IF(G39&gt;=MA_OC_Trigger,"PASS","FAIL")</f>
        <v>PASS</v>
      </c>
      <c r="H51" s="49" t="str">
        <f aca="false">IF(H39&gt;=MA_OC_Trigger,"PASS","FAIL")</f>
        <v>PASS</v>
      </c>
      <c r="I51" s="49" t="str">
        <f aca="false">IF(I39&gt;=MA_OC_Trigger,"PASS","FAIL")</f>
        <v>PASS</v>
      </c>
      <c r="J51" s="49" t="str">
        <f aca="false">IF(J39&gt;=MA_OC_Trigger,"PASS","FAIL")</f>
        <v>PASS</v>
      </c>
    </row>
    <row r="52" customFormat="false" ht="15" hidden="false" customHeight="false" outlineLevel="0" collapsed="false">
      <c r="A52" s="5"/>
      <c r="B52" s="43" t="s">
        <v>156</v>
      </c>
      <c r="C52" s="49" t="str">
        <f aca="false">IF(C40&gt;=MB_OC_Trigger,"PASS","FAIL")</f>
        <v>PASS</v>
      </c>
      <c r="D52" s="49" t="str">
        <f aca="false">IF(D40&gt;=MB_OC_Trigger,"PASS","FAIL")</f>
        <v>PASS</v>
      </c>
      <c r="E52" s="49" t="str">
        <f aca="false">IF(E40&gt;=MB_OC_Trigger,"PASS","FAIL")</f>
        <v>PASS</v>
      </c>
      <c r="F52" s="49" t="str">
        <f aca="false">IF(F40&gt;=MB_OC_Trigger,"PASS","FAIL")</f>
        <v>PASS</v>
      </c>
      <c r="G52" s="49" t="str">
        <f aca="false">IF(G40&gt;=MB_OC_Trigger,"PASS","FAIL")</f>
        <v>PASS</v>
      </c>
      <c r="H52" s="49" t="str">
        <f aca="false">IF(H40&gt;=MB_OC_Trigger,"PASS","FAIL")</f>
        <v>PASS</v>
      </c>
      <c r="I52" s="49" t="str">
        <f aca="false">IF(I40&gt;=MB_OC_Trigger,"PASS","FAIL")</f>
        <v>PASS</v>
      </c>
      <c r="J52" s="49" t="str">
        <f aca="false">IF(J40&gt;=MB_OC_Trigger,"PASS","FAIL")</f>
        <v>PASS</v>
      </c>
    </row>
    <row r="53" customFormat="false" ht="15" hidden="false" customHeight="false" outlineLevel="0" collapsed="false">
      <c r="A53" s="5"/>
      <c r="B53" s="43" t="s">
        <v>157</v>
      </c>
      <c r="C53" s="49" t="str">
        <f aca="false">IF(C41&gt;=MC_OC_Trigger,"PASS","FAIL")</f>
        <v>PASS</v>
      </c>
      <c r="D53" s="49" t="str">
        <f aca="false">IF(D41&gt;=MC_OC_Trigger,"PASS","FAIL")</f>
        <v>PASS</v>
      </c>
      <c r="E53" s="49" t="str">
        <f aca="false">IF(E41&gt;=MC_OC_Trigger,"PASS","FAIL")</f>
        <v>PASS</v>
      </c>
      <c r="F53" s="49" t="str">
        <f aca="false">IF(F41&gt;=MC_OC_Trigger,"PASS","FAIL")</f>
        <v>PASS</v>
      </c>
      <c r="G53" s="49" t="str">
        <f aca="false">IF(G41&gt;=MC_OC_Trigger,"PASS","FAIL")</f>
        <v>PASS</v>
      </c>
      <c r="H53" s="49" t="str">
        <f aca="false">IF(H41&gt;=MC_OC_Trigger,"PASS","FAIL")</f>
        <v>PASS</v>
      </c>
      <c r="I53" s="49" t="str">
        <f aca="false">IF(I41&gt;=MC_OC_Trigger,"PASS","FAIL")</f>
        <v>PASS</v>
      </c>
      <c r="J53" s="49" t="str">
        <f aca="false">IF(J41&gt;=MC_OC_Trigger,"PASS","FAIL")</f>
        <v>PASS</v>
      </c>
    </row>
    <row r="54" customFormat="false" ht="15" hidden="false" customHeight="false" outlineLevel="0" collapsed="false">
      <c r="A54" s="5"/>
      <c r="B54" s="43" t="s">
        <v>158</v>
      </c>
      <c r="C54" s="49" t="str">
        <f aca="false">IF(C44&gt;=SR_IC_Trigger,"PASS","FAIL")</f>
        <v>PASS</v>
      </c>
      <c r="D54" s="49" t="str">
        <f aca="false">IF(D44&gt;=SR_IC_Trigger,"PASS","FAIL")</f>
        <v>PASS</v>
      </c>
      <c r="E54" s="49" t="str">
        <f aca="false">IF(E44&gt;=SR_IC_Trigger,"PASS","FAIL")</f>
        <v>PASS</v>
      </c>
      <c r="F54" s="49" t="str">
        <f aca="false">IF(F44&gt;=SR_IC_Trigger,"PASS","FAIL")</f>
        <v>PASS</v>
      </c>
      <c r="G54" s="49" t="str">
        <f aca="false">IF(G44&gt;=SR_IC_Trigger,"PASS","FAIL")</f>
        <v>PASS</v>
      </c>
      <c r="H54" s="49" t="str">
        <f aca="false">IF(H44&gt;=SR_IC_Trigger,"PASS","FAIL")</f>
        <v>PASS</v>
      </c>
      <c r="I54" s="49" t="str">
        <f aca="false">IF(I44&gt;=SR_IC_Trigger,"PASS","FAIL")</f>
        <v>PASS</v>
      </c>
      <c r="J54" s="49" t="str">
        <f aca="false">IF(J44&gt;=SR_IC_Trigger,"PASS","FAIL")</f>
        <v>PASS</v>
      </c>
    </row>
    <row r="55" customFormat="false" ht="15" hidden="false" customHeight="false" outlineLevel="0" collapsed="false">
      <c r="A55" s="5"/>
      <c r="B55" s="43" t="s">
        <v>159</v>
      </c>
      <c r="C55" s="49" t="str">
        <f aca="false">IF(C45&gt;=MA_IC_Trigger,"PASS","FAIL")</f>
        <v>PASS</v>
      </c>
      <c r="D55" s="49" t="str">
        <f aca="false">IF(D45&gt;=MA_IC_Trigger,"PASS","FAIL")</f>
        <v>PASS</v>
      </c>
      <c r="E55" s="49" t="str">
        <f aca="false">IF(E45&gt;=MA_IC_Trigger,"PASS","FAIL")</f>
        <v>PASS</v>
      </c>
      <c r="F55" s="49" t="str">
        <f aca="false">IF(F45&gt;=MA_IC_Trigger,"PASS","FAIL")</f>
        <v>PASS</v>
      </c>
      <c r="G55" s="49" t="str">
        <f aca="false">IF(G45&gt;=MA_IC_Trigger,"PASS","FAIL")</f>
        <v>PASS</v>
      </c>
      <c r="H55" s="49" t="str">
        <f aca="false">IF(H45&gt;=MA_IC_Trigger,"PASS","FAIL")</f>
        <v>PASS</v>
      </c>
      <c r="I55" s="49" t="str">
        <f aca="false">IF(I45&gt;=MA_IC_Trigger,"PASS","FAIL")</f>
        <v>PASS</v>
      </c>
      <c r="J55" s="49" t="str">
        <f aca="false">IF(J45&gt;=MA_IC_Trigger,"PASS","FAIL")</f>
        <v>PASS</v>
      </c>
    </row>
    <row r="56" customFormat="false" ht="15" hidden="false" customHeight="false" outlineLevel="0" collapsed="false">
      <c r="A56" s="5"/>
      <c r="B56" s="43" t="s">
        <v>160</v>
      </c>
      <c r="C56" s="49" t="str">
        <f aca="false">IF(C46&gt;=MB_IC_Trigger,"PASS","FAIL")</f>
        <v>PASS</v>
      </c>
      <c r="D56" s="49" t="str">
        <f aca="false">IF(D46&gt;=MB_IC_Trigger,"PASS","FAIL")</f>
        <v>PASS</v>
      </c>
      <c r="E56" s="49" t="str">
        <f aca="false">IF(E46&gt;=MB_IC_Trigger,"PASS","FAIL")</f>
        <v>PASS</v>
      </c>
      <c r="F56" s="49" t="str">
        <f aca="false">IF(F46&gt;=MB_IC_Trigger,"PASS","FAIL")</f>
        <v>PASS</v>
      </c>
      <c r="G56" s="49" t="str">
        <f aca="false">IF(G46&gt;=MB_IC_Trigger,"PASS","FAIL")</f>
        <v>PASS</v>
      </c>
      <c r="H56" s="49" t="str">
        <f aca="false">IF(H46&gt;=MB_IC_Trigger,"PASS","FAIL")</f>
        <v>PASS</v>
      </c>
      <c r="I56" s="49" t="str">
        <f aca="false">IF(I46&gt;=MB_IC_Trigger,"PASS","FAIL")</f>
        <v>PASS</v>
      </c>
      <c r="J56" s="49" t="str">
        <f aca="false">IF(J46&gt;=MB_IC_Trigger,"PASS","FAIL")</f>
        <v>PASS</v>
      </c>
    </row>
    <row r="57" customFormat="false" ht="15" hidden="false" customHeight="false" outlineLevel="0" collapsed="false">
      <c r="A57" s="5"/>
      <c r="B57" s="43" t="s">
        <v>161</v>
      </c>
      <c r="C57" s="49" t="str">
        <f aca="false">IF(C47&gt;=MC_IC_Trigger,"PASS","FAIL")</f>
        <v>PASS</v>
      </c>
      <c r="D57" s="49" t="str">
        <f aca="false">IF(D47&gt;=MC_IC_Trigger,"PASS","FAIL")</f>
        <v>PASS</v>
      </c>
      <c r="E57" s="49" t="str">
        <f aca="false">IF(E47&gt;=MC_IC_Trigger,"PASS","FAIL")</f>
        <v>PASS</v>
      </c>
      <c r="F57" s="49" t="str">
        <f aca="false">IF(F47&gt;=MC_IC_Trigger,"PASS","FAIL")</f>
        <v>PASS</v>
      </c>
      <c r="G57" s="49" t="str">
        <f aca="false">IF(G47&gt;=MC_IC_Trigger,"PASS","FAIL")</f>
        <v>PASS</v>
      </c>
      <c r="H57" s="49" t="str">
        <f aca="false">IF(H47&gt;=MC_IC_Trigger,"PASS","FAIL")</f>
        <v>PASS</v>
      </c>
      <c r="I57" s="49" t="str">
        <f aca="false">IF(I47&gt;=MC_IC_Trigger,"PASS","FAIL")</f>
        <v>PASS</v>
      </c>
      <c r="J57" s="49" t="str">
        <f aca="false">IF(J47&gt;=MC_IC_Trigger,"PASS","FAIL")</f>
        <v>PASS</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J4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4"/>
    <col collapsed="false" customWidth="true" hidden="false" outlineLevel="0" max="10" min="3" style="0" width="16"/>
  </cols>
  <sheetData>
    <row r="1" customFormat="false" ht="15" hidden="false" customHeight="false" outlineLevel="0" collapsed="false">
      <c r="A1" s="5"/>
      <c r="B1" s="5"/>
      <c r="C1" s="5"/>
      <c r="D1" s="5"/>
      <c r="E1" s="5"/>
      <c r="F1" s="5"/>
      <c r="G1" s="5"/>
      <c r="H1" s="5"/>
      <c r="I1" s="5"/>
      <c r="J1" s="5"/>
    </row>
    <row r="2" customFormat="false" ht="22.05" hidden="false" customHeight="false" outlineLevel="0" collapsed="false">
      <c r="A2" s="5"/>
      <c r="B2" s="36" t="s">
        <v>12</v>
      </c>
      <c r="C2" s="5"/>
      <c r="D2" s="5"/>
      <c r="E2" s="5"/>
      <c r="F2" s="5"/>
      <c r="G2" s="5"/>
      <c r="H2" s="5"/>
      <c r="I2" s="5"/>
      <c r="J2" s="5"/>
    </row>
    <row r="3" customFormat="false" ht="15" hidden="false" customHeight="false" outlineLevel="0" collapsed="false">
      <c r="A3" s="5"/>
      <c r="B3" s="37" t="s">
        <v>162</v>
      </c>
      <c r="C3" s="5"/>
      <c r="D3" s="5"/>
      <c r="E3" s="5"/>
      <c r="F3" s="5"/>
      <c r="G3" s="5"/>
      <c r="H3" s="5"/>
      <c r="I3" s="5"/>
      <c r="J3" s="5"/>
    </row>
    <row r="4" customFormat="false" ht="15" hidden="false" customHeight="false" outlineLevel="0" collapsed="false">
      <c r="A4" s="5"/>
      <c r="B4" s="5"/>
      <c r="C4" s="5"/>
      <c r="D4" s="5"/>
      <c r="E4" s="5"/>
      <c r="F4" s="5"/>
      <c r="G4" s="5"/>
      <c r="H4" s="5"/>
      <c r="I4" s="5"/>
      <c r="J4" s="5"/>
    </row>
    <row r="5" customFormat="false" ht="15" hidden="false" customHeight="false" outlineLevel="0" collapsed="false">
      <c r="A5" s="5"/>
      <c r="B5" s="38" t="s">
        <v>118</v>
      </c>
      <c r="C5" s="39" t="n">
        <v>2025</v>
      </c>
      <c r="D5" s="39" t="n">
        <v>2026</v>
      </c>
      <c r="E5" s="39" t="n">
        <v>2027</v>
      </c>
      <c r="F5" s="39" t="n">
        <v>2028</v>
      </c>
      <c r="G5" s="39" t="n">
        <v>2029</v>
      </c>
      <c r="H5" s="39" t="n">
        <v>2030</v>
      </c>
      <c r="I5" s="39" t="n">
        <v>2031</v>
      </c>
      <c r="J5" s="39" t="n">
        <v>2032</v>
      </c>
    </row>
    <row r="6" customFormat="false" ht="15" hidden="false" customHeight="false" outlineLevel="0" collapsed="false">
      <c r="A6" s="5"/>
      <c r="B6" s="8" t="s">
        <v>119</v>
      </c>
      <c r="C6" s="40" t="n">
        <v>1</v>
      </c>
      <c r="D6" s="40" t="n">
        <v>2</v>
      </c>
      <c r="E6" s="40" t="n">
        <v>3</v>
      </c>
      <c r="F6" s="40" t="n">
        <v>4</v>
      </c>
      <c r="G6" s="40" t="n">
        <v>5</v>
      </c>
      <c r="H6" s="40" t="n">
        <v>6</v>
      </c>
      <c r="I6" s="40" t="n">
        <v>7</v>
      </c>
      <c r="J6" s="40" t="n">
        <v>8</v>
      </c>
    </row>
    <row r="7" customFormat="false" ht="15" hidden="false" customHeight="false" outlineLevel="0" collapsed="false">
      <c r="A7" s="5"/>
      <c r="B7" s="5"/>
      <c r="C7" s="5"/>
      <c r="D7" s="5"/>
      <c r="E7" s="5"/>
      <c r="F7" s="5"/>
      <c r="G7" s="5"/>
      <c r="H7" s="5"/>
      <c r="I7" s="5"/>
      <c r="J7" s="5"/>
    </row>
    <row r="8" customFormat="false" ht="15" hidden="false" customHeight="false" outlineLevel="0" collapsed="false">
      <c r="A8" s="5"/>
      <c r="B8" s="41" t="s">
        <v>163</v>
      </c>
      <c r="C8" s="16"/>
      <c r="D8" s="16"/>
      <c r="E8" s="16"/>
      <c r="F8" s="16"/>
      <c r="G8" s="16"/>
      <c r="H8" s="16"/>
      <c r="I8" s="16"/>
      <c r="J8" s="16"/>
    </row>
    <row r="9" customFormat="false" ht="15" hidden="false" customHeight="false" outlineLevel="0" collapsed="false">
      <c r="A9" s="5"/>
      <c r="B9" s="14" t="s">
        <v>127</v>
      </c>
      <c r="C9" s="42" t="n">
        <f aca="false">PS_Int_Income</f>
        <v>40</v>
      </c>
      <c r="D9" s="42" t="n">
        <f aca="false">PS_Int_Income</f>
        <v>39.72</v>
      </c>
      <c r="E9" s="42" t="n">
        <f aca="false">PS_Int_Income</f>
        <v>39.44196</v>
      </c>
      <c r="F9" s="42" t="n">
        <f aca="false">PS_Int_Income</f>
        <v>39.16586628</v>
      </c>
      <c r="G9" s="42" t="n">
        <f aca="false">PS_Int_Income</f>
        <v>38.89170521604</v>
      </c>
      <c r="H9" s="42" t="n">
        <f aca="false">PS_Int_Income</f>
        <v>38.6194632795277</v>
      </c>
      <c r="I9" s="42" t="n">
        <f aca="false">PS_Int_Income</f>
        <v>34.4871807086183</v>
      </c>
      <c r="J9" s="42" t="n">
        <f aca="false">PS_Int_Income</f>
        <v>30.7970523727961</v>
      </c>
    </row>
    <row r="10" customFormat="false" ht="15" hidden="false" customHeight="false" outlineLevel="0" collapsed="false">
      <c r="A10" s="5"/>
      <c r="B10" s="5"/>
      <c r="C10" s="5"/>
      <c r="D10" s="5"/>
      <c r="E10" s="5"/>
      <c r="F10" s="5"/>
      <c r="G10" s="5"/>
      <c r="H10" s="5"/>
      <c r="I10" s="5"/>
      <c r="J10" s="5"/>
    </row>
    <row r="11" customFormat="false" ht="15" hidden="false" customHeight="false" outlineLevel="0" collapsed="false">
      <c r="A11" s="5"/>
      <c r="B11" s="41" t="s">
        <v>164</v>
      </c>
      <c r="C11" s="16"/>
      <c r="D11" s="16"/>
      <c r="E11" s="16"/>
      <c r="F11" s="16"/>
      <c r="G11" s="16"/>
      <c r="H11" s="16"/>
      <c r="I11" s="16"/>
      <c r="J11" s="16"/>
    </row>
    <row r="12" customFormat="false" ht="15" hidden="false" customHeight="false" outlineLevel="0" collapsed="false">
      <c r="A12" s="5"/>
      <c r="B12" s="43" t="s">
        <v>94</v>
      </c>
      <c r="C12" s="42" t="n">
        <f aca="false">PS_Opening_Par*Trustee_Fee_Rate</f>
        <v>0.1</v>
      </c>
      <c r="D12" s="42" t="n">
        <f aca="false">PS_Opening_Par*Trustee_Fee_Rate</f>
        <v>0.0993</v>
      </c>
      <c r="E12" s="42" t="n">
        <f aca="false">PS_Opening_Par*Trustee_Fee_Rate</f>
        <v>0.0986049</v>
      </c>
      <c r="F12" s="42" t="n">
        <f aca="false">PS_Opening_Par*Trustee_Fee_Rate</f>
        <v>0.0979146657</v>
      </c>
      <c r="G12" s="42" t="n">
        <f aca="false">PS_Opening_Par*Trustee_Fee_Rate</f>
        <v>0.0972292630401</v>
      </c>
      <c r="H12" s="42" t="n">
        <f aca="false">PS_Opening_Par*Trustee_Fee_Rate</f>
        <v>0.0965486581988193</v>
      </c>
      <c r="I12" s="42" t="n">
        <f aca="false">PS_Opening_Par*Trustee_Fee_Rate</f>
        <v>0.0862179517715456</v>
      </c>
      <c r="J12" s="42" t="n">
        <f aca="false">PS_Opening_Par*Trustee_Fee_Rate</f>
        <v>0.0769926309319902</v>
      </c>
    </row>
    <row r="13" customFormat="false" ht="15" hidden="false" customHeight="false" outlineLevel="0" collapsed="false">
      <c r="A13" s="5"/>
      <c r="B13" s="43" t="s">
        <v>96</v>
      </c>
      <c r="C13" s="42" t="n">
        <f aca="false">PS_Opening_Par*Admin_Fee_Rate</f>
        <v>0.15</v>
      </c>
      <c r="D13" s="42" t="n">
        <f aca="false">PS_Opening_Par*Admin_Fee_Rate</f>
        <v>0.14895</v>
      </c>
      <c r="E13" s="42" t="n">
        <f aca="false">PS_Opening_Par*Admin_Fee_Rate</f>
        <v>0.14790735</v>
      </c>
      <c r="F13" s="42" t="n">
        <f aca="false">PS_Opening_Par*Admin_Fee_Rate</f>
        <v>0.14687199855</v>
      </c>
      <c r="G13" s="42" t="n">
        <f aca="false">PS_Opening_Par*Admin_Fee_Rate</f>
        <v>0.14584389456015</v>
      </c>
      <c r="H13" s="42" t="n">
        <f aca="false">PS_Opening_Par*Admin_Fee_Rate</f>
        <v>0.144822987298229</v>
      </c>
      <c r="I13" s="42" t="n">
        <f aca="false">PS_Opening_Par*Admin_Fee_Rate</f>
        <v>0.129326927657318</v>
      </c>
      <c r="J13" s="42" t="n">
        <f aca="false">PS_Opening_Par*Admin_Fee_Rate</f>
        <v>0.115488946397985</v>
      </c>
    </row>
    <row r="14" customFormat="false" ht="15" hidden="false" customHeight="false" outlineLevel="0" collapsed="false">
      <c r="A14" s="5"/>
      <c r="B14" s="43" t="s">
        <v>97</v>
      </c>
      <c r="C14" s="42" t="n">
        <f aca="false">PS_Opening_Par*Sr_Mgmt_Fee_Rate</f>
        <v>1</v>
      </c>
      <c r="D14" s="42" t="n">
        <f aca="false">PS_Opening_Par*Sr_Mgmt_Fee_Rate</f>
        <v>0.993</v>
      </c>
      <c r="E14" s="42" t="n">
        <f aca="false">PS_Opening_Par*Sr_Mgmt_Fee_Rate</f>
        <v>0.986049</v>
      </c>
      <c r="F14" s="42" t="n">
        <f aca="false">PS_Opening_Par*Sr_Mgmt_Fee_Rate</f>
        <v>0.979146657</v>
      </c>
      <c r="G14" s="42" t="n">
        <f aca="false">PS_Opening_Par*Sr_Mgmt_Fee_Rate</f>
        <v>0.972292630401</v>
      </c>
      <c r="H14" s="42" t="n">
        <f aca="false">PS_Opening_Par*Sr_Mgmt_Fee_Rate</f>
        <v>0.965486581988193</v>
      </c>
      <c r="I14" s="42" t="n">
        <f aca="false">PS_Opening_Par*Sr_Mgmt_Fee_Rate</f>
        <v>0.862179517715456</v>
      </c>
      <c r="J14" s="42" t="n">
        <f aca="false">PS_Opening_Par*Sr_Mgmt_Fee_Rate</f>
        <v>0.769926309319903</v>
      </c>
    </row>
    <row r="15" customFormat="false" ht="15" hidden="false" customHeight="false" outlineLevel="0" collapsed="false">
      <c r="A15" s="5"/>
      <c r="B15" s="44" t="s">
        <v>165</v>
      </c>
      <c r="C15" s="45" t="n">
        <f aca="false">C9-C12-C13-C14</f>
        <v>38.75</v>
      </c>
      <c r="D15" s="45" t="n">
        <f aca="false">D9-D12-D13-D14</f>
        <v>38.47875</v>
      </c>
      <c r="E15" s="45" t="n">
        <f aca="false">E9-E12-E13-E14</f>
        <v>38.20939875</v>
      </c>
      <c r="F15" s="45" t="n">
        <f aca="false">F9-F12-F13-F14</f>
        <v>37.94193295875</v>
      </c>
      <c r="G15" s="45" t="n">
        <f aca="false">G9-G12-G13-G14</f>
        <v>37.6763394280388</v>
      </c>
      <c r="H15" s="45" t="n">
        <f aca="false">H9-H12-H13-H14</f>
        <v>37.4126050520425</v>
      </c>
      <c r="I15" s="45" t="n">
        <f aca="false">I9-I12-I13-I14</f>
        <v>33.4094563114739</v>
      </c>
      <c r="J15" s="45" t="n">
        <f aca="false">J9-J12-J13-J14</f>
        <v>29.8346444861462</v>
      </c>
    </row>
    <row r="16" customFormat="false" ht="15" hidden="false" customHeight="false" outlineLevel="0" collapsed="false">
      <c r="A16" s="5"/>
      <c r="B16" s="5"/>
      <c r="C16" s="5"/>
      <c r="D16" s="5"/>
      <c r="E16" s="5"/>
      <c r="F16" s="5"/>
      <c r="G16" s="5"/>
      <c r="H16" s="5"/>
      <c r="I16" s="5"/>
      <c r="J16" s="5"/>
    </row>
    <row r="17" customFormat="false" ht="15" hidden="false" customHeight="false" outlineLevel="0" collapsed="false">
      <c r="A17" s="5"/>
      <c r="B17" s="41" t="s">
        <v>166</v>
      </c>
      <c r="C17" s="16"/>
      <c r="D17" s="16"/>
      <c r="E17" s="16"/>
      <c r="F17" s="16"/>
      <c r="G17" s="16"/>
      <c r="H17" s="16"/>
      <c r="I17" s="16"/>
      <c r="J17" s="16"/>
    </row>
    <row r="18" customFormat="false" ht="15" hidden="false" customHeight="false" outlineLevel="0" collapsed="false">
      <c r="A18" s="5"/>
      <c r="B18" s="43" t="s">
        <v>167</v>
      </c>
      <c r="C18" s="42" t="n">
        <f aca="false">TS_SR_Interest</f>
        <v>18.7425</v>
      </c>
      <c r="D18" s="42" t="n">
        <f aca="false">TS_SR_Interest</f>
        <v>18.7425</v>
      </c>
      <c r="E18" s="42" t="n">
        <f aca="false">TS_SR_Interest</f>
        <v>18.7425</v>
      </c>
      <c r="F18" s="42" t="n">
        <f aca="false">TS_SR_Interest</f>
        <v>18.7425</v>
      </c>
      <c r="G18" s="42" t="n">
        <f aca="false">TS_SR_Interest</f>
        <v>18.7425</v>
      </c>
      <c r="H18" s="42" t="n">
        <f aca="false">TS_SR_Interest</f>
        <v>18.7425</v>
      </c>
      <c r="I18" s="42" t="n">
        <f aca="false">TS_SR_Interest</f>
        <v>18.3664658251924</v>
      </c>
      <c r="J18" s="42" t="n">
        <f aca="false">TS_SR_Interest</f>
        <v>17.9904316503848</v>
      </c>
    </row>
    <row r="19" customFormat="false" ht="15" hidden="false" customHeight="false" outlineLevel="0" collapsed="false">
      <c r="A19" s="5"/>
      <c r="B19" s="44" t="s">
        <v>168</v>
      </c>
      <c r="C19" s="45" t="n">
        <f aca="false">C15-C18</f>
        <v>20.0075</v>
      </c>
      <c r="D19" s="45" t="n">
        <f aca="false">D15-D18</f>
        <v>19.73625</v>
      </c>
      <c r="E19" s="45" t="n">
        <f aca="false">E15-E18</f>
        <v>19.46689875</v>
      </c>
      <c r="F19" s="45" t="n">
        <f aca="false">F15-F18</f>
        <v>19.19943295875</v>
      </c>
      <c r="G19" s="45" t="n">
        <f aca="false">G15-G18</f>
        <v>18.9338394280388</v>
      </c>
      <c r="H19" s="45" t="n">
        <f aca="false">H15-H18</f>
        <v>18.6701050520425</v>
      </c>
      <c r="I19" s="45" t="n">
        <f aca="false">I15-I18</f>
        <v>15.0429904862815</v>
      </c>
      <c r="J19" s="45" t="n">
        <f aca="false">J15-J18</f>
        <v>11.8442128357614</v>
      </c>
    </row>
    <row r="20" customFormat="false" ht="15" hidden="false" customHeight="false" outlineLevel="0" collapsed="false">
      <c r="A20" s="5"/>
      <c r="B20" s="5"/>
      <c r="C20" s="5"/>
      <c r="D20" s="5"/>
      <c r="E20" s="5"/>
      <c r="F20" s="5"/>
      <c r="G20" s="5"/>
      <c r="H20" s="5"/>
      <c r="I20" s="5"/>
      <c r="J20" s="5"/>
    </row>
    <row r="21" customFormat="false" ht="15" hidden="false" customHeight="false" outlineLevel="0" collapsed="false">
      <c r="A21" s="5"/>
      <c r="B21" s="41" t="s">
        <v>169</v>
      </c>
      <c r="C21" s="16"/>
      <c r="D21" s="16"/>
      <c r="E21" s="16"/>
      <c r="F21" s="16"/>
      <c r="G21" s="16"/>
      <c r="H21" s="16"/>
      <c r="I21" s="16"/>
      <c r="J21" s="16"/>
    </row>
    <row r="22" customFormat="false" ht="15" hidden="false" customHeight="false" outlineLevel="0" collapsed="false">
      <c r="A22" s="5"/>
      <c r="B22" s="43" t="s">
        <v>170</v>
      </c>
      <c r="C22" s="42" t="n">
        <f aca="false">TS_MA_Interest</f>
        <v>3.575</v>
      </c>
      <c r="D22" s="42" t="n">
        <f aca="false">TS_MA_Interest</f>
        <v>3.575</v>
      </c>
      <c r="E22" s="42" t="n">
        <f aca="false">TS_MA_Interest</f>
        <v>3.575</v>
      </c>
      <c r="F22" s="42" t="n">
        <f aca="false">TS_MA_Interest</f>
        <v>3.575</v>
      </c>
      <c r="G22" s="42" t="n">
        <f aca="false">TS_MA_Interest</f>
        <v>3.575</v>
      </c>
      <c r="H22" s="42" t="n">
        <f aca="false">TS_MA_Interest</f>
        <v>3.575</v>
      </c>
      <c r="I22" s="42" t="n">
        <f aca="false">TS_MA_Interest</f>
        <v>0.440044163992783</v>
      </c>
      <c r="J22" s="42" t="n">
        <f aca="false">TS_MA_Interest</f>
        <v>0</v>
      </c>
    </row>
    <row r="23" customFormat="false" ht="15" hidden="false" customHeight="false" outlineLevel="0" collapsed="false">
      <c r="A23" s="5"/>
      <c r="B23" s="44" t="s">
        <v>171</v>
      </c>
      <c r="C23" s="45" t="n">
        <f aca="false">C19-C22</f>
        <v>16.4325</v>
      </c>
      <c r="D23" s="45" t="n">
        <f aca="false">D19-D22</f>
        <v>16.16125</v>
      </c>
      <c r="E23" s="45" t="n">
        <f aca="false">E19-E22</f>
        <v>15.89189875</v>
      </c>
      <c r="F23" s="45" t="n">
        <f aca="false">F19-F22</f>
        <v>15.62443295875</v>
      </c>
      <c r="G23" s="45" t="n">
        <f aca="false">G19-G22</f>
        <v>15.3588394280388</v>
      </c>
      <c r="H23" s="45" t="n">
        <f aca="false">H19-H22</f>
        <v>15.0951050520425</v>
      </c>
      <c r="I23" s="45" t="n">
        <f aca="false">I19-I22</f>
        <v>14.6029463222887</v>
      </c>
      <c r="J23" s="45" t="n">
        <f aca="false">J19-J22</f>
        <v>11.8442128357614</v>
      </c>
    </row>
    <row r="24" customFormat="false" ht="15" hidden="false" customHeight="false" outlineLevel="0" collapsed="false">
      <c r="A24" s="5"/>
      <c r="B24" s="5"/>
      <c r="C24" s="5"/>
      <c r="D24" s="5"/>
      <c r="E24" s="5"/>
      <c r="F24" s="5"/>
      <c r="G24" s="5"/>
      <c r="H24" s="5"/>
      <c r="I24" s="5"/>
      <c r="J24" s="5"/>
    </row>
    <row r="25" customFormat="false" ht="15" hidden="false" customHeight="false" outlineLevel="0" collapsed="false">
      <c r="A25" s="5"/>
      <c r="B25" s="41" t="s">
        <v>172</v>
      </c>
      <c r="C25" s="16"/>
      <c r="D25" s="16"/>
      <c r="E25" s="16"/>
      <c r="F25" s="16"/>
      <c r="G25" s="16"/>
      <c r="H25" s="16"/>
      <c r="I25" s="16"/>
      <c r="J25" s="16"/>
    </row>
    <row r="26" customFormat="false" ht="15" hidden="false" customHeight="false" outlineLevel="0" collapsed="false">
      <c r="A26" s="5"/>
      <c r="B26" s="43" t="s">
        <v>173</v>
      </c>
      <c r="C26" s="42" t="n">
        <f aca="false">TS_MB_Interest</f>
        <v>3.2625</v>
      </c>
      <c r="D26" s="42" t="n">
        <f aca="false">TS_MB_Interest</f>
        <v>3.2625</v>
      </c>
      <c r="E26" s="42" t="n">
        <f aca="false">TS_MB_Interest</f>
        <v>3.2625</v>
      </c>
      <c r="F26" s="42" t="n">
        <f aca="false">TS_MB_Interest</f>
        <v>3.2625</v>
      </c>
      <c r="G26" s="42" t="n">
        <f aca="false">TS_MB_Interest</f>
        <v>3.2625</v>
      </c>
      <c r="H26" s="42" t="n">
        <f aca="false">TS_MB_Interest</f>
        <v>3.2625</v>
      </c>
      <c r="I26" s="42" t="n">
        <f aca="false">TS_MB_Interest</f>
        <v>3.2625</v>
      </c>
      <c r="J26" s="42" t="n">
        <f aca="false">TS_MB_Interest</f>
        <v>0.679808543241868</v>
      </c>
    </row>
    <row r="27" customFormat="false" ht="15" hidden="false" customHeight="false" outlineLevel="0" collapsed="false">
      <c r="A27" s="5"/>
      <c r="B27" s="44" t="s">
        <v>174</v>
      </c>
      <c r="C27" s="45" t="n">
        <f aca="false">C23-C26</f>
        <v>13.17</v>
      </c>
      <c r="D27" s="45" t="n">
        <f aca="false">D23-D26</f>
        <v>12.89875</v>
      </c>
      <c r="E27" s="45" t="n">
        <f aca="false">E23-E26</f>
        <v>12.62939875</v>
      </c>
      <c r="F27" s="45" t="n">
        <f aca="false">F23-F26</f>
        <v>12.36193295875</v>
      </c>
      <c r="G27" s="45" t="n">
        <f aca="false">G23-G26</f>
        <v>12.0963394280388</v>
      </c>
      <c r="H27" s="45" t="n">
        <f aca="false">H23-H26</f>
        <v>11.8326050520425</v>
      </c>
      <c r="I27" s="45" t="n">
        <f aca="false">I23-I26</f>
        <v>11.3404463222887</v>
      </c>
      <c r="J27" s="45" t="n">
        <f aca="false">J23-J26</f>
        <v>11.1644042925195</v>
      </c>
    </row>
    <row r="28" customFormat="false" ht="15" hidden="false" customHeight="false" outlineLevel="0" collapsed="false">
      <c r="A28" s="5"/>
      <c r="B28" s="5"/>
      <c r="C28" s="5"/>
      <c r="D28" s="5"/>
      <c r="E28" s="5"/>
      <c r="F28" s="5"/>
      <c r="G28" s="5"/>
      <c r="H28" s="5"/>
      <c r="I28" s="5"/>
      <c r="J28" s="5"/>
    </row>
    <row r="29" customFormat="false" ht="15" hidden="false" customHeight="false" outlineLevel="0" collapsed="false">
      <c r="A29" s="5"/>
      <c r="B29" s="41" t="s">
        <v>175</v>
      </c>
      <c r="C29" s="16"/>
      <c r="D29" s="16"/>
      <c r="E29" s="16"/>
      <c r="F29" s="16"/>
      <c r="G29" s="16"/>
      <c r="H29" s="16"/>
      <c r="I29" s="16"/>
      <c r="J29" s="16"/>
    </row>
    <row r="30" customFormat="false" ht="15" hidden="false" customHeight="false" outlineLevel="0" collapsed="false">
      <c r="A30" s="5"/>
      <c r="B30" s="43" t="s">
        <v>176</v>
      </c>
      <c r="C30" s="42" t="n">
        <f aca="false">TS_MC_Interest</f>
        <v>2.975</v>
      </c>
      <c r="D30" s="42" t="n">
        <f aca="false">TS_MC_Interest</f>
        <v>2.975</v>
      </c>
      <c r="E30" s="42" t="n">
        <f aca="false">TS_MC_Interest</f>
        <v>2.975</v>
      </c>
      <c r="F30" s="42" t="n">
        <f aca="false">TS_MC_Interest</f>
        <v>2.975</v>
      </c>
      <c r="G30" s="42" t="n">
        <f aca="false">TS_MC_Interest</f>
        <v>2.975</v>
      </c>
      <c r="H30" s="42" t="n">
        <f aca="false">TS_MC_Interest</f>
        <v>2.975</v>
      </c>
      <c r="I30" s="42" t="n">
        <f aca="false">TS_MC_Interest</f>
        <v>2.975</v>
      </c>
      <c r="J30" s="42" t="n">
        <f aca="false">TS_MC_Interest</f>
        <v>2.975</v>
      </c>
    </row>
    <row r="31" customFormat="false" ht="15" hidden="false" customHeight="false" outlineLevel="0" collapsed="false">
      <c r="A31" s="5"/>
      <c r="B31" s="44" t="s">
        <v>177</v>
      </c>
      <c r="C31" s="45" t="n">
        <f aca="false">C27-C30</f>
        <v>10.195</v>
      </c>
      <c r="D31" s="45" t="n">
        <f aca="false">D27-D30</f>
        <v>9.92375</v>
      </c>
      <c r="E31" s="45" t="n">
        <f aca="false">E27-E30</f>
        <v>9.65439875000001</v>
      </c>
      <c r="F31" s="45" t="n">
        <f aca="false">F27-F30</f>
        <v>9.38693295875</v>
      </c>
      <c r="G31" s="45" t="n">
        <f aca="false">G27-G30</f>
        <v>9.12133942803875</v>
      </c>
      <c r="H31" s="45" t="n">
        <f aca="false">H27-H30</f>
        <v>8.85760505204248</v>
      </c>
      <c r="I31" s="45" t="n">
        <f aca="false">I27-I30</f>
        <v>8.36544632228874</v>
      </c>
      <c r="J31" s="45" t="n">
        <f aca="false">J27-J30</f>
        <v>8.18940429251953</v>
      </c>
    </row>
    <row r="32" customFormat="false" ht="15" hidden="false" customHeight="false" outlineLevel="0" collapsed="false">
      <c r="A32" s="5"/>
      <c r="B32" s="5"/>
      <c r="C32" s="5"/>
      <c r="D32" s="5"/>
      <c r="E32" s="5"/>
      <c r="F32" s="5"/>
      <c r="G32" s="5"/>
      <c r="H32" s="5"/>
      <c r="I32" s="5"/>
      <c r="J32" s="5"/>
    </row>
    <row r="33" customFormat="false" ht="15" hidden="false" customHeight="false" outlineLevel="0" collapsed="false">
      <c r="A33" s="5"/>
      <c r="B33" s="41" t="s">
        <v>178</v>
      </c>
      <c r="C33" s="16"/>
      <c r="D33" s="16"/>
      <c r="E33" s="16"/>
      <c r="F33" s="16"/>
      <c r="G33" s="16"/>
      <c r="H33" s="16"/>
      <c r="I33" s="16"/>
      <c r="J33" s="16"/>
    </row>
    <row r="34" customFormat="false" ht="15" hidden="false" customHeight="false" outlineLevel="0" collapsed="false">
      <c r="A34" s="5"/>
      <c r="B34" s="43" t="s">
        <v>98</v>
      </c>
      <c r="C34" s="42" t="n">
        <f aca="false">PS_Opening_Par*Sub_Mgmt_Fee_Rate</f>
        <v>1</v>
      </c>
      <c r="D34" s="42" t="n">
        <f aca="false">PS_Opening_Par*Sub_Mgmt_Fee_Rate</f>
        <v>0.993</v>
      </c>
      <c r="E34" s="42" t="n">
        <f aca="false">PS_Opening_Par*Sub_Mgmt_Fee_Rate</f>
        <v>0.986049</v>
      </c>
      <c r="F34" s="42" t="n">
        <f aca="false">PS_Opening_Par*Sub_Mgmt_Fee_Rate</f>
        <v>0.979146657</v>
      </c>
      <c r="G34" s="42" t="n">
        <f aca="false">PS_Opening_Par*Sub_Mgmt_Fee_Rate</f>
        <v>0.972292630401</v>
      </c>
      <c r="H34" s="42" t="n">
        <f aca="false">PS_Opening_Par*Sub_Mgmt_Fee_Rate</f>
        <v>0.965486581988193</v>
      </c>
      <c r="I34" s="42" t="n">
        <f aca="false">PS_Opening_Par*Sub_Mgmt_Fee_Rate</f>
        <v>0.862179517715456</v>
      </c>
      <c r="J34" s="42" t="n">
        <f aca="false">PS_Opening_Par*Sub_Mgmt_Fee_Rate</f>
        <v>0.769926309319903</v>
      </c>
    </row>
    <row r="35" customFormat="false" ht="15" hidden="false" customHeight="false" outlineLevel="0" collapsed="false">
      <c r="A35" s="5"/>
      <c r="B35" s="44" t="s">
        <v>179</v>
      </c>
      <c r="C35" s="45" t="n">
        <f aca="false">C31-C34</f>
        <v>9.195</v>
      </c>
      <c r="D35" s="45" t="n">
        <f aca="false">D31-D34</f>
        <v>8.93075</v>
      </c>
      <c r="E35" s="45" t="n">
        <f aca="false">E31-E34</f>
        <v>8.66834975000001</v>
      </c>
      <c r="F35" s="45" t="n">
        <f aca="false">F31-F34</f>
        <v>8.40778630175</v>
      </c>
      <c r="G35" s="45" t="n">
        <f aca="false">G31-G34</f>
        <v>8.14904679763775</v>
      </c>
      <c r="H35" s="45" t="n">
        <f aca="false">H31-H34</f>
        <v>7.89211847005429</v>
      </c>
      <c r="I35" s="45" t="n">
        <f aca="false">I31-I34</f>
        <v>7.50326680457329</v>
      </c>
      <c r="J35" s="45" t="n">
        <f aca="false">J31-J34</f>
        <v>7.41947798319962</v>
      </c>
    </row>
    <row r="36" customFormat="false" ht="15" hidden="false" customHeight="false" outlineLevel="0" collapsed="false">
      <c r="A36" s="5"/>
      <c r="B36" s="5"/>
      <c r="C36" s="5"/>
      <c r="D36" s="5"/>
      <c r="E36" s="5"/>
      <c r="F36" s="5"/>
      <c r="G36" s="5"/>
      <c r="H36" s="5"/>
      <c r="I36" s="5"/>
      <c r="J36" s="5"/>
    </row>
    <row r="37" customFormat="false" ht="15" hidden="false" customHeight="false" outlineLevel="0" collapsed="false">
      <c r="A37" s="5"/>
      <c r="B37" s="41" t="s">
        <v>180</v>
      </c>
      <c r="C37" s="16"/>
      <c r="D37" s="16"/>
      <c r="E37" s="16"/>
      <c r="F37" s="16"/>
      <c r="G37" s="16"/>
      <c r="H37" s="16"/>
      <c r="I37" s="16"/>
      <c r="J37" s="16"/>
    </row>
    <row r="38" customFormat="false" ht="15" hidden="false" customHeight="false" outlineLevel="0" collapsed="false">
      <c r="A38" s="5"/>
      <c r="B38" s="44" t="s">
        <v>181</v>
      </c>
      <c r="C38" s="46" t="n">
        <f aca="false">MAX(0,C35)</f>
        <v>9.195</v>
      </c>
      <c r="D38" s="46" t="n">
        <f aca="false">MAX(0,D35)</f>
        <v>8.93075</v>
      </c>
      <c r="E38" s="46" t="n">
        <f aca="false">MAX(0,E35)</f>
        <v>8.66834975000001</v>
      </c>
      <c r="F38" s="46" t="n">
        <f aca="false">MAX(0,F35)</f>
        <v>8.40778630175</v>
      </c>
      <c r="G38" s="46" t="n">
        <f aca="false">MAX(0,G35)</f>
        <v>8.14904679763775</v>
      </c>
      <c r="H38" s="46" t="n">
        <f aca="false">MAX(0,H35)</f>
        <v>7.89211847005429</v>
      </c>
      <c r="I38" s="46" t="n">
        <f aca="false">MAX(0,I35)</f>
        <v>7.50326680457329</v>
      </c>
      <c r="J38" s="46" t="n">
        <f aca="false">MAX(0,J35)</f>
        <v>7.41947798319962</v>
      </c>
    </row>
    <row r="39" customFormat="false" ht="15" hidden="false" customHeight="false" outlineLevel="0" collapsed="false">
      <c r="A39" s="5"/>
      <c r="B39" s="5"/>
      <c r="C39" s="5"/>
      <c r="D39" s="5"/>
      <c r="E39" s="5"/>
      <c r="F39" s="5"/>
      <c r="G39" s="5"/>
      <c r="H39" s="5"/>
      <c r="I39" s="5"/>
      <c r="J39" s="5"/>
    </row>
    <row r="40" customFormat="false" ht="15" hidden="false" customHeight="false" outlineLevel="0" collapsed="false">
      <c r="A40" s="5"/>
      <c r="B40" s="41" t="s">
        <v>182</v>
      </c>
      <c r="C40" s="16"/>
      <c r="D40" s="16"/>
      <c r="E40" s="16"/>
      <c r="F40" s="16"/>
      <c r="G40" s="16"/>
      <c r="H40" s="16"/>
      <c r="I40" s="16"/>
      <c r="J40" s="16"/>
    </row>
    <row r="41" customFormat="false" ht="15" hidden="false" customHeight="false" outlineLevel="0" collapsed="false">
      <c r="A41" s="5"/>
      <c r="B41" s="43" t="s">
        <v>183</v>
      </c>
      <c r="C41" s="42" t="n">
        <f aca="false">C12+C13+C14+C34</f>
        <v>2.25</v>
      </c>
      <c r="D41" s="42" t="n">
        <f aca="false">D12+D13+D14+D34</f>
        <v>2.23425</v>
      </c>
      <c r="E41" s="42" t="n">
        <f aca="false">E12+E13+E14+E34</f>
        <v>2.21861025</v>
      </c>
      <c r="F41" s="42" t="n">
        <f aca="false">F12+F13+F14+F34</f>
        <v>2.20307997825</v>
      </c>
      <c r="G41" s="42" t="n">
        <f aca="false">G12+G13+G14+G34</f>
        <v>2.18765841840225</v>
      </c>
      <c r="H41" s="42" t="n">
        <f aca="false">H12+H13+H14+H34</f>
        <v>2.17234480947343</v>
      </c>
      <c r="I41" s="42" t="n">
        <f aca="false">I12+I13+I14+I34</f>
        <v>1.93990391485978</v>
      </c>
      <c r="J41" s="42" t="n">
        <f aca="false">J12+J13+J14+J34</f>
        <v>1.73233419596978</v>
      </c>
    </row>
    <row r="42" customFormat="false" ht="15" hidden="false" customHeight="false" outlineLevel="0" collapsed="false">
      <c r="A42" s="5"/>
      <c r="B42" s="43" t="s">
        <v>184</v>
      </c>
      <c r="C42" s="42" t="n">
        <f aca="false">C18+C22+C26+C30</f>
        <v>28.555</v>
      </c>
      <c r="D42" s="42" t="n">
        <f aca="false">D18+D22+D26+D30</f>
        <v>28.555</v>
      </c>
      <c r="E42" s="42" t="n">
        <f aca="false">E18+E22+E26+E30</f>
        <v>28.555</v>
      </c>
      <c r="F42" s="42" t="n">
        <f aca="false">F18+F22+F26+F30</f>
        <v>28.555</v>
      </c>
      <c r="G42" s="42" t="n">
        <f aca="false">G18+G22+G26+G30</f>
        <v>28.555</v>
      </c>
      <c r="H42" s="42" t="n">
        <f aca="false">H18+H22+H26+H30</f>
        <v>28.555</v>
      </c>
      <c r="I42" s="42" t="n">
        <f aca="false">I18+I22+I26+I30</f>
        <v>25.0440099891852</v>
      </c>
      <c r="J42" s="42" t="n">
        <f aca="false">J18+J22+J26+J30</f>
        <v>21.6452401936267</v>
      </c>
    </row>
    <row r="43" customFormat="false" ht="15" hidden="false" customHeight="false" outlineLevel="0" collapsed="false">
      <c r="A43" s="5"/>
      <c r="B43" s="43" t="s">
        <v>181</v>
      </c>
      <c r="C43" s="42" t="n">
        <f aca="false">C38</f>
        <v>9.195</v>
      </c>
      <c r="D43" s="42" t="n">
        <f aca="false">D38</f>
        <v>8.93075</v>
      </c>
      <c r="E43" s="42" t="n">
        <f aca="false">E38</f>
        <v>8.66834975000001</v>
      </c>
      <c r="F43" s="42" t="n">
        <f aca="false">F38</f>
        <v>8.40778630175</v>
      </c>
      <c r="G43" s="42" t="n">
        <f aca="false">G38</f>
        <v>8.14904679763775</v>
      </c>
      <c r="H43" s="42" t="n">
        <f aca="false">H38</f>
        <v>7.89211847005429</v>
      </c>
      <c r="I43" s="42" t="n">
        <f aca="false">I38</f>
        <v>7.50326680457329</v>
      </c>
      <c r="J43" s="42" t="n">
        <f aca="false">J38</f>
        <v>7.41947798319962</v>
      </c>
    </row>
    <row r="44" customFormat="false" ht="15" hidden="false" customHeight="false" outlineLevel="0" collapsed="false">
      <c r="A44" s="5"/>
      <c r="B44" s="44" t="s">
        <v>185</v>
      </c>
      <c r="C44" s="46" t="n">
        <f aca="false">C41+C42+C43</f>
        <v>40</v>
      </c>
      <c r="D44" s="46" t="n">
        <f aca="false">D41+D42+D43</f>
        <v>39.72</v>
      </c>
      <c r="E44" s="46" t="n">
        <f aca="false">E41+E42+E43</f>
        <v>39.44196</v>
      </c>
      <c r="F44" s="46" t="n">
        <f aca="false">F41+F42+F43</f>
        <v>39.16586628</v>
      </c>
      <c r="G44" s="46" t="n">
        <f aca="false">G41+G42+G43</f>
        <v>38.89170521604</v>
      </c>
      <c r="H44" s="46" t="n">
        <f aca="false">H41+H42+H43</f>
        <v>38.6194632795277</v>
      </c>
      <c r="I44" s="46" t="n">
        <f aca="false">I41+I42+I43</f>
        <v>34.4871807086183</v>
      </c>
      <c r="J44" s="46" t="n">
        <f aca="false">J41+J42+J43</f>
        <v>30.7970523727961</v>
      </c>
    </row>
    <row r="45" customFormat="false" ht="15" hidden="false" customHeight="false" outlineLevel="0" collapsed="false">
      <c r="A45" s="5"/>
      <c r="B45" s="14" t="s">
        <v>186</v>
      </c>
      <c r="C45" s="42" t="n">
        <f aca="false">C9-C44</f>
        <v>0</v>
      </c>
      <c r="D45" s="42" t="n">
        <f aca="false">D9-D44</f>
        <v>0</v>
      </c>
      <c r="E45" s="42" t="n">
        <f aca="false">E9-E44</f>
        <v>0</v>
      </c>
      <c r="F45" s="42" t="n">
        <f aca="false">F9-F44</f>
        <v>0</v>
      </c>
      <c r="G45" s="42" t="n">
        <f aca="false">G9-G44</f>
        <v>0</v>
      </c>
      <c r="H45" s="42" t="n">
        <f aca="false">H9-H44</f>
        <v>0</v>
      </c>
      <c r="I45" s="42" t="n">
        <f aca="false">I9-I44</f>
        <v>0</v>
      </c>
      <c r="J45" s="42" t="n">
        <f aca="false">J9-J44</f>
        <v>0</v>
      </c>
    </row>
    <row r="46" customFormat="false" ht="15" hidden="false" customHeight="false" outlineLevel="0" collapsed="false">
      <c r="A46" s="5"/>
      <c r="B46" s="5"/>
      <c r="C46" s="5"/>
      <c r="D46" s="5"/>
      <c r="E46" s="5"/>
      <c r="F46" s="5"/>
      <c r="G46" s="5"/>
      <c r="H46" s="5"/>
      <c r="I46" s="5"/>
      <c r="J46" s="5"/>
    </row>
    <row r="47" customFormat="false" ht="15" hidden="false" customHeight="false" outlineLevel="0" collapsed="false">
      <c r="A47" s="5"/>
      <c r="B47" s="14" t="s">
        <v>187</v>
      </c>
      <c r="C47" s="47" t="n">
        <f aca="false">IFERROR(C38/PS_Opening_Par,0)</f>
        <v>0.01839</v>
      </c>
      <c r="D47" s="47" t="n">
        <f aca="false">IFERROR(D38/PS_Opening_Par,0)</f>
        <v>0.0179874118831823</v>
      </c>
      <c r="E47" s="47" t="n">
        <f aca="false">IFERROR(E38/PS_Opening_Par,0)</f>
        <v>0.017581985783668</v>
      </c>
      <c r="F47" s="47" t="n">
        <f aca="false">IFERROR(F38/PS_Opening_Par,0)</f>
        <v>0.0171737016955367</v>
      </c>
      <c r="G47" s="47" t="n">
        <f aca="false">IFERROR(G38/PS_Opening_Par,0)</f>
        <v>0.0167625394718396</v>
      </c>
      <c r="H47" s="47" t="n">
        <f aca="false">IFERROR(H38/PS_Opening_Par,0)</f>
        <v>0.0163484788236048</v>
      </c>
      <c r="I47" s="47" t="n">
        <f aca="false">IFERROR(I38/PS_Opening_Par,0)</f>
        <v>0.0174053469153499</v>
      </c>
      <c r="J47" s="47" t="n">
        <f aca="false">IFERROR(J38/PS_Opening_Par,0)</f>
        <v>0.0192732158737463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K2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4"/>
    <col collapsed="false" customWidth="true" hidden="false" outlineLevel="0" max="11" min="3" style="0" width="16"/>
  </cols>
  <sheetData>
    <row r="1" customFormat="false" ht="15" hidden="false" customHeight="false" outlineLevel="0" collapsed="false">
      <c r="A1" s="5"/>
      <c r="B1" s="5"/>
      <c r="C1" s="5"/>
      <c r="D1" s="5"/>
      <c r="E1" s="5"/>
      <c r="F1" s="5"/>
      <c r="G1" s="5"/>
      <c r="H1" s="5"/>
      <c r="I1" s="5"/>
      <c r="J1" s="5"/>
      <c r="K1" s="5"/>
    </row>
    <row r="2" customFormat="false" ht="22.05" hidden="false" customHeight="false" outlineLevel="0" collapsed="false">
      <c r="A2" s="5"/>
      <c r="B2" s="36" t="s">
        <v>188</v>
      </c>
      <c r="C2" s="5"/>
      <c r="D2" s="5"/>
      <c r="E2" s="5"/>
      <c r="F2" s="5"/>
      <c r="G2" s="5"/>
      <c r="H2" s="5"/>
      <c r="I2" s="5"/>
      <c r="J2" s="5"/>
      <c r="K2" s="5"/>
    </row>
    <row r="3" customFormat="false" ht="15" hidden="false" customHeight="false" outlineLevel="0" collapsed="false">
      <c r="A3" s="5"/>
      <c r="B3" s="37" t="s">
        <v>90</v>
      </c>
      <c r="C3" s="5"/>
      <c r="D3" s="5"/>
      <c r="E3" s="5"/>
      <c r="F3" s="5"/>
      <c r="G3" s="5"/>
      <c r="H3" s="5"/>
      <c r="I3" s="5"/>
      <c r="J3" s="5"/>
      <c r="K3" s="5"/>
    </row>
    <row r="4" customFormat="false" ht="15" hidden="false" customHeight="false" outlineLevel="0" collapsed="false">
      <c r="A4" s="5"/>
      <c r="B4" s="5"/>
      <c r="C4" s="5"/>
      <c r="D4" s="5"/>
      <c r="E4" s="5"/>
      <c r="F4" s="5"/>
      <c r="G4" s="5"/>
      <c r="H4" s="5"/>
      <c r="I4" s="5"/>
      <c r="J4" s="5"/>
      <c r="K4" s="5"/>
    </row>
    <row r="5" customFormat="false" ht="15" hidden="false" customHeight="false" outlineLevel="0" collapsed="false">
      <c r="A5" s="5"/>
      <c r="B5" s="38" t="s">
        <v>118</v>
      </c>
      <c r="C5" s="39" t="n">
        <v>2024</v>
      </c>
      <c r="D5" s="39" t="n">
        <v>2025</v>
      </c>
      <c r="E5" s="39" t="n">
        <v>2026</v>
      </c>
      <c r="F5" s="39" t="n">
        <v>2027</v>
      </c>
      <c r="G5" s="39" t="n">
        <v>2028</v>
      </c>
      <c r="H5" s="39" t="n">
        <v>2029</v>
      </c>
      <c r="I5" s="39" t="n">
        <v>2030</v>
      </c>
      <c r="J5" s="39" t="n">
        <v>2031</v>
      </c>
      <c r="K5" s="39" t="n">
        <v>2032</v>
      </c>
    </row>
    <row r="6" customFormat="false" ht="15" hidden="false" customHeight="false" outlineLevel="0" collapsed="false">
      <c r="A6" s="5"/>
      <c r="B6" s="5"/>
      <c r="C6" s="5"/>
      <c r="D6" s="5"/>
      <c r="E6" s="5"/>
      <c r="F6" s="5"/>
      <c r="G6" s="5"/>
      <c r="H6" s="5"/>
      <c r="I6" s="5"/>
      <c r="J6" s="5"/>
      <c r="K6" s="5"/>
    </row>
    <row r="7" customFormat="false" ht="15" hidden="false" customHeight="false" outlineLevel="0" collapsed="false">
      <c r="A7" s="5"/>
      <c r="B7" s="41" t="s">
        <v>189</v>
      </c>
      <c r="C7" s="16"/>
      <c r="D7" s="16"/>
      <c r="E7" s="16"/>
      <c r="F7" s="16"/>
      <c r="G7" s="16"/>
      <c r="H7" s="16"/>
      <c r="I7" s="16"/>
      <c r="J7" s="16"/>
      <c r="K7" s="16"/>
    </row>
    <row r="8" customFormat="false" ht="15" hidden="false" customHeight="false" outlineLevel="0" collapsed="false">
      <c r="A8" s="5"/>
      <c r="B8" s="43" t="s">
        <v>190</v>
      </c>
      <c r="C8" s="42" t="n">
        <f aca="false">-EQ_Size</f>
        <v>-50</v>
      </c>
      <c r="D8" s="42" t="n">
        <v>0</v>
      </c>
      <c r="E8" s="42" t="n">
        <v>0</v>
      </c>
      <c r="F8" s="42" t="n">
        <v>0</v>
      </c>
      <c r="G8" s="42" t="n">
        <v>0</v>
      </c>
      <c r="H8" s="42" t="n">
        <v>0</v>
      </c>
      <c r="I8" s="42" t="n">
        <v>0</v>
      </c>
      <c r="J8" s="42" t="n">
        <v>0</v>
      </c>
      <c r="K8" s="42" t="n">
        <v>0</v>
      </c>
    </row>
    <row r="9" customFormat="false" ht="15" hidden="false" customHeight="false" outlineLevel="0" collapsed="false">
      <c r="A9" s="5"/>
      <c r="B9" s="43" t="s">
        <v>191</v>
      </c>
      <c r="C9" s="42" t="n">
        <v>0</v>
      </c>
      <c r="D9" s="42" t="n">
        <f aca="false">Waterfall!C38</f>
        <v>9.195</v>
      </c>
      <c r="E9" s="42" t="n">
        <f aca="false">Waterfall!D38</f>
        <v>8.93075</v>
      </c>
      <c r="F9" s="42" t="n">
        <f aca="false">Waterfall!E38</f>
        <v>8.66834975000001</v>
      </c>
      <c r="G9" s="42" t="n">
        <f aca="false">Waterfall!F38</f>
        <v>8.40778630175</v>
      </c>
      <c r="H9" s="42" t="n">
        <f aca="false">Waterfall!G38</f>
        <v>8.14904679763775</v>
      </c>
      <c r="I9" s="42" t="n">
        <f aca="false">Waterfall!H38</f>
        <v>7.89211847005429</v>
      </c>
      <c r="J9" s="42" t="n">
        <f aca="false">Waterfall!I38</f>
        <v>7.50326680457329</v>
      </c>
      <c r="K9" s="42" t="n">
        <f aca="false">Waterfall!J38</f>
        <v>7.41947798319962</v>
      </c>
    </row>
    <row r="10" customFormat="false" ht="15" hidden="false" customHeight="false" outlineLevel="0" collapsed="false">
      <c r="A10" s="5"/>
      <c r="B10" s="43" t="s">
        <v>192</v>
      </c>
      <c r="C10" s="42" t="n">
        <v>0</v>
      </c>
      <c r="D10" s="42" t="n">
        <v>0</v>
      </c>
      <c r="E10" s="42" t="n">
        <v>0</v>
      </c>
      <c r="F10" s="42" t="n">
        <v>0</v>
      </c>
      <c r="G10" s="42" t="n">
        <v>0</v>
      </c>
      <c r="H10" s="42" t="n">
        <v>0</v>
      </c>
      <c r="I10" s="42" t="n">
        <v>0</v>
      </c>
      <c r="J10" s="42" t="n">
        <v>0</v>
      </c>
      <c r="K10" s="42" t="n">
        <f aca="false">MAX(0,Portfolio_Schedule!J15-Tranche_Schedule!J33)</f>
        <v>40.5360682211671</v>
      </c>
    </row>
    <row r="11" customFormat="false" ht="15" hidden="false" customHeight="false" outlineLevel="0" collapsed="false">
      <c r="A11" s="5"/>
      <c r="B11" s="44" t="s">
        <v>193</v>
      </c>
      <c r="C11" s="45" t="n">
        <f aca="false">C8+C9+C10</f>
        <v>-50</v>
      </c>
      <c r="D11" s="45" t="n">
        <f aca="false">D8+D9+D10</f>
        <v>9.195</v>
      </c>
      <c r="E11" s="45" t="n">
        <f aca="false">E8+E9+E10</f>
        <v>8.93075</v>
      </c>
      <c r="F11" s="45" t="n">
        <f aca="false">F8+F9+F10</f>
        <v>8.66834975000001</v>
      </c>
      <c r="G11" s="45" t="n">
        <f aca="false">G8+G9+G10</f>
        <v>8.40778630175</v>
      </c>
      <c r="H11" s="45" t="n">
        <f aca="false">H8+H9+H10</f>
        <v>8.14904679763775</v>
      </c>
      <c r="I11" s="45" t="n">
        <f aca="false">I8+I9+I10</f>
        <v>7.89211847005429</v>
      </c>
      <c r="J11" s="45" t="n">
        <f aca="false">J8+J9+J10</f>
        <v>7.50326680457329</v>
      </c>
      <c r="K11" s="45" t="n">
        <f aca="false">K8+K9+K10</f>
        <v>47.9555462043667</v>
      </c>
    </row>
    <row r="12" customFormat="false" ht="15" hidden="false" customHeight="false" outlineLevel="0" collapsed="false">
      <c r="A12" s="5"/>
      <c r="B12" s="5"/>
      <c r="C12" s="5"/>
      <c r="D12" s="5"/>
      <c r="E12" s="5"/>
      <c r="F12" s="5"/>
      <c r="G12" s="5"/>
      <c r="H12" s="5"/>
      <c r="I12" s="5"/>
      <c r="J12" s="5"/>
      <c r="K12" s="5"/>
    </row>
    <row r="13" customFormat="false" ht="15" hidden="false" customHeight="false" outlineLevel="0" collapsed="false">
      <c r="A13" s="5"/>
      <c r="B13" s="41" t="s">
        <v>194</v>
      </c>
      <c r="C13" s="16"/>
      <c r="D13" s="16"/>
      <c r="E13" s="16"/>
      <c r="F13" s="16"/>
      <c r="G13" s="16"/>
      <c r="H13" s="16"/>
      <c r="I13" s="16"/>
      <c r="J13" s="16"/>
      <c r="K13" s="16"/>
    </row>
    <row r="14" customFormat="false" ht="15" hidden="false" customHeight="false" outlineLevel="0" collapsed="false">
      <c r="A14" s="5"/>
      <c r="B14" s="43" t="s">
        <v>195</v>
      </c>
      <c r="C14" s="42" t="n">
        <v>0</v>
      </c>
      <c r="D14" s="42" t="n">
        <f aca="false">C14+D9+D10</f>
        <v>9.195</v>
      </c>
      <c r="E14" s="42" t="n">
        <f aca="false">D14+E9+E10</f>
        <v>18.12575</v>
      </c>
      <c r="F14" s="42" t="n">
        <f aca="false">E14+F9+F10</f>
        <v>26.79409975</v>
      </c>
      <c r="G14" s="42" t="n">
        <f aca="false">F14+G9+G10</f>
        <v>35.20188605175</v>
      </c>
      <c r="H14" s="42" t="n">
        <f aca="false">G14+H9+H10</f>
        <v>43.3509328493878</v>
      </c>
      <c r="I14" s="42" t="n">
        <f aca="false">H14+I9+I10</f>
        <v>51.2430513194421</v>
      </c>
      <c r="J14" s="42" t="n">
        <f aca="false">I14+J9+J10</f>
        <v>58.7463181240153</v>
      </c>
      <c r="K14" s="42" t="n">
        <f aca="false">J14+K9+K10</f>
        <v>106.701864328382</v>
      </c>
    </row>
    <row r="15" customFormat="false" ht="15" hidden="false" customHeight="false" outlineLevel="0" collapsed="false">
      <c r="A15" s="5"/>
      <c r="B15" s="43" t="s">
        <v>196</v>
      </c>
      <c r="C15" s="48" t="n">
        <v>0</v>
      </c>
      <c r="D15" s="48" t="n">
        <f aca="false">IFERROR(D14/EQ_Size,0)</f>
        <v>0.1839</v>
      </c>
      <c r="E15" s="48" t="n">
        <f aca="false">IFERROR(E14/EQ_Size,0)</f>
        <v>0.362515</v>
      </c>
      <c r="F15" s="48" t="n">
        <f aca="false">IFERROR(F14/EQ_Size,0)</f>
        <v>0.535881995</v>
      </c>
      <c r="G15" s="48" t="n">
        <f aca="false">IFERROR(G14/EQ_Size,0)</f>
        <v>0.704037721035</v>
      </c>
      <c r="H15" s="48" t="n">
        <f aca="false">IFERROR(H14/EQ_Size,0)</f>
        <v>0.867018656987755</v>
      </c>
      <c r="I15" s="48" t="n">
        <f aca="false">IFERROR(I14/EQ_Size,0)</f>
        <v>1.02486102638884</v>
      </c>
      <c r="J15" s="48" t="n">
        <f aca="false">IFERROR(J14/EQ_Size,0)</f>
        <v>1.17492636248031</v>
      </c>
      <c r="K15" s="48" t="n">
        <f aca="false">IFERROR(K14/EQ_Size,0)</f>
        <v>2.13403728656764</v>
      </c>
    </row>
    <row r="16" customFormat="false" ht="15" hidden="false" customHeight="false" outlineLevel="0" collapsed="false">
      <c r="A16" s="5"/>
      <c r="B16" s="5"/>
      <c r="C16" s="5"/>
      <c r="D16" s="5"/>
      <c r="E16" s="5"/>
      <c r="F16" s="5"/>
      <c r="G16" s="5"/>
      <c r="H16" s="5"/>
      <c r="I16" s="5"/>
      <c r="J16" s="5"/>
      <c r="K16" s="5"/>
    </row>
    <row r="17" customFormat="false" ht="15" hidden="false" customHeight="false" outlineLevel="0" collapsed="false">
      <c r="A17" s="5"/>
      <c r="B17" s="41" t="s">
        <v>197</v>
      </c>
      <c r="C17" s="16"/>
      <c r="D17" s="16"/>
      <c r="E17" s="16"/>
      <c r="F17" s="16"/>
      <c r="G17" s="16"/>
      <c r="H17" s="16"/>
      <c r="I17" s="16"/>
      <c r="J17" s="16"/>
      <c r="K17" s="16"/>
    </row>
    <row r="18" customFormat="false" ht="15" hidden="false" customHeight="false" outlineLevel="0" collapsed="false">
      <c r="A18" s="5"/>
      <c r="B18" s="44" t="s">
        <v>198</v>
      </c>
      <c r="C18" s="50" t="n">
        <f aca="false">IFERROR(IRR(C11:K11),0)</f>
        <v>0.155845879306278</v>
      </c>
      <c r="D18" s="5"/>
      <c r="E18" s="5"/>
      <c r="F18" s="5"/>
      <c r="G18" s="5"/>
      <c r="H18" s="5"/>
      <c r="I18" s="5"/>
      <c r="J18" s="5"/>
      <c r="K18" s="5"/>
    </row>
    <row r="19" customFormat="false" ht="15" hidden="false" customHeight="false" outlineLevel="0" collapsed="false">
      <c r="A19" s="5"/>
      <c r="B19" s="44" t="s">
        <v>199</v>
      </c>
      <c r="C19" s="51" t="n">
        <f aca="false">K15</f>
        <v>2.13403728656764</v>
      </c>
      <c r="D19" s="5"/>
      <c r="E19" s="5"/>
      <c r="F19" s="5"/>
      <c r="G19" s="5"/>
      <c r="H19" s="5"/>
      <c r="I19" s="5"/>
      <c r="J19" s="5"/>
      <c r="K19" s="5"/>
    </row>
    <row r="20" customFormat="false" ht="15" hidden="false" customHeight="false" outlineLevel="0" collapsed="false">
      <c r="A20" s="5"/>
      <c r="B20" s="44" t="s">
        <v>200</v>
      </c>
      <c r="C20" s="52" t="n">
        <f aca="false">K14</f>
        <v>106.701864328382</v>
      </c>
      <c r="D20" s="5"/>
      <c r="E20" s="5"/>
      <c r="F20" s="5"/>
      <c r="G20" s="5"/>
      <c r="H20" s="5"/>
      <c r="I20" s="5"/>
      <c r="J20" s="5"/>
      <c r="K20" s="5"/>
    </row>
    <row r="21" customFormat="false" ht="15" hidden="false" customHeight="false" outlineLevel="0" collapsed="false">
      <c r="A21" s="5"/>
      <c r="B21" s="44" t="s">
        <v>201</v>
      </c>
      <c r="C21" s="50" t="n">
        <f aca="false">IFERROR(K14/(EQ_Size*Deal_Tenor),0)</f>
        <v>0.266754660820955</v>
      </c>
      <c r="D21" s="5"/>
      <c r="E21" s="5"/>
      <c r="F21" s="5"/>
      <c r="G21" s="5"/>
      <c r="H21" s="5"/>
      <c r="I21" s="5"/>
      <c r="J21" s="5"/>
      <c r="K21"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J3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4"/>
    <col collapsed="false" customWidth="true" hidden="false" outlineLevel="0" max="10" min="3" style="0" width="16"/>
  </cols>
  <sheetData>
    <row r="1" customFormat="false" ht="15" hidden="false" customHeight="false" outlineLevel="0" collapsed="false">
      <c r="A1" s="5"/>
      <c r="B1" s="5"/>
      <c r="C1" s="5"/>
      <c r="D1" s="5"/>
      <c r="E1" s="5"/>
      <c r="F1" s="5"/>
      <c r="G1" s="5"/>
      <c r="H1" s="5"/>
      <c r="I1" s="5"/>
      <c r="J1" s="5"/>
    </row>
    <row r="2" customFormat="false" ht="22.05" hidden="false" customHeight="false" outlineLevel="0" collapsed="false">
      <c r="A2" s="5"/>
      <c r="B2" s="36" t="s">
        <v>16</v>
      </c>
      <c r="C2" s="5"/>
      <c r="D2" s="5"/>
      <c r="E2" s="5"/>
      <c r="F2" s="5"/>
      <c r="G2" s="5"/>
      <c r="H2" s="5"/>
      <c r="I2" s="5"/>
      <c r="J2" s="5"/>
    </row>
    <row r="3" customFormat="false" ht="15" hidden="false" customHeight="false" outlineLevel="0" collapsed="false">
      <c r="A3" s="5"/>
      <c r="B3" s="37" t="s">
        <v>202</v>
      </c>
      <c r="C3" s="5"/>
      <c r="D3" s="5"/>
      <c r="E3" s="5"/>
      <c r="F3" s="5"/>
      <c r="G3" s="5"/>
      <c r="H3" s="5"/>
      <c r="I3" s="5"/>
      <c r="J3" s="5"/>
    </row>
    <row r="4" customFormat="false" ht="15" hidden="false" customHeight="false" outlineLevel="0" collapsed="false">
      <c r="A4" s="5"/>
      <c r="B4" s="5"/>
      <c r="C4" s="5"/>
      <c r="D4" s="5"/>
      <c r="E4" s="5"/>
      <c r="F4" s="5"/>
      <c r="G4" s="5"/>
      <c r="H4" s="5"/>
      <c r="I4" s="5"/>
      <c r="J4" s="5"/>
    </row>
    <row r="5" customFormat="false" ht="15" hidden="false" customHeight="false" outlineLevel="0" collapsed="false">
      <c r="A5" s="5"/>
      <c r="B5" s="38" t="s">
        <v>118</v>
      </c>
      <c r="C5" s="39" t="n">
        <v>2025</v>
      </c>
      <c r="D5" s="39" t="n">
        <v>2026</v>
      </c>
      <c r="E5" s="39" t="n">
        <v>2027</v>
      </c>
      <c r="F5" s="39" t="n">
        <v>2028</v>
      </c>
      <c r="G5" s="39" t="n">
        <v>2029</v>
      </c>
      <c r="H5" s="39" t="n">
        <v>2030</v>
      </c>
      <c r="I5" s="39" t="n">
        <v>2031</v>
      </c>
      <c r="J5" s="39" t="n">
        <v>2032</v>
      </c>
    </row>
    <row r="6" customFormat="false" ht="15" hidden="false" customHeight="false" outlineLevel="0" collapsed="false">
      <c r="A6" s="5"/>
      <c r="B6" s="5"/>
      <c r="C6" s="5"/>
      <c r="D6" s="5"/>
      <c r="E6" s="5"/>
      <c r="F6" s="5"/>
      <c r="G6" s="5"/>
      <c r="H6" s="5"/>
      <c r="I6" s="5"/>
      <c r="J6" s="5"/>
    </row>
    <row r="7" customFormat="false" ht="15" hidden="false" customHeight="false" outlineLevel="0" collapsed="false">
      <c r="A7" s="5"/>
      <c r="B7" s="41" t="s">
        <v>203</v>
      </c>
      <c r="C7" s="16"/>
      <c r="D7" s="16"/>
      <c r="E7" s="16"/>
      <c r="F7" s="16"/>
      <c r="G7" s="16"/>
      <c r="H7" s="16"/>
      <c r="I7" s="16"/>
      <c r="J7" s="16"/>
    </row>
    <row r="8" customFormat="false" ht="15" hidden="false" customHeight="false" outlineLevel="0" collapsed="false">
      <c r="A8" s="5"/>
      <c r="B8" s="43" t="s">
        <v>204</v>
      </c>
      <c r="C8" s="42" t="n">
        <f aca="false">WF_Leak_Check</f>
        <v>0</v>
      </c>
      <c r="D8" s="42" t="n">
        <f aca="false">WF_Leak_Check</f>
        <v>0</v>
      </c>
      <c r="E8" s="42" t="n">
        <f aca="false">WF_Leak_Check</f>
        <v>0</v>
      </c>
      <c r="F8" s="42" t="n">
        <f aca="false">WF_Leak_Check</f>
        <v>0</v>
      </c>
      <c r="G8" s="42" t="n">
        <f aca="false">WF_Leak_Check</f>
        <v>0</v>
      </c>
      <c r="H8" s="42" t="n">
        <f aca="false">WF_Leak_Check</f>
        <v>0</v>
      </c>
      <c r="I8" s="42" t="n">
        <f aca="false">WF_Leak_Check</f>
        <v>0</v>
      </c>
      <c r="J8" s="42" t="n">
        <f aca="false">WF_Leak_Check</f>
        <v>0</v>
      </c>
    </row>
    <row r="9" customFormat="false" ht="15" hidden="false" customHeight="false" outlineLevel="0" collapsed="false">
      <c r="A9" s="5"/>
      <c r="B9" s="43" t="s">
        <v>205</v>
      </c>
      <c r="C9" s="49" t="str">
        <f aca="false">IF(ABS(C8)&lt;0.01,"PASS","FAIL")</f>
        <v>PASS</v>
      </c>
      <c r="D9" s="49" t="str">
        <f aca="false">IF(ABS(D8)&lt;0.01,"PASS","FAIL")</f>
        <v>PASS</v>
      </c>
      <c r="E9" s="49" t="str">
        <f aca="false">IF(ABS(E8)&lt;0.01,"PASS","FAIL")</f>
        <v>PASS</v>
      </c>
      <c r="F9" s="49" t="str">
        <f aca="false">IF(ABS(F8)&lt;0.01,"PASS","FAIL")</f>
        <v>PASS</v>
      </c>
      <c r="G9" s="49" t="str">
        <f aca="false">IF(ABS(G8)&lt;0.01,"PASS","FAIL")</f>
        <v>PASS</v>
      </c>
      <c r="H9" s="49" t="str">
        <f aca="false">IF(ABS(H8)&lt;0.01,"PASS","FAIL")</f>
        <v>PASS</v>
      </c>
      <c r="I9" s="49" t="str">
        <f aca="false">IF(ABS(I8)&lt;0.01,"PASS","FAIL")</f>
        <v>PASS</v>
      </c>
      <c r="J9" s="49" t="str">
        <f aca="false">IF(ABS(J8)&lt;0.01,"PASS","FAIL")</f>
        <v>PASS</v>
      </c>
    </row>
    <row r="10" customFormat="false" ht="15" hidden="false" customHeight="false" outlineLevel="0" collapsed="false">
      <c r="A10" s="5"/>
      <c r="B10" s="5"/>
      <c r="C10" s="5"/>
      <c r="D10" s="5"/>
      <c r="E10" s="5"/>
      <c r="F10" s="5"/>
      <c r="G10" s="5"/>
      <c r="H10" s="5"/>
      <c r="I10" s="5"/>
      <c r="J10" s="5"/>
    </row>
    <row r="11" customFormat="false" ht="15" hidden="false" customHeight="false" outlineLevel="0" collapsed="false">
      <c r="A11" s="5"/>
      <c r="B11" s="41" t="s">
        <v>206</v>
      </c>
      <c r="C11" s="16"/>
      <c r="D11" s="16"/>
      <c r="E11" s="16"/>
      <c r="F11" s="16"/>
      <c r="G11" s="16"/>
      <c r="H11" s="16"/>
      <c r="I11" s="16"/>
      <c r="J11" s="16"/>
    </row>
    <row r="12" customFormat="false" ht="15" hidden="false" customHeight="false" outlineLevel="0" collapsed="false">
      <c r="A12" s="5"/>
      <c r="B12" s="43" t="s">
        <v>144</v>
      </c>
      <c r="C12" s="48" t="n">
        <f aca="false">TS_SR_OC</f>
        <v>1.57619047619048</v>
      </c>
      <c r="D12" s="48" t="n">
        <f aca="false">TS_SR_OC</f>
        <v>1.56515714285714</v>
      </c>
      <c r="E12" s="48" t="n">
        <f aca="false">TS_SR_OC</f>
        <v>1.55420104285714</v>
      </c>
      <c r="F12" s="48" t="n">
        <f aca="false">TS_SR_OC</f>
        <v>1.54332163555714</v>
      </c>
      <c r="G12" s="48" t="n">
        <f aca="false">TS_SR_OC</f>
        <v>1.53251838410824</v>
      </c>
      <c r="H12" s="48" t="n">
        <f aca="false">TS_SR_OC</f>
        <v>1.39655831972051</v>
      </c>
      <c r="I12" s="48" t="n">
        <f aca="false">TS_SR_OC</f>
        <v>1.27319389258663</v>
      </c>
      <c r="J12" s="48" t="n">
        <f aca="false">TS_SR_OC</f>
        <v>1.16123414419852</v>
      </c>
    </row>
    <row r="13" customFormat="false" ht="15" hidden="false" customHeight="false" outlineLevel="0" collapsed="false">
      <c r="A13" s="5"/>
      <c r="B13" s="43" t="s">
        <v>207</v>
      </c>
      <c r="C13" s="49" t="str">
        <f aca="false">IF(C12&gt;=SR_OC_Trigger,"PASS","FAIL")</f>
        <v>PASS</v>
      </c>
      <c r="D13" s="49" t="str">
        <f aca="false">IF(D12&gt;=SR_OC_Trigger,"PASS","FAIL")</f>
        <v>PASS</v>
      </c>
      <c r="E13" s="49" t="str">
        <f aca="false">IF(E12&gt;=SR_OC_Trigger,"PASS","FAIL")</f>
        <v>PASS</v>
      </c>
      <c r="F13" s="49" t="str">
        <f aca="false">IF(F12&gt;=SR_OC_Trigger,"PASS","FAIL")</f>
        <v>PASS</v>
      </c>
      <c r="G13" s="49" t="str">
        <f aca="false">IF(G12&gt;=SR_OC_Trigger,"PASS","FAIL")</f>
        <v>PASS</v>
      </c>
      <c r="H13" s="49" t="str">
        <f aca="false">IF(H12&gt;=SR_OC_Trigger,"PASS","FAIL")</f>
        <v>PASS</v>
      </c>
      <c r="I13" s="49" t="str">
        <f aca="false">IF(I12&gt;=SR_OC_Trigger,"PASS","FAIL")</f>
        <v>PASS</v>
      </c>
      <c r="J13" s="49" t="str">
        <f aca="false">IF(J12&gt;=SR_OC_Trigger,"PASS","FAIL")</f>
        <v>FAIL</v>
      </c>
    </row>
    <row r="14" customFormat="false" ht="15" hidden="false" customHeight="false" outlineLevel="0" collapsed="false">
      <c r="A14" s="5"/>
      <c r="B14" s="43" t="s">
        <v>147</v>
      </c>
      <c r="C14" s="48" t="n">
        <f aca="false">TS_MC_OC</f>
        <v>1.10333333333333</v>
      </c>
      <c r="D14" s="48" t="n">
        <f aca="false">TS_MC_OC</f>
        <v>1.09561</v>
      </c>
      <c r="E14" s="48" t="n">
        <f aca="false">TS_MC_OC</f>
        <v>1.08794073</v>
      </c>
      <c r="F14" s="48" t="n">
        <f aca="false">TS_MC_OC</f>
        <v>1.08032514489</v>
      </c>
      <c r="G14" s="48" t="n">
        <f aca="false">TS_MC_OC</f>
        <v>1.07276286887577</v>
      </c>
      <c r="H14" s="48" t="n">
        <f aca="false">TS_MC_OC</f>
        <v>1.09012454168279</v>
      </c>
      <c r="I14" s="48" t="n">
        <f aca="false">TS_MC_OC</f>
        <v>1.11024581782723</v>
      </c>
      <c r="J14" s="48" t="n">
        <f aca="false">TS_MC_OC</f>
        <v>1.13367827157455</v>
      </c>
    </row>
    <row r="15" customFormat="false" ht="15" hidden="false" customHeight="false" outlineLevel="0" collapsed="false">
      <c r="A15" s="5"/>
      <c r="B15" s="43" t="s">
        <v>208</v>
      </c>
      <c r="C15" s="49" t="str">
        <f aca="false">IF(C14&gt;=MC_OC_Trigger,"PASS","FAIL")</f>
        <v>PASS</v>
      </c>
      <c r="D15" s="49" t="str">
        <f aca="false">IF(D14&gt;=MC_OC_Trigger,"PASS","FAIL")</f>
        <v>PASS</v>
      </c>
      <c r="E15" s="49" t="str">
        <f aca="false">IF(E14&gt;=MC_OC_Trigger,"PASS","FAIL")</f>
        <v>PASS</v>
      </c>
      <c r="F15" s="49" t="str">
        <f aca="false">IF(F14&gt;=MC_OC_Trigger,"PASS","FAIL")</f>
        <v>PASS</v>
      </c>
      <c r="G15" s="49" t="str">
        <f aca="false">IF(G14&gt;=MC_OC_Trigger,"PASS","FAIL")</f>
        <v>PASS</v>
      </c>
      <c r="H15" s="49" t="str">
        <f aca="false">IF(H14&gt;=MC_OC_Trigger,"PASS","FAIL")</f>
        <v>PASS</v>
      </c>
      <c r="I15" s="49" t="str">
        <f aca="false">IF(I14&gt;=MC_OC_Trigger,"PASS","FAIL")</f>
        <v>PASS</v>
      </c>
      <c r="J15" s="49" t="str">
        <f aca="false">IF(J14&gt;=MC_OC_Trigger,"PASS","FAIL")</f>
        <v>PASS</v>
      </c>
    </row>
    <row r="16" customFormat="false" ht="15" hidden="false" customHeight="false" outlineLevel="0" collapsed="false">
      <c r="A16" s="5"/>
      <c r="B16" s="5"/>
      <c r="C16" s="5"/>
      <c r="D16" s="5"/>
      <c r="E16" s="5"/>
      <c r="F16" s="5"/>
      <c r="G16" s="5"/>
      <c r="H16" s="5"/>
      <c r="I16" s="5"/>
      <c r="J16" s="5"/>
    </row>
    <row r="17" customFormat="false" ht="15" hidden="false" customHeight="false" outlineLevel="0" collapsed="false">
      <c r="A17" s="5"/>
      <c r="B17" s="41" t="s">
        <v>209</v>
      </c>
      <c r="C17" s="16"/>
      <c r="D17" s="16"/>
      <c r="E17" s="16"/>
      <c r="F17" s="16"/>
      <c r="G17" s="16"/>
      <c r="H17" s="16"/>
      <c r="I17" s="16"/>
      <c r="J17" s="16"/>
    </row>
    <row r="18" customFormat="false" ht="15" hidden="false" customHeight="false" outlineLevel="0" collapsed="false">
      <c r="A18" s="5"/>
      <c r="B18" s="43" t="s">
        <v>149</v>
      </c>
      <c r="C18" s="48" t="n">
        <f aca="false">TS_SR_IC</f>
        <v>2.13418700813659</v>
      </c>
      <c r="D18" s="48" t="n">
        <f aca="false">TS_SR_IC</f>
        <v>2.11924769907963</v>
      </c>
      <c r="E18" s="48" t="n">
        <f aca="false">TS_SR_IC</f>
        <v>2.10441296518607</v>
      </c>
      <c r="F18" s="48" t="n">
        <f aca="false">TS_SR_IC</f>
        <v>2.08968207442977</v>
      </c>
      <c r="G18" s="48" t="n">
        <f aca="false">TS_SR_IC</f>
        <v>2.07505429990876</v>
      </c>
      <c r="H18" s="48" t="n">
        <f aca="false">TS_SR_IC</f>
        <v>2.0605289198094</v>
      </c>
      <c r="I18" s="48" t="n">
        <f aca="false">TS_SR_IC</f>
        <v>1.87772547189312</v>
      </c>
      <c r="J18" s="48" t="n">
        <f aca="false">TS_SR_IC</f>
        <v>1.71185733457025</v>
      </c>
    </row>
    <row r="19" customFormat="false" ht="15" hidden="false" customHeight="false" outlineLevel="0" collapsed="false">
      <c r="A19" s="5"/>
      <c r="B19" s="43" t="s">
        <v>210</v>
      </c>
      <c r="C19" s="49" t="str">
        <f aca="false">IF(C18&gt;=SR_IC_Trigger,"PASS","FAIL")</f>
        <v>PASS</v>
      </c>
      <c r="D19" s="49" t="str">
        <f aca="false">IF(D18&gt;=SR_IC_Trigger,"PASS","FAIL")</f>
        <v>PASS</v>
      </c>
      <c r="E19" s="49" t="str">
        <f aca="false">IF(E18&gt;=SR_IC_Trigger,"PASS","FAIL")</f>
        <v>PASS</v>
      </c>
      <c r="F19" s="49" t="str">
        <f aca="false">IF(F18&gt;=SR_IC_Trigger,"PASS","FAIL")</f>
        <v>PASS</v>
      </c>
      <c r="G19" s="49" t="str">
        <f aca="false">IF(G18&gt;=SR_IC_Trigger,"PASS","FAIL")</f>
        <v>PASS</v>
      </c>
      <c r="H19" s="49" t="str">
        <f aca="false">IF(H18&gt;=SR_IC_Trigger,"PASS","FAIL")</f>
        <v>PASS</v>
      </c>
      <c r="I19" s="49" t="str">
        <f aca="false">IF(I18&gt;=SR_IC_Trigger,"PASS","FAIL")</f>
        <v>PASS</v>
      </c>
      <c r="J19" s="49" t="str">
        <f aca="false">IF(J18&gt;=SR_IC_Trigger,"PASS","FAIL")</f>
        <v>PASS</v>
      </c>
    </row>
    <row r="20" customFormat="false" ht="15" hidden="false" customHeight="false" outlineLevel="0" collapsed="false">
      <c r="A20" s="5"/>
      <c r="B20" s="5"/>
      <c r="C20" s="5"/>
      <c r="D20" s="5"/>
      <c r="E20" s="5"/>
      <c r="F20" s="5"/>
      <c r="G20" s="5"/>
      <c r="H20" s="5"/>
      <c r="I20" s="5"/>
      <c r="J20" s="5"/>
    </row>
    <row r="21" customFormat="false" ht="15" hidden="false" customHeight="false" outlineLevel="0" collapsed="false">
      <c r="A21" s="5"/>
      <c r="B21" s="41" t="s">
        <v>211</v>
      </c>
      <c r="C21" s="16"/>
      <c r="D21" s="16"/>
      <c r="E21" s="16"/>
      <c r="F21" s="16"/>
      <c r="G21" s="16"/>
      <c r="H21" s="16"/>
      <c r="I21" s="16"/>
      <c r="J21" s="16"/>
    </row>
    <row r="22" customFormat="false" ht="15" hidden="false" customHeight="false" outlineLevel="0" collapsed="false">
      <c r="A22" s="5"/>
      <c r="B22" s="43" t="s">
        <v>212</v>
      </c>
      <c r="C22" s="42" t="n">
        <f aca="false">PS_Closing_Par-TS_Total_Notes</f>
        <v>46.5</v>
      </c>
      <c r="D22" s="42" t="n">
        <f aca="false">PS_Closing_Par-TS_Total_Notes</f>
        <v>43.0245</v>
      </c>
      <c r="E22" s="42" t="n">
        <f aca="false">PS_Closing_Par-TS_Total_Notes</f>
        <v>39.5733285</v>
      </c>
      <c r="F22" s="42" t="n">
        <f aca="false">PS_Closing_Par-TS_Total_Notes</f>
        <v>36.1463152005</v>
      </c>
      <c r="G22" s="42" t="n">
        <f aca="false">PS_Closing_Par-TS_Total_Notes</f>
        <v>32.7432909940965</v>
      </c>
      <c r="H22" s="42" t="n">
        <f aca="false">PS_Closing_Par-TS_Total_Notes</f>
        <v>35.6397507400611</v>
      </c>
      <c r="I22" s="42" t="n">
        <f aca="false">PS_Closing_Par-TS_Total_Notes</f>
        <v>38.2262892932073</v>
      </c>
      <c r="J22" s="42" t="n">
        <f aca="false">PS_Closing_Par-TS_Total_Notes</f>
        <v>40.5360682211671</v>
      </c>
    </row>
    <row r="23" customFormat="false" ht="15" hidden="false" customHeight="false" outlineLevel="0" collapsed="false">
      <c r="A23" s="5"/>
      <c r="B23" s="43" t="s">
        <v>213</v>
      </c>
      <c r="C23" s="49" t="str">
        <f aca="false">IF(C22&gt;=0,"PASS","FAIL")</f>
        <v>PASS</v>
      </c>
      <c r="D23" s="49" t="str">
        <f aca="false">IF(D22&gt;=0,"PASS","FAIL")</f>
        <v>PASS</v>
      </c>
      <c r="E23" s="49" t="str">
        <f aca="false">IF(E22&gt;=0,"PASS","FAIL")</f>
        <v>PASS</v>
      </c>
      <c r="F23" s="49" t="str">
        <f aca="false">IF(F22&gt;=0,"PASS","FAIL")</f>
        <v>PASS</v>
      </c>
      <c r="G23" s="49" t="str">
        <f aca="false">IF(G22&gt;=0,"PASS","FAIL")</f>
        <v>PASS</v>
      </c>
      <c r="H23" s="49" t="str">
        <f aca="false">IF(H22&gt;=0,"PASS","FAIL")</f>
        <v>PASS</v>
      </c>
      <c r="I23" s="49" t="str">
        <f aca="false">IF(I22&gt;=0,"PASS","FAIL")</f>
        <v>PASS</v>
      </c>
      <c r="J23" s="49" t="str">
        <f aca="false">IF(J22&gt;=0,"PASS","FAIL")</f>
        <v>PASS</v>
      </c>
    </row>
    <row r="24" customFormat="false" ht="15" hidden="false" customHeight="false" outlineLevel="0" collapsed="false">
      <c r="A24" s="5"/>
      <c r="B24" s="5"/>
      <c r="C24" s="5"/>
      <c r="D24" s="5"/>
      <c r="E24" s="5"/>
      <c r="F24" s="5"/>
      <c r="G24" s="5"/>
      <c r="H24" s="5"/>
      <c r="I24" s="5"/>
      <c r="J24" s="5"/>
    </row>
    <row r="25" customFormat="false" ht="15" hidden="false" customHeight="false" outlineLevel="0" collapsed="false">
      <c r="A25" s="5"/>
      <c r="B25" s="41" t="s">
        <v>214</v>
      </c>
      <c r="C25" s="16"/>
      <c r="D25" s="16"/>
      <c r="E25" s="16"/>
      <c r="F25" s="16"/>
      <c r="G25" s="16"/>
      <c r="H25" s="16"/>
      <c r="I25" s="16"/>
      <c r="J25" s="16"/>
    </row>
    <row r="26" customFormat="false" ht="15" hidden="false" customHeight="false" outlineLevel="0" collapsed="false">
      <c r="A26" s="5"/>
      <c r="B26" s="43" t="s">
        <v>198</v>
      </c>
      <c r="C26" s="47" t="n">
        <f aca="false">Returns!C18</f>
        <v>0.155845879306278</v>
      </c>
      <c r="D26" s="5"/>
      <c r="E26" s="5"/>
      <c r="F26" s="5"/>
      <c r="G26" s="5"/>
      <c r="H26" s="5"/>
      <c r="I26" s="5"/>
      <c r="J26" s="5"/>
    </row>
    <row r="27" customFormat="false" ht="15" hidden="false" customHeight="false" outlineLevel="0" collapsed="false">
      <c r="A27" s="5"/>
      <c r="B27" s="43" t="s">
        <v>215</v>
      </c>
      <c r="C27" s="49" t="str">
        <f aca="false">IF(AND(C26&gt;=0,C26&lt;=0.3),"PASS","FAIL")</f>
        <v>PASS</v>
      </c>
      <c r="D27" s="5"/>
      <c r="E27" s="5"/>
      <c r="F27" s="5"/>
      <c r="G27" s="5"/>
      <c r="H27" s="5"/>
      <c r="I27" s="5"/>
      <c r="J27" s="5"/>
    </row>
    <row r="28" customFormat="false" ht="15" hidden="false" customHeight="false" outlineLevel="0" collapsed="false">
      <c r="A28" s="5"/>
      <c r="B28" s="43" t="s">
        <v>199</v>
      </c>
      <c r="C28" s="48" t="n">
        <f aca="false">Returns!C19</f>
        <v>2.13403728656764</v>
      </c>
      <c r="D28" s="5"/>
      <c r="E28" s="5"/>
      <c r="F28" s="5"/>
      <c r="G28" s="5"/>
      <c r="H28" s="5"/>
      <c r="I28" s="5"/>
      <c r="J28" s="5"/>
    </row>
    <row r="29" customFormat="false" ht="15" hidden="false" customHeight="false" outlineLevel="0" collapsed="false">
      <c r="A29" s="5"/>
      <c r="B29" s="43" t="s">
        <v>216</v>
      </c>
      <c r="C29" s="49" t="str">
        <f aca="false">IF(AND(C28&gt;=0,C28&lt;=5),"PASS","FAIL")</f>
        <v>PASS</v>
      </c>
      <c r="D29" s="5"/>
      <c r="E29" s="5"/>
      <c r="F29" s="5"/>
      <c r="G29" s="5"/>
      <c r="H29" s="5"/>
      <c r="I29" s="5"/>
      <c r="J29" s="5"/>
    </row>
    <row r="30" customFormat="false" ht="15" hidden="false" customHeight="false" outlineLevel="0" collapsed="false">
      <c r="A30" s="5"/>
      <c r="B30" s="5"/>
      <c r="C30" s="5"/>
      <c r="D30" s="5"/>
      <c r="E30" s="5"/>
      <c r="F30" s="5"/>
      <c r="G30" s="5"/>
      <c r="H30" s="5"/>
      <c r="I30" s="5"/>
      <c r="J30" s="5"/>
    </row>
    <row r="31" customFormat="false" ht="15" hidden="false" customHeight="false" outlineLevel="0" collapsed="false">
      <c r="A31" s="5"/>
      <c r="B31" s="41" t="s">
        <v>217</v>
      </c>
      <c r="C31" s="16"/>
      <c r="D31" s="16"/>
      <c r="E31" s="16"/>
      <c r="F31" s="16"/>
      <c r="G31" s="16"/>
      <c r="H31" s="16"/>
      <c r="I31" s="16"/>
      <c r="J31" s="16"/>
    </row>
    <row r="32" customFormat="false" ht="15" hidden="false" customHeight="false" outlineLevel="0" collapsed="false">
      <c r="A32" s="5"/>
      <c r="B32" s="43" t="s">
        <v>218</v>
      </c>
      <c r="C32" s="49" t="str">
        <f aca="false">IF(TS_SR_Closing&gt;=0,"PASS","FAIL")</f>
        <v>PASS</v>
      </c>
      <c r="D32" s="49" t="str">
        <f aca="false">IF(TS_SR_Closing&gt;=0,"PASS","FAIL")</f>
        <v>PASS</v>
      </c>
      <c r="E32" s="49" t="str">
        <f aca="false">IF(TS_SR_Closing&gt;=0,"PASS","FAIL")</f>
        <v>PASS</v>
      </c>
      <c r="F32" s="49" t="str">
        <f aca="false">IF(TS_SR_Closing&gt;=0,"PASS","FAIL")</f>
        <v>PASS</v>
      </c>
      <c r="G32" s="49" t="str">
        <f aca="false">IF(TS_SR_Closing&gt;=0,"PASS","FAIL")</f>
        <v>PASS</v>
      </c>
      <c r="H32" s="49" t="str">
        <f aca="false">IF(TS_SR_Closing&gt;=0,"PASS","FAIL")</f>
        <v>PASS</v>
      </c>
      <c r="I32" s="49" t="str">
        <f aca="false">IF(TS_SR_Closing&gt;=0,"PASS","FAIL")</f>
        <v>PASS</v>
      </c>
      <c r="J32" s="49" t="str">
        <f aca="false">IF(TS_SR_Closing&gt;=0,"PASS","FAIL")</f>
        <v>PASS</v>
      </c>
    </row>
    <row r="33" customFormat="false" ht="15" hidden="false" customHeight="false" outlineLevel="0" collapsed="false">
      <c r="A33" s="5"/>
      <c r="B33" s="43" t="s">
        <v>219</v>
      </c>
      <c r="C33" s="49" t="str">
        <f aca="false">IF(TS_MA_Closing&gt;=0,"PASS","FAIL")</f>
        <v>PASS</v>
      </c>
      <c r="D33" s="49" t="str">
        <f aca="false">IF(TS_MA_Closing&gt;=0,"PASS","FAIL")</f>
        <v>PASS</v>
      </c>
      <c r="E33" s="49" t="str">
        <f aca="false">IF(TS_MA_Closing&gt;=0,"PASS","FAIL")</f>
        <v>PASS</v>
      </c>
      <c r="F33" s="49" t="str">
        <f aca="false">IF(TS_MA_Closing&gt;=0,"PASS","FAIL")</f>
        <v>PASS</v>
      </c>
      <c r="G33" s="49" t="str">
        <f aca="false">IF(TS_MA_Closing&gt;=0,"PASS","FAIL")</f>
        <v>PASS</v>
      </c>
      <c r="H33" s="49" t="str">
        <f aca="false">IF(TS_MA_Closing&gt;=0,"PASS","FAIL")</f>
        <v>PASS</v>
      </c>
      <c r="I33" s="49" t="str">
        <f aca="false">IF(TS_MA_Closing&gt;=0,"PASS","FAIL")</f>
        <v>PASS</v>
      </c>
      <c r="J33" s="49" t="str">
        <f aca="false">IF(TS_MA_Closing&gt;=0,"PASS","FAIL")</f>
        <v>PASS</v>
      </c>
    </row>
    <row r="34" customFormat="false" ht="15" hidden="false" customHeight="false" outlineLevel="0" collapsed="false">
      <c r="A34" s="5"/>
      <c r="B34" s="43" t="s">
        <v>220</v>
      </c>
      <c r="C34" s="49" t="str">
        <f aca="false">IF(TS_MB_Closing&gt;=0,"PASS","FAIL")</f>
        <v>PASS</v>
      </c>
      <c r="D34" s="49" t="str">
        <f aca="false">IF(TS_MB_Closing&gt;=0,"PASS","FAIL")</f>
        <v>PASS</v>
      </c>
      <c r="E34" s="49" t="str">
        <f aca="false">IF(TS_MB_Closing&gt;=0,"PASS","FAIL")</f>
        <v>PASS</v>
      </c>
      <c r="F34" s="49" t="str">
        <f aca="false">IF(TS_MB_Closing&gt;=0,"PASS","FAIL")</f>
        <v>PASS</v>
      </c>
      <c r="G34" s="49" t="str">
        <f aca="false">IF(TS_MB_Closing&gt;=0,"PASS","FAIL")</f>
        <v>PASS</v>
      </c>
      <c r="H34" s="49" t="str">
        <f aca="false">IF(TS_MB_Closing&gt;=0,"PASS","FAIL")</f>
        <v>PASS</v>
      </c>
      <c r="I34" s="49" t="str">
        <f aca="false">IF(TS_MB_Closing&gt;=0,"PASS","FAIL")</f>
        <v>PASS</v>
      </c>
      <c r="J34" s="49" t="str">
        <f aca="false">IF(TS_MB_Closing&gt;=0,"PASS","FAIL")</f>
        <v>PASS</v>
      </c>
    </row>
    <row r="35" customFormat="false" ht="15" hidden="false" customHeight="false" outlineLevel="0" collapsed="false">
      <c r="A35" s="5"/>
      <c r="B35" s="43" t="s">
        <v>221</v>
      </c>
      <c r="C35" s="49" t="str">
        <f aca="false">IF(TS_MC_Closing&gt;=0,"PASS","FAIL")</f>
        <v>PASS</v>
      </c>
      <c r="D35" s="49" t="str">
        <f aca="false">IF(TS_MC_Closing&gt;=0,"PASS","FAIL")</f>
        <v>PASS</v>
      </c>
      <c r="E35" s="49" t="str">
        <f aca="false">IF(TS_MC_Closing&gt;=0,"PASS","FAIL")</f>
        <v>PASS</v>
      </c>
      <c r="F35" s="49" t="str">
        <f aca="false">IF(TS_MC_Closing&gt;=0,"PASS","FAIL")</f>
        <v>PASS</v>
      </c>
      <c r="G35" s="49" t="str">
        <f aca="false">IF(TS_MC_Closing&gt;=0,"PASS","FAIL")</f>
        <v>PASS</v>
      </c>
      <c r="H35" s="49" t="str">
        <f aca="false">IF(TS_MC_Closing&gt;=0,"PASS","FAIL")</f>
        <v>PASS</v>
      </c>
      <c r="I35" s="49" t="str">
        <f aca="false">IF(TS_MC_Closing&gt;=0,"PASS","FAIL")</f>
        <v>PASS</v>
      </c>
      <c r="J35" s="49" t="str">
        <f aca="false">IF(TS_MC_Closing&gt;=0,"PASS","FAIL")</f>
        <v>PASS</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2026-05-15T18:52:59Z</dcterms:created>
  <dc:creator>openpyxl</dc:creator>
  <dc:description/>
  <dc:language>en-GB</dc:language>
  <cp:lastModifiedBy/>
  <dcterms:modified xsi:type="dcterms:W3CDTF">2026-05-15T18:52:59Z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