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Income_Statement" sheetId="3" state="visible" r:id="rId5"/>
    <sheet name="Balance_Sheet" sheetId="4" state="visible" r:id="rId6"/>
    <sheet name="Cash_Flow" sheetId="5" state="visible" r:id="rId7"/>
    <sheet name="Credit_Metrics" sheetId="6" state="visible" r:id="rId8"/>
    <sheet name="Rating_Scorecard" sheetId="7" state="visible" r:id="rId9"/>
    <sheet name="Checks" sheetId="8" state="visible" r:id="rId10"/>
    <sheet name="Disclaimer" sheetId="9" state="visible" r:id="rId11"/>
  </sheets>
  <definedNames>
    <definedName function="false" hidden="false" name="Accum_Depr_Open" vbProcedure="false">Assumptions!$C$55</definedName>
    <definedName function="false" hidden="false" name="CapEx_Pct" vbProcedure="false">Assumptions!$C$53</definedName>
    <definedName function="false" hidden="false" name="COGS_Pct" vbProcedure="false">Assumptions!$C$19</definedName>
    <definedName function="false" hidden="false" name="Commit_Fee_Rate" vbProcedure="false">Assumptions!$C$38</definedName>
    <definedName function="false" hidden="false" name="DA_Pct" vbProcedure="false">Assumptions!$C$27</definedName>
    <definedName function="false" hidden="false" name="DIO" vbProcedure="false">Assumptions!$C$47</definedName>
    <definedName function="false" hidden="false" name="Dividend_Payout" vbProcedure="false">Assumptions!$C$43</definedName>
    <definedName function="false" hidden="false" name="DPO" vbProcedure="false">Assumptions!$C$48</definedName>
    <definedName function="false" hidden="false" name="DSO" vbProcedure="false">Assumptions!$C$46</definedName>
    <definedName function="false" hidden="false" name="Int_Income_Rate" vbProcedure="false">Assumptions!$C$39</definedName>
    <definedName function="false" hidden="false" name="Model_Start_Year" vbProcedure="false">Assumptions!$C$8</definedName>
    <definedName function="false" hidden="false" name="Opening_PPE_Gross" vbProcedure="false">Assumptions!$C$54</definedName>
    <definedName function="false" hidden="false" name="Open_Cash" vbProcedure="false">Assumptions!$C$58</definedName>
    <definedName function="false" hidden="false" name="Open_Ret_Earnings" vbProcedure="false">Assumptions!$C$60</definedName>
    <definedName function="false" hidden="false" name="Other_CA_Pct" vbProcedure="false">Assumptions!$C$49</definedName>
    <definedName function="false" hidden="false" name="Other_CL_Pct" vbProcedure="false">Assumptions!$C$50</definedName>
    <definedName function="false" hidden="false" name="Other_OpEx_Pct" vbProcedure="false">Assumptions!$C$24</definedName>
    <definedName function="false" hidden="false" name="RD_Pct" vbProcedure="false">Assumptions!$C$23</definedName>
    <definedName function="false" hidden="false" name="Revolver_Drawn" vbProcedure="false">Assumptions!$C$37</definedName>
    <definedName function="false" hidden="false" name="Revolver_Limit" vbProcedure="false">Assumptions!$C$36</definedName>
    <definedName function="false" hidden="false" name="Rev_Base" vbProcedure="false">Assumptions!$C$11</definedName>
    <definedName function="false" hidden="false" name="Rev_Growth_Y1" vbProcedure="false">Assumptions!$C$12</definedName>
    <definedName function="false" hidden="false" name="Rev_Growth_Y2" vbProcedure="false">Assumptions!$C$13</definedName>
    <definedName function="false" hidden="false" name="Rev_Growth_Y3" vbProcedure="false">Assumptions!$C$14</definedName>
    <definedName function="false" hidden="false" name="Rev_Growth_Y4" vbProcedure="false">Assumptions!$C$15</definedName>
    <definedName function="false" hidden="false" name="Rev_Growth_Y5" vbProcedure="false">Assumptions!$C$16</definedName>
    <definedName function="false" hidden="false" name="Senior_Debt_Amt" vbProcedure="false">Assumptions!$C$30</definedName>
    <definedName function="false" hidden="false" name="Senior_Rate" vbProcedure="false">Assumptions!$C$31</definedName>
    <definedName function="false" hidden="false" name="Senior_Tenor" vbProcedure="false">Assumptions!$C$32</definedName>
    <definedName function="false" hidden="false" name="SGA_Pct" vbProcedure="false">Assumptions!$C$22</definedName>
    <definedName function="false" hidden="false" name="Share_Capital" vbProcedure="false">Assumptions!$C$59</definedName>
    <definedName function="false" hidden="false" name="Sub_Debt_Amt" vbProcedure="false">Assumptions!$C$33</definedName>
    <definedName function="false" hidden="false" name="Sub_Rate" vbProcedure="false">Assumptions!$C$34</definedName>
    <definedName function="false" hidden="false" name="Sub_Tenor" vbProcedure="false">Assumptions!$C$35</definedName>
    <definedName function="false" hidden="false" name="Tax_Rate" vbProcedure="false">Assumptions!$C$42</definedName>
    <definedName function="false" hidden="false" name="Thresh_AAA_Cov" vbProcedure="false">Assumptions!$C$71</definedName>
    <definedName function="false" hidden="false" name="Thresh_AAA_FFO" vbProcedure="false">Assumptions!$C$79</definedName>
    <definedName function="false" hidden="false" name="Thresh_AAA_Lev" vbProcedure="false">Assumptions!$C$63</definedName>
    <definedName function="false" hidden="false" name="Thresh_AAA_Mgn" vbProcedure="false">Assumptions!$C$87</definedName>
    <definedName function="false" hidden="false" name="Thresh_AA_Cov" vbProcedure="false">Assumptions!$C$72</definedName>
    <definedName function="false" hidden="false" name="Thresh_AA_FFO" vbProcedure="false">Assumptions!$C$80</definedName>
    <definedName function="false" hidden="false" name="Thresh_AA_Lev" vbProcedure="false">Assumptions!$C$64</definedName>
    <definedName function="false" hidden="false" name="Thresh_AA_Mgn" vbProcedure="false">Assumptions!$C$88</definedName>
    <definedName function="false" hidden="false" name="Thresh_A_Cov" vbProcedure="false">Assumptions!$C$73</definedName>
    <definedName function="false" hidden="false" name="Thresh_A_FFO" vbProcedure="false">Assumptions!$C$81</definedName>
    <definedName function="false" hidden="false" name="Thresh_A_Lev" vbProcedure="false">Assumptions!$C$65</definedName>
    <definedName function="false" hidden="false" name="Thresh_A_Mgn" vbProcedure="false">Assumptions!$C$89</definedName>
    <definedName function="false" hidden="false" name="Thresh_BBB_Cov" vbProcedure="false">Assumptions!$C$74</definedName>
    <definedName function="false" hidden="false" name="Thresh_BBB_FFO" vbProcedure="false">Assumptions!$C$82</definedName>
    <definedName function="false" hidden="false" name="Thresh_BBB_Lev" vbProcedure="false">Assumptions!$C$66</definedName>
    <definedName function="false" hidden="false" name="Thresh_BBB_Mgn" vbProcedure="false">Assumptions!$C$90</definedName>
    <definedName function="false" hidden="false" name="Thresh_BB_Cov" vbProcedure="false">Assumptions!$C$75</definedName>
    <definedName function="false" hidden="false" name="Thresh_BB_FFO" vbProcedure="false">Assumptions!$C$83</definedName>
    <definedName function="false" hidden="false" name="Thresh_BB_Lev" vbProcedure="false">Assumptions!$C$67</definedName>
    <definedName function="false" hidden="false" name="Thresh_BB_Mgn" vbProcedure="false">Assumptions!$C$91</definedName>
    <definedName function="false" hidden="false" name="Thresh_B_Cov" vbProcedure="false">Assumptions!$C$76</definedName>
    <definedName function="false" hidden="false" name="Thresh_B_FFO" vbProcedure="false">Assumptions!$C$84</definedName>
    <definedName function="false" hidden="false" name="Thresh_B_Lev" vbProcedure="false">Assumptions!$C$68</definedName>
    <definedName function="false" hidden="false" name="Thresh_B_Mgn" vbProcedure="false">Assumptions!$C$92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<sst xmlns="http://schemas.openxmlformats.org/spreadsheetml/2006/main" count="395" uniqueCount="322">
  <si>
    <t xml:space="preserve">Credit Rating Assessment</t>
  </si>
  <si>
    <t xml:space="preserve">FINAMODEL.com</t>
  </si>
  <si>
    <t xml:space="preserve">Corporate Analysis</t>
  </si>
  <si>
    <t xml:space="preserve">Company Name</t>
  </si>
  <si>
    <t xml:space="preserve">[Company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</si>
  <si>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</si>
  <si>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</si>
  <si>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</si>
  <si>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</si>
  <si>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</si>
  <si>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</si>
  <si>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</si>
  <si>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Assumptions</t>
  </si>
  <si>
    <t xml:space="preserve">Model inputs and thresholds</t>
  </si>
  <si>
    <t xml:space="preserve">Income_Statement</t>
  </si>
  <si>
    <t xml:space="preserve">Revenue to Net Income</t>
  </si>
  <si>
    <t xml:space="preserve">Balance_Sheet</t>
  </si>
  <si>
    <t xml:space="preserve">Assets, Liabilities, Equity</t>
  </si>
  <si>
    <t xml:space="preserve">Cash_Flow</t>
  </si>
  <si>
    <t xml:space="preserve">Operating, Investing, Financing</t>
  </si>
  <si>
    <t xml:space="preserve">Credit_Metrics</t>
  </si>
  <si>
    <t xml:space="preserve">Leverage, coverage, profitability</t>
  </si>
  <si>
    <t xml:space="preserve">Rating_Scorecard</t>
  </si>
  <si>
    <t xml:space="preserve">Implied rating from metrics</t>
  </si>
  <si>
    <t xml:space="preserve">Checks</t>
  </si>
  <si>
    <t xml:space="preserve">Validation checks</t>
  </si>
  <si>
    <t xml:space="preserve">Tab Colour Legend</t>
  </si>
  <si>
    <t xml:space="preserve">Dark Blue</t>
  </si>
  <si>
    <t xml:space="preserve">Cover</t>
  </si>
  <si>
    <t xml:space="preserve">Light Blue</t>
  </si>
  <si>
    <t xml:space="preserve">Green</t>
  </si>
  <si>
    <t xml:space="preserve">Revenue / Income</t>
  </si>
  <si>
    <t xml:space="preserve">Grey</t>
  </si>
  <si>
    <t xml:space="preserve">Financial Statements</t>
  </si>
  <si>
    <t xml:space="preserve">Orange</t>
  </si>
  <si>
    <t xml:space="preserve">Credit Analysis</t>
  </si>
  <si>
    <t xml:space="preserve">Red</t>
  </si>
  <si>
    <t xml:space="preserve">Rating / Checks</t>
  </si>
  <si>
    <t xml:space="preserve">About this model</t>
  </si>
  <si>
    <t xml:space="preserve">This credit rating model calculates leverage and coverage ratios from a three-statement projection and maps them to implied credit ratings (BBB, BB, B, etc.) using agency-published rating scales. It projects leverage (total debt / EBITDA), interest coverage (EBITDA / interest), DSCR (debt service coverage ratio), loan-to-value (LTV), and other metrics; then applies lookup tables benchmarking those metrics against Moody's or S&amp;P rating thresholds to estimate what rating a debt issuance would likely receive. It includes rating outlook and rating triggers, flagging when performance deteriorates sufficiently to trigger a downgrade watch or negative outlook.
The model includes an assumptions section with leverage and coverage thresholds for each rating category; a calculations section projecting the subject company's financial metrics across a 5-year period; a rating determination section that looks up the implied rating in each year based on leverage, coverage, and qualitative factors; and a sensitiv table showing how ratings change if key assumptions (EBITDA growth, leverage target, interest rate) shift. Outputs include a rating waterfall showing the path from entry to exit rating, and heat maps identifying periods of rating stress.
This model is used by corporates managing their credit profile and capital structure to maintain or improve ratings; credit analysts evaluating issuers; lenders assessing credit risk for commercial loans; and investment committees evaluating fixed-income holdings. It provides forward-looking insight into credit trajectory without waiting for agencies to publish their ratings.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</si>
  <si>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</si>
  <si>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</si>
  <si>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</si>
  <si>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</si>
  <si>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Inputs</t>
  </si>
  <si>
    <t xml:space="preserve">Parameter</t>
  </si>
  <si>
    <t xml:space="preserve">Value</t>
  </si>
  <si>
    <t xml:space="preserve">Unit</t>
  </si>
  <si>
    <t xml:space="preserve">Notes</t>
  </si>
  <si>
    <t xml:space="preserve">General</t>
  </si>
  <si>
    <t xml:space="preserve">Model Start Year</t>
  </si>
  <si>
    <t xml:space="preserve">First projection year</t>
  </si>
  <si>
    <t xml:space="preserve">Revenue</t>
  </si>
  <si>
    <t xml:space="preserve">Revenue Base</t>
  </si>
  <si>
    <t xml:space="preserve">$</t>
  </si>
  <si>
    <t xml:space="preserve">Year 0 total revenue</t>
  </si>
  <si>
    <t xml:space="preserve">Revenue Growth Y1</t>
  </si>
  <si>
    <t xml:space="preserve">%</t>
  </si>
  <si>
    <t xml:space="preserve">Revenue Growth Y2</t>
  </si>
  <si>
    <t xml:space="preserve">Revenue Growth Y3</t>
  </si>
  <si>
    <t xml:space="preserve">Revenue Growth Y4</t>
  </si>
  <si>
    <t xml:space="preserve">Revenue Growth Y5</t>
  </si>
  <si>
    <t xml:space="preserve">Cost of Goods Sold</t>
  </si>
  <si>
    <t xml:space="preserve">COGS % of Revenue</t>
  </si>
  <si>
    <t xml:space="preserve">Materials + direct labour</t>
  </si>
  <si>
    <t xml:space="preserve">Operating Expenses</t>
  </si>
  <si>
    <t xml:space="preserve">SG&amp;A % of Revenue</t>
  </si>
  <si>
    <t xml:space="preserve">Selling, general &amp; admin</t>
  </si>
  <si>
    <t xml:space="preserve">R&amp;D % of Revenue</t>
  </si>
  <si>
    <t xml:space="preserve">Research &amp; development</t>
  </si>
  <si>
    <t xml:space="preserve">Other OpEx % Revenue</t>
  </si>
  <si>
    <t xml:space="preserve">Miscellaneous overhead</t>
  </si>
  <si>
    <t xml:space="preserve">Depreciation &amp; Amortisation</t>
  </si>
  <si>
    <t xml:space="preserve">D&amp;A % of Revenue</t>
  </si>
  <si>
    <t xml:space="preserve">Straight-line approximation</t>
  </si>
  <si>
    <t xml:space="preserve">Debt</t>
  </si>
  <si>
    <t xml:space="preserve">Senior Debt</t>
  </si>
  <si>
    <t xml:space="preserve">Term loan A</t>
  </si>
  <si>
    <t xml:space="preserve">Senior Interest Rate</t>
  </si>
  <si>
    <t xml:space="preserve">Fixed rate</t>
  </si>
  <si>
    <t xml:space="preserve">Senior Tenor</t>
  </si>
  <si>
    <t xml:space="preserve">years</t>
  </si>
  <si>
    <t xml:space="preserve">Amortisation period</t>
  </si>
  <si>
    <t xml:space="preserve">Subordinated Debt</t>
  </si>
  <si>
    <t xml:space="preserve">Term loan B / notes</t>
  </si>
  <si>
    <t xml:space="preserve">Subordinated Rate</t>
  </si>
  <si>
    <t xml:space="preserve">Higher risk premium</t>
  </si>
  <si>
    <t xml:space="preserve">Subordinated Tenor</t>
  </si>
  <si>
    <t xml:space="preserve">Longer maturity</t>
  </si>
  <si>
    <t xml:space="preserve">Revolver Limit</t>
  </si>
  <si>
    <t xml:space="preserve">Committed facility</t>
  </si>
  <si>
    <t xml:space="preserve">Revolver Drawn</t>
  </si>
  <si>
    <t xml:space="preserve">Initial drawdown</t>
  </si>
  <si>
    <t xml:space="preserve">Commitment Fee Rate</t>
  </si>
  <si>
    <t xml:space="preserve">On undrawn revolver</t>
  </si>
  <si>
    <t xml:space="preserve">Interest Income Rate</t>
  </si>
  <si>
    <t xml:space="preserve">On prior period cash</t>
  </si>
  <si>
    <t xml:space="preserve">Tax &amp; Dividends</t>
  </si>
  <si>
    <t xml:space="preserve">Corporate Tax Rate</t>
  </si>
  <si>
    <t xml:space="preserve">Dividend Payout Ratio</t>
  </si>
  <si>
    <t xml:space="preserve">Of net income</t>
  </si>
  <si>
    <t xml:space="preserve">Working Capital</t>
  </si>
  <si>
    <t xml:space="preserve">Days Sales Outstanding</t>
  </si>
  <si>
    <t xml:space="preserve">days</t>
  </si>
  <si>
    <t xml:space="preserve">Days Inventory On Hand</t>
  </si>
  <si>
    <t xml:space="preserve">Days Payable Outstanding</t>
  </si>
  <si>
    <t xml:space="preserve">Other Current Assets %</t>
  </si>
  <si>
    <t xml:space="preserve">% of revenue</t>
  </si>
  <si>
    <t xml:space="preserve">Other Current Liab %</t>
  </si>
  <si>
    <t xml:space="preserve">CapEx &amp; PP&amp;E</t>
  </si>
  <si>
    <t xml:space="preserve">CapEx % of Revenue</t>
  </si>
  <si>
    <t xml:space="preserve">Maintenance + growth</t>
  </si>
  <si>
    <t xml:space="preserve">Opening PP&amp;E (Gross)</t>
  </si>
  <si>
    <t xml:space="preserve">Year 0 gross</t>
  </si>
  <si>
    <t xml:space="preserve">Accum. Depreciation</t>
  </si>
  <si>
    <t xml:space="preserve">Year 0 accumulated</t>
  </si>
  <si>
    <t xml:space="preserve">Opening Balance Sheet</t>
  </si>
  <si>
    <t xml:space="preserve">Opening Cash</t>
  </si>
  <si>
    <t xml:space="preserve">Year 0 cash</t>
  </si>
  <si>
    <t xml:space="preserve">Share Capital</t>
  </si>
  <si>
    <t xml:space="preserve">Issued equity</t>
  </si>
  <si>
    <t xml:space="preserve">Opening Ret. Earnings</t>
  </si>
  <si>
    <t xml:space="preserve">Plug to balance Y0 BS</t>
  </si>
  <si>
    <t xml:space="preserve">Thresholds: Leverage</t>
  </si>
  <si>
    <t xml:space="preserve">AAA Max Leverage</t>
  </si>
  <si>
    <t xml:space="preserve">x</t>
  </si>
  <si>
    <t xml:space="preserve">Debt/EBITDA</t>
  </si>
  <si>
    <t xml:space="preserve">AA Max Leverage</t>
  </si>
  <si>
    <t xml:space="preserve">A Max Leverage</t>
  </si>
  <si>
    <t xml:space="preserve">BBB Max Leverage</t>
  </si>
  <si>
    <t xml:space="preserve">BB Max Leverage</t>
  </si>
  <si>
    <t xml:space="preserve">B Max Leverage</t>
  </si>
  <si>
    <t xml:space="preserve">Thresholds: Interest Coverage</t>
  </si>
  <si>
    <t xml:space="preserve">AAA Min Coverage</t>
  </si>
  <si>
    <t xml:space="preserve">EBIT/Interest</t>
  </si>
  <si>
    <t xml:space="preserve">AA Min Coverage</t>
  </si>
  <si>
    <t xml:space="preserve">A Min Coverage</t>
  </si>
  <si>
    <t xml:space="preserve">BBB Min Coverage</t>
  </si>
  <si>
    <t xml:space="preserve">BB Min Coverage</t>
  </si>
  <si>
    <t xml:space="preserve">B Min Coverage</t>
  </si>
  <si>
    <t xml:space="preserve">Thresholds: FFO/Debt</t>
  </si>
  <si>
    <t xml:space="preserve">AAA Min FFO/Debt</t>
  </si>
  <si>
    <t xml:space="preserve">AA Min FFO/Debt</t>
  </si>
  <si>
    <t xml:space="preserve">A Min FFO/Debt</t>
  </si>
  <si>
    <t xml:space="preserve">BBB Min FFO/Debt</t>
  </si>
  <si>
    <t xml:space="preserve">BB Min FFO/Debt</t>
  </si>
  <si>
    <t xml:space="preserve">B Min FFO/Debt</t>
  </si>
  <si>
    <t xml:space="preserve">Thresholds: EBITDA Margin</t>
  </si>
  <si>
    <t xml:space="preserve">AAA Min Margin</t>
  </si>
  <si>
    <t xml:space="preserve">EBITDA/Revenue</t>
  </si>
  <si>
    <t xml:space="preserve">AA Min Margin</t>
  </si>
  <si>
    <t xml:space="preserve">A Min Margin</t>
  </si>
  <si>
    <t xml:space="preserve">BBB Min Margin</t>
  </si>
  <si>
    <t xml:space="preserve">BB Min Margin</t>
  </si>
  <si>
    <t xml:space="preserve">B Min Margin</t>
  </si>
  <si>
    <t xml:space="preserve">Income Statement</t>
  </si>
  <si>
    <t xml:space="preserve">Annual Projections</t>
  </si>
  <si>
    <t xml:space="preserve">Year #</t>
  </si>
  <si>
    <t xml:space="preserve">Total Revenue</t>
  </si>
  <si>
    <t xml:space="preserve">COGS</t>
  </si>
  <si>
    <t xml:space="preserve">GROSS PROFIT</t>
  </si>
  <si>
    <t xml:space="preserve">Gross Margin</t>
  </si>
  <si>
    <t xml:space="preserve">SG&amp;A</t>
  </si>
  <si>
    <t xml:space="preserve">R&amp;D</t>
  </si>
  <si>
    <t xml:space="preserve">Other OpEx</t>
  </si>
  <si>
    <t xml:space="preserve">Total OpEx</t>
  </si>
  <si>
    <t xml:space="preserve">EBITDA</t>
  </si>
  <si>
    <t xml:space="preserve">EBITDA Margin</t>
  </si>
  <si>
    <t xml:space="preserve">D&amp;A</t>
  </si>
  <si>
    <t xml:space="preserve">EBIT</t>
  </si>
  <si>
    <t xml:space="preserve">EBIT Margin</t>
  </si>
  <si>
    <t xml:space="preserve">Debt &amp; Interest</t>
  </si>
  <si>
    <t xml:space="preserve">Sr Debt Opening</t>
  </si>
  <si>
    <t xml:space="preserve">Sr Interest</t>
  </si>
  <si>
    <t xml:space="preserve">Sr Repayment</t>
  </si>
  <si>
    <t xml:space="preserve">Sr Debt Closing</t>
  </si>
  <si>
    <t xml:space="preserve">Sub Debt Opening</t>
  </si>
  <si>
    <t xml:space="preserve">Sub Interest</t>
  </si>
  <si>
    <t xml:space="preserve">Sub Repayment</t>
  </si>
  <si>
    <t xml:space="preserve">Sub Debt Closing</t>
  </si>
  <si>
    <t xml:space="preserve">Commitment Fee</t>
  </si>
  <si>
    <t xml:space="preserve">Interest Income</t>
  </si>
  <si>
    <t xml:space="preserve">Net Interest Expense</t>
  </si>
  <si>
    <t xml:space="preserve">EBT</t>
  </si>
  <si>
    <t xml:space="preserve">Tax</t>
  </si>
  <si>
    <t xml:space="preserve">NET INCOME</t>
  </si>
  <si>
    <t xml:space="preserve">Net Margin</t>
  </si>
  <si>
    <t xml:space="preserve">Dividends</t>
  </si>
  <si>
    <t xml:space="preserve">Balance Sheet</t>
  </si>
  <si>
    <t xml:space="preserve">Year-End Positions</t>
  </si>
  <si>
    <t xml:space="preserve">Assets</t>
  </si>
  <si>
    <t xml:space="preserve">Current Assets</t>
  </si>
  <si>
    <t xml:space="preserve">Cash</t>
  </si>
  <si>
    <t xml:space="preserve">Accounts Receivable</t>
  </si>
  <si>
    <t xml:space="preserve">Inventory</t>
  </si>
  <si>
    <t xml:space="preserve">Other Current Assets</t>
  </si>
  <si>
    <t xml:space="preserve">Total Current Assets</t>
  </si>
  <si>
    <t xml:space="preserve">Non-Current Assets</t>
  </si>
  <si>
    <t xml:space="preserve">PP&amp;E (Gross)</t>
  </si>
  <si>
    <t xml:space="preserve">Net PP&amp;E</t>
  </si>
  <si>
    <t xml:space="preserve">Total Non-Current Assets</t>
  </si>
  <si>
    <t xml:space="preserve">TOTAL ASSETS</t>
  </si>
  <si>
    <t xml:space="preserve">Liabilities</t>
  </si>
  <si>
    <t xml:space="preserve">Current Liabilities</t>
  </si>
  <si>
    <t xml:space="preserve">Accounts Payable</t>
  </si>
  <si>
    <t xml:space="preserve">Other Current Liab</t>
  </si>
  <si>
    <t xml:space="preserve">CPLTD (Senior)</t>
  </si>
  <si>
    <t xml:space="preserve">CPLTD (Subordinated)</t>
  </si>
  <si>
    <t xml:space="preserve">Total Current Liab</t>
  </si>
  <si>
    <t xml:space="preserve">Non-Current Liabilities</t>
  </si>
  <si>
    <t xml:space="preserve">LT Senior Debt</t>
  </si>
  <si>
    <t xml:space="preserve">LT Subordinated Debt</t>
  </si>
  <si>
    <t xml:space="preserve">Total Non-Current Liab</t>
  </si>
  <si>
    <t xml:space="preserve">TOTAL LIABILITIES</t>
  </si>
  <si>
    <t xml:space="preserve">Equity</t>
  </si>
  <si>
    <t xml:space="preserve">Shareholders Equity</t>
  </si>
  <si>
    <t xml:space="preserve">Retained Earnings</t>
  </si>
  <si>
    <t xml:space="preserve">Total Equity</t>
  </si>
  <si>
    <t xml:space="preserve">TOTAL L&amp;E</t>
  </si>
  <si>
    <t xml:space="preserve">Balance Check</t>
  </si>
  <si>
    <t xml:space="preserve">Cash Flow Statement</t>
  </si>
  <si>
    <t xml:space="preserve">Operating Activities</t>
  </si>
  <si>
    <t xml:space="preserve">Net Income</t>
  </si>
  <si>
    <t xml:space="preserve">Add: D&amp;A</t>
  </si>
  <si>
    <t xml:space="preserve">Working Capital Changes</t>
  </si>
  <si>
    <t xml:space="preserve">Change in AR</t>
  </si>
  <si>
    <t xml:space="preserve">Change in Inventory</t>
  </si>
  <si>
    <t xml:space="preserve">Change in Other CA</t>
  </si>
  <si>
    <t xml:space="preserve">Change in AP</t>
  </si>
  <si>
    <t xml:space="preserve">Change in Other CL</t>
  </si>
  <si>
    <t xml:space="preserve">CFO</t>
  </si>
  <si>
    <t xml:space="preserve">Investing Activities</t>
  </si>
  <si>
    <t xml:space="preserve">Capital Expenditure</t>
  </si>
  <si>
    <t xml:space="preserve">CFI</t>
  </si>
  <si>
    <t xml:space="preserve">Financing Activities</t>
  </si>
  <si>
    <t xml:space="preserve">Sr Debt Proceeds</t>
  </si>
  <si>
    <t xml:space="preserve">Sr Debt Repayment</t>
  </si>
  <si>
    <t xml:space="preserve">Sub Debt Proceeds</t>
  </si>
  <si>
    <t xml:space="preserve">Sub Debt Repayment</t>
  </si>
  <si>
    <t xml:space="preserve">Dividends Paid</t>
  </si>
  <si>
    <t xml:space="preserve">CFF</t>
  </si>
  <si>
    <t xml:space="preserve">Net Change in Cash</t>
  </si>
  <si>
    <t xml:space="preserve">Closing Cash</t>
  </si>
  <si>
    <t xml:space="preserve">Credit Metrics</t>
  </si>
  <si>
    <t xml:space="preserve">Key Ratios</t>
  </si>
  <si>
    <t xml:space="preserve">Source Data</t>
  </si>
  <si>
    <t xml:space="preserve">Total Debt</t>
  </si>
  <si>
    <t xml:space="preserve">Net Debt</t>
  </si>
  <si>
    <t xml:space="preserve">FFO</t>
  </si>
  <si>
    <t xml:space="preserve">Leverage</t>
  </si>
  <si>
    <t xml:space="preserve">Debt / EBITDA</t>
  </si>
  <si>
    <t xml:space="preserve">Net Debt / EBITDA</t>
  </si>
  <si>
    <t xml:space="preserve">Coverage</t>
  </si>
  <si>
    <t xml:space="preserve">Interest Coverage</t>
  </si>
  <si>
    <t xml:space="preserve">Cash Flow</t>
  </si>
  <si>
    <t xml:space="preserve">FFO / Total Debt</t>
  </si>
  <si>
    <t xml:space="preserve">Profitability</t>
  </si>
  <si>
    <t xml:space="preserve">Returns</t>
  </si>
  <si>
    <t xml:space="preserve">Return on Assets</t>
  </si>
  <si>
    <t xml:space="preserve">Return on Equity</t>
  </si>
  <si>
    <t xml:space="preserve">Cash Efficiency</t>
  </si>
  <si>
    <t xml:space="preserve">Cash Conversion</t>
  </si>
  <si>
    <t xml:space="preserve">CapEx / Revenue</t>
  </si>
  <si>
    <t xml:space="preserve">Free Cash Flow</t>
  </si>
  <si>
    <t xml:space="preserve">FCF / Total Debt</t>
  </si>
  <si>
    <t xml:space="preserve">Rating Scorecard</t>
  </si>
  <si>
    <t xml:space="preserve">Implied Rating</t>
  </si>
  <si>
    <t xml:space="preserve">Metric Scores</t>
  </si>
  <si>
    <t xml:space="preserve">Leverage Score</t>
  </si>
  <si>
    <t xml:space="preserve">Debt/EBITDA Score</t>
  </si>
  <si>
    <t xml:space="preserve">Coverage Score</t>
  </si>
  <si>
    <t xml:space="preserve">Interest Cov Score</t>
  </si>
  <si>
    <t xml:space="preserve">FFO/Debt Score</t>
  </si>
  <si>
    <t xml:space="preserve">Margin Score</t>
  </si>
  <si>
    <t xml:space="preserve">EBITDA Margin Score</t>
  </si>
  <si>
    <t xml:space="preserve">Composite Rating</t>
  </si>
  <si>
    <t xml:space="preserve">Average Score</t>
  </si>
  <si>
    <t xml:space="preserve">Rating Scale</t>
  </si>
  <si>
    <t xml:space="preserve">Score</t>
  </si>
  <si>
    <t xml:space="preserve">Rating</t>
  </si>
  <si>
    <t xml:space="preserve">Description</t>
  </si>
  <si>
    <t xml:space="preserve">AAA</t>
  </si>
  <si>
    <t xml:space="preserve">Highest quality</t>
  </si>
  <si>
    <t xml:space="preserve">AA</t>
  </si>
  <si>
    <t xml:space="preserve">Very high quality</t>
  </si>
  <si>
    <t xml:space="preserve">A</t>
  </si>
  <si>
    <t xml:space="preserve">Upper medium grade</t>
  </si>
  <si>
    <t xml:space="preserve">BBB</t>
  </si>
  <si>
    <t xml:space="preserve">Medium grade (IG)</t>
  </si>
  <si>
    <t xml:space="preserve">BB</t>
  </si>
  <si>
    <t xml:space="preserve">Speculative (HY)</t>
  </si>
  <si>
    <t xml:space="preserve">B</t>
  </si>
  <si>
    <t xml:space="preserve">Highly speculative</t>
  </si>
  <si>
    <t xml:space="preserve">CCC</t>
  </si>
  <si>
    <t xml:space="preserve">Substantial risk</t>
  </si>
  <si>
    <t xml:space="preserve">Validation Checks</t>
  </si>
  <si>
    <t xml:space="preserve">Model Integrity</t>
  </si>
  <si>
    <t xml:space="preserve">BS Balances</t>
  </si>
  <si>
    <t xml:space="preserve">Gross Margin 0-100%</t>
  </si>
  <si>
    <t xml:space="preserve">EBITDA Margin &gt; 0%</t>
  </si>
  <si>
    <t xml:space="preserve">Cash &gt; 0</t>
  </si>
  <si>
    <t xml:space="preserve">Leverage &lt; 10x</t>
  </si>
  <si>
    <t xml:space="preserve">Int Coverage &gt; 1x</t>
  </si>
  <si>
    <t xml:space="preserve">Sr Debt Declines</t>
  </si>
  <si>
    <t xml:space="preserve">Equity Positive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</si>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</sst>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7">
    <numFmt numFmtId="164" formatCode="General"/>
    <numFmt numFmtId="165" formatCode="#,##0.00"/>
    <numFmt numFmtId="166" formatCode="0.00%"/>
    <numFmt numFmtId="167" formatCode="0"/>
    <numFmt numFmtId="168" formatCode="0.00\x"/>
    <numFmt numFmtId="169" formatCode="0.00"/>
    <numFmt numFmtId="170" formatCode="@"/>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b val="true"/>
      <sz val="11"/>
      <color theme="3"/>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0"/>
      <name val="Arial"/>
      <family val="0"/>
      <charset val="1"/>
    </font>
    <font>
      <sz val="11"/>
      <color rgb="FF0000CC"/>
      <name val="Arial"/>
      <family val="0"/>
      <charset val="1"/>
    </font>
    <font>
      <i val="true"/>
      <sz val="11"/>
      <color rgb="FF808080"/>
      <name val="Arial"/>
      <family val="0"/>
      <charset val="1"/>
    </font>
    <font>
      <b val="true"/>
      <sz val="11"/>
      <color rgb="FFFF00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A5A5A5"/>
        <bgColor rgb="FFC0C0C0"/>
      </patternFill>
    </fill>
    <fill>
      <patternFill patternType="solid">
        <fgColor rgb="FFED7D31"/>
        <bgColor rgb="FFFF8080"/>
      </patternFill>
    </fill>
    <fill>
      <patternFill patternType="solid">
        <fgColor rgb="FFFF0000"/>
        <bgColor rgb="FF993300"/>
      </patternFill>
    </fill>
    <fill>
      <patternFill patternType="solid">
        <fgColor rgb="FFD6E4F0"/>
        <bgColor rgb="FFC6D9F1"/>
      </patternFill>
    </fill>
    <fill>
      <patternFill patternType="solid">
        <fgColor rgb="FFE8F0FE"/>
        <bgColor rgb="FFF2F2F2"/>
      </patternFill>
    </fill>
    <fill>
      <patternFill patternType="solid">
        <fgColor rgb="FFF2F2F2"/>
        <bgColor rgb="FFE8F0FE"/>
      </patternFill>
    </fill>
    <fill>
      <patternFill patternType="solid">
        <fgColor rgb="FF1F4E79"/>
        <bgColor rgb="FF1F497D"/>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9" fillId="6" borderId="0" xfId="0" applyFont="true" applyBorder="false" applyAlignment="false" applyProtection="false">
      <alignment horizontal="general"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4" fontId="9" fillId="8" borderId="0" xfId="0" applyFont="true" applyBorder="false" applyAlignment="false" applyProtection="false">
      <alignment horizontal="general" vertical="bottom" textRotation="0" wrapText="false" indent="0" shrinkToFit="false"/>
      <protection locked="true" hidden="false"/>
    </xf>
    <xf numFmtId="164" fontId="12" fillId="9" borderId="0" xfId="0" applyFont="true" applyBorder="false" applyAlignment="true" applyProtection="false">
      <alignment horizontal="left" vertical="center" textRotation="0" wrapText="false" indent="0" shrinkToFit="false"/>
      <protection locked="true" hidden="false"/>
    </xf>
    <xf numFmtId="164" fontId="13" fillId="9"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7" fontId="17" fillId="2" borderId="0" xfId="0" applyFont="true" applyBorder="false" applyAlignment="true" applyProtection="false">
      <alignment horizontal="center"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7" fontId="19" fillId="0" borderId="0" xfId="0" applyFont="true" applyBorder="false" applyAlignment="true" applyProtection="false">
      <alignment horizontal="center"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1" shrinkToFit="false"/>
      <protection locked="true" hidden="false"/>
    </xf>
    <xf numFmtId="165" fontId="0" fillId="0" borderId="0" xfId="0" applyFont="true" applyBorder="false" applyAlignment="true" applyProtection="false">
      <alignment horizontal="righ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6" fontId="19" fillId="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false" indent="1" shrinkToFit="false"/>
      <protection locked="true" hidden="false"/>
    </xf>
    <xf numFmtId="165" fontId="19"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9" fontId="10" fillId="0" borderId="1" xfId="0" applyFont="true" applyBorder="true" applyAlignment="true" applyProtection="false">
      <alignment horizontal="right" vertical="bottom" textRotation="0" wrapText="false" indent="0" shrinkToFit="false"/>
      <protection locked="true" hidden="false"/>
    </xf>
    <xf numFmtId="170" fontId="10" fillId="0" borderId="2" xfId="0" applyFont="true" applyBorder="true" applyAlignment="true" applyProtection="false">
      <alignment horizontal="center" vertical="bottom" textRotation="0" wrapText="false" indent="0" shrinkToFit="false"/>
      <protection locked="true" hidden="false"/>
    </xf>
    <xf numFmtId="167" fontId="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7" fontId="0" fillId="11" borderId="0" xfId="0" applyFont="true" applyBorder="false" applyAlignment="true" applyProtection="false">
      <alignment horizontal="center" vertical="bottom" textRotation="0" wrapText="false" indent="0" shrinkToFit="false"/>
      <protection locked="true" hidden="false"/>
    </xf>
    <xf numFmtId="164" fontId="10" fillId="11" borderId="0" xfId="0" applyFont="true" applyBorder="false" applyAlignment="true" applyProtection="false">
      <alignment horizontal="center" vertical="bottom" textRotation="0" wrapText="false" indent="0" shrinkToFit="false"/>
      <protection locked="true" hidden="false"/>
    </xf>
    <xf numFmtId="164" fontId="0" fillId="11" borderId="0" xfId="0" applyFont="true" applyBorder="false" applyAlignment="true" applyProtection="false">
      <alignment horizontal="left" vertical="bottom" textRotation="0" wrapText="false" indent="0" shrinkToFit="false"/>
      <protection locked="true" hidden="false"/>
    </xf>
    <xf numFmtId="170" fontId="0"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12"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11"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0"/>
    <col collapsed="false" customWidth="true" hidden="false" outlineLevel="0" max="4" min="4" style="0" width="20"/>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row>
    <row r="5" customFormat="false" ht="15" hidden="false" customHeight="false" outlineLevel="0" collapsed="false">
      <c r="A5" s="6"/>
      <c r="B5" s="7" t="s">
        <v>3</v>
      </c>
      <c r="C5" s="8" t="s">
        <v>4</v>
      </c>
      <c r="D5" s="6"/>
    </row>
    <row r="6" customFormat="false" ht="15" hidden="false" customHeight="false" outlineLevel="0" collapsed="false">
      <c r="A6" s="6"/>
      <c r="B6" s="7" t="s">
        <v>5</v>
      </c>
      <c r="C6" s="8" t="s">
        <v>6</v>
      </c>
      <c r="D6" s="6"/>
    </row>
    <row r="7" customFormat="false" ht="15" hidden="false" customHeight="false" outlineLevel="0" collapsed="false">
      <c r="A7" s="6"/>
      <c r="B7" s="7" t="s">
        <v>7</v>
      </c>
      <c r="C7" s="8" t="s">
        <v>8</v>
      </c>
      <c r="D7" s="6"/>
    </row>
    <row r="8" customFormat="false" ht="15" hidden="false" customHeight="false" outlineLevel="0" collapsed="false">
      <c r="A8" s="6"/>
      <c r="B8" s="7" t="s">
        <v>9</v>
      </c>
      <c r="C8" s="8" t="s">
        <v>10</v>
      </c>
      <c r="D8" s="6"/>
    </row>
    <row r="9" customFormat="false" ht="15" hidden="false" customHeight="false" outlineLevel="0" collapsed="false">
      <c r="A9" s="6"/>
      <c r="B9" s="6"/>
      <c r="C9" s="6"/>
      <c r="D9" s="6"/>
    </row>
    <row r="10" customFormat="false" ht="15" hidden="false" customHeight="false" outlineLevel="0" collapsed="false">
      <c r="A10" s="6"/>
      <c r="B10" s="9" t="s">
        <v>11</v>
      </c>
      <c r="C10" s="10"/>
      <c r="D10" s="10"/>
    </row>
    <row r="11" customFormat="false" ht="15" hidden="false" customHeight="false" outlineLevel="0" collapsed="false">
      <c r="A11" s="6"/>
      <c r="B11" s="7" t="s">
        <v>12</v>
      </c>
      <c r="C11" s="8" t="s">
        <v>13</v>
      </c>
      <c r="D11" s="6"/>
    </row>
    <row r="12" customFormat="false" ht="15" hidden="false" customHeight="false" outlineLevel="0" collapsed="false">
      <c r="A12" s="6"/>
      <c r="B12" s="7" t="s">
        <v>14</v>
      </c>
      <c r="C12" s="8" t="s">
        <v>15</v>
      </c>
      <c r="D12" s="6"/>
    </row>
    <row r="13" customFormat="false" ht="15" hidden="false" customHeight="false" outlineLevel="0" collapsed="false">
      <c r="A13" s="6"/>
      <c r="B13" s="7" t="s">
        <v>16</v>
      </c>
      <c r="C13" s="8" t="s">
        <v>17</v>
      </c>
      <c r="D13" s="6"/>
    </row>
    <row r="14" customFormat="false" ht="15" hidden="false" customHeight="false" outlineLevel="0" collapsed="false">
      <c r="A14" s="6"/>
      <c r="B14" s="7" t="s">
        <v>18</v>
      </c>
      <c r="C14" s="8" t="s">
        <v>19</v>
      </c>
      <c r="D14" s="6"/>
    </row>
    <row r="15" customFormat="false" ht="15" hidden="false" customHeight="false" outlineLevel="0" collapsed="false">
      <c r="A15" s="6"/>
      <c r="B15" s="7" t="s">
        <v>20</v>
      </c>
      <c r="C15" s="8" t="s">
        <v>21</v>
      </c>
      <c r="D15" s="6"/>
    </row>
    <row r="16" customFormat="false" ht="15" hidden="false" customHeight="false" outlineLevel="0" collapsed="false">
      <c r="A16" s="6"/>
      <c r="B16" s="7" t="s">
        <v>22</v>
      </c>
      <c r="C16" s="8" t="s">
        <v>23</v>
      </c>
      <c r="D16" s="6"/>
    </row>
    <row r="17" customFormat="false" ht="15" hidden="false" customHeight="false" outlineLevel="0" collapsed="false">
      <c r="A17" s="6"/>
      <c r="B17" s="7" t="s">
        <v>24</v>
      </c>
      <c r="C17" s="8" t="s">
        <v>25</v>
      </c>
      <c r="D17" s="6"/>
    </row>
    <row r="18" customFormat="false" ht="15" hidden="false" customHeight="false" outlineLevel="0" collapsed="false">
      <c r="A18" s="6"/>
      <c r="B18" s="6"/>
      <c r="C18" s="6"/>
      <c r="D18" s="6"/>
    </row>
    <row r="19" customFormat="false" ht="15" hidden="false" customHeight="false" outlineLevel="0" collapsed="false">
      <c r="A19" s="6"/>
      <c r="B19" s="9" t="s">
        <v>26</v>
      </c>
      <c r="C19" s="10"/>
      <c r="D19" s="10"/>
    </row>
    <row r="20" customFormat="false" ht="15" hidden="false" customHeight="false" outlineLevel="0" collapsed="false">
      <c r="A20" s="6"/>
      <c r="B20" s="7" t="s">
        <v>27</v>
      </c>
      <c r="C20" s="8" t="s">
        <v>28</v>
      </c>
      <c r="D20" s="11"/>
    </row>
    <row r="21" customFormat="false" ht="15" hidden="false" customHeight="false" outlineLevel="0" collapsed="false">
      <c r="A21" s="6"/>
      <c r="B21" s="7" t="s">
        <v>29</v>
      </c>
      <c r="C21" s="8" t="s">
        <v>12</v>
      </c>
      <c r="D21" s="12"/>
    </row>
    <row r="22" customFormat="false" ht="15" hidden="false" customHeight="false" outlineLevel="0" collapsed="false">
      <c r="A22" s="6"/>
      <c r="B22" s="7" t="s">
        <v>30</v>
      </c>
      <c r="C22" s="8" t="s">
        <v>31</v>
      </c>
      <c r="D22" s="13"/>
    </row>
    <row r="23" customFormat="false" ht="15" hidden="false" customHeight="false" outlineLevel="0" collapsed="false">
      <c r="A23" s="6"/>
      <c r="B23" s="7" t="s">
        <v>32</v>
      </c>
      <c r="C23" s="8" t="s">
        <v>33</v>
      </c>
      <c r="D23" s="14"/>
    </row>
    <row r="24" customFormat="false" ht="15" hidden="false" customHeight="false" outlineLevel="0" collapsed="false">
      <c r="A24" s="6"/>
      <c r="B24" s="7" t="s">
        <v>34</v>
      </c>
      <c r="C24" s="8" t="s">
        <v>35</v>
      </c>
      <c r="D24" s="15"/>
    </row>
    <row r="25" customFormat="false" ht="15" hidden="false" customHeight="false" outlineLevel="0" collapsed="false">
      <c r="A25" s="6"/>
      <c r="B25" s="7" t="s">
        <v>36</v>
      </c>
      <c r="C25" s="8" t="s">
        <v>37</v>
      </c>
      <c r="D25" s="16"/>
    </row>
    <row r="28" customFormat="false" ht="19.5" hidden="false" customHeight="true" outlineLevel="0" collapsed="false">
      <c r="B28" s="17" t="s">
        <v>38</v>
      </c>
      <c r="C28" s="18"/>
      <c r="D28" s="18"/>
      <c r="E28" s="18"/>
      <c r="F28" s="18"/>
      <c r="G28" s="18"/>
    </row>
    <row r="29" customFormat="false" ht="246" hidden="false" customHeight="true" outlineLevel="0" collapsed="false">
      <c r="B29" s="19" t="s">
        <v>39</v>
      </c>
      <c r="C29" s="19"/>
      <c r="D29" s="19"/>
      <c r="E29" s="19"/>
      <c r="F29" s="19"/>
      <c r="G29" s="19"/>
    </row>
    <row r="31" customFormat="false" ht="19.5" hidden="false" customHeight="true" outlineLevel="0" collapsed="false">
      <c r="B31" s="17" t="s">
        <v>40</v>
      </c>
      <c r="C31" s="18"/>
      <c r="D31" s="18"/>
      <c r="E31" s="18"/>
      <c r="F31" s="18"/>
      <c r="G31" s="18"/>
    </row>
    <row r="32" customFormat="false" ht="57" hidden="false" customHeight="true" outlineLevel="0" collapsed="false">
      <c r="B32" s="19" t="s">
        <v>41</v>
      </c>
      <c r="C32" s="19"/>
      <c r="D32" s="19"/>
      <c r="E32" s="19"/>
      <c r="F32" s="19"/>
      <c r="G32" s="19"/>
    </row>
    <row r="33" customFormat="false" ht="15" hidden="false" customHeight="false" outlineLevel="0" collapsed="false">
      <c r="B33" s="20" t="s">
        <v>42</v>
      </c>
      <c r="C33" s="20"/>
      <c r="D33" s="20"/>
      <c r="E33" s="20"/>
      <c r="F33" s="20"/>
      <c r="G33" s="20"/>
    </row>
    <row r="34" customFormat="false" ht="15" hidden="false" customHeight="false" outlineLevel="0" collapsed="false">
      <c r="B34" s="21" t="s">
        <v>43</v>
      </c>
    </row>
  </sheetData>
  <mergeCells count="3">
    <mergeCell ref="B29:G29"/>
    <mergeCell ref="B32:G32"/>
    <mergeCell ref="B33:G33"/>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44</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2" t="s">
        <v>45</v>
      </c>
      <c r="C5" s="22" t="s">
        <v>46</v>
      </c>
      <c r="D5" s="22" t="s">
        <v>47</v>
      </c>
      <c r="E5" s="22" t="s">
        <v>48</v>
      </c>
    </row>
    <row r="6" customFormat="false" ht="15" hidden="false" customHeight="false" outlineLevel="0" collapsed="false">
      <c r="A6" s="6"/>
      <c r="B6" s="6"/>
      <c r="C6" s="6"/>
      <c r="D6" s="6"/>
      <c r="E6" s="6"/>
    </row>
    <row r="7" customFormat="false" ht="15" hidden="false" customHeight="false" outlineLevel="0" collapsed="false">
      <c r="A7" s="6"/>
      <c r="B7" s="9" t="s">
        <v>49</v>
      </c>
      <c r="C7" s="10"/>
      <c r="D7" s="10"/>
      <c r="E7" s="10"/>
    </row>
    <row r="8" customFormat="false" ht="15" hidden="false" customHeight="false" outlineLevel="0" collapsed="false">
      <c r="A8" s="6"/>
      <c r="B8" s="8" t="s">
        <v>50</v>
      </c>
      <c r="C8" s="23" t="n">
        <v>2026</v>
      </c>
      <c r="D8" s="24"/>
      <c r="E8" s="24" t="s">
        <v>51</v>
      </c>
    </row>
    <row r="9" customFormat="false" ht="15" hidden="false" customHeight="false" outlineLevel="0" collapsed="false">
      <c r="A9" s="6"/>
      <c r="B9" s="6"/>
      <c r="C9" s="6"/>
      <c r="D9" s="6"/>
      <c r="E9" s="6"/>
    </row>
    <row r="10" customFormat="false" ht="15" hidden="false" customHeight="false" outlineLevel="0" collapsed="false">
      <c r="A10" s="6"/>
      <c r="B10" s="9" t="s">
        <v>52</v>
      </c>
      <c r="C10" s="10"/>
      <c r="D10" s="10"/>
      <c r="E10" s="10"/>
    </row>
    <row r="11" customFormat="false" ht="15" hidden="false" customHeight="false" outlineLevel="0" collapsed="false">
      <c r="A11" s="6"/>
      <c r="B11" s="8" t="s">
        <v>53</v>
      </c>
      <c r="C11" s="23" t="n">
        <v>500000000</v>
      </c>
      <c r="D11" s="24" t="s">
        <v>54</v>
      </c>
      <c r="E11" s="24" t="s">
        <v>55</v>
      </c>
    </row>
    <row r="12" customFormat="false" ht="15" hidden="false" customHeight="false" outlineLevel="0" collapsed="false">
      <c r="A12" s="6"/>
      <c r="B12" s="8" t="s">
        <v>56</v>
      </c>
      <c r="C12" s="25" t="n">
        <v>0.06</v>
      </c>
      <c r="D12" s="24" t="s">
        <v>57</v>
      </c>
      <c r="E12" s="24"/>
    </row>
    <row r="13" customFormat="false" ht="15" hidden="false" customHeight="false" outlineLevel="0" collapsed="false">
      <c r="A13" s="6"/>
      <c r="B13" s="8" t="s">
        <v>58</v>
      </c>
      <c r="C13" s="25" t="n">
        <v>0.055</v>
      </c>
      <c r="D13" s="24" t="s">
        <v>57</v>
      </c>
      <c r="E13" s="24"/>
    </row>
    <row r="14" customFormat="false" ht="15" hidden="false" customHeight="false" outlineLevel="0" collapsed="false">
      <c r="A14" s="6"/>
      <c r="B14" s="8" t="s">
        <v>59</v>
      </c>
      <c r="C14" s="25" t="n">
        <v>0.05</v>
      </c>
      <c r="D14" s="24" t="s">
        <v>57</v>
      </c>
      <c r="E14" s="24"/>
    </row>
    <row r="15" customFormat="false" ht="15" hidden="false" customHeight="false" outlineLevel="0" collapsed="false">
      <c r="A15" s="6"/>
      <c r="B15" s="8" t="s">
        <v>60</v>
      </c>
      <c r="C15" s="25" t="n">
        <v>0.045</v>
      </c>
      <c r="D15" s="24" t="s">
        <v>57</v>
      </c>
      <c r="E15" s="24"/>
    </row>
    <row r="16" customFormat="false" ht="15" hidden="false" customHeight="false" outlineLevel="0" collapsed="false">
      <c r="A16" s="6"/>
      <c r="B16" s="8" t="s">
        <v>61</v>
      </c>
      <c r="C16" s="25" t="n">
        <v>0.04</v>
      </c>
      <c r="D16" s="24" t="s">
        <v>57</v>
      </c>
      <c r="E16" s="24"/>
    </row>
    <row r="17" customFormat="false" ht="15" hidden="false" customHeight="false" outlineLevel="0" collapsed="false">
      <c r="A17" s="6"/>
      <c r="B17" s="6"/>
      <c r="C17" s="6"/>
      <c r="D17" s="6"/>
      <c r="E17" s="6"/>
    </row>
    <row r="18" customFormat="false" ht="15" hidden="false" customHeight="false" outlineLevel="0" collapsed="false">
      <c r="A18" s="6"/>
      <c r="B18" s="9" t="s">
        <v>62</v>
      </c>
      <c r="C18" s="10"/>
      <c r="D18" s="10"/>
      <c r="E18" s="10"/>
    </row>
    <row r="19" customFormat="false" ht="15" hidden="false" customHeight="false" outlineLevel="0" collapsed="false">
      <c r="A19" s="6"/>
      <c r="B19" s="8" t="s">
        <v>63</v>
      </c>
      <c r="C19" s="25" t="n">
        <v>0.55</v>
      </c>
      <c r="D19" s="24" t="s">
        <v>57</v>
      </c>
      <c r="E19" s="24" t="s">
        <v>64</v>
      </c>
    </row>
    <row r="20" customFormat="false" ht="15" hidden="false" customHeight="false" outlineLevel="0" collapsed="false">
      <c r="A20" s="6"/>
      <c r="B20" s="6"/>
      <c r="C20" s="6"/>
      <c r="D20" s="6"/>
      <c r="E20" s="6"/>
    </row>
    <row r="21" customFormat="false" ht="15" hidden="false" customHeight="false" outlineLevel="0" collapsed="false">
      <c r="A21" s="6"/>
      <c r="B21" s="9" t="s">
        <v>65</v>
      </c>
      <c r="C21" s="10"/>
      <c r="D21" s="10"/>
      <c r="E21" s="10"/>
    </row>
    <row r="22" customFormat="false" ht="15" hidden="false" customHeight="false" outlineLevel="0" collapsed="false">
      <c r="A22" s="6"/>
      <c r="B22" s="8" t="s">
        <v>66</v>
      </c>
      <c r="C22" s="25" t="n">
        <v>0.15</v>
      </c>
      <c r="D22" s="24" t="s">
        <v>57</v>
      </c>
      <c r="E22" s="24" t="s">
        <v>67</v>
      </c>
    </row>
    <row r="23" customFormat="false" ht="15" hidden="false" customHeight="false" outlineLevel="0" collapsed="false">
      <c r="A23" s="6"/>
      <c r="B23" s="8" t="s">
        <v>68</v>
      </c>
      <c r="C23" s="25" t="n">
        <v>0.04</v>
      </c>
      <c r="D23" s="24" t="s">
        <v>57</v>
      </c>
      <c r="E23" s="24" t="s">
        <v>69</v>
      </c>
    </row>
    <row r="24" customFormat="false" ht="15" hidden="false" customHeight="false" outlineLevel="0" collapsed="false">
      <c r="A24" s="6"/>
      <c r="B24" s="8" t="s">
        <v>70</v>
      </c>
      <c r="C24" s="25" t="n">
        <v>0.03</v>
      </c>
      <c r="D24" s="24" t="s">
        <v>57</v>
      </c>
      <c r="E24" s="24" t="s">
        <v>71</v>
      </c>
    </row>
    <row r="25" customFormat="false" ht="15" hidden="false" customHeight="false" outlineLevel="0" collapsed="false">
      <c r="A25" s="6"/>
      <c r="B25" s="6"/>
      <c r="C25" s="6"/>
      <c r="D25" s="6"/>
      <c r="E25" s="6"/>
    </row>
    <row r="26" customFormat="false" ht="15" hidden="false" customHeight="false" outlineLevel="0" collapsed="false">
      <c r="A26" s="6"/>
      <c r="B26" s="9" t="s">
        <v>72</v>
      </c>
      <c r="C26" s="10"/>
      <c r="D26" s="10"/>
      <c r="E26" s="10"/>
    </row>
    <row r="27" customFormat="false" ht="15" hidden="false" customHeight="false" outlineLevel="0" collapsed="false">
      <c r="A27" s="6"/>
      <c r="B27" s="8" t="s">
        <v>73</v>
      </c>
      <c r="C27" s="25" t="n">
        <v>0.035</v>
      </c>
      <c r="D27" s="24" t="s">
        <v>57</v>
      </c>
      <c r="E27" s="24" t="s">
        <v>74</v>
      </c>
    </row>
    <row r="28" customFormat="false" ht="15" hidden="false" customHeight="false" outlineLevel="0" collapsed="false">
      <c r="A28" s="6"/>
      <c r="B28" s="6"/>
      <c r="C28" s="6"/>
      <c r="D28" s="6"/>
      <c r="E28" s="6"/>
    </row>
    <row r="29" customFormat="false" ht="15" hidden="false" customHeight="false" outlineLevel="0" collapsed="false">
      <c r="A29" s="6"/>
      <c r="B29" s="9" t="s">
        <v>75</v>
      </c>
      <c r="C29" s="10"/>
      <c r="D29" s="10"/>
      <c r="E29" s="10"/>
    </row>
    <row r="30" customFormat="false" ht="15" hidden="false" customHeight="false" outlineLevel="0" collapsed="false">
      <c r="A30" s="6"/>
      <c r="B30" s="8" t="s">
        <v>76</v>
      </c>
      <c r="C30" s="23" t="n">
        <v>200000000</v>
      </c>
      <c r="D30" s="24" t="s">
        <v>54</v>
      </c>
      <c r="E30" s="24" t="s">
        <v>77</v>
      </c>
    </row>
    <row r="31" customFormat="false" ht="15" hidden="false" customHeight="false" outlineLevel="0" collapsed="false">
      <c r="A31" s="6"/>
      <c r="B31" s="8" t="s">
        <v>78</v>
      </c>
      <c r="C31" s="25" t="n">
        <v>0.055</v>
      </c>
      <c r="D31" s="24" t="s">
        <v>57</v>
      </c>
      <c r="E31" s="24" t="s">
        <v>79</v>
      </c>
    </row>
    <row r="32" customFormat="false" ht="15" hidden="false" customHeight="false" outlineLevel="0" collapsed="false">
      <c r="A32" s="6"/>
      <c r="B32" s="8" t="s">
        <v>80</v>
      </c>
      <c r="C32" s="23" t="n">
        <v>7</v>
      </c>
      <c r="D32" s="24" t="s">
        <v>81</v>
      </c>
      <c r="E32" s="24" t="s">
        <v>82</v>
      </c>
    </row>
    <row r="33" customFormat="false" ht="15" hidden="false" customHeight="false" outlineLevel="0" collapsed="false">
      <c r="A33" s="6"/>
      <c r="B33" s="8" t="s">
        <v>83</v>
      </c>
      <c r="C33" s="23" t="n">
        <v>75000000</v>
      </c>
      <c r="D33" s="24" t="s">
        <v>54</v>
      </c>
      <c r="E33" s="24" t="s">
        <v>84</v>
      </c>
    </row>
    <row r="34" customFormat="false" ht="15" hidden="false" customHeight="false" outlineLevel="0" collapsed="false">
      <c r="A34" s="6"/>
      <c r="B34" s="8" t="s">
        <v>85</v>
      </c>
      <c r="C34" s="25" t="n">
        <v>0.075</v>
      </c>
      <c r="D34" s="24" t="s">
        <v>57</v>
      </c>
      <c r="E34" s="24" t="s">
        <v>86</v>
      </c>
    </row>
    <row r="35" customFormat="false" ht="15" hidden="false" customHeight="false" outlineLevel="0" collapsed="false">
      <c r="A35" s="6"/>
      <c r="B35" s="8" t="s">
        <v>87</v>
      </c>
      <c r="C35" s="23" t="n">
        <v>10</v>
      </c>
      <c r="D35" s="24" t="s">
        <v>81</v>
      </c>
      <c r="E35" s="24" t="s">
        <v>88</v>
      </c>
    </row>
    <row r="36" customFormat="false" ht="15" hidden="false" customHeight="false" outlineLevel="0" collapsed="false">
      <c r="A36" s="6"/>
      <c r="B36" s="8" t="s">
        <v>89</v>
      </c>
      <c r="C36" s="23" t="n">
        <v>50000000</v>
      </c>
      <c r="D36" s="24" t="s">
        <v>54</v>
      </c>
      <c r="E36" s="24" t="s">
        <v>90</v>
      </c>
    </row>
    <row r="37" customFormat="false" ht="15" hidden="false" customHeight="false" outlineLevel="0" collapsed="false">
      <c r="A37" s="6"/>
      <c r="B37" s="8" t="s">
        <v>91</v>
      </c>
      <c r="C37" s="23" t="n">
        <v>0</v>
      </c>
      <c r="D37" s="24" t="s">
        <v>54</v>
      </c>
      <c r="E37" s="24" t="s">
        <v>92</v>
      </c>
    </row>
    <row r="38" customFormat="false" ht="15" hidden="false" customHeight="false" outlineLevel="0" collapsed="false">
      <c r="A38" s="6"/>
      <c r="B38" s="8" t="s">
        <v>93</v>
      </c>
      <c r="C38" s="25" t="n">
        <v>0.005</v>
      </c>
      <c r="D38" s="24" t="s">
        <v>57</v>
      </c>
      <c r="E38" s="24" t="s">
        <v>94</v>
      </c>
    </row>
    <row r="39" customFormat="false" ht="15" hidden="false" customHeight="false" outlineLevel="0" collapsed="false">
      <c r="A39" s="6"/>
      <c r="B39" s="8" t="s">
        <v>95</v>
      </c>
      <c r="C39" s="25" t="n">
        <v>0.035</v>
      </c>
      <c r="D39" s="24" t="s">
        <v>57</v>
      </c>
      <c r="E39" s="24" t="s">
        <v>96</v>
      </c>
    </row>
    <row r="40" customFormat="false" ht="15" hidden="false" customHeight="false" outlineLevel="0" collapsed="false">
      <c r="A40" s="6"/>
      <c r="B40" s="6"/>
      <c r="C40" s="6"/>
      <c r="D40" s="6"/>
      <c r="E40" s="6"/>
    </row>
    <row r="41" customFormat="false" ht="15" hidden="false" customHeight="false" outlineLevel="0" collapsed="false">
      <c r="A41" s="6"/>
      <c r="B41" s="9" t="s">
        <v>97</v>
      </c>
      <c r="C41" s="10"/>
      <c r="D41" s="10"/>
      <c r="E41" s="10"/>
    </row>
    <row r="42" customFormat="false" ht="15" hidden="false" customHeight="false" outlineLevel="0" collapsed="false">
      <c r="A42" s="6"/>
      <c r="B42" s="8" t="s">
        <v>98</v>
      </c>
      <c r="C42" s="25" t="n">
        <v>0.25</v>
      </c>
      <c r="D42" s="24" t="s">
        <v>57</v>
      </c>
      <c r="E42" s="24"/>
    </row>
    <row r="43" customFormat="false" ht="15" hidden="false" customHeight="false" outlineLevel="0" collapsed="false">
      <c r="A43" s="6"/>
      <c r="B43" s="8" t="s">
        <v>99</v>
      </c>
      <c r="C43" s="25" t="n">
        <v>0.3</v>
      </c>
      <c r="D43" s="24" t="s">
        <v>57</v>
      </c>
      <c r="E43" s="24" t="s">
        <v>100</v>
      </c>
    </row>
    <row r="44" customFormat="false" ht="15" hidden="false" customHeight="false" outlineLevel="0" collapsed="false">
      <c r="A44" s="6"/>
      <c r="B44" s="6"/>
      <c r="C44" s="6"/>
      <c r="D44" s="6"/>
      <c r="E44" s="6"/>
    </row>
    <row r="45" customFormat="false" ht="15" hidden="false" customHeight="false" outlineLevel="0" collapsed="false">
      <c r="A45" s="6"/>
      <c r="B45" s="9" t="s">
        <v>101</v>
      </c>
      <c r="C45" s="10"/>
      <c r="D45" s="10"/>
      <c r="E45" s="10"/>
    </row>
    <row r="46" customFormat="false" ht="15" hidden="false" customHeight="false" outlineLevel="0" collapsed="false">
      <c r="A46" s="6"/>
      <c r="B46" s="8" t="s">
        <v>102</v>
      </c>
      <c r="C46" s="23" t="n">
        <v>50</v>
      </c>
      <c r="D46" s="24" t="s">
        <v>103</v>
      </c>
      <c r="E46" s="24"/>
    </row>
    <row r="47" customFormat="false" ht="15" hidden="false" customHeight="false" outlineLevel="0" collapsed="false">
      <c r="A47" s="6"/>
      <c r="B47" s="8" t="s">
        <v>104</v>
      </c>
      <c r="C47" s="23" t="n">
        <v>40</v>
      </c>
      <c r="D47" s="24" t="s">
        <v>103</v>
      </c>
      <c r="E47" s="24"/>
    </row>
    <row r="48" customFormat="false" ht="15" hidden="false" customHeight="false" outlineLevel="0" collapsed="false">
      <c r="A48" s="6"/>
      <c r="B48" s="8" t="s">
        <v>105</v>
      </c>
      <c r="C48" s="23" t="n">
        <v>45</v>
      </c>
      <c r="D48" s="24" t="s">
        <v>103</v>
      </c>
      <c r="E48" s="24"/>
    </row>
    <row r="49" customFormat="false" ht="15" hidden="false" customHeight="false" outlineLevel="0" collapsed="false">
      <c r="A49" s="6"/>
      <c r="B49" s="8" t="s">
        <v>106</v>
      </c>
      <c r="C49" s="25" t="n">
        <v>0.02</v>
      </c>
      <c r="D49" s="24" t="s">
        <v>57</v>
      </c>
      <c r="E49" s="24" t="s">
        <v>107</v>
      </c>
    </row>
    <row r="50" customFormat="false" ht="15" hidden="false" customHeight="false" outlineLevel="0" collapsed="false">
      <c r="A50" s="6"/>
      <c r="B50" s="8" t="s">
        <v>108</v>
      </c>
      <c r="C50" s="25" t="n">
        <v>0.015</v>
      </c>
      <c r="D50" s="24" t="s">
        <v>57</v>
      </c>
      <c r="E50" s="24" t="s">
        <v>107</v>
      </c>
    </row>
    <row r="51" customFormat="false" ht="15" hidden="false" customHeight="false" outlineLevel="0" collapsed="false">
      <c r="A51" s="6"/>
      <c r="B51" s="6"/>
      <c r="C51" s="6"/>
      <c r="D51" s="6"/>
      <c r="E51" s="6"/>
    </row>
    <row r="52" customFormat="false" ht="15" hidden="false" customHeight="false" outlineLevel="0" collapsed="false">
      <c r="A52" s="6"/>
      <c r="B52" s="9" t="s">
        <v>109</v>
      </c>
      <c r="C52" s="10"/>
      <c r="D52" s="10"/>
      <c r="E52" s="10"/>
    </row>
    <row r="53" customFormat="false" ht="15" hidden="false" customHeight="false" outlineLevel="0" collapsed="false">
      <c r="A53" s="6"/>
      <c r="B53" s="8" t="s">
        <v>110</v>
      </c>
      <c r="C53" s="25" t="n">
        <v>0.05</v>
      </c>
      <c r="D53" s="24" t="s">
        <v>57</v>
      </c>
      <c r="E53" s="24" t="s">
        <v>111</v>
      </c>
    </row>
    <row r="54" customFormat="false" ht="15" hidden="false" customHeight="false" outlineLevel="0" collapsed="false">
      <c r="A54" s="6"/>
      <c r="B54" s="8" t="s">
        <v>112</v>
      </c>
      <c r="C54" s="23" t="n">
        <v>250000000</v>
      </c>
      <c r="D54" s="24" t="s">
        <v>54</v>
      </c>
      <c r="E54" s="24" t="s">
        <v>113</v>
      </c>
    </row>
    <row r="55" customFormat="false" ht="15" hidden="false" customHeight="false" outlineLevel="0" collapsed="false">
      <c r="A55" s="6"/>
      <c r="B55" s="8" t="s">
        <v>114</v>
      </c>
      <c r="C55" s="23" t="n">
        <v>100000000</v>
      </c>
      <c r="D55" s="24" t="s">
        <v>54</v>
      </c>
      <c r="E55" s="24" t="s">
        <v>115</v>
      </c>
    </row>
    <row r="56" customFormat="false" ht="15" hidden="false" customHeight="false" outlineLevel="0" collapsed="false">
      <c r="A56" s="6"/>
      <c r="B56" s="6"/>
      <c r="C56" s="6"/>
      <c r="D56" s="6"/>
      <c r="E56" s="6"/>
    </row>
    <row r="57" customFormat="false" ht="15" hidden="false" customHeight="false" outlineLevel="0" collapsed="false">
      <c r="A57" s="6"/>
      <c r="B57" s="9" t="s">
        <v>116</v>
      </c>
      <c r="C57" s="10"/>
      <c r="D57" s="10"/>
      <c r="E57" s="10"/>
    </row>
    <row r="58" customFormat="false" ht="15" hidden="false" customHeight="false" outlineLevel="0" collapsed="false">
      <c r="A58" s="6"/>
      <c r="B58" s="8" t="s">
        <v>117</v>
      </c>
      <c r="C58" s="23" t="n">
        <v>75000000</v>
      </c>
      <c r="D58" s="24" t="s">
        <v>54</v>
      </c>
      <c r="E58" s="24" t="s">
        <v>118</v>
      </c>
    </row>
    <row r="59" customFormat="false" ht="15" hidden="false" customHeight="false" outlineLevel="0" collapsed="false">
      <c r="A59" s="6"/>
      <c r="B59" s="8" t="s">
        <v>119</v>
      </c>
      <c r="C59" s="23" t="n">
        <v>100000000</v>
      </c>
      <c r="D59" s="24" t="s">
        <v>54</v>
      </c>
      <c r="E59" s="24" t="s">
        <v>120</v>
      </c>
    </row>
    <row r="60" customFormat="false" ht="15" hidden="false" customHeight="false" outlineLevel="0" collapsed="false">
      <c r="A60" s="6"/>
      <c r="B60" s="8" t="s">
        <v>121</v>
      </c>
      <c r="C60" s="23" t="n">
        <v>-82773973</v>
      </c>
      <c r="D60" s="24" t="s">
        <v>54</v>
      </c>
      <c r="E60" s="24" t="s">
        <v>122</v>
      </c>
    </row>
    <row r="61" customFormat="false" ht="15" hidden="false" customHeight="false" outlineLevel="0" collapsed="false">
      <c r="A61" s="6"/>
      <c r="B61" s="6"/>
      <c r="C61" s="6"/>
      <c r="D61" s="6"/>
      <c r="E61" s="6"/>
    </row>
    <row r="62" customFormat="false" ht="15" hidden="false" customHeight="false" outlineLevel="0" collapsed="false">
      <c r="A62" s="6"/>
      <c r="B62" s="9" t="s">
        <v>123</v>
      </c>
      <c r="C62" s="10"/>
      <c r="D62" s="10"/>
      <c r="E62" s="10"/>
    </row>
    <row r="63" customFormat="false" ht="15" hidden="false" customHeight="false" outlineLevel="0" collapsed="false">
      <c r="A63" s="6"/>
      <c r="B63" s="8" t="s">
        <v>124</v>
      </c>
      <c r="C63" s="25" t="n">
        <v>1</v>
      </c>
      <c r="D63" s="24" t="s">
        <v>125</v>
      </c>
      <c r="E63" s="24" t="s">
        <v>126</v>
      </c>
    </row>
    <row r="64" customFormat="false" ht="15" hidden="false" customHeight="false" outlineLevel="0" collapsed="false">
      <c r="A64" s="6"/>
      <c r="B64" s="8" t="s">
        <v>127</v>
      </c>
      <c r="C64" s="25" t="n">
        <v>1.5</v>
      </c>
      <c r="D64" s="24" t="s">
        <v>125</v>
      </c>
      <c r="E64" s="24"/>
    </row>
    <row r="65" customFormat="false" ht="15" hidden="false" customHeight="false" outlineLevel="0" collapsed="false">
      <c r="A65" s="6"/>
      <c r="B65" s="8" t="s">
        <v>128</v>
      </c>
      <c r="C65" s="23" t="n">
        <v>2.5</v>
      </c>
      <c r="D65" s="24" t="s">
        <v>125</v>
      </c>
      <c r="E65" s="24"/>
    </row>
    <row r="66" customFormat="false" ht="15" hidden="false" customHeight="false" outlineLevel="0" collapsed="false">
      <c r="A66" s="6"/>
      <c r="B66" s="8" t="s">
        <v>129</v>
      </c>
      <c r="C66" s="23" t="n">
        <v>3.5</v>
      </c>
      <c r="D66" s="24" t="s">
        <v>125</v>
      </c>
      <c r="E66" s="24"/>
    </row>
    <row r="67" customFormat="false" ht="15" hidden="false" customHeight="false" outlineLevel="0" collapsed="false">
      <c r="A67" s="6"/>
      <c r="B67" s="8" t="s">
        <v>130</v>
      </c>
      <c r="C67" s="23" t="n">
        <v>5</v>
      </c>
      <c r="D67" s="24" t="s">
        <v>125</v>
      </c>
      <c r="E67" s="24"/>
    </row>
    <row r="68" customFormat="false" ht="15" hidden="false" customHeight="false" outlineLevel="0" collapsed="false">
      <c r="A68" s="6"/>
      <c r="B68" s="8" t="s">
        <v>131</v>
      </c>
      <c r="C68" s="23" t="n">
        <v>7</v>
      </c>
      <c r="D68" s="24" t="s">
        <v>125</v>
      </c>
      <c r="E68" s="24"/>
    </row>
    <row r="69" customFormat="false" ht="15" hidden="false" customHeight="false" outlineLevel="0" collapsed="false">
      <c r="A69" s="6"/>
      <c r="B69" s="6"/>
      <c r="C69" s="6"/>
      <c r="D69" s="6"/>
      <c r="E69" s="6"/>
    </row>
    <row r="70" customFormat="false" ht="15" hidden="false" customHeight="false" outlineLevel="0" collapsed="false">
      <c r="A70" s="6"/>
      <c r="B70" s="9" t="s">
        <v>132</v>
      </c>
      <c r="C70" s="10"/>
      <c r="D70" s="10"/>
      <c r="E70" s="10"/>
    </row>
    <row r="71" customFormat="false" ht="15" hidden="false" customHeight="false" outlineLevel="0" collapsed="false">
      <c r="A71" s="6"/>
      <c r="B71" s="8" t="s">
        <v>133</v>
      </c>
      <c r="C71" s="23" t="n">
        <v>12</v>
      </c>
      <c r="D71" s="24" t="s">
        <v>125</v>
      </c>
      <c r="E71" s="24" t="s">
        <v>134</v>
      </c>
    </row>
    <row r="72" customFormat="false" ht="15" hidden="false" customHeight="false" outlineLevel="0" collapsed="false">
      <c r="A72" s="6"/>
      <c r="B72" s="8" t="s">
        <v>135</v>
      </c>
      <c r="C72" s="23" t="n">
        <v>8</v>
      </c>
      <c r="D72" s="24" t="s">
        <v>125</v>
      </c>
      <c r="E72" s="24"/>
    </row>
    <row r="73" customFormat="false" ht="15" hidden="false" customHeight="false" outlineLevel="0" collapsed="false">
      <c r="A73" s="6"/>
      <c r="B73" s="8" t="s">
        <v>136</v>
      </c>
      <c r="C73" s="23" t="n">
        <v>5</v>
      </c>
      <c r="D73" s="24" t="s">
        <v>125</v>
      </c>
      <c r="E73" s="24"/>
    </row>
    <row r="74" customFormat="false" ht="15" hidden="false" customHeight="false" outlineLevel="0" collapsed="false">
      <c r="A74" s="6"/>
      <c r="B74" s="8" t="s">
        <v>137</v>
      </c>
      <c r="C74" s="23" t="n">
        <v>3</v>
      </c>
      <c r="D74" s="24" t="s">
        <v>125</v>
      </c>
      <c r="E74" s="24"/>
    </row>
    <row r="75" customFormat="false" ht="15" hidden="false" customHeight="false" outlineLevel="0" collapsed="false">
      <c r="A75" s="6"/>
      <c r="B75" s="8" t="s">
        <v>138</v>
      </c>
      <c r="C75" s="23" t="n">
        <v>2</v>
      </c>
      <c r="D75" s="24" t="s">
        <v>125</v>
      </c>
      <c r="E75" s="24"/>
    </row>
    <row r="76" customFormat="false" ht="15" hidden="false" customHeight="false" outlineLevel="0" collapsed="false">
      <c r="A76" s="6"/>
      <c r="B76" s="8" t="s">
        <v>139</v>
      </c>
      <c r="C76" s="25" t="n">
        <v>1.2</v>
      </c>
      <c r="D76" s="24" t="s">
        <v>125</v>
      </c>
      <c r="E76" s="24"/>
    </row>
    <row r="77" customFormat="false" ht="15" hidden="false" customHeight="false" outlineLevel="0" collapsed="false">
      <c r="A77" s="6"/>
      <c r="B77" s="6"/>
      <c r="C77" s="6"/>
      <c r="D77" s="6"/>
      <c r="E77" s="6"/>
    </row>
    <row r="78" customFormat="false" ht="15" hidden="false" customHeight="false" outlineLevel="0" collapsed="false">
      <c r="A78" s="6"/>
      <c r="B78" s="9" t="s">
        <v>140</v>
      </c>
      <c r="C78" s="10"/>
      <c r="D78" s="10"/>
      <c r="E78" s="10"/>
    </row>
    <row r="79" customFormat="false" ht="15" hidden="false" customHeight="false" outlineLevel="0" collapsed="false">
      <c r="A79" s="6"/>
      <c r="B79" s="8" t="s">
        <v>141</v>
      </c>
      <c r="C79" s="25" t="n">
        <v>0.6</v>
      </c>
      <c r="D79" s="24" t="s">
        <v>57</v>
      </c>
      <c r="E79" s="24"/>
    </row>
    <row r="80" customFormat="false" ht="15" hidden="false" customHeight="false" outlineLevel="0" collapsed="false">
      <c r="A80" s="6"/>
      <c r="B80" s="8" t="s">
        <v>142</v>
      </c>
      <c r="C80" s="25" t="n">
        <v>0.45</v>
      </c>
      <c r="D80" s="24" t="s">
        <v>57</v>
      </c>
      <c r="E80" s="24"/>
    </row>
    <row r="81" customFormat="false" ht="15" hidden="false" customHeight="false" outlineLevel="0" collapsed="false">
      <c r="A81" s="6"/>
      <c r="B81" s="8" t="s">
        <v>143</v>
      </c>
      <c r="C81" s="25" t="n">
        <v>0.3</v>
      </c>
      <c r="D81" s="24" t="s">
        <v>57</v>
      </c>
      <c r="E81" s="24"/>
    </row>
    <row r="82" customFormat="false" ht="15" hidden="false" customHeight="false" outlineLevel="0" collapsed="false">
      <c r="A82" s="6"/>
      <c r="B82" s="8" t="s">
        <v>144</v>
      </c>
      <c r="C82" s="25" t="n">
        <v>0.2</v>
      </c>
      <c r="D82" s="24" t="s">
        <v>57</v>
      </c>
      <c r="E82" s="24"/>
    </row>
    <row r="83" customFormat="false" ht="15" hidden="false" customHeight="false" outlineLevel="0" collapsed="false">
      <c r="A83" s="6"/>
      <c r="B83" s="8" t="s">
        <v>145</v>
      </c>
      <c r="C83" s="25" t="n">
        <v>0.12</v>
      </c>
      <c r="D83" s="24" t="s">
        <v>57</v>
      </c>
      <c r="E83" s="24"/>
    </row>
    <row r="84" customFormat="false" ht="15" hidden="false" customHeight="false" outlineLevel="0" collapsed="false">
      <c r="A84" s="6"/>
      <c r="B84" s="8" t="s">
        <v>146</v>
      </c>
      <c r="C84" s="25" t="n">
        <v>0.05</v>
      </c>
      <c r="D84" s="24" t="s">
        <v>57</v>
      </c>
      <c r="E84" s="24"/>
    </row>
    <row r="85" customFormat="false" ht="15" hidden="false" customHeight="false" outlineLevel="0" collapsed="false">
      <c r="A85" s="6"/>
      <c r="B85" s="6"/>
      <c r="C85" s="6"/>
      <c r="D85" s="6"/>
      <c r="E85" s="6"/>
    </row>
    <row r="86" customFormat="false" ht="15" hidden="false" customHeight="false" outlineLevel="0" collapsed="false">
      <c r="A86" s="6"/>
      <c r="B86" s="9" t="s">
        <v>147</v>
      </c>
      <c r="C86" s="10"/>
      <c r="D86" s="10"/>
      <c r="E86" s="10"/>
    </row>
    <row r="87" customFormat="false" ht="15" hidden="false" customHeight="false" outlineLevel="0" collapsed="false">
      <c r="A87" s="6"/>
      <c r="B87" s="8" t="s">
        <v>148</v>
      </c>
      <c r="C87" s="25" t="n">
        <v>0.35</v>
      </c>
      <c r="D87" s="24" t="s">
        <v>57</v>
      </c>
      <c r="E87" s="24" t="s">
        <v>149</v>
      </c>
    </row>
    <row r="88" customFormat="false" ht="15" hidden="false" customHeight="false" outlineLevel="0" collapsed="false">
      <c r="A88" s="6"/>
      <c r="B88" s="8" t="s">
        <v>150</v>
      </c>
      <c r="C88" s="25" t="n">
        <v>0.28</v>
      </c>
      <c r="D88" s="24" t="s">
        <v>57</v>
      </c>
      <c r="E88" s="24"/>
    </row>
    <row r="89" customFormat="false" ht="15" hidden="false" customHeight="false" outlineLevel="0" collapsed="false">
      <c r="A89" s="6"/>
      <c r="B89" s="8" t="s">
        <v>151</v>
      </c>
      <c r="C89" s="25" t="n">
        <v>0.22</v>
      </c>
      <c r="D89" s="24" t="s">
        <v>57</v>
      </c>
      <c r="E89" s="24"/>
    </row>
    <row r="90" customFormat="false" ht="15" hidden="false" customHeight="false" outlineLevel="0" collapsed="false">
      <c r="A90" s="6"/>
      <c r="B90" s="8" t="s">
        <v>152</v>
      </c>
      <c r="C90" s="25" t="n">
        <v>0.16</v>
      </c>
      <c r="D90" s="24" t="s">
        <v>57</v>
      </c>
      <c r="E90" s="24"/>
    </row>
    <row r="91" customFormat="false" ht="15" hidden="false" customHeight="false" outlineLevel="0" collapsed="false">
      <c r="A91" s="6"/>
      <c r="B91" s="8" t="s">
        <v>153</v>
      </c>
      <c r="C91" s="25" t="n">
        <v>0.1</v>
      </c>
      <c r="D91" s="24" t="s">
        <v>57</v>
      </c>
      <c r="E91" s="24"/>
    </row>
    <row r="92" customFormat="false" ht="15" hidden="false" customHeight="false" outlineLevel="0" collapsed="false">
      <c r="A92" s="6"/>
      <c r="B92" s="8" t="s">
        <v>154</v>
      </c>
      <c r="C92" s="25" t="n">
        <v>0.05</v>
      </c>
      <c r="D92" s="24" t="s">
        <v>57</v>
      </c>
      <c r="E92" s="24"/>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156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27" t="s">
        <v>157</v>
      </c>
      <c r="C6" s="28" t="n">
        <f aca="false">COLUMN()-2</f>
        <v>1</v>
      </c>
      <c r="D6" s="28" t="n">
        <f aca="false">COLUMN()-2</f>
        <v>2</v>
      </c>
      <c r="E6" s="28" t="n">
        <f aca="false">COLUMN()-2</f>
        <v>3</v>
      </c>
      <c r="F6" s="28" t="n">
        <f aca="false">COLUMN()-2</f>
        <v>4</v>
      </c>
      <c r="G6" s="28" t="n">
        <f aca="false">COLUMN()-2</f>
        <v>5</v>
      </c>
    </row>
    <row r="7" customFormat="false" ht="15" hidden="false" customHeight="false" outlineLevel="0" collapsed="false">
      <c r="A7" s="6"/>
      <c r="B7" s="6"/>
      <c r="C7" s="6"/>
      <c r="D7" s="6"/>
      <c r="E7" s="6"/>
      <c r="F7" s="6"/>
      <c r="G7" s="6"/>
    </row>
    <row r="8" customFormat="false" ht="15" hidden="false" customHeight="false" outlineLevel="0" collapsed="false">
      <c r="A8" s="6"/>
      <c r="B8" s="9" t="s">
        <v>52</v>
      </c>
      <c r="C8" s="10"/>
      <c r="D8" s="10"/>
      <c r="E8" s="10"/>
      <c r="F8" s="10"/>
      <c r="G8" s="10"/>
    </row>
    <row r="9" customFormat="false" ht="15" hidden="false" customHeight="false" outlineLevel="0" collapsed="false">
      <c r="A9" s="6"/>
      <c r="B9" s="7" t="s">
        <v>158</v>
      </c>
      <c r="C9" s="29" t="n">
        <f aca="false">Rev_Base*(1+CHOOSE(C6,Rev_Growth_Y1,Rev_Growth_Y2,Rev_Growth_Y3,Rev_Growth_Y4,Rev_Growth_Y5))</f>
        <v>530000000</v>
      </c>
      <c r="D9" s="29" t="n">
        <f aca="false">C9*(1+CHOOSE(D6,Rev_Growth_Y1,Rev_Growth_Y2,Rev_Growth_Y3,Rev_Growth_Y4,Rev_Growth_Y5))</f>
        <v>559150000</v>
      </c>
      <c r="E9" s="29" t="n">
        <f aca="false">D9*(1+CHOOSE(E6,Rev_Growth_Y1,Rev_Growth_Y2,Rev_Growth_Y3,Rev_Growth_Y4,Rev_Growth_Y5))</f>
        <v>587107500</v>
      </c>
      <c r="F9" s="29" t="n">
        <f aca="false">E9*(1+CHOOSE(F6,Rev_Growth_Y1,Rev_Growth_Y2,Rev_Growth_Y3,Rev_Growth_Y4,Rev_Growth_Y5))</f>
        <v>613527337.5</v>
      </c>
      <c r="G9" s="29" t="n">
        <f aca="false">F9*(1+CHOOSE(G6,Rev_Growth_Y1,Rev_Growth_Y2,Rev_Growth_Y3,Rev_Growth_Y4,Rev_Growth_Y5))</f>
        <v>638068431</v>
      </c>
    </row>
    <row r="10" customFormat="false" ht="15" hidden="false" customHeight="false" outlineLevel="0" collapsed="false">
      <c r="A10" s="6"/>
      <c r="B10" s="6"/>
      <c r="C10" s="6"/>
      <c r="D10" s="6"/>
      <c r="E10" s="6"/>
      <c r="F10" s="6"/>
      <c r="G10" s="6"/>
    </row>
    <row r="11" customFormat="false" ht="15" hidden="false" customHeight="false" outlineLevel="0" collapsed="false">
      <c r="A11" s="6"/>
      <c r="B11" s="9" t="s">
        <v>62</v>
      </c>
      <c r="C11" s="10"/>
      <c r="D11" s="10"/>
      <c r="E11" s="10"/>
      <c r="F11" s="10"/>
      <c r="G11" s="10"/>
    </row>
    <row r="12" customFormat="false" ht="15" hidden="false" customHeight="false" outlineLevel="0" collapsed="false">
      <c r="A12" s="6"/>
      <c r="B12" s="30" t="s">
        <v>159</v>
      </c>
      <c r="C12" s="31" t="n">
        <f aca="false">C9*COGS_Pct</f>
        <v>291500000</v>
      </c>
      <c r="D12" s="31" t="n">
        <f aca="false">D9*COGS_Pct</f>
        <v>307532500</v>
      </c>
      <c r="E12" s="31" t="n">
        <f aca="false">E9*COGS_Pct</f>
        <v>322909125</v>
      </c>
      <c r="F12" s="31" t="n">
        <f aca="false">F9*COGS_Pct</f>
        <v>337440035.625</v>
      </c>
      <c r="G12" s="31" t="n">
        <f aca="false">G9*COGS_Pct</f>
        <v>350937637.05</v>
      </c>
    </row>
    <row r="13" customFormat="false" ht="15" hidden="false" customHeight="false" outlineLevel="0" collapsed="false">
      <c r="A13" s="6"/>
      <c r="B13" s="6"/>
      <c r="C13" s="6"/>
      <c r="D13" s="6"/>
      <c r="E13" s="6"/>
      <c r="F13" s="6"/>
      <c r="G13" s="6"/>
    </row>
    <row r="14" customFormat="false" ht="15" hidden="false" customHeight="false" outlineLevel="0" collapsed="false">
      <c r="A14" s="6"/>
      <c r="B14" s="7" t="s">
        <v>160</v>
      </c>
      <c r="C14" s="32" t="n">
        <f aca="false">C9-C12</f>
        <v>238500000</v>
      </c>
      <c r="D14" s="32" t="n">
        <f aca="false">D9-D12</f>
        <v>251617500</v>
      </c>
      <c r="E14" s="32" t="n">
        <f aca="false">E9-E12</f>
        <v>264198375</v>
      </c>
      <c r="F14" s="32" t="n">
        <f aca="false">F9-F12</f>
        <v>276087301.875</v>
      </c>
      <c r="G14" s="32" t="n">
        <f aca="false">G9-G12</f>
        <v>287130793.95</v>
      </c>
    </row>
    <row r="15" customFormat="false" ht="15" hidden="false" customHeight="false" outlineLevel="0" collapsed="false">
      <c r="A15" s="6"/>
      <c r="B15" s="24" t="s">
        <v>161</v>
      </c>
      <c r="C15" s="33" t="n">
        <f aca="false">C14/C9</f>
        <v>0.45</v>
      </c>
      <c r="D15" s="33" t="n">
        <f aca="false">D14/D9</f>
        <v>0.45</v>
      </c>
      <c r="E15" s="33" t="n">
        <f aca="false">E14/E9</f>
        <v>0.45</v>
      </c>
      <c r="F15" s="33" t="n">
        <f aca="false">F14/F9</f>
        <v>0.45</v>
      </c>
      <c r="G15" s="33" t="n">
        <f aca="false">G14/G9</f>
        <v>0.45</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9" t="s">
        <v>65</v>
      </c>
      <c r="C17" s="10"/>
      <c r="D17" s="10"/>
      <c r="E17" s="10"/>
      <c r="F17" s="10"/>
      <c r="G17" s="10"/>
    </row>
    <row r="18" customFormat="false" ht="15" hidden="false" customHeight="false" outlineLevel="0" collapsed="false">
      <c r="A18" s="6"/>
      <c r="B18" s="30" t="s">
        <v>162</v>
      </c>
      <c r="C18" s="31" t="n">
        <f aca="false">C9*SGA_Pct</f>
        <v>79500000</v>
      </c>
      <c r="D18" s="31" t="n">
        <f aca="false">D9*SGA_Pct</f>
        <v>83872500</v>
      </c>
      <c r="E18" s="31" t="n">
        <f aca="false">E9*SGA_Pct</f>
        <v>88066125</v>
      </c>
      <c r="F18" s="31" t="n">
        <f aca="false">F9*SGA_Pct</f>
        <v>92029100.625</v>
      </c>
      <c r="G18" s="31" t="n">
        <f aca="false">G9*SGA_Pct</f>
        <v>95710264.65</v>
      </c>
    </row>
    <row r="19" customFormat="false" ht="15" hidden="false" customHeight="false" outlineLevel="0" collapsed="false">
      <c r="A19" s="6"/>
      <c r="B19" s="30" t="s">
        <v>163</v>
      </c>
      <c r="C19" s="31" t="n">
        <f aca="false">C9*RD_Pct</f>
        <v>21200000</v>
      </c>
      <c r="D19" s="31" t="n">
        <f aca="false">D9*RD_Pct</f>
        <v>22366000</v>
      </c>
      <c r="E19" s="31" t="n">
        <f aca="false">E9*RD_Pct</f>
        <v>23484300</v>
      </c>
      <c r="F19" s="31" t="n">
        <f aca="false">F9*RD_Pct</f>
        <v>24541093.5</v>
      </c>
      <c r="G19" s="31" t="n">
        <f aca="false">G9*RD_Pct</f>
        <v>25522737.24</v>
      </c>
    </row>
    <row r="20" customFormat="false" ht="15" hidden="false" customHeight="false" outlineLevel="0" collapsed="false">
      <c r="A20" s="6"/>
      <c r="B20" s="30" t="s">
        <v>164</v>
      </c>
      <c r="C20" s="31" t="n">
        <f aca="false">C9*Other_OpEx_Pct</f>
        <v>15900000</v>
      </c>
      <c r="D20" s="31" t="n">
        <f aca="false">D9*Other_OpEx_Pct</f>
        <v>16774500</v>
      </c>
      <c r="E20" s="31" t="n">
        <f aca="false">E9*Other_OpEx_Pct</f>
        <v>17613225</v>
      </c>
      <c r="F20" s="31" t="n">
        <f aca="false">F9*Other_OpEx_Pct</f>
        <v>18405820.125</v>
      </c>
      <c r="G20" s="31" t="n">
        <f aca="false">G9*Other_OpEx_Pct</f>
        <v>19142052.93</v>
      </c>
    </row>
    <row r="21" customFormat="false" ht="15" hidden="false" customHeight="false" outlineLevel="0" collapsed="false">
      <c r="A21" s="6"/>
      <c r="B21" s="7" t="s">
        <v>165</v>
      </c>
      <c r="C21" s="29" t="n">
        <f aca="false">SUM(C18:C20)</f>
        <v>116600000</v>
      </c>
      <c r="D21" s="29" t="n">
        <f aca="false">SUM(D18:D20)</f>
        <v>123013000</v>
      </c>
      <c r="E21" s="29" t="n">
        <f aca="false">SUM(E18:E20)</f>
        <v>129163650</v>
      </c>
      <c r="F21" s="29" t="n">
        <f aca="false">SUM(F18:F20)</f>
        <v>134976014.25</v>
      </c>
      <c r="G21" s="29" t="n">
        <f aca="false">SUM(G18:G20)</f>
        <v>140375054.82</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7" t="s">
        <v>166</v>
      </c>
      <c r="C23" s="32" t="n">
        <f aca="false">C14-C21</f>
        <v>121900000</v>
      </c>
      <c r="D23" s="32" t="n">
        <f aca="false">D14-D21</f>
        <v>128604500</v>
      </c>
      <c r="E23" s="32" t="n">
        <f aca="false">E14-E21</f>
        <v>135034725</v>
      </c>
      <c r="F23" s="32" t="n">
        <f aca="false">F14-F21</f>
        <v>141111287.625</v>
      </c>
      <c r="G23" s="32" t="n">
        <f aca="false">G14-G21</f>
        <v>146755739.13</v>
      </c>
    </row>
    <row r="24" customFormat="false" ht="15" hidden="false" customHeight="false" outlineLevel="0" collapsed="false">
      <c r="A24" s="6"/>
      <c r="B24" s="24" t="s">
        <v>167</v>
      </c>
      <c r="C24" s="33" t="n">
        <f aca="false">C23/C9</f>
        <v>0.23</v>
      </c>
      <c r="D24" s="33" t="n">
        <f aca="false">D23/D9</f>
        <v>0.23</v>
      </c>
      <c r="E24" s="33" t="n">
        <f aca="false">E23/E9</f>
        <v>0.23</v>
      </c>
      <c r="F24" s="33" t="n">
        <f aca="false">F23/F9</f>
        <v>0.23</v>
      </c>
      <c r="G24" s="33" t="n">
        <f aca="false">G23/G9</f>
        <v>0.23</v>
      </c>
    </row>
    <row r="25" customFormat="false" ht="15" hidden="false" customHeight="false" outlineLevel="0" collapsed="false">
      <c r="A25" s="6"/>
      <c r="B25" s="6"/>
      <c r="C25" s="6"/>
      <c r="D25" s="6"/>
      <c r="E25" s="6"/>
      <c r="F25" s="6"/>
      <c r="G25" s="6"/>
    </row>
    <row r="26" customFormat="false" ht="15" hidden="false" customHeight="false" outlineLevel="0" collapsed="false">
      <c r="A26" s="6"/>
      <c r="B26" s="9" t="s">
        <v>72</v>
      </c>
      <c r="C26" s="10"/>
      <c r="D26" s="10"/>
      <c r="E26" s="10"/>
      <c r="F26" s="10"/>
      <c r="G26" s="10"/>
    </row>
    <row r="27" customFormat="false" ht="15" hidden="false" customHeight="false" outlineLevel="0" collapsed="false">
      <c r="A27" s="6"/>
      <c r="B27" s="30" t="s">
        <v>168</v>
      </c>
      <c r="C27" s="31" t="n">
        <f aca="false">C9*DA_Pct</f>
        <v>18550000</v>
      </c>
      <c r="D27" s="31" t="n">
        <f aca="false">D9*DA_Pct</f>
        <v>19570250</v>
      </c>
      <c r="E27" s="31" t="n">
        <f aca="false">E9*DA_Pct</f>
        <v>20548762.5</v>
      </c>
      <c r="F27" s="31" t="n">
        <f aca="false">F9*DA_Pct</f>
        <v>21473456.8125</v>
      </c>
      <c r="G27" s="31" t="n">
        <f aca="false">G9*DA_Pct</f>
        <v>22332395.085</v>
      </c>
    </row>
    <row r="28" customFormat="false" ht="15" hidden="false" customHeight="false" outlineLevel="0" collapsed="false">
      <c r="A28" s="6"/>
      <c r="B28" s="6"/>
      <c r="C28" s="6"/>
      <c r="D28" s="6"/>
      <c r="E28" s="6"/>
      <c r="F28" s="6"/>
      <c r="G28" s="6"/>
    </row>
    <row r="29" customFormat="false" ht="15" hidden="false" customHeight="false" outlineLevel="0" collapsed="false">
      <c r="A29" s="6"/>
      <c r="B29" s="7" t="s">
        <v>169</v>
      </c>
      <c r="C29" s="32" t="n">
        <f aca="false">C23-C27</f>
        <v>103350000</v>
      </c>
      <c r="D29" s="32" t="n">
        <f aca="false">D23-D27</f>
        <v>109034250</v>
      </c>
      <c r="E29" s="32" t="n">
        <f aca="false">E23-E27</f>
        <v>114485962.5</v>
      </c>
      <c r="F29" s="32" t="n">
        <f aca="false">F23-F27</f>
        <v>119637830.8125</v>
      </c>
      <c r="G29" s="32" t="n">
        <f aca="false">G23-G27</f>
        <v>124423344.045</v>
      </c>
    </row>
    <row r="30" customFormat="false" ht="15" hidden="false" customHeight="false" outlineLevel="0" collapsed="false">
      <c r="A30" s="6"/>
      <c r="B30" s="24" t="s">
        <v>170</v>
      </c>
      <c r="C30" s="33" t="n">
        <f aca="false">C29/C9</f>
        <v>0.195</v>
      </c>
      <c r="D30" s="33" t="n">
        <f aca="false">D29/D9</f>
        <v>0.195</v>
      </c>
      <c r="E30" s="33" t="n">
        <f aca="false">E29/E9</f>
        <v>0.195</v>
      </c>
      <c r="F30" s="33" t="n">
        <f aca="false">F29/F9</f>
        <v>0.195</v>
      </c>
      <c r="G30" s="33" t="n">
        <f aca="false">G29/G9</f>
        <v>0.195</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9" t="s">
        <v>171</v>
      </c>
      <c r="C32" s="10"/>
      <c r="D32" s="10"/>
      <c r="E32" s="10"/>
      <c r="F32" s="10"/>
      <c r="G32" s="10"/>
    </row>
    <row r="33" customFormat="false" ht="15" hidden="false" customHeight="false" outlineLevel="0" collapsed="false">
      <c r="A33" s="6"/>
      <c r="B33" s="34" t="s">
        <v>172</v>
      </c>
      <c r="C33" s="35" t="n">
        <f aca="false">Senior_Debt_Amt</f>
        <v>200000000</v>
      </c>
      <c r="D33" s="35" t="n">
        <f aca="false">C36</f>
        <v>171428571.428571</v>
      </c>
      <c r="E33" s="35" t="n">
        <f aca="false">D36</f>
        <v>142857142.857143</v>
      </c>
      <c r="F33" s="35" t="n">
        <f aca="false">E36</f>
        <v>114285714.285714</v>
      </c>
      <c r="G33" s="35" t="n">
        <f aca="false">F36</f>
        <v>85714285.7142857</v>
      </c>
    </row>
    <row r="34" customFormat="false" ht="15" hidden="false" customHeight="false" outlineLevel="0" collapsed="false">
      <c r="A34" s="6"/>
      <c r="B34" s="30" t="s">
        <v>173</v>
      </c>
      <c r="C34" s="31" t="n">
        <f aca="false">C33*Senior_Rate</f>
        <v>11000000</v>
      </c>
      <c r="D34" s="31" t="n">
        <f aca="false">D33*Senior_Rate</f>
        <v>9428571.42857143</v>
      </c>
      <c r="E34" s="31" t="n">
        <f aca="false">E33*Senior_Rate</f>
        <v>7857142.85714286</v>
      </c>
      <c r="F34" s="31" t="n">
        <f aca="false">F33*Senior_Rate</f>
        <v>6285714.28571429</v>
      </c>
      <c r="G34" s="31" t="n">
        <f aca="false">G33*Senior_Rate</f>
        <v>4714285.71428572</v>
      </c>
    </row>
    <row r="35" customFormat="false" ht="15" hidden="false" customHeight="false" outlineLevel="0" collapsed="false">
      <c r="A35" s="6"/>
      <c r="B35" s="34" t="s">
        <v>174</v>
      </c>
      <c r="C35" s="35" t="n">
        <f aca="false">MIN(Senior_Debt_Amt/Senior_Tenor,C33)</f>
        <v>28571428.5714286</v>
      </c>
      <c r="D35" s="35" t="n">
        <f aca="false">MIN(Senior_Debt_Amt/Senior_Tenor,D33)</f>
        <v>28571428.5714286</v>
      </c>
      <c r="E35" s="35" t="n">
        <f aca="false">MIN(Senior_Debt_Amt/Senior_Tenor,E33)</f>
        <v>28571428.5714286</v>
      </c>
      <c r="F35" s="35" t="n">
        <f aca="false">MIN(Senior_Debt_Amt/Senior_Tenor,F33)</f>
        <v>28571428.5714286</v>
      </c>
      <c r="G35" s="35" t="n">
        <f aca="false">MIN(Senior_Debt_Amt/Senior_Tenor,G33)</f>
        <v>28571428.5714286</v>
      </c>
    </row>
    <row r="36" customFormat="false" ht="15" hidden="false" customHeight="false" outlineLevel="0" collapsed="false">
      <c r="A36" s="6"/>
      <c r="B36" s="34" t="s">
        <v>175</v>
      </c>
      <c r="C36" s="35" t="n">
        <f aca="false">MAX(0,C33-C35)</f>
        <v>171428571.428571</v>
      </c>
      <c r="D36" s="35" t="n">
        <f aca="false">MAX(0,D33-D35)</f>
        <v>142857142.857143</v>
      </c>
      <c r="E36" s="35" t="n">
        <f aca="false">MAX(0,E33-E35)</f>
        <v>114285714.285714</v>
      </c>
      <c r="F36" s="35" t="n">
        <f aca="false">MAX(0,F33-F35)</f>
        <v>85714285.7142857</v>
      </c>
      <c r="G36" s="35" t="n">
        <f aca="false">MAX(0,G33-G35)</f>
        <v>57142857.1428572</v>
      </c>
    </row>
    <row r="37" customFormat="false" ht="15" hidden="false" customHeight="false" outlineLevel="0" collapsed="false">
      <c r="A37" s="6"/>
      <c r="B37" s="6"/>
      <c r="C37" s="6"/>
      <c r="D37" s="6"/>
      <c r="E37" s="6"/>
      <c r="F37" s="6"/>
      <c r="G37" s="6"/>
    </row>
    <row r="38" customFormat="false" ht="15" hidden="false" customHeight="false" outlineLevel="0" collapsed="false">
      <c r="A38" s="6"/>
      <c r="B38" s="34" t="s">
        <v>176</v>
      </c>
      <c r="C38" s="35" t="n">
        <f aca="false">Sub_Debt_Amt</f>
        <v>75000000</v>
      </c>
      <c r="D38" s="35" t="n">
        <f aca="false">C41</f>
        <v>67500000</v>
      </c>
      <c r="E38" s="35" t="n">
        <f aca="false">D41</f>
        <v>60000000</v>
      </c>
      <c r="F38" s="35" t="n">
        <f aca="false">E41</f>
        <v>52500000</v>
      </c>
      <c r="G38" s="35" t="n">
        <f aca="false">F41</f>
        <v>45000000</v>
      </c>
    </row>
    <row r="39" customFormat="false" ht="15" hidden="false" customHeight="false" outlineLevel="0" collapsed="false">
      <c r="A39" s="6"/>
      <c r="B39" s="30" t="s">
        <v>177</v>
      </c>
      <c r="C39" s="31" t="n">
        <f aca="false">C38*Sub_Rate</f>
        <v>5625000</v>
      </c>
      <c r="D39" s="31" t="n">
        <f aca="false">D38*Sub_Rate</f>
        <v>5062500</v>
      </c>
      <c r="E39" s="31" t="n">
        <f aca="false">E38*Sub_Rate</f>
        <v>4500000</v>
      </c>
      <c r="F39" s="31" t="n">
        <f aca="false">F38*Sub_Rate</f>
        <v>3937500</v>
      </c>
      <c r="G39" s="31" t="n">
        <f aca="false">G38*Sub_Rate</f>
        <v>3375000</v>
      </c>
    </row>
    <row r="40" customFormat="false" ht="15" hidden="false" customHeight="false" outlineLevel="0" collapsed="false">
      <c r="A40" s="6"/>
      <c r="B40" s="34" t="s">
        <v>178</v>
      </c>
      <c r="C40" s="35" t="n">
        <f aca="false">MIN(Sub_Debt_Amt/Sub_Tenor,C38)</f>
        <v>7500000</v>
      </c>
      <c r="D40" s="35" t="n">
        <f aca="false">MIN(Sub_Debt_Amt/Sub_Tenor,D38)</f>
        <v>7500000</v>
      </c>
      <c r="E40" s="35" t="n">
        <f aca="false">MIN(Sub_Debt_Amt/Sub_Tenor,E38)</f>
        <v>7500000</v>
      </c>
      <c r="F40" s="35" t="n">
        <f aca="false">MIN(Sub_Debt_Amt/Sub_Tenor,F38)</f>
        <v>7500000</v>
      </c>
      <c r="G40" s="35" t="n">
        <f aca="false">MIN(Sub_Debt_Amt/Sub_Tenor,G38)</f>
        <v>7500000</v>
      </c>
    </row>
    <row r="41" customFormat="false" ht="15" hidden="false" customHeight="false" outlineLevel="0" collapsed="false">
      <c r="A41" s="6"/>
      <c r="B41" s="34" t="s">
        <v>179</v>
      </c>
      <c r="C41" s="35" t="n">
        <f aca="false">MAX(0,C38-C40)</f>
        <v>67500000</v>
      </c>
      <c r="D41" s="35" t="n">
        <f aca="false">MAX(0,D38-D40)</f>
        <v>60000000</v>
      </c>
      <c r="E41" s="35" t="n">
        <f aca="false">MAX(0,E38-E40)</f>
        <v>52500000</v>
      </c>
      <c r="F41" s="35" t="n">
        <f aca="false">MAX(0,F38-F40)</f>
        <v>45000000</v>
      </c>
      <c r="G41" s="35" t="n">
        <f aca="false">MAX(0,G38-G40)</f>
        <v>37500000</v>
      </c>
    </row>
    <row r="42" customFormat="false" ht="15" hidden="false" customHeight="false" outlineLevel="0" collapsed="false">
      <c r="A42" s="6"/>
      <c r="B42" s="6"/>
      <c r="C42" s="6"/>
      <c r="D42" s="6"/>
      <c r="E42" s="6"/>
      <c r="F42" s="6"/>
      <c r="G42" s="6"/>
    </row>
    <row r="43" customFormat="false" ht="15" hidden="false" customHeight="false" outlineLevel="0" collapsed="false">
      <c r="A43" s="6"/>
      <c r="B43" s="30" t="s">
        <v>180</v>
      </c>
      <c r="C43" s="31" t="n">
        <f aca="false">(Revolver_Limit-Revolver_Drawn)*Commit_Fee_Rate</f>
        <v>250000</v>
      </c>
      <c r="D43" s="31" t="n">
        <f aca="false">(Revolver_Limit-Revolver_Drawn)*Commit_Fee_Rate</f>
        <v>250000</v>
      </c>
      <c r="E43" s="31" t="n">
        <f aca="false">(Revolver_Limit-Revolver_Drawn)*Commit_Fee_Rate</f>
        <v>250000</v>
      </c>
      <c r="F43" s="31" t="n">
        <f aca="false">(Revolver_Limit-Revolver_Drawn)*Commit_Fee_Rate</f>
        <v>250000</v>
      </c>
      <c r="G43" s="31" t="n">
        <f aca="false">(Revolver_Limit-Revolver_Drawn)*Commit_Fee_Rate</f>
        <v>250000</v>
      </c>
    </row>
    <row r="44" customFormat="false" ht="15" hidden="false" customHeight="false" outlineLevel="0" collapsed="false">
      <c r="A44" s="6"/>
      <c r="B44" s="30" t="s">
        <v>181</v>
      </c>
      <c r="C44" s="31" t="n">
        <f aca="false">Open_Cash*Int_Income_Rate</f>
        <v>2625000</v>
      </c>
      <c r="D44" s="31" t="n">
        <f aca="false">Cash_Flow!C33*Int_Income_Rate</f>
        <v>2580287.84246575</v>
      </c>
      <c r="E44" s="31" t="n">
        <f aca="false">Cash_Flow!D33*Int_Income_Rate</f>
        <v>2667109.32891695</v>
      </c>
      <c r="F44" s="31" t="n">
        <f aca="false">Cash_Flow!E33*Int_Income_Rate</f>
        <v>2885846.32000618</v>
      </c>
      <c r="G44" s="31" t="n">
        <f aca="false">Cash_Flow!F33*Int_Income_Rate</f>
        <v>3235844.67225605</v>
      </c>
    </row>
    <row r="45" customFormat="false" ht="15" hidden="false" customHeight="false" outlineLevel="0" collapsed="false">
      <c r="A45" s="6"/>
      <c r="B45" s="7" t="s">
        <v>182</v>
      </c>
      <c r="C45" s="29" t="n">
        <f aca="false">C34+C39+C43-C44</f>
        <v>14250000</v>
      </c>
      <c r="D45" s="29" t="n">
        <f aca="false">D34+D39+D43-D44</f>
        <v>12160783.5861057</v>
      </c>
      <c r="E45" s="29" t="n">
        <f aca="false">E34+E39+E43-E44</f>
        <v>9940033.52822591</v>
      </c>
      <c r="F45" s="29" t="n">
        <f aca="false">F34+F39+F43-F44</f>
        <v>7587367.96570811</v>
      </c>
      <c r="G45" s="29" t="n">
        <f aca="false">G34+G39+G43-G44</f>
        <v>5103441.04202967</v>
      </c>
    </row>
    <row r="46" customFormat="false" ht="15" hidden="false" customHeight="false" outlineLevel="0" collapsed="false">
      <c r="A46" s="6"/>
      <c r="B46" s="6"/>
      <c r="C46" s="6"/>
      <c r="D46" s="6"/>
      <c r="E46" s="6"/>
      <c r="F46" s="6"/>
      <c r="G46" s="6"/>
    </row>
    <row r="47" customFormat="false" ht="15" hidden="false" customHeight="false" outlineLevel="0" collapsed="false">
      <c r="A47" s="6"/>
      <c r="B47" s="7" t="s">
        <v>183</v>
      </c>
      <c r="C47" s="32" t="n">
        <f aca="false">C29-C45</f>
        <v>89100000</v>
      </c>
      <c r="D47" s="32" t="n">
        <f aca="false">D29-D45</f>
        <v>96873466.4138943</v>
      </c>
      <c r="E47" s="32" t="n">
        <f aca="false">E29-E45</f>
        <v>104545928.971774</v>
      </c>
      <c r="F47" s="32" t="n">
        <f aca="false">F29-F45</f>
        <v>112050462.846792</v>
      </c>
      <c r="G47" s="32" t="n">
        <f aca="false">G29-G45</f>
        <v>119319903.00297</v>
      </c>
    </row>
    <row r="48" customFormat="false" ht="15" hidden="false" customHeight="false" outlineLevel="0" collapsed="false">
      <c r="A48" s="6"/>
      <c r="B48" s="6"/>
      <c r="C48" s="6"/>
      <c r="D48" s="6"/>
      <c r="E48" s="6"/>
      <c r="F48" s="6"/>
      <c r="G48" s="6"/>
    </row>
    <row r="49" customFormat="false" ht="15" hidden="false" customHeight="false" outlineLevel="0" collapsed="false">
      <c r="A49" s="6"/>
      <c r="B49" s="30" t="s">
        <v>184</v>
      </c>
      <c r="C49" s="31" t="n">
        <f aca="false">MAX(0,C47*Tax_Rate)</f>
        <v>22275000</v>
      </c>
      <c r="D49" s="31" t="n">
        <f aca="false">MAX(0,D47*Tax_Rate)</f>
        <v>24218366.6034736</v>
      </c>
      <c r="E49" s="31" t="n">
        <f aca="false">MAX(0,E47*Tax_Rate)</f>
        <v>26136482.2429435</v>
      </c>
      <c r="F49" s="31" t="n">
        <f aca="false">MAX(0,F47*Tax_Rate)</f>
        <v>28012615.711698</v>
      </c>
      <c r="G49" s="31" t="n">
        <f aca="false">MAX(0,G47*Tax_Rate)</f>
        <v>29829975.7507426</v>
      </c>
    </row>
    <row r="50" customFormat="false" ht="15" hidden="false" customHeight="false" outlineLevel="0" collapsed="false">
      <c r="A50" s="6"/>
      <c r="B50" s="6"/>
      <c r="C50" s="6"/>
      <c r="D50" s="6"/>
      <c r="E50" s="6"/>
      <c r="F50" s="6"/>
      <c r="G50" s="6"/>
    </row>
    <row r="51" customFormat="false" ht="15" hidden="false" customHeight="false" outlineLevel="0" collapsed="false">
      <c r="A51" s="6"/>
      <c r="B51" s="7" t="s">
        <v>185</v>
      </c>
      <c r="C51" s="32" t="n">
        <f aca="false">C47-C49</f>
        <v>66825000</v>
      </c>
      <c r="D51" s="32" t="n">
        <f aca="false">D47-D49</f>
        <v>72655099.8104208</v>
      </c>
      <c r="E51" s="32" t="n">
        <f aca="false">E47-E49</f>
        <v>78409446.7288306</v>
      </c>
      <c r="F51" s="32" t="n">
        <f aca="false">F47-F49</f>
        <v>84037847.1350939</v>
      </c>
      <c r="G51" s="32" t="n">
        <f aca="false">G47-G49</f>
        <v>89489927.2522277</v>
      </c>
    </row>
    <row r="52" customFormat="false" ht="15" hidden="false" customHeight="false" outlineLevel="0" collapsed="false">
      <c r="A52" s="6"/>
      <c r="B52" s="24" t="s">
        <v>186</v>
      </c>
      <c r="C52" s="33" t="n">
        <f aca="false">C51/C9</f>
        <v>0.126084905660377</v>
      </c>
      <c r="D52" s="33" t="n">
        <f aca="false">D51/D9</f>
        <v>0.129938477707987</v>
      </c>
      <c r="E52" s="33" t="n">
        <f aca="false">E51/E9</f>
        <v>0.133552112226178</v>
      </c>
      <c r="F52" s="33" t="n">
        <f aca="false">F51/F9</f>
        <v>0.136974902336921</v>
      </c>
      <c r="G52" s="33" t="n">
        <f aca="false">G51/G9</f>
        <v>0.140251300494488</v>
      </c>
    </row>
    <row r="53" customFormat="false" ht="15" hidden="false" customHeight="false" outlineLevel="0" collapsed="false">
      <c r="A53" s="6"/>
      <c r="B53" s="6"/>
      <c r="C53" s="6"/>
      <c r="D53" s="6"/>
      <c r="E53" s="6"/>
      <c r="F53" s="6"/>
      <c r="G53" s="6"/>
    </row>
    <row r="54" customFormat="false" ht="15" hidden="false" customHeight="false" outlineLevel="0" collapsed="false">
      <c r="A54" s="6"/>
      <c r="B54" s="24" t="s">
        <v>187</v>
      </c>
      <c r="C54" s="35" t="n">
        <f aca="false">MAX(0,C51*Dividend_Payout)</f>
        <v>20047500</v>
      </c>
      <c r="D54" s="35" t="n">
        <f aca="false">MAX(0,D51*Dividend_Payout)</f>
        <v>21796529.9431262</v>
      </c>
      <c r="E54" s="35" t="n">
        <f aca="false">MAX(0,E51*Dividend_Payout)</f>
        <v>23522834.0186492</v>
      </c>
      <c r="F54" s="35" t="n">
        <f aca="false">MAX(0,F51*Dividend_Payout)</f>
        <v>25211354.1405282</v>
      </c>
      <c r="G54" s="35" t="n">
        <f aca="false">MAX(0,G51*Dividend_Payout)</f>
        <v>26846978.1756683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4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188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189</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190</v>
      </c>
      <c r="C8" s="10"/>
      <c r="D8" s="10"/>
      <c r="E8" s="10"/>
      <c r="F8" s="10"/>
      <c r="G8" s="10"/>
    </row>
    <row r="9" customFormat="false" ht="15" hidden="false" customHeight="false" outlineLevel="0" collapsed="false">
      <c r="A9" s="6"/>
      <c r="B9" s="36" t="s">
        <v>191</v>
      </c>
      <c r="C9" s="6"/>
      <c r="D9" s="6"/>
      <c r="E9" s="6"/>
      <c r="F9" s="6"/>
      <c r="G9" s="6"/>
    </row>
    <row r="10" customFormat="false" ht="15" hidden="false" customHeight="false" outlineLevel="0" collapsed="false">
      <c r="A10" s="6"/>
      <c r="B10" s="30" t="s">
        <v>192</v>
      </c>
      <c r="C10" s="31" t="n">
        <f aca="false">Cash_Flow!C33</f>
        <v>73722509.7847358</v>
      </c>
      <c r="D10" s="31" t="n">
        <f aca="false">Cash_Flow!D33</f>
        <v>76203123.6833415</v>
      </c>
      <c r="E10" s="31" t="n">
        <f aca="false">Cash_Flow!E33</f>
        <v>82452752.0001765</v>
      </c>
      <c r="F10" s="31" t="n">
        <f aca="false">Cash_Flow!F33</f>
        <v>92452704.9216014</v>
      </c>
      <c r="G10" s="31" t="n">
        <f aca="false">Cash_Flow!G33</f>
        <v>106153598.513753</v>
      </c>
    </row>
    <row r="11" customFormat="false" ht="15" hidden="false" customHeight="false" outlineLevel="0" collapsed="false">
      <c r="A11" s="6"/>
      <c r="B11" s="30" t="s">
        <v>193</v>
      </c>
      <c r="C11" s="31" t="n">
        <f aca="false">Income_Statement!C9*DSO/365</f>
        <v>72602739.7260274</v>
      </c>
      <c r="D11" s="31" t="n">
        <f aca="false">Income_Statement!D9*DSO/365</f>
        <v>76595890.4109589</v>
      </c>
      <c r="E11" s="31" t="n">
        <f aca="false">Income_Statement!E9*DSO/365</f>
        <v>80425684.9315068</v>
      </c>
      <c r="F11" s="31" t="n">
        <f aca="false">Income_Statement!F9*DSO/365</f>
        <v>84044840.7534247</v>
      </c>
      <c r="G11" s="31" t="n">
        <f aca="false">Income_Statement!G9*DSO/365</f>
        <v>87406634.3835616</v>
      </c>
    </row>
    <row r="12" customFormat="false" ht="15" hidden="false" customHeight="false" outlineLevel="0" collapsed="false">
      <c r="A12" s="6"/>
      <c r="B12" s="30" t="s">
        <v>194</v>
      </c>
      <c r="C12" s="31" t="n">
        <f aca="false">Income_Statement!C12*DIO/365</f>
        <v>31945205.4794521</v>
      </c>
      <c r="D12" s="31" t="n">
        <f aca="false">Income_Statement!D12*DIO/365</f>
        <v>33702191.7808219</v>
      </c>
      <c r="E12" s="31" t="n">
        <f aca="false">Income_Statement!E12*DIO/365</f>
        <v>35387301.369863</v>
      </c>
      <c r="F12" s="31" t="n">
        <f aca="false">Income_Statement!F12*DIO/365</f>
        <v>36979729.9315069</v>
      </c>
      <c r="G12" s="31" t="n">
        <f aca="false">Income_Statement!G12*DIO/365</f>
        <v>38458919.1287671</v>
      </c>
    </row>
    <row r="13" customFormat="false" ht="15" hidden="false" customHeight="false" outlineLevel="0" collapsed="false">
      <c r="A13" s="6"/>
      <c r="B13" s="30" t="s">
        <v>195</v>
      </c>
      <c r="C13" s="31" t="n">
        <f aca="false">Income_Statement!C9*Other_CA_Pct</f>
        <v>10600000</v>
      </c>
      <c r="D13" s="31" t="n">
        <f aca="false">Income_Statement!D9*Other_CA_Pct</f>
        <v>11183000</v>
      </c>
      <c r="E13" s="31" t="n">
        <f aca="false">Income_Statement!E9*Other_CA_Pct</f>
        <v>11742150</v>
      </c>
      <c r="F13" s="31" t="n">
        <f aca="false">Income_Statement!F9*Other_CA_Pct</f>
        <v>12270546.75</v>
      </c>
      <c r="G13" s="31" t="n">
        <f aca="false">Income_Statement!G9*Other_CA_Pct</f>
        <v>12761368.62</v>
      </c>
    </row>
    <row r="14" customFormat="false" ht="15" hidden="false" customHeight="false" outlineLevel="0" collapsed="false">
      <c r="A14" s="6"/>
      <c r="B14" s="7" t="s">
        <v>196</v>
      </c>
      <c r="C14" s="29" t="n">
        <f aca="false">SUM(C10:C13)</f>
        <v>188870454.990215</v>
      </c>
      <c r="D14" s="29" t="n">
        <f aca="false">SUM(D10:D13)</f>
        <v>197684205.875122</v>
      </c>
      <c r="E14" s="29" t="n">
        <f aca="false">SUM(E10:E13)</f>
        <v>210007888.301546</v>
      </c>
      <c r="F14" s="29" t="n">
        <f aca="false">SUM(F10:F13)</f>
        <v>225747822.356533</v>
      </c>
      <c r="G14" s="29" t="n">
        <f aca="false">SUM(G10:G13)</f>
        <v>244780520.646082</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36" t="s">
        <v>197</v>
      </c>
      <c r="C16" s="6"/>
      <c r="D16" s="6"/>
      <c r="E16" s="6"/>
      <c r="F16" s="6"/>
      <c r="G16" s="6"/>
    </row>
    <row r="17" customFormat="false" ht="15" hidden="false" customHeight="false" outlineLevel="0" collapsed="false">
      <c r="A17" s="6"/>
      <c r="B17" s="30" t="s">
        <v>198</v>
      </c>
      <c r="C17" s="31" t="n">
        <f aca="false">Opening_PPE_Gross+Income_Statement!C9*CapEx_Pct</f>
        <v>276500000</v>
      </c>
      <c r="D17" s="31" t="n">
        <f aca="false">C17+Income_Statement!D9*CapEx_Pct</f>
        <v>304457500</v>
      </c>
      <c r="E17" s="31" t="n">
        <f aca="false">D17+Income_Statement!E9*CapEx_Pct</f>
        <v>333812875</v>
      </c>
      <c r="F17" s="31" t="n">
        <f aca="false">E17+Income_Statement!F9*CapEx_Pct</f>
        <v>364489241.875</v>
      </c>
      <c r="G17" s="31" t="n">
        <f aca="false">F17+Income_Statement!G9*CapEx_Pct</f>
        <v>396392663.425</v>
      </c>
    </row>
    <row r="18" customFormat="false" ht="15" hidden="false" customHeight="false" outlineLevel="0" collapsed="false">
      <c r="A18" s="6"/>
      <c r="B18" s="30" t="s">
        <v>114</v>
      </c>
      <c r="C18" s="31" t="n">
        <f aca="false">Accum_Depr_Open+Income_Statement!C27</f>
        <v>118550000</v>
      </c>
      <c r="D18" s="31" t="n">
        <f aca="false">C18+Income_Statement!D27</f>
        <v>138120250</v>
      </c>
      <c r="E18" s="31" t="n">
        <f aca="false">D18+Income_Statement!E27</f>
        <v>158669012.5</v>
      </c>
      <c r="F18" s="31" t="n">
        <f aca="false">E18+Income_Statement!F27</f>
        <v>180142469.3125</v>
      </c>
      <c r="G18" s="31" t="n">
        <f aca="false">F18+Income_Statement!G27</f>
        <v>202474864.3975</v>
      </c>
    </row>
    <row r="19" customFormat="false" ht="15" hidden="false" customHeight="false" outlineLevel="0" collapsed="false">
      <c r="A19" s="6"/>
      <c r="B19" s="30" t="s">
        <v>199</v>
      </c>
      <c r="C19" s="31" t="n">
        <f aca="false">C17-C18</f>
        <v>157950000</v>
      </c>
      <c r="D19" s="31" t="n">
        <f aca="false">D17-D18</f>
        <v>166337250</v>
      </c>
      <c r="E19" s="31" t="n">
        <f aca="false">E17-E18</f>
        <v>175143862.5</v>
      </c>
      <c r="F19" s="31" t="n">
        <f aca="false">F17-F18</f>
        <v>184346772.5625</v>
      </c>
      <c r="G19" s="31" t="n">
        <f aca="false">G17-G18</f>
        <v>193917799.0275</v>
      </c>
    </row>
    <row r="20" customFormat="false" ht="15" hidden="false" customHeight="false" outlineLevel="0" collapsed="false">
      <c r="A20" s="6"/>
      <c r="B20" s="7" t="s">
        <v>200</v>
      </c>
      <c r="C20" s="29" t="n">
        <f aca="false">C19</f>
        <v>157950000</v>
      </c>
      <c r="D20" s="29" t="n">
        <f aca="false">D19</f>
        <v>166337250</v>
      </c>
      <c r="E20" s="29" t="n">
        <f aca="false">E19</f>
        <v>175143862.5</v>
      </c>
      <c r="F20" s="29" t="n">
        <f aca="false">F19</f>
        <v>184346772.5625</v>
      </c>
      <c r="G20" s="29" t="n">
        <f aca="false">G19</f>
        <v>193917799.0275</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7" t="s">
        <v>201</v>
      </c>
      <c r="C22" s="32" t="n">
        <f aca="false">C14+C20</f>
        <v>346820454.990215</v>
      </c>
      <c r="D22" s="32" t="n">
        <f aca="false">D14+D20</f>
        <v>364021455.875122</v>
      </c>
      <c r="E22" s="32" t="n">
        <f aca="false">E14+E20</f>
        <v>385151750.801546</v>
      </c>
      <c r="F22" s="32" t="n">
        <f aca="false">F14+F20</f>
        <v>410094594.919033</v>
      </c>
      <c r="G22" s="32" t="n">
        <f aca="false">G14+G20</f>
        <v>438698319.673582</v>
      </c>
    </row>
    <row r="23" customFormat="false" ht="15" hidden="false" customHeight="false" outlineLevel="0" collapsed="false">
      <c r="A23" s="6"/>
      <c r="B23" s="6"/>
      <c r="C23" s="6"/>
      <c r="D23" s="6"/>
      <c r="E23" s="6"/>
      <c r="F23" s="6"/>
      <c r="G23" s="6"/>
    </row>
    <row r="24" customFormat="false" ht="15" hidden="false" customHeight="false" outlineLevel="0" collapsed="false">
      <c r="A24" s="6"/>
      <c r="B24" s="9" t="s">
        <v>202</v>
      </c>
      <c r="C24" s="10"/>
      <c r="D24" s="10"/>
      <c r="E24" s="10"/>
      <c r="F24" s="10"/>
      <c r="G24" s="10"/>
    </row>
    <row r="25" customFormat="false" ht="15" hidden="false" customHeight="false" outlineLevel="0" collapsed="false">
      <c r="A25" s="6"/>
      <c r="B25" s="36" t="s">
        <v>203</v>
      </c>
      <c r="C25" s="6"/>
      <c r="D25" s="6"/>
      <c r="E25" s="6"/>
      <c r="F25" s="6"/>
      <c r="G25" s="6"/>
    </row>
    <row r="26" customFormat="false" ht="15" hidden="false" customHeight="false" outlineLevel="0" collapsed="false">
      <c r="A26" s="6"/>
      <c r="B26" s="30" t="s">
        <v>204</v>
      </c>
      <c r="C26" s="31" t="n">
        <f aca="false">Income_Statement!C12*DPO/365</f>
        <v>35938356.1643836</v>
      </c>
      <c r="D26" s="31" t="n">
        <f aca="false">Income_Statement!D12*DPO/365</f>
        <v>37914965.7534247</v>
      </c>
      <c r="E26" s="31" t="n">
        <f aca="false">Income_Statement!E12*DPO/365</f>
        <v>39810714.0410959</v>
      </c>
      <c r="F26" s="31" t="n">
        <f aca="false">Income_Statement!F12*DPO/365</f>
        <v>41602196.1729452</v>
      </c>
      <c r="G26" s="31" t="n">
        <f aca="false">Income_Statement!G12*DPO/365</f>
        <v>43266284.019863</v>
      </c>
    </row>
    <row r="27" customFormat="false" ht="15" hidden="false" customHeight="false" outlineLevel="0" collapsed="false">
      <c r="A27" s="6"/>
      <c r="B27" s="30" t="s">
        <v>205</v>
      </c>
      <c r="C27" s="31" t="n">
        <f aca="false">Income_Statement!C9*Other_CL_Pct</f>
        <v>7950000</v>
      </c>
      <c r="D27" s="31" t="n">
        <f aca="false">Income_Statement!D9*Other_CL_Pct</f>
        <v>8387250</v>
      </c>
      <c r="E27" s="31" t="n">
        <f aca="false">Income_Statement!E9*Other_CL_Pct</f>
        <v>8806612.5</v>
      </c>
      <c r="F27" s="31" t="n">
        <f aca="false">Income_Statement!F9*Other_CL_Pct</f>
        <v>9202910.0625</v>
      </c>
      <c r="G27" s="31" t="n">
        <f aca="false">Income_Statement!G9*Other_CL_Pct</f>
        <v>9571026.465</v>
      </c>
    </row>
    <row r="28" customFormat="false" ht="15" hidden="false" customHeight="false" outlineLevel="0" collapsed="false">
      <c r="A28" s="6"/>
      <c r="B28" s="30" t="s">
        <v>206</v>
      </c>
      <c r="C28" s="31" t="n">
        <f aca="false">IF(Income_Statement!C36&gt;0,MIN(Senior_Debt_Amt/Senior_Tenor,Income_Statement!C36),0)</f>
        <v>28571428.5714286</v>
      </c>
      <c r="D28" s="31" t="n">
        <f aca="false">IF(Income_Statement!D36&gt;0,MIN(Senior_Debt_Amt/Senior_Tenor,Income_Statement!D36),0)</f>
        <v>28571428.5714286</v>
      </c>
      <c r="E28" s="31" t="n">
        <f aca="false">IF(Income_Statement!E36&gt;0,MIN(Senior_Debt_Amt/Senior_Tenor,Income_Statement!E36),0)</f>
        <v>28571428.5714286</v>
      </c>
      <c r="F28" s="31" t="n">
        <f aca="false">IF(Income_Statement!F36&gt;0,MIN(Senior_Debt_Amt/Senior_Tenor,Income_Statement!F36),0)</f>
        <v>28571428.5714286</v>
      </c>
      <c r="G28" s="31" t="n">
        <f aca="false">IF(Income_Statement!G36&gt;0,MIN(Senior_Debt_Amt/Senior_Tenor,Income_Statement!G36),0)</f>
        <v>28571428.5714286</v>
      </c>
    </row>
    <row r="29" customFormat="false" ht="15" hidden="false" customHeight="false" outlineLevel="0" collapsed="false">
      <c r="A29" s="6"/>
      <c r="B29" s="30" t="s">
        <v>207</v>
      </c>
      <c r="C29" s="31" t="n">
        <f aca="false">IF(Income_Statement!C41&gt;0,MIN(Sub_Debt_Amt/Sub_Tenor,Income_Statement!C41),0)</f>
        <v>7500000</v>
      </c>
      <c r="D29" s="31" t="n">
        <f aca="false">IF(Income_Statement!D41&gt;0,MIN(Sub_Debt_Amt/Sub_Tenor,Income_Statement!D41),0)</f>
        <v>7500000</v>
      </c>
      <c r="E29" s="31" t="n">
        <f aca="false">IF(Income_Statement!E41&gt;0,MIN(Sub_Debt_Amt/Sub_Tenor,Income_Statement!E41),0)</f>
        <v>7500000</v>
      </c>
      <c r="F29" s="31" t="n">
        <f aca="false">IF(Income_Statement!F41&gt;0,MIN(Sub_Debt_Amt/Sub_Tenor,Income_Statement!F41),0)</f>
        <v>7500000</v>
      </c>
      <c r="G29" s="31" t="n">
        <f aca="false">IF(Income_Statement!G41&gt;0,MIN(Sub_Debt_Amt/Sub_Tenor,Income_Statement!G41),0)</f>
        <v>7500000</v>
      </c>
    </row>
    <row r="30" customFormat="false" ht="15" hidden="false" customHeight="false" outlineLevel="0" collapsed="false">
      <c r="A30" s="6"/>
      <c r="B30" s="7" t="s">
        <v>208</v>
      </c>
      <c r="C30" s="29" t="n">
        <f aca="false">SUM(C26:C29)</f>
        <v>79959784.7358121</v>
      </c>
      <c r="D30" s="29" t="n">
        <f aca="false">SUM(D26:D29)</f>
        <v>82373644.3248532</v>
      </c>
      <c r="E30" s="29" t="n">
        <f aca="false">SUM(E26:E29)</f>
        <v>84688755.1125245</v>
      </c>
      <c r="F30" s="29" t="n">
        <f aca="false">SUM(F26:F29)</f>
        <v>86876534.8068738</v>
      </c>
      <c r="G30" s="29" t="n">
        <f aca="false">SUM(G26:G29)</f>
        <v>88908739.0562916</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36" t="s">
        <v>209</v>
      </c>
      <c r="C32" s="6"/>
      <c r="D32" s="6"/>
      <c r="E32" s="6"/>
      <c r="F32" s="6"/>
      <c r="G32" s="6"/>
    </row>
    <row r="33" customFormat="false" ht="15" hidden="false" customHeight="false" outlineLevel="0" collapsed="false">
      <c r="A33" s="6"/>
      <c r="B33" s="30" t="s">
        <v>210</v>
      </c>
      <c r="C33" s="31" t="n">
        <f aca="false">MAX(0,Income_Statement!C36-C28)</f>
        <v>142857142.857143</v>
      </c>
      <c r="D33" s="31" t="n">
        <f aca="false">MAX(0,Income_Statement!D36-D28)</f>
        <v>114285714.285714</v>
      </c>
      <c r="E33" s="31" t="n">
        <f aca="false">MAX(0,Income_Statement!E36-E28)</f>
        <v>85714285.7142857</v>
      </c>
      <c r="F33" s="31" t="n">
        <f aca="false">MAX(0,Income_Statement!F36-F28)</f>
        <v>57142857.1428572</v>
      </c>
      <c r="G33" s="31" t="n">
        <f aca="false">MAX(0,Income_Statement!G36-G28)</f>
        <v>28571428.5714286</v>
      </c>
    </row>
    <row r="34" customFormat="false" ht="15" hidden="false" customHeight="false" outlineLevel="0" collapsed="false">
      <c r="A34" s="6"/>
      <c r="B34" s="30" t="s">
        <v>211</v>
      </c>
      <c r="C34" s="31" t="n">
        <f aca="false">MAX(0,Income_Statement!C41-C29)</f>
        <v>60000000</v>
      </c>
      <c r="D34" s="31" t="n">
        <f aca="false">MAX(0,Income_Statement!D41-D29)</f>
        <v>52500000</v>
      </c>
      <c r="E34" s="31" t="n">
        <f aca="false">MAX(0,Income_Statement!E41-E29)</f>
        <v>45000000</v>
      </c>
      <c r="F34" s="31" t="n">
        <f aca="false">MAX(0,Income_Statement!F41-F29)</f>
        <v>37500000</v>
      </c>
      <c r="G34" s="31" t="n">
        <f aca="false">MAX(0,Income_Statement!G41-G29)</f>
        <v>30000000</v>
      </c>
    </row>
    <row r="35" customFormat="false" ht="15" hidden="false" customHeight="false" outlineLevel="0" collapsed="false">
      <c r="A35" s="6"/>
      <c r="B35" s="7" t="s">
        <v>212</v>
      </c>
      <c r="C35" s="29" t="n">
        <f aca="false">C33+C34</f>
        <v>202857142.857143</v>
      </c>
      <c r="D35" s="29" t="n">
        <f aca="false">D33+D34</f>
        <v>166785714.285714</v>
      </c>
      <c r="E35" s="29" t="n">
        <f aca="false">E33+E34</f>
        <v>130714285.714286</v>
      </c>
      <c r="F35" s="29" t="n">
        <f aca="false">F33+F34</f>
        <v>94642857.1428572</v>
      </c>
      <c r="G35" s="29" t="n">
        <f aca="false">G33+G34</f>
        <v>58571428.5714286</v>
      </c>
    </row>
    <row r="36" customFormat="false" ht="15" hidden="false" customHeight="false" outlineLevel="0" collapsed="false">
      <c r="A36" s="6"/>
      <c r="B36" s="6"/>
      <c r="C36" s="6"/>
      <c r="D36" s="6"/>
      <c r="E36" s="6"/>
      <c r="F36" s="6"/>
      <c r="G36" s="6"/>
    </row>
    <row r="37" customFormat="false" ht="15" hidden="false" customHeight="false" outlineLevel="0" collapsed="false">
      <c r="A37" s="6"/>
      <c r="B37" s="7" t="s">
        <v>213</v>
      </c>
      <c r="C37" s="32" t="n">
        <f aca="false">C30+C35</f>
        <v>282816927.592955</v>
      </c>
      <c r="D37" s="32" t="n">
        <f aca="false">D30+D35</f>
        <v>249159358.610568</v>
      </c>
      <c r="E37" s="32" t="n">
        <f aca="false">E30+E35</f>
        <v>215403040.82681</v>
      </c>
      <c r="F37" s="32" t="n">
        <f aca="false">F30+F35</f>
        <v>181519391.949731</v>
      </c>
      <c r="G37" s="32" t="n">
        <f aca="false">G30+G35</f>
        <v>147480167.62772</v>
      </c>
    </row>
    <row r="38" customFormat="false" ht="15" hidden="false" customHeight="false" outlineLevel="0" collapsed="false">
      <c r="A38" s="6"/>
      <c r="B38" s="9" t="s">
        <v>214</v>
      </c>
      <c r="C38" s="10"/>
      <c r="D38" s="10"/>
      <c r="E38" s="10"/>
      <c r="F38" s="10"/>
      <c r="G38" s="10"/>
    </row>
    <row r="39" customFormat="false" ht="15" hidden="false" customHeight="false" outlineLevel="0" collapsed="false">
      <c r="A39" s="6"/>
      <c r="B39" s="36" t="s">
        <v>215</v>
      </c>
      <c r="C39" s="6"/>
      <c r="D39" s="6"/>
      <c r="E39" s="6"/>
      <c r="F39" s="6"/>
      <c r="G39" s="6"/>
    </row>
    <row r="40" customFormat="false" ht="15" hidden="false" customHeight="false" outlineLevel="0" collapsed="false">
      <c r="A40" s="6"/>
      <c r="B40" s="30" t="s">
        <v>119</v>
      </c>
      <c r="C40" s="31" t="n">
        <f aca="false">Share_Capital</f>
        <v>100000000</v>
      </c>
      <c r="D40" s="31" t="n">
        <f aca="false">Share_Capital</f>
        <v>100000000</v>
      </c>
      <c r="E40" s="31" t="n">
        <f aca="false">Share_Capital</f>
        <v>100000000</v>
      </c>
      <c r="F40" s="31" t="n">
        <f aca="false">Share_Capital</f>
        <v>100000000</v>
      </c>
      <c r="G40" s="31" t="n">
        <f aca="false">Share_Capital</f>
        <v>100000000</v>
      </c>
    </row>
    <row r="41" customFormat="false" ht="15" hidden="false" customHeight="false" outlineLevel="0" collapsed="false">
      <c r="A41" s="6"/>
      <c r="B41" s="30" t="s">
        <v>216</v>
      </c>
      <c r="C41" s="31" t="n">
        <f aca="false">Open_Ret_Earnings+Income_Statement!C51-Income_Statement!C54</f>
        <v>-35996473</v>
      </c>
      <c r="D41" s="31" t="n">
        <f aca="false">C41+Income_Statement!D51-Income_Statement!D54</f>
        <v>14862096.8672945</v>
      </c>
      <c r="E41" s="31" t="n">
        <f aca="false">D41+Income_Statement!E51-Income_Statement!E54</f>
        <v>69748709.5774759</v>
      </c>
      <c r="F41" s="31" t="n">
        <f aca="false">E41+Income_Statement!F51-Income_Statement!F54</f>
        <v>128575202.572042</v>
      </c>
      <c r="G41" s="31" t="n">
        <f aca="false">F41+Income_Statement!G51-Income_Statement!G54</f>
        <v>191218151.648601</v>
      </c>
    </row>
    <row r="42" customFormat="false" ht="15" hidden="false" customHeight="false" outlineLevel="0" collapsed="false">
      <c r="A42" s="6"/>
      <c r="B42" s="7" t="s">
        <v>217</v>
      </c>
      <c r="C42" s="29" t="n">
        <f aca="false">C40+C41</f>
        <v>64003527</v>
      </c>
      <c r="D42" s="29" t="n">
        <f aca="false">D40+D41</f>
        <v>114862096.867295</v>
      </c>
      <c r="E42" s="29" t="n">
        <f aca="false">E40+E41</f>
        <v>169748709.577476</v>
      </c>
      <c r="F42" s="29" t="n">
        <f aca="false">F40+F41</f>
        <v>228575202.572042</v>
      </c>
      <c r="G42" s="29" t="n">
        <f aca="false">G40+G41</f>
        <v>291218151.648601</v>
      </c>
    </row>
    <row r="43" customFormat="false" ht="15" hidden="false" customHeight="false" outlineLevel="0" collapsed="false">
      <c r="A43" s="6"/>
      <c r="B43" s="6"/>
      <c r="C43" s="6"/>
      <c r="D43" s="6"/>
      <c r="E43" s="6"/>
      <c r="F43" s="6"/>
      <c r="G43" s="6"/>
    </row>
    <row r="44" customFormat="false" ht="15" hidden="false" customHeight="false" outlineLevel="0" collapsed="false">
      <c r="A44" s="6"/>
      <c r="B44" s="7" t="s">
        <v>218</v>
      </c>
      <c r="C44" s="32" t="n">
        <f aca="false">C37+C42</f>
        <v>346820454.592955</v>
      </c>
      <c r="D44" s="32" t="n">
        <f aca="false">D37+D42</f>
        <v>364021455.477862</v>
      </c>
      <c r="E44" s="32" t="n">
        <f aca="false">E37+E42</f>
        <v>385151750.404286</v>
      </c>
      <c r="F44" s="32" t="n">
        <f aca="false">F37+F42</f>
        <v>410094594.521773</v>
      </c>
      <c r="G44" s="32" t="n">
        <f aca="false">G37+G42</f>
        <v>438698319.276321</v>
      </c>
    </row>
    <row r="45" customFormat="false" ht="15" hidden="false" customHeight="false" outlineLevel="0" collapsed="false">
      <c r="A45" s="6"/>
      <c r="B45" s="6"/>
      <c r="C45" s="6"/>
      <c r="D45" s="6"/>
      <c r="E45" s="6"/>
      <c r="F45" s="6"/>
      <c r="G45" s="6"/>
    </row>
    <row r="46" customFormat="false" ht="15" hidden="false" customHeight="false" outlineLevel="0" collapsed="false">
      <c r="A46" s="6"/>
      <c r="B46" s="8" t="s">
        <v>219</v>
      </c>
      <c r="C46" s="37" t="n">
        <f aca="false">C22-C44</f>
        <v>0.397260248661041</v>
      </c>
      <c r="D46" s="37" t="n">
        <f aca="false">D22-D44</f>
        <v>0.397260308265686</v>
      </c>
      <c r="E46" s="37" t="n">
        <f aca="false">E22-E44</f>
        <v>0.397260248661041</v>
      </c>
      <c r="F46" s="37" t="n">
        <f aca="false">F22-F44</f>
        <v>0.397260248661041</v>
      </c>
      <c r="G46" s="37" t="n">
        <f aca="false">G22-G44</f>
        <v>0.397260248661041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220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156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221</v>
      </c>
      <c r="C7" s="10"/>
      <c r="D7" s="10"/>
      <c r="E7" s="10"/>
      <c r="F7" s="10"/>
      <c r="G7" s="10"/>
    </row>
    <row r="8" customFormat="false" ht="15" hidden="false" customHeight="false" outlineLevel="0" collapsed="false">
      <c r="A8" s="6"/>
      <c r="B8" s="8" t="s">
        <v>222</v>
      </c>
      <c r="C8" s="31" t="n">
        <f aca="false">Income_Statement!C51</f>
        <v>66825000</v>
      </c>
      <c r="D8" s="31" t="n">
        <f aca="false">Income_Statement!D51</f>
        <v>72655099.8104208</v>
      </c>
      <c r="E8" s="31" t="n">
        <f aca="false">Income_Statement!E51</f>
        <v>78409446.7288306</v>
      </c>
      <c r="F8" s="31" t="n">
        <f aca="false">Income_Statement!F51</f>
        <v>84037847.1350939</v>
      </c>
      <c r="G8" s="31" t="n">
        <f aca="false">Income_Statement!G51</f>
        <v>89489927.2522277</v>
      </c>
    </row>
    <row r="9" customFormat="false" ht="15" hidden="false" customHeight="false" outlineLevel="0" collapsed="false">
      <c r="A9" s="6"/>
      <c r="B9" s="30" t="s">
        <v>223</v>
      </c>
      <c r="C9" s="31" t="n">
        <f aca="false">Income_Statement!C27</f>
        <v>18550000</v>
      </c>
      <c r="D9" s="31" t="n">
        <f aca="false">Income_Statement!D27</f>
        <v>19570250</v>
      </c>
      <c r="E9" s="31" t="n">
        <f aca="false">Income_Statement!E27</f>
        <v>20548762.5</v>
      </c>
      <c r="F9" s="31" t="n">
        <f aca="false">Income_Statement!F27</f>
        <v>21473456.8125</v>
      </c>
      <c r="G9" s="31" t="n">
        <f aca="false">Income_Statement!G27</f>
        <v>22332395.085</v>
      </c>
    </row>
    <row r="10" customFormat="false" ht="15" hidden="false" customHeight="false" outlineLevel="0" collapsed="false">
      <c r="A10" s="6"/>
      <c r="B10" s="36" t="s">
        <v>224</v>
      </c>
      <c r="C10" s="6"/>
      <c r="D10" s="6"/>
      <c r="E10" s="6"/>
      <c r="F10" s="6"/>
      <c r="G10" s="6"/>
    </row>
    <row r="11" customFormat="false" ht="15" hidden="false" customHeight="false" outlineLevel="0" collapsed="false">
      <c r="A11" s="6"/>
      <c r="B11" s="30" t="s">
        <v>225</v>
      </c>
      <c r="C11" s="31" t="n">
        <f aca="false">-(Balance_Sheet!C11-Assumptions!C11*DSO/365)</f>
        <v>-4109589.0410959</v>
      </c>
      <c r="D11" s="31" t="n">
        <f aca="false">-(Balance_Sheet!D11-Balance_Sheet!C11)</f>
        <v>-3993150.6849315</v>
      </c>
      <c r="E11" s="31" t="n">
        <f aca="false">-(Balance_Sheet!E11-Balance_Sheet!D11)</f>
        <v>-3829794.52054794</v>
      </c>
      <c r="F11" s="31" t="n">
        <f aca="false">-(Balance_Sheet!F11-Balance_Sheet!E11)</f>
        <v>-3619155.82191782</v>
      </c>
      <c r="G11" s="31" t="n">
        <f aca="false">-(Balance_Sheet!G11-Balance_Sheet!F11)</f>
        <v>-3361793.63013698</v>
      </c>
    </row>
    <row r="12" customFormat="false" ht="15" hidden="false" customHeight="false" outlineLevel="0" collapsed="false">
      <c r="A12" s="6"/>
      <c r="B12" s="30" t="s">
        <v>226</v>
      </c>
      <c r="C12" s="31" t="n">
        <f aca="false">-(Balance_Sheet!C12-Assumptions!C19*Assumptions!C11*DIO/365)</f>
        <v>-1808219.17808219</v>
      </c>
      <c r="D12" s="31" t="n">
        <f aca="false">-(Balance_Sheet!D12-Balance_Sheet!C12)</f>
        <v>-1756986.30136986</v>
      </c>
      <c r="E12" s="31" t="n">
        <f aca="false">-(Balance_Sheet!E12-Balance_Sheet!D12)</f>
        <v>-1685109.58904109</v>
      </c>
      <c r="F12" s="31" t="n">
        <f aca="false">-(Balance_Sheet!F12-Balance_Sheet!E12)</f>
        <v>-1592428.56164384</v>
      </c>
      <c r="G12" s="31" t="n">
        <f aca="false">-(Balance_Sheet!G12-Balance_Sheet!F12)</f>
        <v>-1479189.19726028</v>
      </c>
    </row>
    <row r="13" customFormat="false" ht="15" hidden="false" customHeight="false" outlineLevel="0" collapsed="false">
      <c r="A13" s="6"/>
      <c r="B13" s="30" t="s">
        <v>227</v>
      </c>
      <c r="C13" s="31" t="n">
        <f aca="false">-(Balance_Sheet!C13-Assumptions!C11*Other_CA_Pct)</f>
        <v>-600000</v>
      </c>
      <c r="D13" s="31" t="n">
        <f aca="false">-(Balance_Sheet!D13-Balance_Sheet!C13)</f>
        <v>-583000</v>
      </c>
      <c r="E13" s="31" t="n">
        <f aca="false">-(Balance_Sheet!E13-Balance_Sheet!D13)</f>
        <v>-559150</v>
      </c>
      <c r="F13" s="31" t="n">
        <f aca="false">-(Balance_Sheet!F13-Balance_Sheet!E13)</f>
        <v>-528396.75</v>
      </c>
      <c r="G13" s="31" t="n">
        <f aca="false">-(Balance_Sheet!G13-Balance_Sheet!F13)</f>
        <v>-490821.870000001</v>
      </c>
    </row>
    <row r="14" customFormat="false" ht="15" hidden="false" customHeight="false" outlineLevel="0" collapsed="false">
      <c r="A14" s="6"/>
      <c r="B14" s="30" t="s">
        <v>228</v>
      </c>
      <c r="C14" s="31" t="n">
        <f aca="false">Balance_Sheet!C26-Assumptions!C19*Assumptions!C11*DPO/365</f>
        <v>2034246.57534246</v>
      </c>
      <c r="D14" s="31" t="n">
        <f aca="false">Balance_Sheet!D26-Balance_Sheet!C26</f>
        <v>1976609.5890411</v>
      </c>
      <c r="E14" s="31" t="n">
        <f aca="false">Balance_Sheet!E26-Balance_Sheet!D26</f>
        <v>1895748.28767123</v>
      </c>
      <c r="F14" s="31" t="n">
        <f aca="false">Balance_Sheet!F26-Balance_Sheet!E26</f>
        <v>1791482.13184932</v>
      </c>
      <c r="G14" s="31" t="n">
        <f aca="false">Balance_Sheet!G26-Balance_Sheet!F26</f>
        <v>1664087.84691781</v>
      </c>
    </row>
    <row r="15" customFormat="false" ht="15" hidden="false" customHeight="false" outlineLevel="0" collapsed="false">
      <c r="A15" s="6"/>
      <c r="B15" s="30" t="s">
        <v>229</v>
      </c>
      <c r="C15" s="31" t="n">
        <f aca="false">Balance_Sheet!C27-Assumptions!C11*Other_CL_Pct</f>
        <v>450000</v>
      </c>
      <c r="D15" s="31" t="n">
        <f aca="false">Balance_Sheet!D27-Balance_Sheet!C27</f>
        <v>437250</v>
      </c>
      <c r="E15" s="31" t="n">
        <f aca="false">Balance_Sheet!E27-Balance_Sheet!D27</f>
        <v>419362.5</v>
      </c>
      <c r="F15" s="31" t="n">
        <f aca="false">Balance_Sheet!F27-Balance_Sheet!E27</f>
        <v>396297.5625</v>
      </c>
      <c r="G15" s="31" t="n">
        <f aca="false">Balance_Sheet!G27-Balance_Sheet!F27</f>
        <v>368116.4025</v>
      </c>
    </row>
    <row r="16" customFormat="false" ht="15" hidden="false" customHeight="false" outlineLevel="0" collapsed="false">
      <c r="A16" s="6"/>
      <c r="B16" s="7" t="s">
        <v>230</v>
      </c>
      <c r="C16" s="32" t="n">
        <f aca="false">SUM(C8:C15)</f>
        <v>81341438.3561644</v>
      </c>
      <c r="D16" s="32" t="n">
        <f aca="false">SUM(D8:D15)</f>
        <v>88306072.4131605</v>
      </c>
      <c r="E16" s="32" t="n">
        <f aca="false">SUM(E8:E15)</f>
        <v>95199265.9069128</v>
      </c>
      <c r="F16" s="32" t="n">
        <f aca="false">SUM(F8:F15)</f>
        <v>101959102.508382</v>
      </c>
      <c r="G16" s="32" t="n">
        <f aca="false">SUM(G8:G15)</f>
        <v>108522721.889248</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231</v>
      </c>
      <c r="C18" s="10"/>
      <c r="D18" s="10"/>
      <c r="E18" s="10"/>
      <c r="F18" s="10"/>
      <c r="G18" s="10"/>
    </row>
    <row r="19" customFormat="false" ht="15" hidden="false" customHeight="false" outlineLevel="0" collapsed="false">
      <c r="A19" s="6"/>
      <c r="B19" s="30" t="s">
        <v>232</v>
      </c>
      <c r="C19" s="31" t="n">
        <f aca="false">-Income_Statement!C9*CapEx_Pct</f>
        <v>-26500000</v>
      </c>
      <c r="D19" s="31" t="n">
        <f aca="false">-Income_Statement!D9*CapEx_Pct</f>
        <v>-27957500</v>
      </c>
      <c r="E19" s="31" t="n">
        <f aca="false">-Income_Statement!E9*CapEx_Pct</f>
        <v>-29355375</v>
      </c>
      <c r="F19" s="31" t="n">
        <f aca="false">-Income_Statement!F9*CapEx_Pct</f>
        <v>-30676366.875</v>
      </c>
      <c r="G19" s="31" t="n">
        <f aca="false">-Income_Statement!G9*CapEx_Pct</f>
        <v>-31903421.55</v>
      </c>
    </row>
    <row r="20" customFormat="false" ht="15" hidden="false" customHeight="false" outlineLevel="0" collapsed="false">
      <c r="A20" s="6"/>
      <c r="B20" s="7" t="s">
        <v>233</v>
      </c>
      <c r="C20" s="32" t="n">
        <f aca="false">C19</f>
        <v>-26500000</v>
      </c>
      <c r="D20" s="32" t="n">
        <f aca="false">D19</f>
        <v>-27957500</v>
      </c>
      <c r="E20" s="32" t="n">
        <f aca="false">E19</f>
        <v>-29355375</v>
      </c>
      <c r="F20" s="32" t="n">
        <f aca="false">F19</f>
        <v>-30676366.875</v>
      </c>
      <c r="G20" s="32" t="n">
        <f aca="false">G19</f>
        <v>-31903421.55</v>
      </c>
    </row>
    <row r="21" customFormat="false" ht="15" hidden="false" customHeight="false" outlineLevel="0" collapsed="false">
      <c r="A21" s="6"/>
      <c r="B21" s="6"/>
      <c r="C21" s="6"/>
      <c r="D21" s="6"/>
      <c r="E21" s="6"/>
      <c r="F21" s="6"/>
      <c r="G21" s="6"/>
    </row>
    <row r="22" customFormat="false" ht="15" hidden="false" customHeight="false" outlineLevel="0" collapsed="false">
      <c r="A22" s="6"/>
      <c r="B22" s="9" t="s">
        <v>234</v>
      </c>
      <c r="C22" s="10"/>
      <c r="D22" s="10"/>
      <c r="E22" s="10"/>
      <c r="F22" s="10"/>
      <c r="G22" s="10"/>
    </row>
    <row r="23" customFormat="false" ht="15" hidden="false" customHeight="false" outlineLevel="0" collapsed="false">
      <c r="A23" s="6"/>
      <c r="B23" s="30" t="s">
        <v>235</v>
      </c>
      <c r="C23" s="31" t="n">
        <f aca="false">0</f>
        <v>0</v>
      </c>
      <c r="D23" s="31" t="n">
        <f aca="false">0</f>
        <v>0</v>
      </c>
      <c r="E23" s="31" t="n">
        <f aca="false">0</f>
        <v>0</v>
      </c>
      <c r="F23" s="31" t="n">
        <f aca="false">0</f>
        <v>0</v>
      </c>
      <c r="G23" s="31" t="n">
        <f aca="false">0</f>
        <v>0</v>
      </c>
    </row>
    <row r="24" customFormat="false" ht="15" hidden="false" customHeight="false" outlineLevel="0" collapsed="false">
      <c r="A24" s="6"/>
      <c r="B24" s="30" t="s">
        <v>236</v>
      </c>
      <c r="C24" s="31" t="n">
        <f aca="false">-Income_Statement!C35</f>
        <v>-28571428.5714286</v>
      </c>
      <c r="D24" s="31" t="n">
        <f aca="false">-Income_Statement!D35</f>
        <v>-28571428.5714286</v>
      </c>
      <c r="E24" s="31" t="n">
        <f aca="false">-Income_Statement!E35</f>
        <v>-28571428.5714286</v>
      </c>
      <c r="F24" s="31" t="n">
        <f aca="false">-Income_Statement!F35</f>
        <v>-28571428.5714286</v>
      </c>
      <c r="G24" s="31" t="n">
        <f aca="false">-Income_Statement!G35</f>
        <v>-28571428.5714286</v>
      </c>
    </row>
    <row r="25" customFormat="false" ht="15" hidden="false" customHeight="false" outlineLevel="0" collapsed="false">
      <c r="A25" s="6"/>
      <c r="B25" s="30" t="s">
        <v>237</v>
      </c>
      <c r="C25" s="31" t="n">
        <f aca="false">0</f>
        <v>0</v>
      </c>
      <c r="D25" s="31" t="n">
        <f aca="false">0</f>
        <v>0</v>
      </c>
      <c r="E25" s="31" t="n">
        <f aca="false">0</f>
        <v>0</v>
      </c>
      <c r="F25" s="31" t="n">
        <f aca="false">0</f>
        <v>0</v>
      </c>
      <c r="G25" s="31" t="n">
        <f aca="false">0</f>
        <v>0</v>
      </c>
    </row>
    <row r="26" customFormat="false" ht="15" hidden="false" customHeight="false" outlineLevel="0" collapsed="false">
      <c r="A26" s="6"/>
      <c r="B26" s="30" t="s">
        <v>238</v>
      </c>
      <c r="C26" s="31" t="n">
        <f aca="false">-Income_Statement!C40</f>
        <v>-7500000</v>
      </c>
      <c r="D26" s="31" t="n">
        <f aca="false">-Income_Statement!D40</f>
        <v>-7500000</v>
      </c>
      <c r="E26" s="31" t="n">
        <f aca="false">-Income_Statement!E40</f>
        <v>-7500000</v>
      </c>
      <c r="F26" s="31" t="n">
        <f aca="false">-Income_Statement!F40</f>
        <v>-7500000</v>
      </c>
      <c r="G26" s="31" t="n">
        <f aca="false">-Income_Statement!G40</f>
        <v>-7500000</v>
      </c>
    </row>
    <row r="27" customFormat="false" ht="15" hidden="false" customHeight="false" outlineLevel="0" collapsed="false">
      <c r="A27" s="6"/>
      <c r="B27" s="30" t="s">
        <v>239</v>
      </c>
      <c r="C27" s="31" t="n">
        <f aca="false">-Income_Statement!C54</f>
        <v>-20047500</v>
      </c>
      <c r="D27" s="31" t="n">
        <f aca="false">-Income_Statement!D54</f>
        <v>-21796529.9431262</v>
      </c>
      <c r="E27" s="31" t="n">
        <f aca="false">-Income_Statement!E54</f>
        <v>-23522834.0186492</v>
      </c>
      <c r="F27" s="31" t="n">
        <f aca="false">-Income_Statement!F54</f>
        <v>-25211354.1405282</v>
      </c>
      <c r="G27" s="31" t="n">
        <f aca="false">-Income_Statement!G54</f>
        <v>-26846978.1756683</v>
      </c>
    </row>
    <row r="28" customFormat="false" ht="15" hidden="false" customHeight="false" outlineLevel="0" collapsed="false">
      <c r="A28" s="6"/>
      <c r="B28" s="7" t="s">
        <v>240</v>
      </c>
      <c r="C28" s="32" t="n">
        <f aca="false">SUM(C23:C27)</f>
        <v>-56118928.5714286</v>
      </c>
      <c r="D28" s="32" t="n">
        <f aca="false">SUM(D23:D27)</f>
        <v>-57867958.5145548</v>
      </c>
      <c r="E28" s="32" t="n">
        <f aca="false">SUM(E23:E27)</f>
        <v>-59594262.5900777</v>
      </c>
      <c r="F28" s="32" t="n">
        <f aca="false">SUM(F23:F27)</f>
        <v>-61282782.7119568</v>
      </c>
      <c r="G28" s="32" t="n">
        <f aca="false">SUM(G23:G27)</f>
        <v>-62918406.7470969</v>
      </c>
    </row>
    <row r="29" customFormat="false" ht="15" hidden="false" customHeight="false" outlineLevel="0" collapsed="false">
      <c r="A29" s="6"/>
      <c r="B29" s="6"/>
      <c r="C29" s="6"/>
      <c r="D29" s="6"/>
      <c r="E29" s="6"/>
      <c r="F29" s="6"/>
      <c r="G29" s="6"/>
    </row>
    <row r="30" customFormat="false" ht="15" hidden="false" customHeight="false" outlineLevel="0" collapsed="false">
      <c r="A30" s="6"/>
      <c r="B30" s="7" t="s">
        <v>241</v>
      </c>
      <c r="C30" s="29" t="n">
        <f aca="false">C16+C20+C28</f>
        <v>-1277490.2152642</v>
      </c>
      <c r="D30" s="29" t="n">
        <f aca="false">D16+D20+D28</f>
        <v>2480613.89860569</v>
      </c>
      <c r="E30" s="29" t="n">
        <f aca="false">E16+E20+E28</f>
        <v>6249628.31683503</v>
      </c>
      <c r="F30" s="29" t="n">
        <f aca="false">F16+F20+F28</f>
        <v>9999952.92142484</v>
      </c>
      <c r="G30" s="29" t="n">
        <f aca="false">G16+G20+G28</f>
        <v>13700893.5921514</v>
      </c>
    </row>
    <row r="31" customFormat="false" ht="15" hidden="false" customHeight="false" outlineLevel="0" collapsed="false">
      <c r="A31" s="6"/>
      <c r="B31" s="6"/>
      <c r="C31" s="6"/>
      <c r="D31" s="6"/>
      <c r="E31" s="6"/>
      <c r="F31" s="6"/>
      <c r="G31" s="6"/>
    </row>
    <row r="32" customFormat="false" ht="15" hidden="false" customHeight="false" outlineLevel="0" collapsed="false">
      <c r="A32" s="6"/>
      <c r="B32" s="24" t="s">
        <v>117</v>
      </c>
      <c r="C32" s="35" t="n">
        <f aca="false">Open_Cash</f>
        <v>75000000</v>
      </c>
      <c r="D32" s="35" t="n">
        <f aca="false">Cash_Flow!C33</f>
        <v>73722509.7847358</v>
      </c>
      <c r="E32" s="35" t="n">
        <f aca="false">Cash_Flow!D33</f>
        <v>76203123.6833415</v>
      </c>
      <c r="F32" s="35" t="n">
        <f aca="false">Cash_Flow!E33</f>
        <v>82452752.0001765</v>
      </c>
      <c r="G32" s="35" t="n">
        <f aca="false">Cash_Flow!F33</f>
        <v>92452704.9216014</v>
      </c>
    </row>
    <row r="33" customFormat="false" ht="15" hidden="false" customHeight="false" outlineLevel="0" collapsed="false">
      <c r="A33" s="6"/>
      <c r="B33" s="7" t="s">
        <v>242</v>
      </c>
      <c r="C33" s="32" t="n">
        <f aca="false">C32+C30</f>
        <v>73722509.7847358</v>
      </c>
      <c r="D33" s="32" t="n">
        <f aca="false">D32+D30</f>
        <v>76203123.6833415</v>
      </c>
      <c r="E33" s="32" t="n">
        <f aca="false">E32+E30</f>
        <v>82452752.0001765</v>
      </c>
      <c r="F33" s="32" t="n">
        <f aca="false">F32+F30</f>
        <v>92452704.9216014</v>
      </c>
      <c r="G33" s="32" t="n">
        <f aca="false">G32+G30</f>
        <v>106153598.513753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243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244</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245</v>
      </c>
      <c r="C8" s="10"/>
      <c r="D8" s="10"/>
      <c r="E8" s="10"/>
      <c r="F8" s="10"/>
      <c r="G8" s="10"/>
    </row>
    <row r="9" customFormat="false" ht="15" hidden="false" customHeight="false" outlineLevel="0" collapsed="false">
      <c r="A9" s="6"/>
      <c r="B9" s="8" t="s">
        <v>246</v>
      </c>
      <c r="C9" s="31" t="n">
        <f aca="false">Income_Statement!C36+Income_Statement!C41</f>
        <v>238928571.428571</v>
      </c>
      <c r="D9" s="31" t="n">
        <f aca="false">Income_Statement!D36+Income_Statement!D41</f>
        <v>202857142.857143</v>
      </c>
      <c r="E9" s="31" t="n">
        <f aca="false">Income_Statement!E36+Income_Statement!E41</f>
        <v>166785714.285714</v>
      </c>
      <c r="F9" s="31" t="n">
        <f aca="false">Income_Statement!F36+Income_Statement!F41</f>
        <v>130714285.714286</v>
      </c>
      <c r="G9" s="31" t="n">
        <f aca="false">Income_Statement!G36+Income_Statement!G41</f>
        <v>94642857.1428572</v>
      </c>
    </row>
    <row r="10" customFormat="false" ht="15" hidden="false" customHeight="false" outlineLevel="0" collapsed="false">
      <c r="A10" s="6"/>
      <c r="B10" s="8" t="s">
        <v>247</v>
      </c>
      <c r="C10" s="31" t="n">
        <f aca="false">C9-Cash_Flow!C33</f>
        <v>165206061.643836</v>
      </c>
      <c r="D10" s="31" t="n">
        <f aca="false">D9-Cash_Flow!D33</f>
        <v>126654019.173801</v>
      </c>
      <c r="E10" s="31" t="n">
        <f aca="false">E9-Cash_Flow!E33</f>
        <v>84332962.2855378</v>
      </c>
      <c r="F10" s="31" t="n">
        <f aca="false">F9-Cash_Flow!F33</f>
        <v>38261580.7926844</v>
      </c>
      <c r="G10" s="31" t="n">
        <f aca="false">G9-Cash_Flow!G33</f>
        <v>-11510741.3708956</v>
      </c>
    </row>
    <row r="11" customFormat="false" ht="15" hidden="false" customHeight="false" outlineLevel="0" collapsed="false">
      <c r="A11" s="6"/>
      <c r="B11" s="6"/>
      <c r="C11" s="6"/>
      <c r="D11" s="6"/>
      <c r="E11" s="6"/>
      <c r="F11" s="6"/>
      <c r="G11" s="6"/>
    </row>
    <row r="12" customFormat="false" ht="15" hidden="false" customHeight="false" outlineLevel="0" collapsed="false">
      <c r="A12" s="6"/>
      <c r="B12" s="8" t="s">
        <v>166</v>
      </c>
      <c r="C12" s="31" t="n">
        <f aca="false">Income_Statement!C23</f>
        <v>121900000</v>
      </c>
      <c r="D12" s="31" t="n">
        <f aca="false">Income_Statement!D23</f>
        <v>128604500</v>
      </c>
      <c r="E12" s="31" t="n">
        <f aca="false">Income_Statement!E23</f>
        <v>135034725</v>
      </c>
      <c r="F12" s="31" t="n">
        <f aca="false">Income_Statement!F23</f>
        <v>141111287.625</v>
      </c>
      <c r="G12" s="31" t="n">
        <f aca="false">Income_Statement!G23</f>
        <v>146755739.13</v>
      </c>
    </row>
    <row r="13" customFormat="false" ht="15" hidden="false" customHeight="false" outlineLevel="0" collapsed="false">
      <c r="A13" s="6"/>
      <c r="B13" s="8" t="s">
        <v>169</v>
      </c>
      <c r="C13" s="31" t="n">
        <f aca="false">Income_Statement!C29</f>
        <v>103350000</v>
      </c>
      <c r="D13" s="31" t="n">
        <f aca="false">Income_Statement!D29</f>
        <v>109034250</v>
      </c>
      <c r="E13" s="31" t="n">
        <f aca="false">Income_Statement!E29</f>
        <v>114485962.5</v>
      </c>
      <c r="F13" s="31" t="n">
        <f aca="false">Income_Statement!F29</f>
        <v>119637830.8125</v>
      </c>
      <c r="G13" s="31" t="n">
        <f aca="false">Income_Statement!G29</f>
        <v>124423344.045</v>
      </c>
    </row>
    <row r="14" customFormat="false" ht="15" hidden="false" customHeight="false" outlineLevel="0" collapsed="false">
      <c r="A14" s="6"/>
      <c r="B14" s="8" t="s">
        <v>248</v>
      </c>
      <c r="C14" s="31" t="n">
        <f aca="false">Income_Statement!C51+Income_Statement!C27</f>
        <v>85375000</v>
      </c>
      <c r="D14" s="31" t="n">
        <f aca="false">Income_Statement!D51+Income_Statement!D27</f>
        <v>92225349.8104208</v>
      </c>
      <c r="E14" s="31" t="n">
        <f aca="false">Income_Statement!E51+Income_Statement!E27</f>
        <v>98958209.2288306</v>
      </c>
      <c r="F14" s="31" t="n">
        <f aca="false">Income_Statement!F51+Income_Statement!F27</f>
        <v>105511303.947594</v>
      </c>
      <c r="G14" s="31" t="n">
        <f aca="false">Income_Statement!G51+Income_Statement!G27</f>
        <v>111822322.337228</v>
      </c>
    </row>
    <row r="15" customFormat="false" ht="15" hidden="false" customHeight="false" outlineLevel="0" collapsed="false">
      <c r="A15" s="6"/>
      <c r="B15" s="6"/>
      <c r="C15" s="6"/>
      <c r="D15" s="6"/>
      <c r="E15" s="6"/>
      <c r="F15" s="6"/>
      <c r="G15" s="6"/>
    </row>
    <row r="16" customFormat="false" ht="15" hidden="false" customHeight="false" outlineLevel="0" collapsed="false">
      <c r="A16" s="6"/>
      <c r="B16" s="9" t="s">
        <v>249</v>
      </c>
      <c r="C16" s="10"/>
      <c r="D16" s="10"/>
      <c r="E16" s="10"/>
      <c r="F16" s="10"/>
      <c r="G16" s="10"/>
    </row>
    <row r="17" customFormat="false" ht="15" hidden="false" customHeight="false" outlineLevel="0" collapsed="false">
      <c r="A17" s="6"/>
      <c r="B17" s="8" t="s">
        <v>250</v>
      </c>
      <c r="C17" s="38" t="n">
        <f aca="false">IFERROR(C9/C12,0)</f>
        <v>1.9600375014649</v>
      </c>
      <c r="D17" s="38" t="n">
        <f aca="false">IFERROR(D9/D12,0)</f>
        <v>1.5773720426357</v>
      </c>
      <c r="E17" s="38" t="n">
        <f aca="false">IFERROR(E9/E12,0)</f>
        <v>1.23513203204372</v>
      </c>
      <c r="F17" s="38" t="n">
        <f aca="false">IFERROR(F9/F12,0)</f>
        <v>0.926320551065028</v>
      </c>
      <c r="G17" s="38" t="n">
        <f aca="false">IFERROR(G9/G12,0)</f>
        <v>0.644900551787076</v>
      </c>
    </row>
    <row r="18" customFormat="false" ht="15" hidden="false" customHeight="false" outlineLevel="0" collapsed="false">
      <c r="A18" s="6"/>
      <c r="B18" s="8" t="s">
        <v>251</v>
      </c>
      <c r="C18" s="38" t="n">
        <f aca="false">IFERROR(C10/C12,0)</f>
        <v>1.35525891422343</v>
      </c>
      <c r="D18" s="38" t="n">
        <f aca="false">IFERROR(D10/D12,0)</f>
        <v>0.984833494736198</v>
      </c>
      <c r="E18" s="38" t="n">
        <f aca="false">IFERROR(E10/E12,0)</f>
        <v>0.624527967050977</v>
      </c>
      <c r="F18" s="38" t="n">
        <f aca="false">IFERROR(F10/F12,0)</f>
        <v>0.271144721564469</v>
      </c>
      <c r="G18" s="38" t="n">
        <f aca="false">IFERROR(G10/G12,0)</f>
        <v>-0.078434693178841</v>
      </c>
    </row>
    <row r="19" customFormat="false" ht="15" hidden="false" customHeight="false" outlineLevel="0" collapsed="false">
      <c r="A19" s="6"/>
      <c r="B19" s="9" t="s">
        <v>252</v>
      </c>
      <c r="C19" s="10"/>
      <c r="D19" s="10"/>
      <c r="E19" s="10"/>
      <c r="F19" s="10"/>
      <c r="G19" s="10"/>
    </row>
    <row r="20" customFormat="false" ht="15" hidden="false" customHeight="false" outlineLevel="0" collapsed="false">
      <c r="A20" s="6"/>
      <c r="B20" s="8" t="s">
        <v>253</v>
      </c>
      <c r="C20" s="38" t="n">
        <f aca="false">IFERROR(Income_Statement!C29/(Income_Statement!C34+Income_Statement!C39+Income_Statement!C43),0)</f>
        <v>6.12444444444444</v>
      </c>
      <c r="D20" s="38" t="n">
        <f aca="false">IFERROR(Income_Statement!D29/(Income_Statement!D34+Income_Statement!D39+Income_Statement!D43),0)</f>
        <v>7.39662992125984</v>
      </c>
      <c r="E20" s="38" t="n">
        <f aca="false">IFERROR(Income_Statement!E29/(Income_Statement!E34+Income_Statement!E39+Income_Statement!E43),0)</f>
        <v>9.0810395184136</v>
      </c>
      <c r="F20" s="38" t="n">
        <f aca="false">IFERROR(Income_Statement!F29/(Income_Statement!F34+Income_Statement!F39+Income_Statement!F43),0)</f>
        <v>11.4232199923274</v>
      </c>
      <c r="G20" s="38" t="n">
        <f aca="false">IFERROR(Income_Statement!G29/(Income_Statement!G34+Income_Statement!G39+Income_Statement!G43),0)</f>
        <v>14.9201440396574</v>
      </c>
    </row>
    <row r="21" customFormat="false" ht="15" hidden="false" customHeight="false" outlineLevel="0" collapsed="false">
      <c r="A21" s="6"/>
      <c r="B21" s="9" t="s">
        <v>254</v>
      </c>
      <c r="C21" s="10"/>
      <c r="D21" s="10"/>
      <c r="E21" s="10"/>
      <c r="F21" s="10"/>
      <c r="G21" s="10"/>
    </row>
    <row r="22" customFormat="false" ht="15" hidden="false" customHeight="false" outlineLevel="0" collapsed="false">
      <c r="A22" s="6"/>
      <c r="B22" s="8" t="s">
        <v>255</v>
      </c>
      <c r="C22" s="39" t="n">
        <f aca="false">IFERROR(C14/C9,0)</f>
        <v>0.357324364723468</v>
      </c>
      <c r="D22" s="39" t="n">
        <f aca="false">IFERROR(D14/D9,0)</f>
        <v>0.454632006107708</v>
      </c>
      <c r="E22" s="39" t="n">
        <f aca="false">IFERROR(E14/E9,0)</f>
        <v>0.59332545147907</v>
      </c>
      <c r="F22" s="39" t="n">
        <f aca="false">IFERROR(F14/F9,0)</f>
        <v>0.807190303424216</v>
      </c>
      <c r="G22" s="39" t="n">
        <f aca="false">IFERROR(G14/G9,0)</f>
        <v>1.18151887752542</v>
      </c>
    </row>
    <row r="23" customFormat="false" ht="15" hidden="false" customHeight="false" outlineLevel="0" collapsed="false">
      <c r="A23" s="6"/>
      <c r="B23" s="9" t="s">
        <v>256</v>
      </c>
      <c r="C23" s="10"/>
      <c r="D23" s="10"/>
      <c r="E23" s="10"/>
      <c r="F23" s="10"/>
      <c r="G23" s="10"/>
    </row>
    <row r="24" customFormat="false" ht="15" hidden="false" customHeight="false" outlineLevel="0" collapsed="false">
      <c r="A24" s="6"/>
      <c r="B24" s="8" t="s">
        <v>167</v>
      </c>
      <c r="C24" s="39" t="n">
        <f aca="false">IFERROR(Income_Statement!C23/Income_Statement!C9,0)</f>
        <v>0.23</v>
      </c>
      <c r="D24" s="39" t="n">
        <f aca="false">IFERROR(Income_Statement!D23/Income_Statement!D9,0)</f>
        <v>0.23</v>
      </c>
      <c r="E24" s="39" t="n">
        <f aca="false">IFERROR(Income_Statement!E23/Income_Statement!E9,0)</f>
        <v>0.23</v>
      </c>
      <c r="F24" s="39" t="n">
        <f aca="false">IFERROR(Income_Statement!F23/Income_Statement!F9,0)</f>
        <v>0.23</v>
      </c>
      <c r="G24" s="39" t="n">
        <f aca="false">IFERROR(Income_Statement!G23/Income_Statement!G9,0)</f>
        <v>0.23</v>
      </c>
    </row>
    <row r="25" customFormat="false" ht="15" hidden="false" customHeight="false" outlineLevel="0" collapsed="false">
      <c r="A25" s="6"/>
      <c r="B25" s="8" t="s">
        <v>186</v>
      </c>
      <c r="C25" s="39" t="n">
        <f aca="false">IFERROR(Income_Statement!C51/Income_Statement!C9,0)</f>
        <v>0.126084905660377</v>
      </c>
      <c r="D25" s="39" t="n">
        <f aca="false">IFERROR(Income_Statement!D51/Income_Statement!D9,0)</f>
        <v>0.129938477707987</v>
      </c>
      <c r="E25" s="39" t="n">
        <f aca="false">IFERROR(Income_Statement!E51/Income_Statement!E9,0)</f>
        <v>0.133552112226178</v>
      </c>
      <c r="F25" s="39" t="n">
        <f aca="false">IFERROR(Income_Statement!F51/Income_Statement!F9,0)</f>
        <v>0.136974902336921</v>
      </c>
      <c r="G25" s="39" t="n">
        <f aca="false">IFERROR(Income_Statement!G51/Income_Statement!G9,0)</f>
        <v>0.140251300494488</v>
      </c>
    </row>
    <row r="26" customFormat="false" ht="15" hidden="false" customHeight="false" outlineLevel="0" collapsed="false">
      <c r="A26" s="6"/>
      <c r="B26" s="9" t="s">
        <v>257</v>
      </c>
      <c r="C26" s="10"/>
      <c r="D26" s="10"/>
      <c r="E26" s="10"/>
      <c r="F26" s="10"/>
      <c r="G26" s="10"/>
    </row>
    <row r="27" customFormat="false" ht="15" hidden="false" customHeight="false" outlineLevel="0" collapsed="false">
      <c r="A27" s="6"/>
      <c r="B27" s="8" t="s">
        <v>258</v>
      </c>
      <c r="C27" s="39" t="n">
        <f aca="false">IF(Balance_Sheet!C22&lt;=0,"N/A",IFERROR(Income_Statement!C51/Balance_Sheet!C22,0))</f>
        <v>0.192678946810924</v>
      </c>
      <c r="D27" s="39" t="n">
        <f aca="false">IF(Balance_Sheet!D22&lt;=0,"N/A",IFERROR(Income_Statement!D51/Balance_Sheet!D22,0))</f>
        <v>0.199590157771758</v>
      </c>
      <c r="E27" s="39" t="n">
        <f aca="false">IF(Balance_Sheet!E22&lt;=0,"N/A",IFERROR(Income_Statement!E51/Balance_Sheet!E22,0))</f>
        <v>0.203580657664547</v>
      </c>
      <c r="F27" s="39" t="n">
        <f aca="false">IF(Balance_Sheet!F22&lt;=0,"N/A",IFERROR(Income_Statement!F51/Balance_Sheet!F22,0))</f>
        <v>0.204923079153691</v>
      </c>
      <c r="G27" s="39" t="n">
        <f aca="false">IF(Balance_Sheet!G22&lt;=0,"N/A",IFERROR(Income_Statement!G51/Balance_Sheet!G22,0))</f>
        <v>0.203989674085859</v>
      </c>
    </row>
    <row r="28" customFormat="false" ht="15" hidden="false" customHeight="false" outlineLevel="0" collapsed="false">
      <c r="A28" s="6"/>
      <c r="B28" s="8" t="s">
        <v>259</v>
      </c>
      <c r="C28" s="39" t="n">
        <f aca="false">IF(Balance_Sheet!C42&lt;=0,"N/A",IFERROR(Income_Statement!C51/Balance_Sheet!C42,0))</f>
        <v>1.04408308623367</v>
      </c>
      <c r="D28" s="39" t="n">
        <f aca="false">IF(Balance_Sheet!D42&lt;=0,"N/A",IFERROR(Income_Statement!D51/Balance_Sheet!D42,0))</f>
        <v>0.632541994199902</v>
      </c>
      <c r="E28" s="39" t="n">
        <f aca="false">IF(Balance_Sheet!E42&lt;=0,"N/A",IFERROR(Income_Statement!E51/Balance_Sheet!E42,0))</f>
        <v>0.461914832366035</v>
      </c>
      <c r="F28" s="39" t="n">
        <f aca="false">IF(Balance_Sheet!F42&lt;=0,"N/A",IFERROR(Income_Statement!F51/Balance_Sheet!F42,0))</f>
        <v>0.367659510696954</v>
      </c>
      <c r="G28" s="39" t="n">
        <f aca="false">IF(Balance_Sheet!G42&lt;=0,"N/A",IFERROR(Income_Statement!G51/Balance_Sheet!G42,0))</f>
        <v>0.307295155695552</v>
      </c>
    </row>
    <row r="29" customFormat="false" ht="15" hidden="false" customHeight="false" outlineLevel="0" collapsed="false">
      <c r="A29" s="6"/>
      <c r="B29" s="9" t="s">
        <v>260</v>
      </c>
      <c r="C29" s="10"/>
      <c r="D29" s="10"/>
      <c r="E29" s="10"/>
      <c r="F29" s="10"/>
      <c r="G29" s="10"/>
    </row>
    <row r="30" customFormat="false" ht="15" hidden="false" customHeight="false" outlineLevel="0" collapsed="false">
      <c r="A30" s="6"/>
      <c r="B30" s="8" t="s">
        <v>261</v>
      </c>
      <c r="C30" s="39" t="n">
        <f aca="false">IFERROR(Cash_Flow!C16/Income_Statement!C23,0)</f>
        <v>0.667280052142448</v>
      </c>
      <c r="D30" s="39" t="n">
        <f aca="false">IFERROR(Cash_Flow!D16/Income_Statement!D23,0)</f>
        <v>0.686648386434071</v>
      </c>
      <c r="E30" s="39" t="n">
        <f aca="false">IFERROR(Cash_Flow!E16/Income_Statement!E23,0)</f>
        <v>0.704998406201907</v>
      </c>
      <c r="F30" s="39" t="n">
        <f aca="false">IFERROR(Cash_Flow!F16/Income_Statement!F23,0)</f>
        <v>0.722543917105594</v>
      </c>
      <c r="G30" s="39" t="n">
        <f aca="false">IFERROR(Cash_Flow!G16/Income_Statement!G23,0)</f>
        <v>0.739478554859896</v>
      </c>
    </row>
    <row r="31" customFormat="false" ht="15" hidden="false" customHeight="false" outlineLevel="0" collapsed="false">
      <c r="A31" s="6"/>
      <c r="B31" s="8" t="s">
        <v>262</v>
      </c>
      <c r="C31" s="39" t="n">
        <f aca="false">IFERROR(-Cash_Flow!C19/Income_Statement!C9,0)</f>
        <v>0.05</v>
      </c>
      <c r="D31" s="39" t="n">
        <f aca="false">IFERROR(-Cash_Flow!D19/Income_Statement!D9,0)</f>
        <v>0.05</v>
      </c>
      <c r="E31" s="39" t="n">
        <f aca="false">IFERROR(-Cash_Flow!E19/Income_Statement!E9,0)</f>
        <v>0.05</v>
      </c>
      <c r="F31" s="39" t="n">
        <f aca="false">IFERROR(-Cash_Flow!F19/Income_Statement!F9,0)</f>
        <v>0.05</v>
      </c>
      <c r="G31" s="39" t="n">
        <f aca="false">IFERROR(-Cash_Flow!G19/Income_Statement!G9,0)</f>
        <v>0.05</v>
      </c>
    </row>
    <row r="32" customFormat="false" ht="15" hidden="false" customHeight="false" outlineLevel="0" collapsed="false">
      <c r="A32" s="6"/>
      <c r="B32" s="9" t="s">
        <v>263</v>
      </c>
      <c r="C32" s="10"/>
      <c r="D32" s="10"/>
      <c r="E32" s="10"/>
      <c r="F32" s="10"/>
      <c r="G32" s="10"/>
    </row>
    <row r="33" customFormat="false" ht="15" hidden="false" customHeight="false" outlineLevel="0" collapsed="false">
      <c r="A33" s="6"/>
      <c r="B33" s="8" t="s">
        <v>263</v>
      </c>
      <c r="C33" s="31" t="n">
        <f aca="false">Cash_Flow!C16+Cash_Flow!C20</f>
        <v>54841438.3561644</v>
      </c>
      <c r="D33" s="31" t="n">
        <f aca="false">Cash_Flow!D16+Cash_Flow!D20</f>
        <v>60348572.4131605</v>
      </c>
      <c r="E33" s="31" t="n">
        <f aca="false">Cash_Flow!E16+Cash_Flow!E20</f>
        <v>65843890.9069128</v>
      </c>
      <c r="F33" s="31" t="n">
        <f aca="false">Cash_Flow!F16+Cash_Flow!F20</f>
        <v>71282735.6333816</v>
      </c>
      <c r="G33" s="31" t="n">
        <f aca="false">Cash_Flow!G16+Cash_Flow!G20</f>
        <v>76619300.3392483</v>
      </c>
    </row>
    <row r="34" customFormat="false" ht="15" hidden="false" customHeight="false" outlineLevel="0" collapsed="false">
      <c r="A34" s="6"/>
      <c r="B34" s="8" t="s">
        <v>264</v>
      </c>
      <c r="C34" s="39" t="n">
        <f aca="false">IFERROR(C33/C9,0)</f>
        <v>0.22953068370293</v>
      </c>
      <c r="D34" s="39" t="n">
        <f aca="false">IFERROR(D33/D9,0)</f>
        <v>0.297492962600087</v>
      </c>
      <c r="E34" s="39" t="n">
        <f aca="false">IFERROR(E33/E9,0)</f>
        <v>0.39478135875665</v>
      </c>
      <c r="F34" s="39" t="n">
        <f aca="false">IFERROR(F33/F9,0)</f>
        <v>0.545332403752646</v>
      </c>
      <c r="G34" s="39" t="n">
        <f aca="false">IFERROR(G33/G9,0)</f>
        <v>0.80956241867885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3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265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266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6"/>
      <c r="C7" s="6"/>
      <c r="D7" s="6"/>
      <c r="E7" s="6"/>
      <c r="F7" s="6"/>
      <c r="G7" s="6"/>
    </row>
    <row r="8" customFormat="false" ht="15" hidden="false" customHeight="false" outlineLevel="0" collapsed="false">
      <c r="A8" s="6"/>
      <c r="B8" s="9" t="s">
        <v>267</v>
      </c>
      <c r="C8" s="10"/>
      <c r="D8" s="10"/>
      <c r="E8" s="10"/>
      <c r="F8" s="10"/>
      <c r="G8" s="10"/>
    </row>
    <row r="9" customFormat="false" ht="15" hidden="false" customHeight="false" outlineLevel="0" collapsed="false">
      <c r="A9" s="6"/>
      <c r="B9" s="36" t="s">
        <v>268</v>
      </c>
      <c r="C9" s="6"/>
      <c r="D9" s="6"/>
      <c r="E9" s="6"/>
      <c r="F9" s="6"/>
      <c r="G9" s="6"/>
    </row>
    <row r="10" customFormat="false" ht="15" hidden="false" customHeight="false" outlineLevel="0" collapsed="false">
      <c r="A10" s="6"/>
      <c r="B10" s="30" t="s">
        <v>269</v>
      </c>
      <c r="C10" s="40" t="n">
        <f aca="false">IF(Credit_Metrics!C17&lt;=Thresh_AAA_Lev,1,IF(Credit_Metrics!C17&lt;=Thresh_AA_Lev,2,IF(Credit_Metrics!C17&lt;=Thresh_A_Lev,3,IF(Credit_Metrics!C17&lt;=Thresh_BBB_Lev,4,IF(Credit_Metrics!C17&lt;=Thresh_BB_Lev,5,IF(Credit_Metrics!C17&lt;=Thresh_B_Lev,6,7))))))</f>
        <v>3</v>
      </c>
      <c r="D10" s="40" t="n">
        <f aca="false">IF(Credit_Metrics!D17&lt;=Thresh_AAA_Lev,1,IF(Credit_Metrics!D17&lt;=Thresh_AA_Lev,2,IF(Credit_Metrics!D17&lt;=Thresh_A_Lev,3,IF(Credit_Metrics!D17&lt;=Thresh_BBB_Lev,4,IF(Credit_Metrics!D17&lt;=Thresh_BB_Lev,5,IF(Credit_Metrics!D17&lt;=Thresh_B_Lev,6,7))))))</f>
        <v>3</v>
      </c>
      <c r="E10" s="40" t="n">
        <f aca="false">IF(Credit_Metrics!E17&lt;=Thresh_AAA_Lev,1,IF(Credit_Metrics!E17&lt;=Thresh_AA_Lev,2,IF(Credit_Metrics!E17&lt;=Thresh_A_Lev,3,IF(Credit_Metrics!E17&lt;=Thresh_BBB_Lev,4,IF(Credit_Metrics!E17&lt;=Thresh_BB_Lev,5,IF(Credit_Metrics!E17&lt;=Thresh_B_Lev,6,7))))))</f>
        <v>2</v>
      </c>
      <c r="F10" s="40" t="n">
        <f aca="false">IF(Credit_Metrics!F17&lt;=Thresh_AAA_Lev,1,IF(Credit_Metrics!F17&lt;=Thresh_AA_Lev,2,IF(Credit_Metrics!F17&lt;=Thresh_A_Lev,3,IF(Credit_Metrics!F17&lt;=Thresh_BBB_Lev,4,IF(Credit_Metrics!F17&lt;=Thresh_BB_Lev,5,IF(Credit_Metrics!F17&lt;=Thresh_B_Lev,6,7))))))</f>
        <v>1</v>
      </c>
      <c r="G10" s="40" t="n">
        <f aca="false">IF(Credit_Metrics!G17&lt;=Thresh_AAA_Lev,1,IF(Credit_Metrics!G17&lt;=Thresh_AA_Lev,2,IF(Credit_Metrics!G17&lt;=Thresh_A_Lev,3,IF(Credit_Metrics!G17&lt;=Thresh_BBB_Lev,4,IF(Credit_Metrics!G17&lt;=Thresh_BB_Lev,5,IF(Credit_Metrics!G17&lt;=Thresh_B_Lev,6,7))))))</f>
        <v>1</v>
      </c>
    </row>
    <row r="11" customFormat="false" ht="15" hidden="false" customHeight="false" outlineLevel="0" collapsed="false">
      <c r="A11" s="6"/>
      <c r="B11" s="36" t="s">
        <v>270</v>
      </c>
      <c r="C11" s="6"/>
      <c r="D11" s="6"/>
      <c r="E11" s="6"/>
      <c r="F11" s="6"/>
      <c r="G11" s="6"/>
    </row>
    <row r="12" customFormat="false" ht="15" hidden="false" customHeight="false" outlineLevel="0" collapsed="false">
      <c r="A12" s="6"/>
      <c r="B12" s="30" t="s">
        <v>271</v>
      </c>
      <c r="C12" s="40" t="n">
        <f aca="false">IF(Credit_Metrics!C20&gt;=Thresh_AAA_Cov,1,IF(Credit_Metrics!C20&gt;=Thresh_AA_Cov,2,IF(Credit_Metrics!C20&gt;=Thresh_A_Cov,3,IF(Credit_Metrics!C20&gt;=Thresh_BBB_Cov,4,IF(Credit_Metrics!C20&gt;=Thresh_BB_Cov,5,IF(Credit_Metrics!C20&gt;=Thresh_B_Cov,6,7))))))</f>
        <v>3</v>
      </c>
      <c r="D12" s="40" t="n">
        <f aca="false">IF(Credit_Metrics!D20&gt;=Thresh_AAA_Cov,1,IF(Credit_Metrics!D20&gt;=Thresh_AA_Cov,2,IF(Credit_Metrics!D20&gt;=Thresh_A_Cov,3,IF(Credit_Metrics!D20&gt;=Thresh_BBB_Cov,4,IF(Credit_Metrics!D20&gt;=Thresh_BB_Cov,5,IF(Credit_Metrics!D20&gt;=Thresh_B_Cov,6,7))))))</f>
        <v>3</v>
      </c>
      <c r="E12" s="40" t="n">
        <f aca="false">IF(Credit_Metrics!E20&gt;=Thresh_AAA_Cov,1,IF(Credit_Metrics!E20&gt;=Thresh_AA_Cov,2,IF(Credit_Metrics!E20&gt;=Thresh_A_Cov,3,IF(Credit_Metrics!E20&gt;=Thresh_BBB_Cov,4,IF(Credit_Metrics!E20&gt;=Thresh_BB_Cov,5,IF(Credit_Metrics!E20&gt;=Thresh_B_Cov,6,7))))))</f>
        <v>2</v>
      </c>
      <c r="F12" s="40" t="n">
        <f aca="false">IF(Credit_Metrics!F20&gt;=Thresh_AAA_Cov,1,IF(Credit_Metrics!F20&gt;=Thresh_AA_Cov,2,IF(Credit_Metrics!F20&gt;=Thresh_A_Cov,3,IF(Credit_Metrics!F20&gt;=Thresh_BBB_Cov,4,IF(Credit_Metrics!F20&gt;=Thresh_BB_Cov,5,IF(Credit_Metrics!F20&gt;=Thresh_B_Cov,6,7))))))</f>
        <v>2</v>
      </c>
      <c r="G12" s="40" t="n">
        <f aca="false">IF(Credit_Metrics!G20&gt;=Thresh_AAA_Cov,1,IF(Credit_Metrics!G20&gt;=Thresh_AA_Cov,2,IF(Credit_Metrics!G20&gt;=Thresh_A_Cov,3,IF(Credit_Metrics!G20&gt;=Thresh_BBB_Cov,4,IF(Credit_Metrics!G20&gt;=Thresh_BB_Cov,5,IF(Credit_Metrics!G20&gt;=Thresh_B_Cov,6,7))))))</f>
        <v>1</v>
      </c>
    </row>
    <row r="13" customFormat="false" ht="15" hidden="false" customHeight="false" outlineLevel="0" collapsed="false">
      <c r="A13" s="6"/>
      <c r="B13" s="36" t="s">
        <v>272</v>
      </c>
      <c r="C13" s="6"/>
      <c r="D13" s="6"/>
      <c r="E13" s="6"/>
      <c r="F13" s="6"/>
      <c r="G13" s="6"/>
    </row>
    <row r="14" customFormat="false" ht="15" hidden="false" customHeight="false" outlineLevel="0" collapsed="false">
      <c r="A14" s="6"/>
      <c r="B14" s="30" t="s">
        <v>272</v>
      </c>
      <c r="C14" s="40" t="n">
        <f aca="false">IF(Credit_Metrics!C22&gt;=Thresh_AAA_FFO,1,IF(Credit_Metrics!C22&gt;=Thresh_AA_FFO,2,IF(Credit_Metrics!C22&gt;=Thresh_A_FFO,3,IF(Credit_Metrics!C22&gt;=Thresh_BBB_FFO,4,IF(Credit_Metrics!C22&gt;=Thresh_BB_FFO,5,IF(Credit_Metrics!C22&gt;=Thresh_B_FFO,6,7))))))</f>
        <v>3</v>
      </c>
      <c r="D14" s="40" t="n">
        <f aca="false">IF(Credit_Metrics!D22&gt;=Thresh_AAA_FFO,1,IF(Credit_Metrics!D22&gt;=Thresh_AA_FFO,2,IF(Credit_Metrics!D22&gt;=Thresh_A_FFO,3,IF(Credit_Metrics!D22&gt;=Thresh_BBB_FFO,4,IF(Credit_Metrics!D22&gt;=Thresh_BB_FFO,5,IF(Credit_Metrics!D22&gt;=Thresh_B_FFO,6,7))))))</f>
        <v>2</v>
      </c>
      <c r="E14" s="40" t="n">
        <f aca="false">IF(Credit_Metrics!E22&gt;=Thresh_AAA_FFO,1,IF(Credit_Metrics!E22&gt;=Thresh_AA_FFO,2,IF(Credit_Metrics!E22&gt;=Thresh_A_FFO,3,IF(Credit_Metrics!E22&gt;=Thresh_BBB_FFO,4,IF(Credit_Metrics!E22&gt;=Thresh_BB_FFO,5,IF(Credit_Metrics!E22&gt;=Thresh_B_FFO,6,7))))))</f>
        <v>2</v>
      </c>
      <c r="F14" s="40" t="n">
        <f aca="false">IF(Credit_Metrics!F22&gt;=Thresh_AAA_FFO,1,IF(Credit_Metrics!F22&gt;=Thresh_AA_FFO,2,IF(Credit_Metrics!F22&gt;=Thresh_A_FFO,3,IF(Credit_Metrics!F22&gt;=Thresh_BBB_FFO,4,IF(Credit_Metrics!F22&gt;=Thresh_BB_FFO,5,IF(Credit_Metrics!F22&gt;=Thresh_B_FFO,6,7))))))</f>
        <v>1</v>
      </c>
      <c r="G14" s="40" t="n">
        <f aca="false">IF(Credit_Metrics!G22&gt;=Thresh_AAA_FFO,1,IF(Credit_Metrics!G22&gt;=Thresh_AA_FFO,2,IF(Credit_Metrics!G22&gt;=Thresh_A_FFO,3,IF(Credit_Metrics!G22&gt;=Thresh_BBB_FFO,4,IF(Credit_Metrics!G22&gt;=Thresh_BB_FFO,5,IF(Credit_Metrics!G22&gt;=Thresh_B_FFO,6,7))))))</f>
        <v>1</v>
      </c>
    </row>
    <row r="15" customFormat="false" ht="15" hidden="false" customHeight="false" outlineLevel="0" collapsed="false">
      <c r="A15" s="6"/>
      <c r="B15" s="36" t="s">
        <v>273</v>
      </c>
      <c r="C15" s="6"/>
      <c r="D15" s="6"/>
      <c r="E15" s="6"/>
      <c r="F15" s="6"/>
      <c r="G15" s="6"/>
    </row>
    <row r="16" customFormat="false" ht="15" hidden="false" customHeight="false" outlineLevel="0" collapsed="false">
      <c r="A16" s="6"/>
      <c r="B16" s="30" t="s">
        <v>274</v>
      </c>
      <c r="C16" s="40" t="n">
        <f aca="false">IF(Credit_Metrics!C24&gt;=Thresh_AAA_Mgn,1,IF(Credit_Metrics!C24&gt;=Thresh_AA_Mgn,2,IF(Credit_Metrics!C24&gt;=Thresh_A_Mgn,3,IF(Credit_Metrics!C24&gt;=Thresh_BBB_Mgn,4,IF(Credit_Metrics!C24&gt;=Thresh_BB_Mgn,5,IF(Credit_Metrics!C24&gt;=Thresh_B_Mgn,6,7))))))</f>
        <v>3</v>
      </c>
      <c r="D16" s="40" t="n">
        <f aca="false">IF(Credit_Metrics!D24&gt;=Thresh_AAA_Mgn,1,IF(Credit_Metrics!D24&gt;=Thresh_AA_Mgn,2,IF(Credit_Metrics!D24&gt;=Thresh_A_Mgn,3,IF(Credit_Metrics!D24&gt;=Thresh_BBB_Mgn,4,IF(Credit_Metrics!D24&gt;=Thresh_BB_Mgn,5,IF(Credit_Metrics!D24&gt;=Thresh_B_Mgn,6,7))))))</f>
        <v>3</v>
      </c>
      <c r="E16" s="40" t="n">
        <f aca="false">IF(Credit_Metrics!E24&gt;=Thresh_AAA_Mgn,1,IF(Credit_Metrics!E24&gt;=Thresh_AA_Mgn,2,IF(Credit_Metrics!E24&gt;=Thresh_A_Mgn,3,IF(Credit_Metrics!E24&gt;=Thresh_BBB_Mgn,4,IF(Credit_Metrics!E24&gt;=Thresh_BB_Mgn,5,IF(Credit_Metrics!E24&gt;=Thresh_B_Mgn,6,7))))))</f>
        <v>3</v>
      </c>
      <c r="F16" s="40" t="n">
        <f aca="false">IF(Credit_Metrics!F24&gt;=Thresh_AAA_Mgn,1,IF(Credit_Metrics!F24&gt;=Thresh_AA_Mgn,2,IF(Credit_Metrics!F24&gt;=Thresh_A_Mgn,3,IF(Credit_Metrics!F24&gt;=Thresh_BBB_Mgn,4,IF(Credit_Metrics!F24&gt;=Thresh_BB_Mgn,5,IF(Credit_Metrics!F24&gt;=Thresh_B_Mgn,6,7))))))</f>
        <v>3</v>
      </c>
      <c r="G16" s="40" t="n">
        <f aca="false">IF(Credit_Metrics!G24&gt;=Thresh_AAA_Mgn,1,IF(Credit_Metrics!G24&gt;=Thresh_AA_Mgn,2,IF(Credit_Metrics!G24&gt;=Thresh_A_Mgn,3,IF(Credit_Metrics!G24&gt;=Thresh_BBB_Mgn,4,IF(Credit_Metrics!G24&gt;=Thresh_BB_Mgn,5,IF(Credit_Metrics!G24&gt;=Thresh_B_Mgn,6,7))))))</f>
        <v>3</v>
      </c>
    </row>
    <row r="17" customFormat="false" ht="15" hidden="false" customHeight="false" outlineLevel="0" collapsed="false">
      <c r="A17" s="6"/>
      <c r="B17" s="6"/>
      <c r="C17" s="6"/>
      <c r="D17" s="6"/>
      <c r="E17" s="6"/>
      <c r="F17" s="6"/>
      <c r="G17" s="6"/>
    </row>
    <row r="18" customFormat="false" ht="15" hidden="false" customHeight="false" outlineLevel="0" collapsed="false">
      <c r="A18" s="6"/>
      <c r="B18" s="9" t="s">
        <v>275</v>
      </c>
      <c r="C18" s="10"/>
      <c r="D18" s="10"/>
      <c r="E18" s="10"/>
      <c r="F18" s="10"/>
      <c r="G18" s="10"/>
    </row>
    <row r="19" customFormat="false" ht="15" hidden="false" customHeight="false" outlineLevel="0" collapsed="false">
      <c r="A19" s="6"/>
      <c r="B19" s="7" t="s">
        <v>276</v>
      </c>
      <c r="C19" s="41" t="n">
        <f aca="false">ROUND((C10+C12+C14+C16)/4,0)</f>
        <v>3</v>
      </c>
      <c r="D19" s="41" t="n">
        <f aca="false">ROUND((D10+D12+D14+D16)/4,0)</f>
        <v>3</v>
      </c>
      <c r="E19" s="41" t="n">
        <f aca="false">ROUND((E10+E12+E14+E16)/4,0)</f>
        <v>2</v>
      </c>
      <c r="F19" s="41" t="n">
        <f aca="false">ROUND((F10+F12+F14+F16)/4,0)</f>
        <v>2</v>
      </c>
      <c r="G19" s="41" t="n">
        <f aca="false">ROUND((G10+G12+G14+G16)/4,0)</f>
        <v>2</v>
      </c>
    </row>
    <row r="20" customFormat="false" ht="15" hidden="false" customHeight="false" outlineLevel="0" collapsed="false">
      <c r="A20" s="6"/>
      <c r="B20" s="36" t="s">
        <v>266</v>
      </c>
      <c r="C20" s="6"/>
      <c r="D20" s="6"/>
      <c r="E20" s="6"/>
      <c r="F20" s="6"/>
      <c r="G20" s="6"/>
    </row>
    <row r="21" customFormat="false" ht="15" hidden="false" customHeight="false" outlineLevel="0" collapsed="false">
      <c r="A21" s="6"/>
      <c r="B21" s="7" t="s">
        <v>266</v>
      </c>
      <c r="C21" s="42" t="str">
        <f aca="false">CHOOSE(C19,"AAA","AA","A","BBB","BB","B","CCC")</f>
        <v>A</v>
      </c>
      <c r="D21" s="42" t="str">
        <f aca="false">CHOOSE(D19,"AAA","AA","A","BBB","BB","B","CCC")</f>
        <v>A</v>
      </c>
      <c r="E21" s="42" t="str">
        <f aca="false">CHOOSE(E19,"AAA","AA","A","BBB","BB","B","CCC")</f>
        <v>AA</v>
      </c>
      <c r="F21" s="42" t="str">
        <f aca="false">CHOOSE(F19,"AAA","AA","A","BBB","BB","B","CCC")</f>
        <v>AA</v>
      </c>
      <c r="G21" s="42" t="str">
        <f aca="false">CHOOSE(G19,"AAA","AA","A","BBB","BB","B","CCC")</f>
        <v>AA</v>
      </c>
    </row>
    <row r="22" customFormat="false" ht="15" hidden="false" customHeight="false" outlineLevel="0" collapsed="false">
      <c r="A22" s="6"/>
      <c r="B22" s="6"/>
      <c r="C22" s="6"/>
      <c r="D22" s="6"/>
      <c r="E22" s="6"/>
      <c r="F22" s="6"/>
      <c r="G22" s="6"/>
    </row>
    <row r="23" customFormat="false" ht="15" hidden="false" customHeight="false" outlineLevel="0" collapsed="false">
      <c r="A23" s="6"/>
      <c r="B23" s="6"/>
      <c r="C23" s="6"/>
      <c r="D23" s="6"/>
      <c r="E23" s="6"/>
      <c r="F23" s="6"/>
      <c r="G23" s="6"/>
    </row>
    <row r="24" customFormat="false" ht="15" hidden="false" customHeight="false" outlineLevel="0" collapsed="false">
      <c r="A24" s="6"/>
      <c r="B24" s="9" t="s">
        <v>277</v>
      </c>
      <c r="C24" s="10"/>
      <c r="D24" s="10"/>
      <c r="E24" s="10"/>
      <c r="F24" s="10"/>
      <c r="G24" s="10"/>
    </row>
    <row r="25" customFormat="false" ht="15" hidden="false" customHeight="false" outlineLevel="0" collapsed="false">
      <c r="A25" s="6"/>
      <c r="B25" s="22" t="s">
        <v>278</v>
      </c>
      <c r="C25" s="22" t="s">
        <v>279</v>
      </c>
      <c r="D25" s="22" t="s">
        <v>280</v>
      </c>
      <c r="E25" s="6"/>
      <c r="F25" s="6"/>
      <c r="G25" s="6"/>
    </row>
    <row r="26" customFormat="false" ht="15" hidden="false" customHeight="false" outlineLevel="0" collapsed="false">
      <c r="A26" s="6"/>
      <c r="B26" s="43" t="n">
        <v>1</v>
      </c>
      <c r="C26" s="44" t="s">
        <v>281</v>
      </c>
      <c r="D26" s="8" t="s">
        <v>282</v>
      </c>
      <c r="E26" s="6"/>
      <c r="F26" s="6"/>
      <c r="G26" s="6"/>
    </row>
    <row r="27" customFormat="false" ht="15" hidden="false" customHeight="false" outlineLevel="0" collapsed="false">
      <c r="A27" s="6"/>
      <c r="B27" s="45" t="n">
        <v>2</v>
      </c>
      <c r="C27" s="46" t="s">
        <v>283</v>
      </c>
      <c r="D27" s="47" t="s">
        <v>284</v>
      </c>
      <c r="E27" s="6"/>
      <c r="F27" s="6"/>
      <c r="G27" s="6"/>
    </row>
    <row r="28" customFormat="false" ht="15" hidden="false" customHeight="false" outlineLevel="0" collapsed="false">
      <c r="A28" s="6"/>
      <c r="B28" s="43" t="n">
        <v>3</v>
      </c>
      <c r="C28" s="44" t="s">
        <v>285</v>
      </c>
      <c r="D28" s="8" t="s">
        <v>286</v>
      </c>
      <c r="E28" s="6"/>
      <c r="F28" s="6"/>
      <c r="G28" s="6"/>
    </row>
    <row r="29" customFormat="false" ht="15" hidden="false" customHeight="false" outlineLevel="0" collapsed="false">
      <c r="A29" s="6"/>
      <c r="B29" s="45" t="n">
        <v>4</v>
      </c>
      <c r="C29" s="46" t="s">
        <v>287</v>
      </c>
      <c r="D29" s="47" t="s">
        <v>288</v>
      </c>
      <c r="E29" s="6"/>
      <c r="F29" s="6"/>
      <c r="G29" s="6"/>
    </row>
    <row r="30" customFormat="false" ht="15" hidden="false" customHeight="false" outlineLevel="0" collapsed="false">
      <c r="A30" s="6"/>
      <c r="B30" s="43" t="n">
        <v>5</v>
      </c>
      <c r="C30" s="44" t="s">
        <v>289</v>
      </c>
      <c r="D30" s="8" t="s">
        <v>290</v>
      </c>
      <c r="E30" s="6"/>
      <c r="F30" s="6"/>
      <c r="G30" s="6"/>
    </row>
    <row r="31" customFormat="false" ht="15" hidden="false" customHeight="false" outlineLevel="0" collapsed="false">
      <c r="A31" s="6"/>
      <c r="B31" s="45" t="n">
        <v>6</v>
      </c>
      <c r="C31" s="46" t="s">
        <v>291</v>
      </c>
      <c r="D31" s="47" t="s">
        <v>292</v>
      </c>
      <c r="E31" s="6"/>
      <c r="F31" s="6"/>
      <c r="G31" s="6"/>
    </row>
    <row r="32" customFormat="false" ht="15" hidden="false" customHeight="false" outlineLevel="0" collapsed="false">
      <c r="A32" s="6"/>
      <c r="B32" s="43" t="n">
        <v>7</v>
      </c>
      <c r="C32" s="44" t="s">
        <v>293</v>
      </c>
      <c r="D32" s="8" t="s">
        <v>294</v>
      </c>
      <c r="E32" s="6"/>
      <c r="F32" s="6"/>
      <c r="G32"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295</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296</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2"/>
      <c r="C5" s="26" t="n">
        <f aca="false">Model_Start_Year+0</f>
        <v>2026</v>
      </c>
      <c r="D5" s="26" t="n">
        <f aca="false">Model_Start_Year+1</f>
        <v>2027</v>
      </c>
      <c r="E5" s="26" t="n">
        <f aca="false">Model_Start_Year+2</f>
        <v>2028</v>
      </c>
      <c r="F5" s="26" t="n">
        <f aca="false">Model_Start_Year+3</f>
        <v>2029</v>
      </c>
      <c r="G5" s="26" t="n">
        <f aca="false">Model_Start_Year+4</f>
        <v>2030</v>
      </c>
    </row>
    <row r="6" customFormat="false" ht="15" hidden="false" customHeight="false" outlineLevel="0" collapsed="false">
      <c r="A6" s="6"/>
      <c r="B6" s="6"/>
      <c r="C6" s="6"/>
      <c r="D6" s="6"/>
      <c r="E6" s="6"/>
      <c r="F6" s="6"/>
      <c r="G6" s="6"/>
    </row>
    <row r="7" customFormat="false" ht="15" hidden="false" customHeight="false" outlineLevel="0" collapsed="false">
      <c r="A7" s="6"/>
      <c r="B7" s="9" t="s">
        <v>24</v>
      </c>
      <c r="C7" s="10"/>
      <c r="D7" s="10"/>
      <c r="E7" s="10"/>
      <c r="F7" s="10"/>
      <c r="G7" s="10"/>
    </row>
    <row r="8" customFormat="false" ht="15" hidden="false" customHeight="false" outlineLevel="0" collapsed="false">
      <c r="A8" s="6"/>
      <c r="B8" s="8" t="s">
        <v>297</v>
      </c>
      <c r="C8" s="48" t="str">
        <f aca="false">IF(ROUND(Balance_Sheet!C22-Balance_Sheet!C44,0)=0,"PASS","FAIL")</f>
        <v>PASS</v>
      </c>
      <c r="D8" s="48" t="str">
        <f aca="false">IF(ROUND(Balance_Sheet!D22-Balance_Sheet!D44,0)=0,"PASS","FAIL")</f>
        <v>PASS</v>
      </c>
      <c r="E8" s="48" t="str">
        <f aca="false">IF(ROUND(Balance_Sheet!E22-Balance_Sheet!E44,0)=0,"PASS","FAIL")</f>
        <v>PASS</v>
      </c>
      <c r="F8" s="48" t="str">
        <f aca="false">IF(ROUND(Balance_Sheet!F22-Balance_Sheet!F44,0)=0,"PASS","FAIL")</f>
        <v>PASS</v>
      </c>
      <c r="G8" s="48" t="str">
        <f aca="false">IF(ROUND(Balance_Sheet!G22-Balance_Sheet!G44,0)=0,"PASS","FAIL")</f>
        <v>PASS</v>
      </c>
    </row>
    <row r="9" customFormat="false" ht="15" hidden="false" customHeight="false" outlineLevel="0" collapsed="false">
      <c r="A9" s="6"/>
      <c r="B9" s="8" t="s">
        <v>298</v>
      </c>
      <c r="C9" s="48" t="str">
        <f aca="false">IF(AND(Income_Statement!C14/Income_Statement!C9&gt;0,Income_Statement!C14/Income_Statement!C9&lt;1),"PASS","FAIL")</f>
        <v>PASS</v>
      </c>
      <c r="D9" s="48" t="str">
        <f aca="false">IF(AND(Income_Statement!D14/Income_Statement!D9&gt;0,Income_Statement!D14/Income_Statement!D9&lt;1),"PASS","FAIL")</f>
        <v>PASS</v>
      </c>
      <c r="E9" s="48" t="str">
        <f aca="false">IF(AND(Income_Statement!E14/Income_Statement!E9&gt;0,Income_Statement!E14/Income_Statement!E9&lt;1),"PASS","FAIL")</f>
        <v>PASS</v>
      </c>
      <c r="F9" s="48" t="str">
        <f aca="false">IF(AND(Income_Statement!F14/Income_Statement!F9&gt;0,Income_Statement!F14/Income_Statement!F9&lt;1),"PASS","FAIL")</f>
        <v>PASS</v>
      </c>
      <c r="G9" s="48" t="str">
        <f aca="false">IF(AND(Income_Statement!G14/Income_Statement!G9&gt;0,Income_Statement!G14/Income_Statement!G9&lt;1),"PASS","FAIL")</f>
        <v>PASS</v>
      </c>
    </row>
    <row r="10" customFormat="false" ht="15" hidden="false" customHeight="false" outlineLevel="0" collapsed="false">
      <c r="A10" s="6"/>
      <c r="B10" s="8" t="s">
        <v>299</v>
      </c>
      <c r="C10" s="48" t="str">
        <f aca="false">IF(Income_Statement!C23/Income_Statement!C9&gt;0,"PASS","FAIL")</f>
        <v>PASS</v>
      </c>
      <c r="D10" s="48" t="str">
        <f aca="false">IF(Income_Statement!D23/Income_Statement!D9&gt;0,"PASS","FAIL")</f>
        <v>PASS</v>
      </c>
      <c r="E10" s="48" t="str">
        <f aca="false">IF(Income_Statement!E23/Income_Statement!E9&gt;0,"PASS","FAIL")</f>
        <v>PASS</v>
      </c>
      <c r="F10" s="48" t="str">
        <f aca="false">IF(Income_Statement!F23/Income_Statement!F9&gt;0,"PASS","FAIL")</f>
        <v>PASS</v>
      </c>
      <c r="G10" s="48" t="str">
        <f aca="false">IF(Income_Statement!G23/Income_Statement!G9&gt;0,"PASS","FAIL")</f>
        <v>PASS</v>
      </c>
    </row>
    <row r="11" customFormat="false" ht="15" hidden="false" customHeight="false" outlineLevel="0" collapsed="false">
      <c r="A11" s="6"/>
      <c r="B11" s="8" t="s">
        <v>300</v>
      </c>
      <c r="C11" s="48" t="str">
        <f aca="false">IF(Cash_Flow!C33&gt;0,"PASS","FAIL")</f>
        <v>PASS</v>
      </c>
      <c r="D11" s="48" t="str">
        <f aca="false">IF(Cash_Flow!D33&gt;0,"PASS","FAIL")</f>
        <v>PASS</v>
      </c>
      <c r="E11" s="48" t="str">
        <f aca="false">IF(Cash_Flow!E33&gt;0,"PASS","FAIL")</f>
        <v>PASS</v>
      </c>
      <c r="F11" s="48" t="str">
        <f aca="false">IF(Cash_Flow!F33&gt;0,"PASS","FAIL")</f>
        <v>PASS</v>
      </c>
      <c r="G11" s="48" t="str">
        <f aca="false">IF(Cash_Flow!G33&gt;0,"PASS","FAIL")</f>
        <v>PASS</v>
      </c>
    </row>
    <row r="12" customFormat="false" ht="15" hidden="false" customHeight="false" outlineLevel="0" collapsed="false">
      <c r="A12" s="6"/>
      <c r="B12" s="8" t="s">
        <v>301</v>
      </c>
      <c r="C12" s="48" t="str">
        <f aca="false">IF(Credit_Metrics!C17&lt;10,"PASS","FAIL")</f>
        <v>PASS</v>
      </c>
      <c r="D12" s="48" t="str">
        <f aca="false">IF(Credit_Metrics!D17&lt;10,"PASS","FAIL")</f>
        <v>PASS</v>
      </c>
      <c r="E12" s="48" t="str">
        <f aca="false">IF(Credit_Metrics!E17&lt;10,"PASS","FAIL")</f>
        <v>PASS</v>
      </c>
      <c r="F12" s="48" t="str">
        <f aca="false">IF(Credit_Metrics!F17&lt;10,"PASS","FAIL")</f>
        <v>PASS</v>
      </c>
      <c r="G12" s="48" t="str">
        <f aca="false">IF(Credit_Metrics!G17&lt;10,"PASS","FAIL")</f>
        <v>PASS</v>
      </c>
    </row>
    <row r="13" customFormat="false" ht="15" hidden="false" customHeight="false" outlineLevel="0" collapsed="false">
      <c r="A13" s="6"/>
      <c r="B13" s="8" t="s">
        <v>302</v>
      </c>
      <c r="C13" s="48" t="str">
        <f aca="false">IF(Credit_Metrics!C20&gt;1,"PASS","FAIL")</f>
        <v>PASS</v>
      </c>
      <c r="D13" s="48" t="str">
        <f aca="false">IF(Credit_Metrics!D20&gt;1,"PASS","FAIL")</f>
        <v>PASS</v>
      </c>
      <c r="E13" s="48" t="str">
        <f aca="false">IF(Credit_Metrics!E20&gt;1,"PASS","FAIL")</f>
        <v>PASS</v>
      </c>
      <c r="F13" s="48" t="str">
        <f aca="false">IF(Credit_Metrics!F20&gt;1,"PASS","FAIL")</f>
        <v>PASS</v>
      </c>
      <c r="G13" s="48" t="str">
        <f aca="false">IF(Credit_Metrics!G20&gt;1,"PASS","FAIL")</f>
        <v>PASS</v>
      </c>
    </row>
    <row r="14" customFormat="false" ht="15" hidden="false" customHeight="false" outlineLevel="0" collapsed="false">
      <c r="A14" s="6"/>
      <c r="B14" s="8" t="s">
        <v>303</v>
      </c>
      <c r="C14" s="48" t="str">
        <f aca="false">IF(Income_Statement!C36&lt;=Senior_Debt_Amt,"PASS","FAIL")</f>
        <v>PASS</v>
      </c>
      <c r="D14" s="48" t="str">
        <f aca="false">IF(Income_Statement!D36&lt;=Income_Statement!C36,"PASS","FAIL")</f>
        <v>PASS</v>
      </c>
      <c r="E14" s="48" t="str">
        <f aca="false">IF(Income_Statement!E36&lt;=Income_Statement!D36,"PASS","FAIL")</f>
        <v>PASS</v>
      </c>
      <c r="F14" s="48" t="str">
        <f aca="false">IF(Income_Statement!F36&lt;=Income_Statement!E36,"PASS","FAIL")</f>
        <v>PASS</v>
      </c>
      <c r="G14" s="48" t="str">
        <f aca="false">IF(Income_Statement!G36&lt;=Income_Statement!F36,"PASS","FAIL")</f>
        <v>PASS</v>
      </c>
    </row>
    <row r="15" customFormat="false" ht="15" hidden="false" customHeight="false" outlineLevel="0" collapsed="false">
      <c r="A15" s="6"/>
      <c r="B15" s="8" t="s">
        <v>304</v>
      </c>
      <c r="C15" s="48" t="str">
        <f aca="false">IF(Balance_Sheet!C42&gt;0,"PASS","FAIL")</f>
        <v>PASS</v>
      </c>
      <c r="D15" s="48" t="str">
        <f aca="false">IF(Balance_Sheet!D42&gt;0,"PASS","FAIL")</f>
        <v>PASS</v>
      </c>
      <c r="E15" s="48" t="str">
        <f aca="false">IF(Balance_Sheet!E42&gt;0,"PASS","FAIL")</f>
        <v>PASS</v>
      </c>
      <c r="F15" s="48" t="str">
        <f aca="false">IF(Balance_Sheet!F42&gt;0,"PASS","FAIL")</f>
        <v>PASS</v>
      </c>
      <c r="G15" s="48" t="str">
        <f aca="false">IF(Balance_Sheet!G42&gt;0,"PASS","FAIL")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9" t="s">
        <v>305</v>
      </c>
    </row>
    <row r="3" customFormat="false" ht="3.75" hidden="false" customHeight="true" outlineLevel="0" collapsed="false">
      <c r="B3" s="50"/>
    </row>
    <row r="5" customFormat="false" ht="19.5" hidden="false" customHeight="true" outlineLevel="0" collapsed="false">
      <c r="B5" s="51" t="s">
        <v>306</v>
      </c>
    </row>
    <row r="6" customFormat="false" ht="48" hidden="false" customHeight="true" outlineLevel="0" collapsed="false">
      <c r="B6" s="52" t="s">
        <v>307</v>
      </c>
    </row>
    <row r="8" customFormat="false" ht="19.5" hidden="false" customHeight="true" outlineLevel="0" collapsed="false">
      <c r="B8" s="51" t="s">
        <v>308</v>
      </c>
    </row>
    <row r="9" customFormat="false" ht="61.5" hidden="false" customHeight="true" outlineLevel="0" collapsed="false">
      <c r="B9" s="52" t="s">
        <v>309</v>
      </c>
    </row>
    <row r="11" customFormat="false" ht="19.5" hidden="false" customHeight="true" outlineLevel="0" collapsed="false">
      <c r="B11" s="51" t="s">
        <v>310</v>
      </c>
    </row>
    <row r="12" customFormat="false" ht="75.75" hidden="false" customHeight="true" outlineLevel="0" collapsed="false">
      <c r="B12" s="52" t="s">
        <v>311</v>
      </c>
    </row>
    <row r="14" customFormat="false" ht="19.5" hidden="false" customHeight="true" outlineLevel="0" collapsed="false">
      <c r="B14" s="51" t="s">
        <v>312</v>
      </c>
    </row>
    <row r="15" customFormat="false" ht="61.5" hidden="false" customHeight="true" outlineLevel="0" collapsed="false">
      <c r="B15" s="52" t="s">
        <v>313</v>
      </c>
    </row>
    <row r="17" customFormat="false" ht="19.5" hidden="false" customHeight="true" outlineLevel="0" collapsed="false">
      <c r="B17" s="51" t="s">
        <v>314</v>
      </c>
    </row>
    <row r="18" customFormat="false" ht="33.75" hidden="false" customHeight="true" outlineLevel="0" collapsed="false">
      <c r="B18" s="52" t="s">
        <v>315</v>
      </c>
    </row>
    <row r="20" customFormat="false" ht="19.5" hidden="false" customHeight="true" outlineLevel="0" collapsed="false">
      <c r="B20" s="51" t="s">
        <v>316</v>
      </c>
    </row>
    <row r="21" customFormat="false" ht="33.75" hidden="false" customHeight="true" outlineLevel="0" collapsed="false">
      <c r="B21" s="52" t="s">
        <v>317</v>
      </c>
    </row>
    <row r="23" customFormat="false" ht="21.75" hidden="false" customHeight="true" outlineLevel="0" collapsed="false">
      <c r="B23" s="53" t="s">
        <v>318</v>
      </c>
    </row>
    <row r="25" customFormat="false" ht="18" hidden="false" customHeight="true" outlineLevel="0" collapsed="false">
      <c r="B25" s="54" t="s">
        <v>319</v>
      </c>
    </row>
    <row r="26" customFormat="false" ht="201.75" hidden="false" customHeight="true" outlineLevel="0" collapsed="false">
      <c r="B26" s="55" t="s">
        <v>320</v>
      </c>
    </row>
    <row r="28" customFormat="false" ht="18" hidden="false" customHeight="true" outlineLevel="0" collapsed="false">
      <c r="B28" s="56" t="s">
        <v>321</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2026-05-15T18:52:59Z</dcterms:created>
  <dc:creator>openpyxl</dc:creator>
  <dc:description/>
  <dc:language>en-GB</dc:language>
  <cp:lastModifiedBy/>
  <dcterms:modified xsi:type="dcterms:W3CDTF">2026-05-15T18:52:59Z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