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Backlog_Revenue" sheetId="3" state="visible" r:id="rId5"/>
    <sheet name="Direct_Costs" sheetId="4" state="visible" r:id="rId6"/>
    <sheet name="Staffing" sheetId="5" state="visible" r:id="rId7"/>
    <sheet name="OpEx" sheetId="6" state="visible" r:id="rId8"/>
    <sheet name="CapEx_Depr" sheetId="7" state="visible" r:id="rId9"/>
    <sheet name="Working_Capital" sheetId="8" state="visible" r:id="rId10"/>
    <sheet name="Debt_Schedule" sheetId="9" state="visible" r:id="rId11"/>
    <sheet name="Income_Statement" sheetId="10" state="visible" r:id="rId12"/>
    <sheet name="Balance_Sheet" sheetId="11" state="visible" r:id="rId13"/>
    <sheet name="Cash_Flow" sheetId="12" state="visible" r:id="rId14"/>
    <sheet name="Checks" sheetId="13" state="visible" r:id="rId15"/>
    <sheet name="Disclaimer" sheetId="14" state="visible" r:id="rId16"/>
  </sheets>
  <definedNames>
    <definedName function="false" hidden="false" name="Accrued_Pct" vbProcedure="false">Assumptions!$C$61</definedName>
    <definedName function="false" hidden="false" name="Asset_Life" vbProcedure="false">Assumptions!$C$52</definedName>
    <definedName function="false" hidden="false" name="Avg_FTE_Cost" vbProcedure="false">Assumptions!$C$39</definedName>
    <definedName function="false" hidden="false" name="BD_Pct" vbProcedure="false">Assumptions!$C$43</definedName>
    <definedName function="false" hidden="false" name="Bookings_Base" vbProcedure="false">Assumptions!$C$12</definedName>
    <definedName function="false" hidden="false" name="Bookings_Gr_Y1" vbProcedure="false">Assumptions!$C$13</definedName>
    <definedName function="false" hidden="false" name="Bookings_Gr_Y2" vbProcedure="false">Assumptions!$C$14</definedName>
    <definedName function="false" hidden="false" name="Bookings_Gr_Y3" vbProcedure="false">Assumptions!$C$15</definedName>
    <definedName function="false" hidden="false" name="Bookings_Gr_Y4" vbProcedure="false">Assumptions!$C$16</definedName>
    <definedName function="false" hidden="false" name="Bookings_Gr_Y5" vbProcedure="false">Assumptions!$C$17</definedName>
    <definedName function="false" hidden="false" name="BR_BTB" vbProcedure="false">Backlog_Revenue!$C$14:$G$14</definedName>
    <definedName function="false" hidden="false" name="BR_Clin_Rev" vbProcedure="false">Backlog_Revenue!$C$17:$G$17</definedName>
    <definedName function="false" hidden="false" name="BR_Close_BL" vbProcedure="false">Backlog_Revenue!$C$13:$G$13</definedName>
    <definedName function="false" hidden="false" name="BR_Consult" vbProcedure="false">Backlog_Revenue!$C$20:$G$20</definedName>
    <definedName function="false" hidden="false" name="BR_Lab" vbProcedure="false">Backlog_Revenue!$C$22:$G$22</definedName>
    <definedName function="false" hidden="false" name="BR_New_Book" vbProcedure="false">Backlog_Revenue!$C$10:$G$10</definedName>
    <definedName function="false" hidden="false" name="BR_Passthru" vbProcedure="false">Backlog_Revenue!$C$18:$G$18</definedName>
    <definedName function="false" hidden="false" name="BR_Rev_Recog" vbProcedure="false">Backlog_Revenue!$C$12:$G$12</definedName>
    <definedName function="false" hidden="false" name="BR_Total_Rev" vbProcedure="false">Backlog_Revenue!$C$24:$G$24</definedName>
    <definedName function="false" hidden="false" name="BS_Accrued" vbProcedure="false">Balance_Sheet!$C$27:$G$27</definedName>
    <definedName function="false" hidden="false" name="BS_AP" vbProcedure="false">Balance_Sheet!$C$25:$G$25</definedName>
    <definedName function="false" hidden="false" name="BS_AR" vbProcedure="false">Balance_Sheet!$C$11:$G$11</definedName>
    <definedName function="false" hidden="false" name="BS_Cash" vbProcedure="false">Balance_Sheet!$C$10:$G$10</definedName>
    <definedName function="false" hidden="false" name="BS_Deferred" vbProcedure="false">Balance_Sheet!$C$26:$G$26</definedName>
    <definedName function="false" hidden="false" name="BS_Ret_Earn" vbProcedure="false">Balance_Sheet!$C$39:$G$39</definedName>
    <definedName function="false" hidden="false" name="BS_Total_Assets" vbProcedure="false">Balance_Sheet!$C$21:$G$21</definedName>
    <definedName function="false" hidden="false" name="BS_Total_Eq" vbProcedure="false">Balance_Sheet!$C$40:$G$40</definedName>
    <definedName function="false" hidden="false" name="BS_Total_LE" vbProcedure="false">Balance_Sheet!$C$42:$G$42</definedName>
    <definedName function="false" hidden="false" name="BS_Total_Liab" vbProcedure="false">Balance_Sheet!$C$35:$G$35</definedName>
    <definedName function="false" hidden="false" name="BS_Unbilled" vbProcedure="false">Balance_Sheet!$C$12:$G$12</definedName>
    <definedName function="false" hidden="false" name="Burn_Rate" vbProcedure="false">Assumptions!$C$19</definedName>
    <definedName function="false" hidden="false" name="Cancel_Rate" vbProcedure="false">Assumptions!$C$18</definedName>
    <definedName function="false" hidden="false" name="CD_Accum_Depr" vbProcedure="false">CapEx_Depr!$C$20:$G$20</definedName>
    <definedName function="false" hidden="false" name="CD_Net_PPE" vbProcedure="false">CapEx_Depr!$C$21:$G$21</definedName>
    <definedName function="false" hidden="false" name="CD_PPE_Gross" vbProcedure="false">CapEx_Depr!$C$19:$G$19</definedName>
    <definedName function="false" hidden="false" name="CD_Total_CapEx" vbProcedure="false">CapEx_Depr!$C$11:$G$11</definedName>
    <definedName function="false" hidden="false" name="CD_Total_DA" vbProcedure="false">CapEx_Depr!$C$16:$G$16</definedName>
    <definedName function="false" hidden="false" name="CF_CFF" vbProcedure="false">Cash_Flow!$C$26:$G$26</definedName>
    <definedName function="false" hidden="false" name="CF_CFI" vbProcedure="false">Cash_Flow!$C$20:$G$20</definedName>
    <definedName function="false" hidden="false" name="CF_CFO" vbProcedure="false">Cash_Flow!$C$16:$G$16</definedName>
    <definedName function="false" hidden="false" name="CF_Close_Cash" vbProcedure="false">Cash_Flow!$C$31:$G$31</definedName>
    <definedName function="false" hidden="false" name="CF_Open_Cash" vbProcedure="false">Cash_Flow!$C$30:$G$30</definedName>
    <definedName function="false" hidden="false" name="Commit_Fee_Rate" vbProcedure="false">Assumptions!$C$68</definedName>
    <definedName function="false" hidden="false" name="Consult_Base" vbProcedure="false">Assumptions!$C$22</definedName>
    <definedName function="false" hidden="false" name="Consult_Growth" vbProcedure="false">Assumptions!$C$23</definedName>
    <definedName function="false" hidden="false" name="DC_Gross_Profit" vbProcedure="false">Direct_Costs!$C$21:$G$21</definedName>
    <definedName function="false" hidden="false" name="DC_Labour" vbProcedure="false">Direct_Costs!$C$10:$G$10</definedName>
    <definedName function="false" hidden="false" name="DC_Lab_COGS" vbProcedure="false">Direct_Costs!$C$17:$G$17</definedName>
    <definedName function="false" hidden="false" name="DC_Passthru" vbProcedure="false">Direct_Costs!$C$11:$G$11</definedName>
    <definedName function="false" hidden="false" name="DC_Total_Dir" vbProcedure="false">Direct_Costs!$C$19:$G$19</definedName>
    <definedName function="false" hidden="false" name="DC_Travel" vbProcedure="false">Direct_Costs!$C$12:$G$12</definedName>
    <definedName function="false" hidden="false" name="Defer_Rev_Days" vbProcedure="false">Assumptions!$C$60</definedName>
    <definedName function="false" hidden="false" name="Direct_Labour_Pct" vbProcedure="false">Assumptions!$C$33</definedName>
    <definedName function="false" hidden="false" name="Div_Payout" vbProcedure="false">Assumptions!$C$72</definedName>
    <definedName function="false" hidden="false" name="DPO_Days" vbProcedure="false">Assumptions!$C$59</definedName>
    <definedName function="false" hidden="false" name="DSO_Days" vbProcedure="false">Assumptions!$C$57</definedName>
    <definedName function="false" hidden="false" name="DS_Commit_Fee" vbProcedure="false">Debt_Schedule!$C$16:$G$16</definedName>
    <definedName function="false" hidden="false" name="DS_TL_Close" vbProcedure="false">Debt_Schedule!$C$11:$G$11</definedName>
    <definedName function="false" hidden="false" name="DS_TL_Int" vbProcedure="false">Debt_Schedule!$C$12:$G$12</definedName>
    <definedName function="false" hidden="false" name="DS_TL_Open" vbProcedure="false">Debt_Schedule!$C$9:$G$9</definedName>
    <definedName function="false" hidden="false" name="DS_TL_Repay" vbProcedure="false">Debt_Schedule!$C$10:$G$10</definedName>
    <definedName function="false" hidden="false" name="DS_Total_Int" vbProcedure="false">Debt_Schedule!$C$18:$G$18</definedName>
    <definedName function="false" hidden="false" name="Facil_Base" vbProcedure="false">Assumptions!$C$45</definedName>
    <definedName function="false" hidden="false" name="Facil_Esc" vbProcedure="false">Assumptions!$C$46</definedName>
    <definedName function="false" hidden="false" name="Growth_CapEx_Gr" vbProcedure="false">Assumptions!$C$51</definedName>
    <definedName function="false" hidden="false" name="Growth_CapEx_Y1" vbProcedure="false">Assumptions!$C$50</definedName>
    <definedName function="false" hidden="false" name="IS_DA" vbProcedure="false">Income_Statement!$C$36:$G$36</definedName>
    <definedName function="false" hidden="false" name="IS_Dividends" vbProcedure="false">Income_Statement!$C$52:$G$52</definedName>
    <definedName function="false" hidden="false" name="IS_EBIT" vbProcedure="false">Income_Statement!$C$38:$G$38</definedName>
    <definedName function="false" hidden="false" name="IS_EBITDA" vbProcedure="false">Income_Statement!$C$32:$G$32</definedName>
    <definedName function="false" hidden="false" name="IS_EBT" vbProcedure="false">Income_Statement!$C$45:$G$45</definedName>
    <definedName function="false" hidden="false" name="IS_Net_Inc" vbProcedure="false">Income_Statement!$C$49:$G$49</definedName>
    <definedName function="false" hidden="false" name="IS_Net_Int" vbProcedure="false">Income_Statement!$C$43:$G$43</definedName>
    <definedName function="false" hidden="false" name="IS_Tax" vbProcedure="false">Income_Statement!$C$47:$G$47</definedName>
    <definedName function="false" hidden="false" name="IS_Total_COGS" vbProcedure="false">Income_Statement!$C$20:$G$20</definedName>
    <definedName function="false" hidden="false" name="IS_Total_OpEx" vbProcedure="false">Income_Statement!$C$30:$G$30</definedName>
    <definedName function="false" hidden="false" name="IS_Total_Rev" vbProcedure="false">Income_Statement!$C$13:$G$13</definedName>
    <definedName function="false" hidden="false" name="IT_Pct" vbProcedure="false">Assumptions!$C$44</definedName>
    <definedName function="false" hidden="false" name="Lab_Base" vbProcedure="false">Assumptions!$C$26</definedName>
    <definedName function="false" hidden="false" name="Lab_COGS_Pct" vbProcedure="false">Assumptions!$C$35</definedName>
    <definedName function="false" hidden="false" name="Lab_Growth" vbProcedure="false">Assumptions!$C$27</definedName>
    <definedName function="false" hidden="false" name="Maint_CapEx_Pct" vbProcedure="false">Assumptions!$C$49</definedName>
    <definedName function="false" hidden="false" name="Model_Start_Year" vbProcedure="false">Assumptions!$C$8</definedName>
    <definedName function="false" hidden="false" name="Open_Accum_Depr" vbProcedure="false">Assumptions!$C$54</definedName>
    <definedName function="false" hidden="false" name="Open_Backlog" vbProcedure="false">Assumptions!$C$11</definedName>
    <definedName function="false" hidden="false" name="Open_Cash" vbProcedure="false">Assumptions!$C$75</definedName>
    <definedName function="false" hidden="false" name="Open_PPE_Gross" vbProcedure="false">Assumptions!$C$53</definedName>
    <definedName function="false" hidden="false" name="Open_Ret_Earn" vbProcedure="false">Assumptions!$C$77</definedName>
    <definedName function="false" hidden="false" name="OX_BD" vbProcedure="false">OpEx!$C$10:$G$10</definedName>
    <definedName function="false" hidden="false" name="OX_Facil" vbProcedure="false">OpEx!$C$12:$G$12</definedName>
    <definedName function="false" hidden="false" name="OX_IT" vbProcedure="false">OpEx!$C$11:$G$11</definedName>
    <definedName function="false" hidden="false" name="OX_SGA" vbProcedure="false">OpEx!$C$9:$G$9</definedName>
    <definedName function="false" hidden="false" name="OX_Total" vbProcedure="false">OpEx!$C$13:$G$13</definedName>
    <definedName function="false" hidden="false" name="Passthru_Pct" vbProcedure="false">Assumptions!$C$30</definedName>
    <definedName function="false" hidden="false" name="Revolver_Limit" vbProcedure="false">Assumptions!$C$67</definedName>
    <definedName function="false" hidden="false" name="SGA_Pct" vbProcedure="false">Assumptions!$C$42</definedName>
    <definedName function="false" hidden="false" name="Share_Capital_Amt" vbProcedure="false">Assumptions!$C$76</definedName>
    <definedName function="false" hidden="false" name="ST_Bill_FTE" vbProcedure="false">Staffing!$C$12:$G$12</definedName>
    <definedName function="false" hidden="false" name="ST_Rev_Per_FTE" vbProcedure="false">Staffing!$C$13:$G$13</definedName>
    <definedName function="false" hidden="false" name="Tax_Rate" vbProcedure="false">Assumptions!$C$71</definedName>
    <definedName function="false" hidden="false" name="Term_Loan_Amt" vbProcedure="false">Assumptions!$C$64</definedName>
    <definedName function="false" hidden="false" name="Term_Loan_Rate" vbProcedure="false">Assumptions!$C$65</definedName>
    <definedName function="false" hidden="false" name="Term_Loan_Tenor" vbProcedure="false">Assumptions!$C$66</definedName>
    <definedName function="false" hidden="false" name="Travel_Pct" vbProcedure="false">Assumptions!$C$34</definedName>
    <definedName function="false" hidden="false" name="Unbilled_Days" vbProcedure="false">Assumptions!$C$58</definedName>
    <definedName function="false" hidden="false" name="Util_Target" vbProcedure="false">Assumptions!$C$38</definedName>
    <definedName function="false" hidden="false" name="WC_Accrued" vbProcedure="false">Working_Capital!$C$16:$G$16</definedName>
    <definedName function="false" hidden="false" name="WC_AP" vbProcedure="false">Working_Capital!$C$14:$G$14</definedName>
    <definedName function="false" hidden="false" name="WC_AR" vbProcedure="false">Working_Capital!$C$9:$G$9</definedName>
    <definedName function="false" hidden="false" name="WC_Defer_Rev" vbProcedure="false">Working_Capital!$C$15:$G$15</definedName>
    <definedName function="false" hidden="false" name="WC_Net_WC" vbProcedure="false">Working_Capital!$C$19:$G$19</definedName>
    <definedName function="false" hidden="false" name="WC_Total_Pay" vbProcedure="false">Working_Capital!$C$17:$G$17</definedName>
    <definedName function="false" hidden="false" name="WC_Total_Rec" vbProcedure="false">Working_Capital!$C$11:$G$11</definedName>
    <definedName function="false" hidden="false" name="WC_Unbilled" vbProcedure="false">Working_Capital!$C$10:$G$10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<sst xmlns="http://schemas.openxmlformats.org/spreadsheetml/2006/main" count="422" uniqueCount="332">
  <si>
    <t xml:space="preserve">Contract Research Organisation</t>
  </si>
  <si>
    <t xml:space="preserve">FINAMODEL.com</t>
  </si>
  <si>
    <t xml:space="preserve">Financial Model</t>
  </si>
  <si>
    <t xml:space="preserve">Company Name</t>
  </si>
  <si>
    <t xml:space="preserve">[CRO Company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</si>
  <si>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</si>
  <si>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</si>
  <si>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</si>
  <si>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</si>
  <si>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</si>
  <si>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</si>
  <si>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</si>
  <si>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Assumptions</t>
  </si>
  <si>
    <t xml:space="preserve">All model inputs and drivers</t>
  </si>
  <si>
    <t xml:space="preserve">Backlog_Revenue</t>
  </si>
  <si>
    <t xml:space="preserve">Order book and revenue by service line</t>
  </si>
  <si>
    <t xml:space="preserve">Direct_Costs</t>
  </si>
  <si>
    <t xml:space="preserve">Labour, pass-throughs, gross profit</t>
  </si>
  <si>
    <t xml:space="preserve">Staffing</t>
  </si>
  <si>
    <t xml:space="preserve">Headcount and utilisation</t>
  </si>
  <si>
    <t xml:space="preserve">OpEx</t>
  </si>
  <si>
    <t xml:space="preserve">Corporate overhead</t>
  </si>
  <si>
    <t xml:space="preserve">CapEx_Depr</t>
  </si>
  <si>
    <t xml:space="preserve">Capital expenditure and depreciation</t>
  </si>
  <si>
    <t xml:space="preserve">Working_Capital</t>
  </si>
  <si>
    <t xml:space="preserve">Receivables, payables, deferred revenue</t>
  </si>
  <si>
    <t xml:space="preserve">Debt_Schedule</t>
  </si>
  <si>
    <t xml:space="preserve">Term loan, revolver, interest</t>
  </si>
  <si>
    <t xml:space="preserve">Income_Statement</t>
  </si>
  <si>
    <t xml:space="preserve">Revenue to Net Income</t>
  </si>
  <si>
    <t xml:space="preserve">Balance_Sheet</t>
  </si>
  <si>
    <t xml:space="preserve">Assets, Liabilities, Equity</t>
  </si>
  <si>
    <t xml:space="preserve">Cash_Flow</t>
  </si>
  <si>
    <t xml:space="preserve">Operating, Investing, Financing</t>
  </si>
  <si>
    <t xml:space="preserve">Checks</t>
  </si>
  <si>
    <t xml:space="preserve">Validation checks</t>
  </si>
  <si>
    <t xml:space="preserve">Tab Colour Legend</t>
  </si>
  <si>
    <t xml:space="preserve">Dark Blue</t>
  </si>
  <si>
    <t xml:space="preserve">Cover</t>
  </si>
  <si>
    <t xml:space="preserve">Light Blue</t>
  </si>
  <si>
    <t xml:space="preserve">Assumptions / Inputs</t>
  </si>
  <si>
    <t xml:space="preserve">Green</t>
  </si>
  <si>
    <t xml:space="preserve">Revenue &amp; Cost Drivers</t>
  </si>
  <si>
    <t xml:space="preserve">Orange</t>
  </si>
  <si>
    <t xml:space="preserve">Schedules</t>
  </si>
  <si>
    <t xml:space="preserve">Grey</t>
  </si>
  <si>
    <t xml:space="preserve">Financial Statements</t>
  </si>
  <si>
    <t xml:space="preserve">Red</t>
  </si>
  <si>
    <t xml:space="preserve">Debt &amp; Checks</t>
  </si>
  <si>
    <t xml:space="preserve">About this model</t>
  </si>
  <si>
    <t xml:space="preserve">This Contract Research Organisation (CRO) financial model projects revenue from clinical trial management, consulting services, and laboratory work across multiple therapeutic areas and customer segments. It models active studies by type (oncology, rare disease, etc.), active accounts, consulting utilisation (billable hours, hourly rates), and lab samples processed. Revenue grows from study volume growth, pricing escalation, and customer mix shift toward higher-margin products. The model includes customer concentration risk (top 10 customers), backlog conversion rates, and contract-specific profitability (fixed-price versus FTE/time-and-materials contracts).
The model includes operating expense sections for direct labour (clinical research associates, project managers) scaled to study volumes and account count; fixed overhead (IT, facilities, G&amp;A); business development and marketing; and technology investment (EDC/CTMS platform development). Working capital tracks receivables (55â80 day DSO typical for pharma sponsors), unbilled revenue, and deferred revenue. Capex includes laboratory equipment, office build-outs, and technology platform investment. Key margins include gross margin (after direct labour), EBITDA margin (after overhead absorption), and net margin.
This model is used by CRO management teams forecasting growth and profitability, PE sponsors evaluating CRO acquisition targets, lenders sizing working capital facilities (especially important given material unbilled receivables and payment delays from pharma sponsors), and public equity analysts researching CRO publicly traded stocks. It addresses the unique challenge of labour-intensive, contract-based business models with long customer sales cycles and complex revenue recognition.</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</si>
  <si>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</si>
  <si>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</si>
  <si>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</si>
  <si>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</si>
  <si>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</si>
  <si>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</si>
  <si>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</si>
  <si>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</si>
  <si>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</si>
  <si>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</si>
  <si>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</si>
  <si>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</si>
  <si>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Backlog &amp; Clinical Operations</t>
  </si>
  <si>
    <t xml:space="preserve">Opening Backlog</t>
  </si>
  <si>
    <t xml:space="preserve">$</t>
  </si>
  <si>
    <t xml:space="preserve">Contracted but unearned</t>
  </si>
  <si>
    <t xml:space="preserve">New Bookings (Y0 Base)</t>
  </si>
  <si>
    <t xml:space="preserve">Trailing 12m bookings</t>
  </si>
  <si>
    <t xml:space="preserve">Bookings Growth Y1</t>
  </si>
  <si>
    <t xml:space="preserve">%</t>
  </si>
  <si>
    <t xml:space="preserve">Bookings Growth Y2</t>
  </si>
  <si>
    <t xml:space="preserve">Bookings Growth Y3</t>
  </si>
  <si>
    <t xml:space="preserve">Bookings Growth Y4</t>
  </si>
  <si>
    <t xml:space="preserve">Bookings Growth Y5</t>
  </si>
  <si>
    <t xml:space="preserve">Cancellation Rate</t>
  </si>
  <si>
    <t xml:space="preserve">Annual % of opening backlog</t>
  </si>
  <si>
    <t xml:space="preserve">Backlog Burn Rate</t>
  </si>
  <si>
    <t xml:space="preserve">% closing backlog as revenue</t>
  </si>
  <si>
    <t xml:space="preserve">Consulting Revenue</t>
  </si>
  <si>
    <t xml:space="preserve">Consulting Revenue Base</t>
  </si>
  <si>
    <t xml:space="preserve">Y0 consulting revenue</t>
  </si>
  <si>
    <t xml:space="preserve">Consulting Growth Rate</t>
  </si>
  <si>
    <t xml:space="preserve">Annual growth</t>
  </si>
  <si>
    <t xml:space="preserve">Lab Services Revenue</t>
  </si>
  <si>
    <t xml:space="preserve">Lab Revenue Base</t>
  </si>
  <si>
    <t xml:space="preserve">Y0 lab services revenue</t>
  </si>
  <si>
    <t xml:space="preserve">Lab Growth Rate</t>
  </si>
  <si>
    <t xml:space="preserve">Pass-Through Costs</t>
  </si>
  <si>
    <t xml:space="preserve">Pass-Through %</t>
  </si>
  <si>
    <t xml:space="preserve">% of clinical ops revenue</t>
  </si>
  <si>
    <t xml:space="preserve">Direct Costs</t>
  </si>
  <si>
    <t xml:space="preserve">Direct Labour %</t>
  </si>
  <si>
    <t xml:space="preserve">% of service rev excl PT</t>
  </si>
  <si>
    <t xml:space="preserve">Travel %</t>
  </si>
  <si>
    <t xml:space="preserve">% of clinical ops rev</t>
  </si>
  <si>
    <t xml:space="preserve">Lab COGS %</t>
  </si>
  <si>
    <t xml:space="preserve">% of lab revenue</t>
  </si>
  <si>
    <t xml:space="preserve">Staffing &amp; Utilisation</t>
  </si>
  <si>
    <t xml:space="preserve">Billable Utilisation</t>
  </si>
  <si>
    <t xml:space="preserve">Target utilisation</t>
  </si>
  <si>
    <t xml:space="preserve">Avg Billable FTE Cost</t>
  </si>
  <si>
    <t xml:space="preserve">Fully loaded annual cost</t>
  </si>
  <si>
    <t xml:space="preserve">Operating Expenses</t>
  </si>
  <si>
    <t xml:space="preserve">SG&amp;A %</t>
  </si>
  <si>
    <t xml:space="preserve">% of total revenue</t>
  </si>
  <si>
    <t xml:space="preserve">Business Dev %</t>
  </si>
  <si>
    <t xml:space="preserve">IT &amp; Systems %</t>
  </si>
  <si>
    <t xml:space="preserve">Facilities Base</t>
  </si>
  <si>
    <t xml:space="preserve">Annual rent &amp; utilities</t>
  </si>
  <si>
    <t xml:space="preserve">Facilities Escalation</t>
  </si>
  <si>
    <t xml:space="preserve">Annual increase</t>
  </si>
  <si>
    <t xml:space="preserve">CapEx &amp; Depreciation</t>
  </si>
  <si>
    <t xml:space="preserve">Maintenance CapEx %</t>
  </si>
  <si>
    <t xml:space="preserve">Growth CapEx Y1</t>
  </si>
  <si>
    <t xml:space="preserve">Lab &amp; office build-out</t>
  </si>
  <si>
    <t xml:space="preserve">Growth CapEx Growth</t>
  </si>
  <si>
    <t xml:space="preserve">Asset Useful Life</t>
  </si>
  <si>
    <t xml:space="preserve">years</t>
  </si>
  <si>
    <t xml:space="preserve">Straight-line</t>
  </si>
  <si>
    <t xml:space="preserve">Opening PP&amp;E (Gross)</t>
  </si>
  <si>
    <t xml:space="preserve">Y0 gross assets</t>
  </si>
  <si>
    <t xml:space="preserve">Opening Accum. Depr</t>
  </si>
  <si>
    <t xml:space="preserve">Y0 accumulated depr</t>
  </si>
  <si>
    <t xml:space="preserve">Working Capital</t>
  </si>
  <si>
    <t xml:space="preserve">Days Sales Outstanding</t>
  </si>
  <si>
    <t xml:space="preserve">days</t>
  </si>
  <si>
    <t xml:space="preserve">Billed receivables</t>
  </si>
  <si>
    <t xml:space="preserve">Unbilled AR Days</t>
  </si>
  <si>
    <t xml:space="preserve">Rev recognised, not invoiced</t>
  </si>
  <si>
    <t xml:space="preserve">Days Payable Outstanding</t>
  </si>
  <si>
    <t xml:space="preserve">Vendor payments</t>
  </si>
  <si>
    <t xml:space="preserve">Deferred Revenue Days</t>
  </si>
  <si>
    <t xml:space="preserve">Advance client payments</t>
  </si>
  <si>
    <t xml:space="preserve">Accrued Liabilities %</t>
  </si>
  <si>
    <t xml:space="preserve">% of total opex</t>
  </si>
  <si>
    <t xml:space="preserve">Debt</t>
  </si>
  <si>
    <t xml:space="preserve">Term Loan Amount</t>
  </si>
  <si>
    <t xml:space="preserve">Senior secured</t>
  </si>
  <si>
    <t xml:space="preserve">Term Loan Rate</t>
  </si>
  <si>
    <t xml:space="preserve">SOFR + 300bps</t>
  </si>
  <si>
    <t xml:space="preserve">Term Loan Tenor</t>
  </si>
  <si>
    <t xml:space="preserve">Amortisation period</t>
  </si>
  <si>
    <t xml:space="preserve">Revolver Limit</t>
  </si>
  <si>
    <t xml:space="preserve">Working capital facility</t>
  </si>
  <si>
    <t xml:space="preserve">Commitment Fee Rate</t>
  </si>
  <si>
    <t xml:space="preserve">On undrawn amount</t>
  </si>
  <si>
    <t xml:space="preserve">Tax &amp; Dividends</t>
  </si>
  <si>
    <t xml:space="preserve">Corporate Tax Rate</t>
  </si>
  <si>
    <t xml:space="preserve">Blended effective rate</t>
  </si>
  <si>
    <t xml:space="preserve">Dividend Payout Ratio</t>
  </si>
  <si>
    <t xml:space="preserve">PE-backed, no dividends</t>
  </si>
  <si>
    <t xml:space="preserve">Opening Balance Sheet</t>
  </si>
  <si>
    <t xml:space="preserve">Opening Cash</t>
  </si>
  <si>
    <t xml:space="preserve">Starting cash position</t>
  </si>
  <si>
    <t xml:space="preserve">Share Capital</t>
  </si>
  <si>
    <t xml:space="preserve">Issued equity</t>
  </si>
  <si>
    <t xml:space="preserve">Opening Ret. Earnings</t>
  </si>
  <si>
    <t xml:space="preserve">Plug to balance Y0 BS</t>
  </si>
  <si>
    <t xml:space="preserve">Backlog &amp; Revenue</t>
  </si>
  <si>
    <t xml:space="preserve">Order Book</t>
  </si>
  <si>
    <t xml:space="preserve">Year #</t>
  </si>
  <si>
    <t xml:space="preserve">Backlog Roll-Forward</t>
  </si>
  <si>
    <t xml:space="preserve">New Bookings</t>
  </si>
  <si>
    <t xml:space="preserve">Cancellations</t>
  </si>
  <si>
    <t xml:space="preserve">Revenue Recognised</t>
  </si>
  <si>
    <t xml:space="preserve">Closing Backlog</t>
  </si>
  <si>
    <t xml:space="preserve">Book-to-Bill</t>
  </si>
  <si>
    <t xml:space="preserve">Revenue by Service Line</t>
  </si>
  <si>
    <t xml:space="preserve">Clinical Ops Revenue</t>
  </si>
  <si>
    <t xml:space="preserve">Pass-Through Revenue</t>
  </si>
  <si>
    <t xml:space="preserve">TOTAL REVENUE</t>
  </si>
  <si>
    <t xml:space="preserve">Gross Profit</t>
  </si>
  <si>
    <t xml:space="preserve">Clinical Operations</t>
  </si>
  <si>
    <t xml:space="preserve">Direct Labour</t>
  </si>
  <si>
    <t xml:space="preserve">Travel &amp; Monitoring</t>
  </si>
  <si>
    <t xml:space="preserve">Total Clinical Costs</t>
  </si>
  <si>
    <t xml:space="preserve">Lab Services</t>
  </si>
  <si>
    <t xml:space="preserve">Lab Revenue</t>
  </si>
  <si>
    <t xml:space="preserve">Lab COGS</t>
  </si>
  <si>
    <t xml:space="preserve">TOTAL DIRECT COSTS</t>
  </si>
  <si>
    <t xml:space="preserve">GROSS PROFIT</t>
  </si>
  <si>
    <t xml:space="preserve">Gross Margin</t>
  </si>
  <si>
    <t xml:space="preserve">Headcount</t>
  </si>
  <si>
    <t xml:space="preserve">Billable Staff</t>
  </si>
  <si>
    <t xml:space="preserve">Service Revenue (excl PT)</t>
  </si>
  <si>
    <t xml:space="preserve">Utilisation Rate</t>
  </si>
  <si>
    <t xml:space="preserve">Avg FTE Cost</t>
  </si>
  <si>
    <t xml:space="preserve">Implied Billable FTEs</t>
  </si>
  <si>
    <t xml:space="preserve">Revenue per Billable FTE</t>
  </si>
  <si>
    <t xml:space="preserve">Corporate Staff (Memo)</t>
  </si>
  <si>
    <t xml:space="preserve">Corporate FTEs</t>
  </si>
  <si>
    <t xml:space="preserve">Corporate Staff Cost</t>
  </si>
  <si>
    <t xml:space="preserve">Corporate Overhead</t>
  </si>
  <si>
    <t xml:space="preserve">SG&amp;A</t>
  </si>
  <si>
    <t xml:space="preserve">Business Development</t>
  </si>
  <si>
    <t xml:space="preserve">IT &amp; Systems</t>
  </si>
  <si>
    <t xml:space="preserve">Facilities</t>
  </si>
  <si>
    <t xml:space="preserve">TOTAL OPEX</t>
  </si>
  <si>
    <t xml:space="preserve">Capital Schedule</t>
  </si>
  <si>
    <t xml:space="preserve">Capital Expenditure</t>
  </si>
  <si>
    <t xml:space="preserve">Maintenance CapEx</t>
  </si>
  <si>
    <t xml:space="preserve">Growth CapEx</t>
  </si>
  <si>
    <t xml:space="preserve">Total CapEx</t>
  </si>
  <si>
    <t xml:space="preserve">Depreciation</t>
  </si>
  <si>
    <t xml:space="preserve">Depr. (Existing Assets)</t>
  </si>
  <si>
    <t xml:space="preserve">Depr. (New Assets)</t>
  </si>
  <si>
    <t xml:space="preserve">Total D&amp;A</t>
  </si>
  <si>
    <t xml:space="preserve">PP&amp;E Schedule</t>
  </si>
  <si>
    <t xml:space="preserve">PP&amp;E (Gross)</t>
  </si>
  <si>
    <t xml:space="preserve">Accum. Depreciation</t>
  </si>
  <si>
    <t xml:space="preserve">Net PP&amp;E</t>
  </si>
  <si>
    <t xml:space="preserve">Balance Items</t>
  </si>
  <si>
    <t xml:space="preserve">Receivables</t>
  </si>
  <si>
    <t xml:space="preserve">Accounts Receivable</t>
  </si>
  <si>
    <t xml:space="preserve">Unbilled Receivables</t>
  </si>
  <si>
    <t xml:space="preserve">Total Receivables</t>
  </si>
  <si>
    <t xml:space="preserve">Payables &amp; Deferrals</t>
  </si>
  <si>
    <t xml:space="preserve">Accounts Payable</t>
  </si>
  <si>
    <t xml:space="preserve">Deferred Revenue</t>
  </si>
  <si>
    <t xml:space="preserve">Accrued Liabilities</t>
  </si>
  <si>
    <t xml:space="preserve">Total Payables</t>
  </si>
  <si>
    <t xml:space="preserve">Net Working Capital</t>
  </si>
  <si>
    <t xml:space="preserve">Debt Schedule</t>
  </si>
  <si>
    <t xml:space="preserve">Loan Amortisation</t>
  </si>
  <si>
    <t xml:space="preserve">Term Loan</t>
  </si>
  <si>
    <t xml:space="preserve">Opening Balance</t>
  </si>
  <si>
    <t xml:space="preserve">Repayment</t>
  </si>
  <si>
    <t xml:space="preserve">Closing Balance</t>
  </si>
  <si>
    <t xml:space="preserve">Interest Expense</t>
  </si>
  <si>
    <t xml:space="preserve">Revolver</t>
  </si>
  <si>
    <t xml:space="preserve">Undrawn Amount</t>
  </si>
  <si>
    <t xml:space="preserve">Commitment Fee</t>
  </si>
  <si>
    <t xml:space="preserve">TOTAL INTEREST COST</t>
  </si>
  <si>
    <t xml:space="preserve">Income Statement</t>
  </si>
  <si>
    <t xml:space="preserve">Annual P&amp;L</t>
  </si>
  <si>
    <t xml:space="preserve">Revenue</t>
  </si>
  <si>
    <t xml:space="preserve">Total Revenue</t>
  </si>
  <si>
    <t xml:space="preserve">Total Direct Costs</t>
  </si>
  <si>
    <t xml:space="preserve">Total OpEx</t>
  </si>
  <si>
    <t xml:space="preserve">EBITDA</t>
  </si>
  <si>
    <t xml:space="preserve">EBITDA Margin</t>
  </si>
  <si>
    <t xml:space="preserve">Depreciation &amp; Amortisation</t>
  </si>
  <si>
    <t xml:space="preserve">EBIT</t>
  </si>
  <si>
    <t xml:space="preserve">Interest</t>
  </si>
  <si>
    <t xml:space="preserve">Total Interest Cost</t>
  </si>
  <si>
    <t xml:space="preserve">EBT</t>
  </si>
  <si>
    <t xml:space="preserve">Tax</t>
  </si>
  <si>
    <t xml:space="preserve">NET INCOME</t>
  </si>
  <si>
    <t xml:space="preserve">Net Margin</t>
  </si>
  <si>
    <t xml:space="preserve">Dividends</t>
  </si>
  <si>
    <t xml:space="preserve">Balance Sheet</t>
  </si>
  <si>
    <t xml:space="preserve">Year-End Positions</t>
  </si>
  <si>
    <t xml:space="preserve">Assets</t>
  </si>
  <si>
    <t xml:space="preserve">Current Assets</t>
  </si>
  <si>
    <t xml:space="preserve">Cash &amp; Equivalents</t>
  </si>
  <si>
    <t xml:space="preserve">Total Current Assets</t>
  </si>
  <si>
    <t xml:space="preserve">Non-Current Assets</t>
  </si>
  <si>
    <t xml:space="preserve">Total Non-Current Assets</t>
  </si>
  <si>
    <t xml:space="preserve">TOTAL ASSETS</t>
  </si>
  <si>
    <t xml:space="preserve">Liabilities</t>
  </si>
  <si>
    <t xml:space="preserve">Current Liabilities</t>
  </si>
  <si>
    <t xml:space="preserve">Current Portion of LTD</t>
  </si>
  <si>
    <t xml:space="preserve">Total Current Liabilities</t>
  </si>
  <si>
    <t xml:space="preserve">Non-Current Liabilities</t>
  </si>
  <si>
    <t xml:space="preserve">Long-Term Debt</t>
  </si>
  <si>
    <t xml:space="preserve">Total Non-Current Liab.</t>
  </si>
  <si>
    <t xml:space="preserve">TOTAL LIABILITIES</t>
  </si>
  <si>
    <t xml:space="preserve">Equity</t>
  </si>
  <si>
    <t xml:space="preserve">Retained Earnings</t>
  </si>
  <si>
    <t xml:space="preserve">Total Equity</t>
  </si>
  <si>
    <t xml:space="preserve">TOTAL L &amp; E</t>
  </si>
  <si>
    <t xml:space="preserve">Balance Check</t>
  </si>
  <si>
    <t xml:space="preserve">Cash Flow Statement</t>
  </si>
  <si>
    <t xml:space="preserve">Indirect Method</t>
  </si>
  <si>
    <t xml:space="preserve">Cash from Operations</t>
  </si>
  <si>
    <t xml:space="preserve">Net Income</t>
  </si>
  <si>
    <t xml:space="preserve">Depreciation &amp; Amort.</t>
  </si>
  <si>
    <t xml:space="preserve">Working Capital Changes</t>
  </si>
  <si>
    <t xml:space="preserve">Change in AR</t>
  </si>
  <si>
    <t xml:space="preserve">Change in Unbilled AR</t>
  </si>
  <si>
    <t xml:space="preserve">Change in AP</t>
  </si>
  <si>
    <t xml:space="preserve">Change in Deferred Rev</t>
  </si>
  <si>
    <t xml:space="preserve">Change in Accrued Liab</t>
  </si>
  <si>
    <t xml:space="preserve">CASH FROM OPERATIONS</t>
  </si>
  <si>
    <t xml:space="preserve">Cash from Investing</t>
  </si>
  <si>
    <t xml:space="preserve">CASH FROM INVESTING</t>
  </si>
  <si>
    <t xml:space="preserve">Cash from Financing</t>
  </si>
  <si>
    <t xml:space="preserve">Debt Proceeds</t>
  </si>
  <si>
    <t xml:space="preserve">Debt Repayment</t>
  </si>
  <si>
    <t xml:space="preserve">Dividends Paid</t>
  </si>
  <si>
    <t xml:space="preserve">CASH FROM FINANCING</t>
  </si>
  <si>
    <t xml:space="preserve">Net Change in Cash</t>
  </si>
  <si>
    <t xml:space="preserve">Closing Cash</t>
  </si>
  <si>
    <t xml:space="preserve">Y0 Implied Balances</t>
  </si>
  <si>
    <t xml:space="preserve">Y0 Total Revenue</t>
  </si>
  <si>
    <t xml:space="preserve">Y0 Direct Costs</t>
  </si>
  <si>
    <t xml:space="preserve">Y0 Total OpEx</t>
  </si>
  <si>
    <t xml:space="preserve">Y0 AR</t>
  </si>
  <si>
    <t xml:space="preserve">Y0 Unbilled AR</t>
  </si>
  <si>
    <t xml:space="preserve">Y0 AP</t>
  </si>
  <si>
    <t xml:space="preserve">Y0 Deferred Revenue</t>
  </si>
  <si>
    <t xml:space="preserve">Y0 Accrued Liabilities</t>
  </si>
  <si>
    <t xml:space="preserve">Validation Checks</t>
  </si>
  <si>
    <t xml:space="preserve">Model Integrity</t>
  </si>
  <si>
    <t xml:space="preserve">BS Balance Check</t>
  </si>
  <si>
    <t xml:space="preserve">Book-to-Bill (0.8x-2.0x)</t>
  </si>
  <si>
    <t xml:space="preserve">DSCR &gt; 1.5x</t>
  </si>
  <si>
    <t xml:space="preserve">Utilisation &lt;= 85%</t>
  </si>
  <si>
    <t xml:space="preserve">Gross Margin (25%-55%)</t>
  </si>
  <si>
    <t xml:space="preserve">EBITDA Margin (10%-30%)</t>
  </si>
  <si>
    <t xml:space="preserve">Cash &gt;= 0</t>
  </si>
  <si>
    <t xml:space="preserve">Burn Rate (15%-50%)</t>
  </si>
  <si>
    <t xml:space="preserve">DSO (40-100 days)</t>
  </si>
  <si>
    <t xml:space="preserve">Accum Depr &lt;= Gross PP&amp;E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</si>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</sst>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00"/>
    <numFmt numFmtId="166" formatCode="0.00%"/>
    <numFmt numFmtId="167" formatCode="0"/>
    <numFmt numFmtId="168" formatCode="0.00\x"/>
    <numFmt numFmtId="169" formatCode="\$#,##0.00"/>
    <numFmt numFmtId="170" formatCode="@"/>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13" fillId="9"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7" fontId="17" fillId="2"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9"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8" fontId="19"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5" fontId="19" fillId="0" borderId="0" xfId="0" applyFont="true" applyBorder="false" applyAlignment="true" applyProtection="fals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9" fontId="19" fillId="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1"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5" fontId="19" fillId="0" borderId="0" xfId="0" applyFont="true" applyBorder="false" applyAlignment="false" applyProtection="false">
      <alignment horizontal="general" vertical="bottom" textRotation="0" wrapText="false" indent="0" shrinkToFit="false"/>
      <protection locked="true" hidden="false"/>
    </xf>
    <xf numFmtId="170" fontId="9"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1"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2"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7" t="s">
        <v>30</v>
      </c>
      <c r="C20" s="8" t="s">
        <v>31</v>
      </c>
      <c r="D20" s="6"/>
    </row>
    <row r="21" customFormat="false" ht="15" hidden="false" customHeight="false" outlineLevel="0" collapsed="false">
      <c r="A21" s="6"/>
      <c r="B21" s="7" t="s">
        <v>32</v>
      </c>
      <c r="C21" s="8" t="s">
        <v>33</v>
      </c>
      <c r="D21" s="6"/>
    </row>
    <row r="22" customFormat="false" ht="15" hidden="false" customHeight="false" outlineLevel="0" collapsed="false">
      <c r="A22" s="6"/>
      <c r="B22" s="7" t="s">
        <v>34</v>
      </c>
      <c r="C22" s="8" t="s">
        <v>35</v>
      </c>
      <c r="D22" s="6"/>
    </row>
    <row r="23" customFormat="false" ht="15" hidden="false" customHeight="false" outlineLevel="0" collapsed="false">
      <c r="A23" s="6"/>
      <c r="B23" s="6"/>
      <c r="C23" s="6"/>
      <c r="D23" s="6"/>
    </row>
    <row r="24" customFormat="false" ht="15" hidden="false" customHeight="false" outlineLevel="0" collapsed="false">
      <c r="A24" s="6"/>
      <c r="B24" s="9" t="s">
        <v>36</v>
      </c>
      <c r="C24" s="10"/>
      <c r="D24" s="10"/>
    </row>
    <row r="25" customFormat="false" ht="15" hidden="false" customHeight="false" outlineLevel="0" collapsed="false">
      <c r="A25" s="6"/>
      <c r="B25" s="7" t="s">
        <v>37</v>
      </c>
      <c r="C25" s="8" t="s">
        <v>38</v>
      </c>
      <c r="D25" s="11"/>
    </row>
    <row r="26" customFormat="false" ht="15" hidden="false" customHeight="false" outlineLevel="0" collapsed="false">
      <c r="A26" s="6"/>
      <c r="B26" s="7" t="s">
        <v>39</v>
      </c>
      <c r="C26" s="8" t="s">
        <v>40</v>
      </c>
      <c r="D26" s="12"/>
    </row>
    <row r="27" customFormat="false" ht="15" hidden="false" customHeight="false" outlineLevel="0" collapsed="false">
      <c r="A27" s="6"/>
      <c r="B27" s="7" t="s">
        <v>41</v>
      </c>
      <c r="C27" s="8" t="s">
        <v>42</v>
      </c>
      <c r="D27" s="13"/>
    </row>
    <row r="28" customFormat="false" ht="15" hidden="false" customHeight="false" outlineLevel="0" collapsed="false">
      <c r="A28" s="6"/>
      <c r="B28" s="7" t="s">
        <v>43</v>
      </c>
      <c r="C28" s="8" t="s">
        <v>44</v>
      </c>
      <c r="D28" s="14"/>
    </row>
    <row r="29" customFormat="false" ht="15" hidden="false" customHeight="false" outlineLevel="0" collapsed="false">
      <c r="A29" s="6"/>
      <c r="B29" s="7" t="s">
        <v>45</v>
      </c>
      <c r="C29" s="8" t="s">
        <v>46</v>
      </c>
      <c r="D29" s="15"/>
    </row>
    <row r="30" customFormat="false" ht="15" hidden="false" customHeight="false" outlineLevel="0" collapsed="false">
      <c r="A30" s="6"/>
      <c r="B30" s="7" t="s">
        <v>47</v>
      </c>
      <c r="C30" s="8" t="s">
        <v>48</v>
      </c>
      <c r="D30" s="16"/>
    </row>
    <row r="33" customFormat="false" ht="19.5" hidden="false" customHeight="true" outlineLevel="0" collapsed="false">
      <c r="B33" s="17" t="s">
        <v>49</v>
      </c>
      <c r="C33" s="18"/>
      <c r="D33" s="18"/>
      <c r="E33" s="18"/>
      <c r="F33" s="18"/>
      <c r="G33" s="18"/>
    </row>
    <row r="34" customFormat="false" ht="258.75" hidden="false" customHeight="true" outlineLevel="0" collapsed="false">
      <c r="B34" s="19" t="s">
        <v>50</v>
      </c>
      <c r="C34" s="19"/>
      <c r="D34" s="19"/>
      <c r="E34" s="19"/>
      <c r="F34" s="19"/>
      <c r="G34" s="19"/>
    </row>
    <row r="36" customFormat="false" ht="19.5" hidden="false" customHeight="true" outlineLevel="0" collapsed="false">
      <c r="B36" s="17" t="s">
        <v>51</v>
      </c>
      <c r="C36" s="18"/>
      <c r="D36" s="18"/>
      <c r="E36" s="18"/>
      <c r="F36" s="18"/>
      <c r="G36" s="18"/>
    </row>
    <row r="37" customFormat="false" ht="57" hidden="false" customHeight="true" outlineLevel="0" collapsed="false">
      <c r="B37" s="19" t="s">
        <v>52</v>
      </c>
      <c r="C37" s="19"/>
      <c r="D37" s="19"/>
      <c r="E37" s="19"/>
      <c r="F37" s="19"/>
      <c r="G37" s="19"/>
    </row>
    <row r="38" customFormat="false" ht="15" hidden="false" customHeight="false" outlineLevel="0" collapsed="false">
      <c r="B38" s="20" t="s">
        <v>53</v>
      </c>
      <c r="C38" s="20"/>
      <c r="D38" s="20"/>
      <c r="E38" s="20"/>
      <c r="F38" s="20"/>
      <c r="G38" s="20"/>
    </row>
    <row r="39" customFormat="false" ht="15" hidden="false" customHeight="false" outlineLevel="0" collapsed="false">
      <c r="B39" s="21" t="s">
        <v>54</v>
      </c>
    </row>
  </sheetData>
  <mergeCells count="3">
    <mergeCell ref="B34:G34"/>
    <mergeCell ref="B37:G37"/>
    <mergeCell ref="B38:G3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161</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236</v>
      </c>
      <c r="C8" s="10"/>
      <c r="D8" s="10"/>
      <c r="E8" s="10"/>
      <c r="F8" s="10"/>
      <c r="G8" s="10"/>
    </row>
    <row r="9" customFormat="false" ht="15" hidden="false" customHeight="false" outlineLevel="0" collapsed="false">
      <c r="A9" s="6"/>
      <c r="B9" s="35" t="s">
        <v>169</v>
      </c>
      <c r="C9" s="31" t="n">
        <f aca="false">BR_Clin_Rev</f>
        <v>136950000</v>
      </c>
      <c r="D9" s="31" t="n">
        <f aca="false">BR_Clin_Rev</f>
        <v>163074450</v>
      </c>
      <c r="E9" s="31" t="n">
        <f aca="false">BR_Clin_Rev</f>
        <v>185995066.95</v>
      </c>
      <c r="F9" s="31" t="n">
        <f aca="false">BR_Clin_Rev</f>
        <v>206504740.58445</v>
      </c>
      <c r="G9" s="31" t="n">
        <f aca="false">BR_Clin_Rev</f>
        <v>224981855.240477</v>
      </c>
    </row>
    <row r="10" customFormat="false" ht="15" hidden="false" customHeight="false" outlineLevel="0" collapsed="false">
      <c r="A10" s="6"/>
      <c r="B10" s="35" t="s">
        <v>170</v>
      </c>
      <c r="C10" s="31" t="n">
        <f aca="false">BR_Passthru</f>
        <v>34237500</v>
      </c>
      <c r="D10" s="31" t="n">
        <f aca="false">BR_Passthru</f>
        <v>40768612.5</v>
      </c>
      <c r="E10" s="31" t="n">
        <f aca="false">BR_Passthru</f>
        <v>46498766.7375</v>
      </c>
      <c r="F10" s="31" t="n">
        <f aca="false">BR_Passthru</f>
        <v>51626185.1461125</v>
      </c>
      <c r="G10" s="31" t="n">
        <f aca="false">BR_Passthru</f>
        <v>56245463.8101193</v>
      </c>
    </row>
    <row r="11" customFormat="false" ht="15" hidden="false" customHeight="false" outlineLevel="0" collapsed="false">
      <c r="A11" s="6"/>
      <c r="B11" s="35" t="s">
        <v>79</v>
      </c>
      <c r="C11" s="31" t="n">
        <f aca="false">BR_Consult</f>
        <v>15900000</v>
      </c>
      <c r="D11" s="31" t="n">
        <f aca="false">BR_Consult</f>
        <v>16854000</v>
      </c>
      <c r="E11" s="31" t="n">
        <f aca="false">BR_Consult</f>
        <v>17865240</v>
      </c>
      <c r="F11" s="31" t="n">
        <f aca="false">BR_Consult</f>
        <v>18937154.4</v>
      </c>
      <c r="G11" s="31" t="n">
        <f aca="false">BR_Consult</f>
        <v>20073383.664</v>
      </c>
    </row>
    <row r="12" customFormat="false" ht="15" hidden="false" customHeight="false" outlineLevel="0" collapsed="false">
      <c r="A12" s="6"/>
      <c r="B12" s="35" t="s">
        <v>84</v>
      </c>
      <c r="C12" s="31" t="n">
        <f aca="false">BR_Lab</f>
        <v>22000000</v>
      </c>
      <c r="D12" s="31" t="n">
        <f aca="false">BR_Lab</f>
        <v>24200000</v>
      </c>
      <c r="E12" s="31" t="n">
        <f aca="false">BR_Lab</f>
        <v>26620000</v>
      </c>
      <c r="F12" s="31" t="n">
        <f aca="false">BR_Lab</f>
        <v>29282000</v>
      </c>
      <c r="G12" s="31" t="n">
        <f aca="false">BR_Lab</f>
        <v>32210200</v>
      </c>
    </row>
    <row r="13" customFormat="false" ht="15" hidden="false" customHeight="false" outlineLevel="0" collapsed="false">
      <c r="A13" s="6"/>
      <c r="B13" s="32" t="s">
        <v>237</v>
      </c>
      <c r="C13" s="33" t="n">
        <f aca="false">C9+C10+C11+C12</f>
        <v>209087500</v>
      </c>
      <c r="D13" s="33" t="n">
        <f aca="false">D9+D10+D11+D12</f>
        <v>244897062.5</v>
      </c>
      <c r="E13" s="33" t="n">
        <f aca="false">E9+E10+E11+E12</f>
        <v>276979073.6875</v>
      </c>
      <c r="F13" s="33" t="n">
        <f aca="false">F9+F10+F11+F12</f>
        <v>306350080.130563</v>
      </c>
      <c r="G13" s="33" t="n">
        <f aca="false">G9+G10+G11+G12</f>
        <v>333510902.714596</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91</v>
      </c>
      <c r="C15" s="10"/>
      <c r="D15" s="10"/>
      <c r="E15" s="10"/>
      <c r="F15" s="10"/>
      <c r="G15" s="10"/>
    </row>
    <row r="16" customFormat="false" ht="15" hidden="false" customHeight="false" outlineLevel="0" collapsed="false">
      <c r="A16" s="6"/>
      <c r="B16" s="35" t="s">
        <v>174</v>
      </c>
      <c r="C16" s="31" t="n">
        <f aca="false">DC_Labour</f>
        <v>84067500</v>
      </c>
      <c r="D16" s="31" t="n">
        <f aca="false">DC_Labour</f>
        <v>98960647.5</v>
      </c>
      <c r="E16" s="31" t="n">
        <f aca="false">DC_Labour</f>
        <v>112123168.8225</v>
      </c>
      <c r="F16" s="31" t="n">
        <f aca="false">DC_Labour</f>
        <v>123993042.241448</v>
      </c>
      <c r="G16" s="31" t="n">
        <f aca="false">DC_Labour</f>
        <v>134780381.397462</v>
      </c>
    </row>
    <row r="17" customFormat="false" ht="15" hidden="false" customHeight="false" outlineLevel="0" collapsed="false">
      <c r="A17" s="6"/>
      <c r="B17" s="35" t="s">
        <v>88</v>
      </c>
      <c r="C17" s="31" t="n">
        <f aca="false">DC_Passthru</f>
        <v>34237500</v>
      </c>
      <c r="D17" s="31" t="n">
        <f aca="false">DC_Passthru</f>
        <v>40768612.5</v>
      </c>
      <c r="E17" s="31" t="n">
        <f aca="false">DC_Passthru</f>
        <v>46498766.7375</v>
      </c>
      <c r="F17" s="31" t="n">
        <f aca="false">DC_Passthru</f>
        <v>51626185.1461125</v>
      </c>
      <c r="G17" s="31" t="n">
        <f aca="false">DC_Passthru</f>
        <v>56245463.8101193</v>
      </c>
    </row>
    <row r="18" customFormat="false" ht="15" hidden="false" customHeight="false" outlineLevel="0" collapsed="false">
      <c r="A18" s="6"/>
      <c r="B18" s="35" t="s">
        <v>175</v>
      </c>
      <c r="C18" s="31" t="n">
        <f aca="false">DC_Travel</f>
        <v>5478000</v>
      </c>
      <c r="D18" s="31" t="n">
        <f aca="false">DC_Travel</f>
        <v>6522978</v>
      </c>
      <c r="E18" s="31" t="n">
        <f aca="false">DC_Travel</f>
        <v>7439802.678</v>
      </c>
      <c r="F18" s="31" t="n">
        <f aca="false">DC_Travel</f>
        <v>8260189.623378</v>
      </c>
      <c r="G18" s="31" t="n">
        <f aca="false">DC_Travel</f>
        <v>8999274.20961908</v>
      </c>
    </row>
    <row r="19" customFormat="false" ht="15" hidden="false" customHeight="false" outlineLevel="0" collapsed="false">
      <c r="A19" s="6"/>
      <c r="B19" s="35" t="s">
        <v>179</v>
      </c>
      <c r="C19" s="31" t="n">
        <f aca="false">DC_Lab_COGS</f>
        <v>8800000</v>
      </c>
      <c r="D19" s="31" t="n">
        <f aca="false">DC_Lab_COGS</f>
        <v>9680000</v>
      </c>
      <c r="E19" s="31" t="n">
        <f aca="false">DC_Lab_COGS</f>
        <v>10648000</v>
      </c>
      <c r="F19" s="31" t="n">
        <f aca="false">DC_Lab_COGS</f>
        <v>11712800</v>
      </c>
      <c r="G19" s="31" t="n">
        <f aca="false">DC_Lab_COGS</f>
        <v>12884080</v>
      </c>
    </row>
    <row r="20" customFormat="false" ht="15" hidden="false" customHeight="false" outlineLevel="0" collapsed="false">
      <c r="A20" s="6"/>
      <c r="B20" s="32" t="s">
        <v>238</v>
      </c>
      <c r="C20" s="33" t="n">
        <f aca="false">DC_Total_Dir</f>
        <v>132583000</v>
      </c>
      <c r="D20" s="33" t="n">
        <f aca="false">DC_Total_Dir</f>
        <v>155932238</v>
      </c>
      <c r="E20" s="33" t="n">
        <f aca="false">DC_Total_Dir</f>
        <v>176709738.238</v>
      </c>
      <c r="F20" s="33" t="n">
        <f aca="false">DC_Total_Dir</f>
        <v>195592217.010938</v>
      </c>
      <c r="G20" s="33" t="n">
        <f aca="false">DC_Total_Dir</f>
        <v>212909199.417201</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32" t="s">
        <v>181</v>
      </c>
      <c r="C22" s="36" t="n">
        <f aca="false">C13-C20</f>
        <v>76504500</v>
      </c>
      <c r="D22" s="36" t="n">
        <f aca="false">D13-D20</f>
        <v>88964824.5</v>
      </c>
      <c r="E22" s="36" t="n">
        <f aca="false">E13-E20</f>
        <v>100269335.4495</v>
      </c>
      <c r="F22" s="36" t="n">
        <f aca="false">F13-F20</f>
        <v>110757863.119624</v>
      </c>
      <c r="G22" s="36" t="n">
        <f aca="false">G13-G20</f>
        <v>120601703.297396</v>
      </c>
    </row>
    <row r="23" customFormat="false" ht="15" hidden="false" customHeight="false" outlineLevel="0" collapsed="false">
      <c r="A23" s="6"/>
      <c r="B23" s="25" t="s">
        <v>182</v>
      </c>
      <c r="C23" s="38" t="n">
        <f aca="false">C22/C13</f>
        <v>0.365897052669337</v>
      </c>
      <c r="D23" s="38" t="n">
        <f aca="false">D22/D13</f>
        <v>0.363274363488946</v>
      </c>
      <c r="E23" s="38" t="n">
        <f aca="false">E22/E13</f>
        <v>0.362010509005559</v>
      </c>
      <c r="F23" s="38" t="n">
        <f aca="false">F22/F13</f>
        <v>0.361540180020259</v>
      </c>
      <c r="G23" s="38" t="n">
        <f aca="false">G22/G13</f>
        <v>0.361612475981336</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9" t="s">
        <v>103</v>
      </c>
      <c r="C25" s="10"/>
      <c r="D25" s="10"/>
      <c r="E25" s="10"/>
      <c r="F25" s="10"/>
      <c r="G25" s="10"/>
    </row>
    <row r="26" customFormat="false" ht="15" hidden="false" customHeight="false" outlineLevel="0" collapsed="false">
      <c r="A26" s="6"/>
      <c r="B26" s="35" t="s">
        <v>194</v>
      </c>
      <c r="C26" s="31" t="n">
        <f aca="false">OX_SGA</f>
        <v>29272250</v>
      </c>
      <c r="D26" s="31" t="n">
        <f aca="false">OX_SGA</f>
        <v>34285588.75</v>
      </c>
      <c r="E26" s="31" t="n">
        <f aca="false">OX_SGA</f>
        <v>38777070.31625</v>
      </c>
      <c r="F26" s="31" t="n">
        <f aca="false">OX_SGA</f>
        <v>42889011.2182788</v>
      </c>
      <c r="G26" s="31" t="n">
        <f aca="false">OX_SGA</f>
        <v>46691526.3800435</v>
      </c>
    </row>
    <row r="27" customFormat="false" ht="15" hidden="false" customHeight="false" outlineLevel="0" collapsed="false">
      <c r="A27" s="6"/>
      <c r="B27" s="35" t="s">
        <v>195</v>
      </c>
      <c r="C27" s="31" t="n">
        <f aca="false">OX_BD</f>
        <v>7318062.5</v>
      </c>
      <c r="D27" s="31" t="n">
        <f aca="false">OX_BD</f>
        <v>8571397.1875</v>
      </c>
      <c r="E27" s="31" t="n">
        <f aca="false">OX_BD</f>
        <v>9694267.5790625</v>
      </c>
      <c r="F27" s="31" t="n">
        <f aca="false">OX_BD</f>
        <v>10722252.8045697</v>
      </c>
      <c r="G27" s="31" t="n">
        <f aca="false">OX_BD</f>
        <v>11672881.5950109</v>
      </c>
    </row>
    <row r="28" customFormat="false" ht="15" hidden="false" customHeight="false" outlineLevel="0" collapsed="false">
      <c r="A28" s="6"/>
      <c r="B28" s="35" t="s">
        <v>196</v>
      </c>
      <c r="C28" s="31" t="n">
        <f aca="false">OX_IT</f>
        <v>6272625</v>
      </c>
      <c r="D28" s="31" t="n">
        <f aca="false">OX_IT</f>
        <v>7346911.875</v>
      </c>
      <c r="E28" s="31" t="n">
        <f aca="false">OX_IT</f>
        <v>8309372.210625</v>
      </c>
      <c r="F28" s="31" t="n">
        <f aca="false">OX_IT</f>
        <v>9190502.40391688</v>
      </c>
      <c r="G28" s="31" t="n">
        <f aca="false">OX_IT</f>
        <v>10005327.0814379</v>
      </c>
    </row>
    <row r="29" customFormat="false" ht="15" hidden="false" customHeight="false" outlineLevel="0" collapsed="false">
      <c r="A29" s="6"/>
      <c r="B29" s="35" t="s">
        <v>197</v>
      </c>
      <c r="C29" s="31" t="n">
        <f aca="false">OX_Facil</f>
        <v>5000000</v>
      </c>
      <c r="D29" s="31" t="n">
        <f aca="false">OX_Facil</f>
        <v>5150000</v>
      </c>
      <c r="E29" s="31" t="n">
        <f aca="false">OX_Facil</f>
        <v>5304500</v>
      </c>
      <c r="F29" s="31" t="n">
        <f aca="false">OX_Facil</f>
        <v>5463635</v>
      </c>
      <c r="G29" s="31" t="n">
        <f aca="false">OX_Facil</f>
        <v>5627544.05</v>
      </c>
    </row>
    <row r="30" customFormat="false" ht="15" hidden="false" customHeight="false" outlineLevel="0" collapsed="false">
      <c r="A30" s="6"/>
      <c r="B30" s="32" t="s">
        <v>239</v>
      </c>
      <c r="C30" s="33" t="n">
        <f aca="false">OX_Total</f>
        <v>47862937.5</v>
      </c>
      <c r="D30" s="33" t="n">
        <f aca="false">OX_Total</f>
        <v>55353897.8125</v>
      </c>
      <c r="E30" s="33" t="n">
        <f aca="false">OX_Total</f>
        <v>62085210.1059375</v>
      </c>
      <c r="F30" s="33" t="n">
        <f aca="false">OX_Total</f>
        <v>68265401.4267653</v>
      </c>
      <c r="G30" s="33" t="n">
        <f aca="false">OX_Total</f>
        <v>73997279.1064923</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32" t="s">
        <v>240</v>
      </c>
      <c r="C32" s="36" t="n">
        <f aca="false">C22-C30</f>
        <v>28641562.5</v>
      </c>
      <c r="D32" s="36" t="n">
        <f aca="false">D22-D30</f>
        <v>33610926.6875</v>
      </c>
      <c r="E32" s="36" t="n">
        <f aca="false">E22-E30</f>
        <v>38184125.3435625</v>
      </c>
      <c r="F32" s="36" t="n">
        <f aca="false">F22-F30</f>
        <v>42492461.6928591</v>
      </c>
      <c r="G32" s="36" t="n">
        <f aca="false">G22-G30</f>
        <v>46604424.1909033</v>
      </c>
    </row>
    <row r="33" customFormat="false" ht="15" hidden="false" customHeight="false" outlineLevel="0" collapsed="false">
      <c r="A33" s="6"/>
      <c r="B33" s="25" t="s">
        <v>241</v>
      </c>
      <c r="C33" s="38" t="n">
        <f aca="false">C32/C13</f>
        <v>0.136983619298141</v>
      </c>
      <c r="D33" s="38" t="n">
        <f aca="false">D32/D13</f>
        <v>0.137245119824579</v>
      </c>
      <c r="E33" s="38" t="n">
        <f aca="false">E32/E13</f>
        <v>0.137859242704536</v>
      </c>
      <c r="F33" s="38" t="n">
        <f aca="false">F32/F13</f>
        <v>0.138705567417346</v>
      </c>
      <c r="G33" s="38" t="n">
        <f aca="false">G32/G13</f>
        <v>0.139738832558602</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9" t="s">
        <v>242</v>
      </c>
      <c r="C35" s="10"/>
      <c r="D35" s="10"/>
      <c r="E35" s="10"/>
      <c r="F35" s="10"/>
      <c r="G35" s="10"/>
    </row>
    <row r="36" customFormat="false" ht="15" hidden="false" customHeight="false" outlineLevel="0" collapsed="false">
      <c r="A36" s="6"/>
      <c r="B36" s="35" t="s">
        <v>207</v>
      </c>
      <c r="C36" s="31" t="n">
        <f aca="false">CD_Total_DA</f>
        <v>2311678.57142857</v>
      </c>
      <c r="D36" s="31" t="n">
        <f aca="false">CD_Total_DA</f>
        <v>3461384.46428571</v>
      </c>
      <c r="E36" s="31" t="n">
        <f aca="false">CD_Total_DA</f>
        <v>4725253.24625</v>
      </c>
      <c r="F36" s="31" t="n">
        <f aca="false">CD_Total_DA</f>
        <v>6096664.18948018</v>
      </c>
      <c r="G36" s="31" t="n">
        <f aca="false">CD_Total_DA</f>
        <v>7570483.73295045</v>
      </c>
    </row>
    <row r="37" customFormat="false" ht="15" hidden="false" customHeight="false" outlineLevel="0" collapsed="false">
      <c r="A37" s="6"/>
      <c r="B37" s="6"/>
      <c r="C37" s="6"/>
      <c r="D37" s="6"/>
      <c r="E37" s="6"/>
      <c r="F37" s="6"/>
      <c r="G37" s="6"/>
    </row>
    <row r="38" customFormat="false" ht="15" hidden="false" customHeight="false" outlineLevel="0" collapsed="false">
      <c r="A38" s="6"/>
      <c r="B38" s="32" t="s">
        <v>243</v>
      </c>
      <c r="C38" s="36" t="n">
        <f aca="false">C32-C36</f>
        <v>26329883.9285714</v>
      </c>
      <c r="D38" s="36" t="n">
        <f aca="false">D32-D36</f>
        <v>30149542.2232143</v>
      </c>
      <c r="E38" s="36" t="n">
        <f aca="false">E32-E36</f>
        <v>33458872.0973125</v>
      </c>
      <c r="F38" s="36" t="n">
        <f aca="false">F32-F36</f>
        <v>36395797.503379</v>
      </c>
      <c r="G38" s="36" t="n">
        <f aca="false">G32-G36</f>
        <v>39033940.4579528</v>
      </c>
    </row>
    <row r="39" customFormat="false" ht="15" hidden="false" customHeight="false" outlineLevel="0" collapsed="false">
      <c r="A39" s="6"/>
      <c r="B39" s="6"/>
      <c r="C39" s="6"/>
      <c r="D39" s="6"/>
      <c r="E39" s="6"/>
      <c r="F39" s="6"/>
      <c r="G39" s="6"/>
    </row>
    <row r="40" customFormat="false" ht="15" hidden="false" customHeight="false" outlineLevel="0" collapsed="false">
      <c r="A40" s="6"/>
      <c r="B40" s="9" t="s">
        <v>244</v>
      </c>
      <c r="C40" s="10"/>
      <c r="D40" s="10"/>
      <c r="E40" s="10"/>
      <c r="F40" s="10"/>
      <c r="G40" s="10"/>
    </row>
    <row r="41" customFormat="false" ht="15" hidden="false" customHeight="false" outlineLevel="0" collapsed="false">
      <c r="A41" s="6"/>
      <c r="B41" s="35" t="s">
        <v>229</v>
      </c>
      <c r="C41" s="31" t="n">
        <f aca="false">DS_TL_Int</f>
        <v>3750000</v>
      </c>
      <c r="D41" s="31" t="n">
        <f aca="false">DS_TL_Int</f>
        <v>3214285.71428571</v>
      </c>
      <c r="E41" s="31" t="n">
        <f aca="false">DS_TL_Int</f>
        <v>2678571.42857143</v>
      </c>
      <c r="F41" s="31" t="n">
        <f aca="false">DS_TL_Int</f>
        <v>2142857.14285714</v>
      </c>
      <c r="G41" s="31" t="n">
        <f aca="false">DS_TL_Int</f>
        <v>1607142.85714286</v>
      </c>
    </row>
    <row r="42" customFormat="false" ht="15" hidden="false" customHeight="false" outlineLevel="0" collapsed="false">
      <c r="A42" s="6"/>
      <c r="B42" s="35" t="s">
        <v>232</v>
      </c>
      <c r="C42" s="31" t="n">
        <f aca="false">DS_Commit_Fee</f>
        <v>60000</v>
      </c>
      <c r="D42" s="31" t="n">
        <f aca="false">DS_Commit_Fee</f>
        <v>60000</v>
      </c>
      <c r="E42" s="31" t="n">
        <f aca="false">DS_Commit_Fee</f>
        <v>60000</v>
      </c>
      <c r="F42" s="31" t="n">
        <f aca="false">DS_Commit_Fee</f>
        <v>60000</v>
      </c>
      <c r="G42" s="31" t="n">
        <f aca="false">DS_Commit_Fee</f>
        <v>60000</v>
      </c>
    </row>
    <row r="43" customFormat="false" ht="15" hidden="false" customHeight="false" outlineLevel="0" collapsed="false">
      <c r="A43" s="6"/>
      <c r="B43" s="32" t="s">
        <v>245</v>
      </c>
      <c r="C43" s="33" t="n">
        <f aca="false">C41+C42</f>
        <v>3810000</v>
      </c>
      <c r="D43" s="33" t="n">
        <f aca="false">D41+D42</f>
        <v>3274285.71428571</v>
      </c>
      <c r="E43" s="33" t="n">
        <f aca="false">E41+E42</f>
        <v>2738571.42857143</v>
      </c>
      <c r="F43" s="33" t="n">
        <f aca="false">F41+F42</f>
        <v>2202857.14285714</v>
      </c>
      <c r="G43" s="33" t="n">
        <f aca="false">G41+G42</f>
        <v>1667142.85714286</v>
      </c>
    </row>
    <row r="44" customFormat="false" ht="15" hidden="false" customHeight="false" outlineLevel="0" collapsed="false">
      <c r="A44" s="6"/>
      <c r="B44" s="6"/>
      <c r="C44" s="6"/>
      <c r="D44" s="6"/>
      <c r="E44" s="6"/>
      <c r="F44" s="6"/>
      <c r="G44" s="6"/>
    </row>
    <row r="45" customFormat="false" ht="15" hidden="false" customHeight="false" outlineLevel="0" collapsed="false">
      <c r="A45" s="6"/>
      <c r="B45" s="32" t="s">
        <v>246</v>
      </c>
      <c r="C45" s="36" t="n">
        <f aca="false">C38-C43</f>
        <v>22519883.9285714</v>
      </c>
      <c r="D45" s="36" t="n">
        <f aca="false">D38-D43</f>
        <v>26875256.5089286</v>
      </c>
      <c r="E45" s="36" t="n">
        <f aca="false">E38-E43</f>
        <v>30720300.6687411</v>
      </c>
      <c r="F45" s="36" t="n">
        <f aca="false">F38-F43</f>
        <v>34192940.3605218</v>
      </c>
      <c r="G45" s="36" t="n">
        <f aca="false">G38-G43</f>
        <v>37366797.60081</v>
      </c>
    </row>
    <row r="46" customFormat="false" ht="15" hidden="false" customHeight="false" outlineLevel="0" collapsed="false">
      <c r="A46" s="6"/>
      <c r="B46" s="6"/>
      <c r="C46" s="6"/>
      <c r="D46" s="6"/>
      <c r="E46" s="6"/>
      <c r="F46" s="6"/>
      <c r="G46" s="6"/>
    </row>
    <row r="47" customFormat="false" ht="15" hidden="false" customHeight="false" outlineLevel="0" collapsed="false">
      <c r="A47" s="6"/>
      <c r="B47" s="35" t="s">
        <v>247</v>
      </c>
      <c r="C47" s="31" t="n">
        <f aca="false">MAX(0,C45*Tax_Rate)</f>
        <v>4503976.78571428</v>
      </c>
      <c r="D47" s="31" t="n">
        <f aca="false">MAX(0,D45*Tax_Rate)</f>
        <v>5375051.30178572</v>
      </c>
      <c r="E47" s="31" t="n">
        <f aca="false">MAX(0,E45*Tax_Rate)</f>
        <v>6144060.13374822</v>
      </c>
      <c r="F47" s="31" t="n">
        <f aca="false">MAX(0,F45*Tax_Rate)</f>
        <v>6838588.07210437</v>
      </c>
      <c r="G47" s="31" t="n">
        <f aca="false">MAX(0,G45*Tax_Rate)</f>
        <v>7473359.52016199</v>
      </c>
    </row>
    <row r="48" customFormat="false" ht="15" hidden="false" customHeight="false" outlineLevel="0" collapsed="false">
      <c r="A48" s="6"/>
      <c r="B48" s="6"/>
      <c r="C48" s="6"/>
      <c r="D48" s="6"/>
      <c r="E48" s="6"/>
      <c r="F48" s="6"/>
      <c r="G48" s="6"/>
    </row>
    <row r="49" customFormat="false" ht="15" hidden="false" customHeight="false" outlineLevel="0" collapsed="false">
      <c r="A49" s="6"/>
      <c r="B49" s="32" t="s">
        <v>248</v>
      </c>
      <c r="C49" s="36" t="n">
        <f aca="false">C45-C47</f>
        <v>18015907.1428571</v>
      </c>
      <c r="D49" s="36" t="n">
        <f aca="false">D45-D47</f>
        <v>21500205.2071429</v>
      </c>
      <c r="E49" s="36" t="n">
        <f aca="false">E45-E47</f>
        <v>24576240.5349929</v>
      </c>
      <c r="F49" s="36" t="n">
        <f aca="false">F45-F47</f>
        <v>27354352.2884175</v>
      </c>
      <c r="G49" s="36" t="n">
        <f aca="false">G45-G47</f>
        <v>29893438.080648</v>
      </c>
    </row>
    <row r="50" customFormat="false" ht="15" hidden="false" customHeight="false" outlineLevel="0" collapsed="false">
      <c r="A50" s="6"/>
      <c r="B50" s="25" t="s">
        <v>249</v>
      </c>
      <c r="C50" s="38" t="n">
        <f aca="false">C49/C13</f>
        <v>0.0861644390164746</v>
      </c>
      <c r="D50" s="38" t="n">
        <f aca="false">D49/D13</f>
        <v>0.0877928260456079</v>
      </c>
      <c r="E50" s="38" t="n">
        <f aca="false">E49/E13</f>
        <v>0.0887295932064559</v>
      </c>
      <c r="F50" s="38" t="n">
        <f aca="false">F49/F13</f>
        <v>0.0892911543445962</v>
      </c>
      <c r="G50" s="38" t="n">
        <f aca="false">G49/G13</f>
        <v>0.0896325662439571</v>
      </c>
    </row>
    <row r="51" customFormat="false" ht="15" hidden="false" customHeight="false" outlineLevel="0" collapsed="false">
      <c r="A51" s="6"/>
      <c r="B51" s="6"/>
      <c r="C51" s="6"/>
      <c r="D51" s="6"/>
      <c r="E51" s="6"/>
      <c r="F51" s="6"/>
      <c r="G51" s="6"/>
    </row>
    <row r="52" customFormat="false" ht="15" hidden="false" customHeight="false" outlineLevel="0" collapsed="false">
      <c r="A52" s="6"/>
      <c r="B52" s="25" t="s">
        <v>250</v>
      </c>
      <c r="C52" s="37" t="n">
        <f aca="false">MAX(0,C49*Div_Payout)</f>
        <v>0</v>
      </c>
      <c r="D52" s="37" t="n">
        <f aca="false">MAX(0,D49*Div_Payout)</f>
        <v>0</v>
      </c>
      <c r="E52" s="37" t="n">
        <f aca="false">MAX(0,E49*Div_Payout)</f>
        <v>0</v>
      </c>
      <c r="F52" s="37" t="n">
        <f aca="false">MAX(0,F49*Div_Payout)</f>
        <v>0</v>
      </c>
      <c r="G52" s="37" t="n">
        <f aca="false">MAX(0,G49*Div_Payout)</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253</v>
      </c>
      <c r="C8" s="10"/>
      <c r="D8" s="10"/>
      <c r="E8" s="10"/>
      <c r="F8" s="10"/>
      <c r="G8" s="10"/>
    </row>
    <row r="9" customFormat="false" ht="15" hidden="false" customHeight="false" outlineLevel="0" collapsed="false">
      <c r="A9" s="6"/>
      <c r="B9" s="7" t="s">
        <v>254</v>
      </c>
      <c r="C9" s="6"/>
      <c r="D9" s="6"/>
      <c r="E9" s="6"/>
      <c r="F9" s="6"/>
      <c r="G9" s="6"/>
    </row>
    <row r="10" customFormat="false" ht="15" hidden="false" customHeight="false" outlineLevel="0" collapsed="false">
      <c r="A10" s="6"/>
      <c r="B10" s="35" t="s">
        <v>255</v>
      </c>
      <c r="C10" s="31" t="n">
        <f aca="false">CF_Close_Cash</f>
        <v>26228350.1663405</v>
      </c>
      <c r="D10" s="31" t="n">
        <f aca="false">CF_Close_Cash</f>
        <v>32950882.8726517</v>
      </c>
      <c r="E10" s="31" t="n">
        <f aca="false">CF_Close_Cash</f>
        <v>43519550.7935843</v>
      </c>
      <c r="F10" s="31" t="n">
        <f aca="false">CF_Close_Cash</f>
        <v>57704786.8329649</v>
      </c>
      <c r="G10" s="31" t="n">
        <f aca="false">CF_Close_Cash</f>
        <v>75363404.7197573</v>
      </c>
    </row>
    <row r="11" customFormat="false" ht="15" hidden="false" customHeight="false" outlineLevel="0" collapsed="false">
      <c r="A11" s="6"/>
      <c r="B11" s="35" t="s">
        <v>214</v>
      </c>
      <c r="C11" s="31" t="n">
        <f aca="false">WC_AR</f>
        <v>37234760.2739726</v>
      </c>
      <c r="D11" s="31" t="n">
        <f aca="false">WC_AR</f>
        <v>43611805.6506849</v>
      </c>
      <c r="E11" s="31" t="n">
        <f aca="false">WC_AR</f>
        <v>49325040.5196918</v>
      </c>
      <c r="F11" s="31" t="n">
        <f aca="false">WC_AR</f>
        <v>54555493.721881</v>
      </c>
      <c r="G11" s="31" t="n">
        <f aca="false">WC_AR</f>
        <v>59392352.5382158</v>
      </c>
    </row>
    <row r="12" customFormat="false" ht="15" hidden="false" customHeight="false" outlineLevel="0" collapsed="false">
      <c r="A12" s="6"/>
      <c r="B12" s="35" t="s">
        <v>215</v>
      </c>
      <c r="C12" s="31" t="n">
        <f aca="false">WC_Unbilled</f>
        <v>11456849.3150685</v>
      </c>
      <c r="D12" s="31" t="n">
        <f aca="false">WC_Unbilled</f>
        <v>13419017.1232877</v>
      </c>
      <c r="E12" s="31" t="n">
        <f aca="false">WC_Unbilled</f>
        <v>15176935.5445206</v>
      </c>
      <c r="F12" s="31" t="n">
        <f aca="false">WC_Unbilled</f>
        <v>16786305.7605788</v>
      </c>
      <c r="G12" s="31" t="n">
        <f aca="false">WC_Unbilled</f>
        <v>18274570.0117587</v>
      </c>
    </row>
    <row r="13" customFormat="false" ht="15" hidden="false" customHeight="false" outlineLevel="0" collapsed="false">
      <c r="A13" s="6"/>
      <c r="B13" s="32" t="s">
        <v>256</v>
      </c>
      <c r="C13" s="33" t="n">
        <f aca="false">SUM(C10:C12)</f>
        <v>74919959.7553816</v>
      </c>
      <c r="D13" s="33" t="n">
        <f aca="false">SUM(D10:D12)</f>
        <v>89981705.6466243</v>
      </c>
      <c r="E13" s="33" t="n">
        <f aca="false">SUM(E10:E12)</f>
        <v>108021526.857797</v>
      </c>
      <c r="F13" s="33" t="n">
        <f aca="false">SUM(F10:F12)</f>
        <v>129046586.315425</v>
      </c>
      <c r="G13" s="33" t="n">
        <f aca="false">SUM(G10:G12)</f>
        <v>153030327.269732</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7" t="s">
        <v>257</v>
      </c>
      <c r="C15" s="6"/>
      <c r="D15" s="6"/>
      <c r="E15" s="6"/>
      <c r="F15" s="6"/>
      <c r="G15" s="6"/>
    </row>
    <row r="16" customFormat="false" ht="15" hidden="false" customHeight="false" outlineLevel="0" collapsed="false">
      <c r="A16" s="6"/>
      <c r="B16" s="35" t="s">
        <v>209</v>
      </c>
      <c r="C16" s="31" t="n">
        <f aca="false">CD_PPE_Gross</f>
        <v>22181750</v>
      </c>
      <c r="D16" s="31" t="n">
        <f aca="false">CD_PPE_Gross</f>
        <v>30229691.25</v>
      </c>
      <c r="E16" s="31" t="n">
        <f aca="false">CD_PPE_Gross</f>
        <v>39076772.72375</v>
      </c>
      <c r="F16" s="31" t="n">
        <f aca="false">CD_PPE_Gross</f>
        <v>48676649.3263613</v>
      </c>
      <c r="G16" s="31" t="n">
        <f aca="false">CD_PPE_Gross</f>
        <v>58993386.1306532</v>
      </c>
    </row>
    <row r="17" customFormat="false" ht="15" hidden="false" customHeight="false" outlineLevel="0" collapsed="false">
      <c r="A17" s="6"/>
      <c r="B17" s="35" t="s">
        <v>210</v>
      </c>
      <c r="C17" s="31" t="n">
        <f aca="false">CD_Accum_Depr</f>
        <v>8311678.57142857</v>
      </c>
      <c r="D17" s="31" t="n">
        <f aca="false">CD_Accum_Depr</f>
        <v>11773063.0357143</v>
      </c>
      <c r="E17" s="31" t="n">
        <f aca="false">CD_Accum_Depr</f>
        <v>16498316.2819643</v>
      </c>
      <c r="F17" s="31" t="n">
        <f aca="false">CD_Accum_Depr</f>
        <v>22594980.4714445</v>
      </c>
      <c r="G17" s="31" t="n">
        <f aca="false">CD_Accum_Depr</f>
        <v>30165464.2043949</v>
      </c>
    </row>
    <row r="18" customFormat="false" ht="15" hidden="false" customHeight="false" outlineLevel="0" collapsed="false">
      <c r="A18" s="6"/>
      <c r="B18" s="35" t="s">
        <v>211</v>
      </c>
      <c r="C18" s="31" t="n">
        <f aca="false">C16-C17</f>
        <v>13870071.4285714</v>
      </c>
      <c r="D18" s="31" t="n">
        <f aca="false">D16-D17</f>
        <v>18456628.2142857</v>
      </c>
      <c r="E18" s="31" t="n">
        <f aca="false">E16-E17</f>
        <v>22578456.4417857</v>
      </c>
      <c r="F18" s="31" t="n">
        <f aca="false">F16-F17</f>
        <v>26081668.8549168</v>
      </c>
      <c r="G18" s="31" t="n">
        <f aca="false">G16-G17</f>
        <v>28827921.9262583</v>
      </c>
    </row>
    <row r="19" customFormat="false" ht="15" hidden="false" customHeight="false" outlineLevel="0" collapsed="false">
      <c r="A19" s="6"/>
      <c r="B19" s="32" t="s">
        <v>258</v>
      </c>
      <c r="C19" s="33" t="n">
        <f aca="false">C18</f>
        <v>13870071.4285714</v>
      </c>
      <c r="D19" s="33" t="n">
        <f aca="false">D18</f>
        <v>18456628.2142857</v>
      </c>
      <c r="E19" s="33" t="n">
        <f aca="false">E18</f>
        <v>22578456.4417857</v>
      </c>
      <c r="F19" s="33" t="n">
        <f aca="false">F18</f>
        <v>26081668.8549168</v>
      </c>
      <c r="G19" s="33" t="n">
        <f aca="false">G18</f>
        <v>28827921.9262583</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32" t="s">
        <v>259</v>
      </c>
      <c r="C21" s="36" t="n">
        <f aca="false">C13+C19</f>
        <v>88790031.183953</v>
      </c>
      <c r="D21" s="36" t="n">
        <f aca="false">D13+D19</f>
        <v>108438333.86091</v>
      </c>
      <c r="E21" s="36" t="n">
        <f aca="false">E13+E19</f>
        <v>130599983.299582</v>
      </c>
      <c r="F21" s="36" t="n">
        <f aca="false">F13+F19</f>
        <v>155128255.170341</v>
      </c>
      <c r="G21" s="36" t="n">
        <f aca="false">G13+G19</f>
        <v>181858249.19599</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9" t="s">
        <v>260</v>
      </c>
      <c r="C23" s="10"/>
      <c r="D23" s="10"/>
      <c r="E23" s="10"/>
      <c r="F23" s="10"/>
      <c r="G23" s="10"/>
    </row>
    <row r="24" customFormat="false" ht="15" hidden="false" customHeight="false" outlineLevel="0" collapsed="false">
      <c r="A24" s="6"/>
      <c r="B24" s="7" t="s">
        <v>261</v>
      </c>
      <c r="C24" s="6"/>
      <c r="D24" s="6"/>
      <c r="E24" s="6"/>
      <c r="F24" s="6"/>
      <c r="G24" s="6"/>
    </row>
    <row r="25" customFormat="false" ht="15" hidden="false" customHeight="false" outlineLevel="0" collapsed="false">
      <c r="A25" s="6"/>
      <c r="B25" s="35" t="s">
        <v>218</v>
      </c>
      <c r="C25" s="31" t="n">
        <f aca="false">WC_AP</f>
        <v>12713438.3561644</v>
      </c>
      <c r="D25" s="31" t="n">
        <f aca="false">WC_AP</f>
        <v>14952406.3835616</v>
      </c>
      <c r="E25" s="31" t="n">
        <f aca="false">WC_AP</f>
        <v>16944769.4200822</v>
      </c>
      <c r="F25" s="31" t="n">
        <f aca="false">WC_AP</f>
        <v>18755418.069542</v>
      </c>
      <c r="G25" s="31" t="n">
        <f aca="false">WC_AP</f>
        <v>20415950.6290466</v>
      </c>
    </row>
    <row r="26" customFormat="false" ht="15" hidden="false" customHeight="false" outlineLevel="0" collapsed="false">
      <c r="A26" s="6"/>
      <c r="B26" s="35" t="s">
        <v>219</v>
      </c>
      <c r="C26" s="31" t="n">
        <f aca="false">WC_Defer_Rev</f>
        <v>14321061.6438356</v>
      </c>
      <c r="D26" s="31" t="n">
        <f aca="false">WC_Defer_Rev</f>
        <v>16773771.4041096</v>
      </c>
      <c r="E26" s="31" t="n">
        <f aca="false">WC_Defer_Rev</f>
        <v>18971169.4306507</v>
      </c>
      <c r="F26" s="31" t="n">
        <f aca="false">WC_Defer_Rev</f>
        <v>20982882.2007235</v>
      </c>
      <c r="G26" s="31" t="n">
        <f aca="false">WC_Defer_Rev</f>
        <v>22843212.5146984</v>
      </c>
    </row>
    <row r="27" customFormat="false" ht="15" hidden="false" customHeight="false" outlineLevel="0" collapsed="false">
      <c r="A27" s="6"/>
      <c r="B27" s="35" t="s">
        <v>220</v>
      </c>
      <c r="C27" s="31" t="n">
        <f aca="false">WC_Accrued</f>
        <v>3829035</v>
      </c>
      <c r="D27" s="31" t="n">
        <f aca="false">WC_Accrued</f>
        <v>4428311.825</v>
      </c>
      <c r="E27" s="31" t="n">
        <f aca="false">WC_Accrued</f>
        <v>4966816.808475</v>
      </c>
      <c r="F27" s="31" t="n">
        <f aca="false">WC_Accrued</f>
        <v>5461232.11414123</v>
      </c>
      <c r="G27" s="31" t="n">
        <f aca="false">WC_Accrued</f>
        <v>5919782.32851938</v>
      </c>
    </row>
    <row r="28" customFormat="false" ht="15" hidden="false" customHeight="false" outlineLevel="0" collapsed="false">
      <c r="A28" s="6"/>
      <c r="B28" s="35" t="s">
        <v>262</v>
      </c>
      <c r="C28" s="31" t="n">
        <f aca="false">MIN(Term_Loan_Amt/Term_Loan_Tenor,DS_TL_Close)</f>
        <v>7142857.14285714</v>
      </c>
      <c r="D28" s="31" t="n">
        <f aca="false">MIN(Term_Loan_Amt/Term_Loan_Tenor,DS_TL_Close)</f>
        <v>7142857.14285714</v>
      </c>
      <c r="E28" s="31" t="n">
        <f aca="false">MIN(Term_Loan_Amt/Term_Loan_Tenor,DS_TL_Close)</f>
        <v>7142857.14285714</v>
      </c>
      <c r="F28" s="31" t="n">
        <f aca="false">MIN(Term_Loan_Amt/Term_Loan_Tenor,DS_TL_Close)</f>
        <v>7142857.14285714</v>
      </c>
      <c r="G28" s="31" t="n">
        <f aca="false">DS_TL_Close</f>
        <v>14285714.2857143</v>
      </c>
    </row>
    <row r="29" customFormat="false" ht="15" hidden="false" customHeight="false" outlineLevel="0" collapsed="false">
      <c r="A29" s="6"/>
      <c r="B29" s="32" t="s">
        <v>263</v>
      </c>
      <c r="C29" s="33" t="n">
        <f aca="false">SUM(C25:C28)</f>
        <v>38006392.1428571</v>
      </c>
      <c r="D29" s="33" t="n">
        <f aca="false">SUM(D25:D28)</f>
        <v>43297346.7555284</v>
      </c>
      <c r="E29" s="33" t="n">
        <f aca="false">SUM(E25:E28)</f>
        <v>48025612.802065</v>
      </c>
      <c r="F29" s="33" t="n">
        <f aca="false">SUM(F25:F28)</f>
        <v>52342389.5272638</v>
      </c>
      <c r="G29" s="33" t="n">
        <f aca="false">SUM(G25:G28)</f>
        <v>63464659.7579787</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7" t="s">
        <v>264</v>
      </c>
      <c r="C31" s="6"/>
      <c r="D31" s="6"/>
      <c r="E31" s="6"/>
      <c r="F31" s="6"/>
      <c r="G31" s="6"/>
    </row>
    <row r="32" customFormat="false" ht="15" hidden="false" customHeight="false" outlineLevel="0" collapsed="false">
      <c r="A32" s="6"/>
      <c r="B32" s="35" t="s">
        <v>265</v>
      </c>
      <c r="C32" s="31" t="n">
        <f aca="false">MAX(0,DS_TL_Close-C28)</f>
        <v>35714285.7142857</v>
      </c>
      <c r="D32" s="31" t="n">
        <f aca="false">MAX(0,DS_TL_Close-D28)</f>
        <v>28571428.5714286</v>
      </c>
      <c r="E32" s="31" t="n">
        <f aca="false">MAX(0,DS_TL_Close-E28)</f>
        <v>21428571.4285714</v>
      </c>
      <c r="F32" s="31" t="n">
        <f aca="false">MAX(0,DS_TL_Close-F28)</f>
        <v>14285714.2857143</v>
      </c>
      <c r="G32" s="31" t="n">
        <f aca="false">MAX(0,DS_TL_Close-G28)</f>
        <v>0</v>
      </c>
    </row>
    <row r="33" customFormat="false" ht="15" hidden="false" customHeight="false" outlineLevel="0" collapsed="false">
      <c r="A33" s="6"/>
      <c r="B33" s="32" t="s">
        <v>266</v>
      </c>
      <c r="C33" s="33" t="n">
        <f aca="false">C32</f>
        <v>35714285.7142857</v>
      </c>
      <c r="D33" s="33" t="n">
        <f aca="false">D32</f>
        <v>28571428.5714286</v>
      </c>
      <c r="E33" s="33" t="n">
        <f aca="false">E32</f>
        <v>21428571.4285714</v>
      </c>
      <c r="F33" s="33" t="n">
        <f aca="false">F32</f>
        <v>14285714.2857143</v>
      </c>
      <c r="G33" s="33" t="n">
        <f aca="false">G32</f>
        <v>0</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32" t="s">
        <v>267</v>
      </c>
      <c r="C35" s="36" t="n">
        <f aca="false">C29+C33</f>
        <v>73720677.8571429</v>
      </c>
      <c r="D35" s="36" t="n">
        <f aca="false">D29+D33</f>
        <v>71868775.326957</v>
      </c>
      <c r="E35" s="36" t="n">
        <f aca="false">E29+E33</f>
        <v>69454184.2306365</v>
      </c>
      <c r="F35" s="36" t="n">
        <f aca="false">F29+F33</f>
        <v>66628103.8129781</v>
      </c>
      <c r="G35" s="36" t="n">
        <f aca="false">G29+G33</f>
        <v>63464659.7579787</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9" t="s">
        <v>268</v>
      </c>
      <c r="C37" s="10"/>
      <c r="D37" s="10"/>
      <c r="E37" s="10"/>
      <c r="F37" s="10"/>
      <c r="G37" s="10"/>
    </row>
    <row r="38" customFormat="false" ht="15" hidden="false" customHeight="false" outlineLevel="0" collapsed="false">
      <c r="A38" s="6"/>
      <c r="B38" s="35" t="s">
        <v>155</v>
      </c>
      <c r="C38" s="31" t="n">
        <f aca="false">Share_Capital_Amt</f>
        <v>40000000</v>
      </c>
      <c r="D38" s="31" t="n">
        <f aca="false">Share_Capital_Amt</f>
        <v>40000000</v>
      </c>
      <c r="E38" s="31" t="n">
        <f aca="false">Share_Capital_Amt</f>
        <v>40000000</v>
      </c>
      <c r="F38" s="31" t="n">
        <f aca="false">Share_Capital_Amt</f>
        <v>40000000</v>
      </c>
      <c r="G38" s="31" t="n">
        <f aca="false">Share_Capital_Amt</f>
        <v>40000000</v>
      </c>
    </row>
    <row r="39" customFormat="false" ht="15" hidden="false" customHeight="false" outlineLevel="0" collapsed="false">
      <c r="A39" s="6"/>
      <c r="B39" s="35" t="s">
        <v>269</v>
      </c>
      <c r="C39" s="31" t="n">
        <f aca="false">Open_Ret_Earn+Income_Statement!C49-Income_Statement!C52</f>
        <v>-30129702.8571429</v>
      </c>
      <c r="D39" s="31" t="n">
        <f aca="false">C39+Income_Statement!D49-Income_Statement!D52</f>
        <v>-8629497.65000001</v>
      </c>
      <c r="E39" s="31" t="n">
        <f aca="false">D39+Income_Statement!E49-Income_Statement!E52</f>
        <v>15946742.8849929</v>
      </c>
      <c r="F39" s="31" t="n">
        <f aca="false">E39+Income_Statement!F49-Income_Statement!F52</f>
        <v>43301095.1734103</v>
      </c>
      <c r="G39" s="31" t="n">
        <f aca="false">F39+Income_Statement!G49-Income_Statement!G52</f>
        <v>73194533.2540583</v>
      </c>
    </row>
    <row r="40" customFormat="false" ht="15" hidden="false" customHeight="false" outlineLevel="0" collapsed="false">
      <c r="A40" s="6"/>
      <c r="B40" s="32" t="s">
        <v>270</v>
      </c>
      <c r="C40" s="33" t="n">
        <f aca="false">C38+C39</f>
        <v>9870297.14285714</v>
      </c>
      <c r="D40" s="33" t="n">
        <f aca="false">D38+D39</f>
        <v>31370502.35</v>
      </c>
      <c r="E40" s="33" t="n">
        <f aca="false">E38+E39</f>
        <v>55946742.8849929</v>
      </c>
      <c r="F40" s="33" t="n">
        <f aca="false">F38+F39</f>
        <v>83301095.1734103</v>
      </c>
      <c r="G40" s="33" t="n">
        <f aca="false">G38+G39</f>
        <v>113194533.254058</v>
      </c>
    </row>
    <row r="41" customFormat="false" ht="15" hidden="false" customHeight="false" outlineLevel="0" collapsed="false">
      <c r="A41" s="6"/>
      <c r="B41" s="6"/>
      <c r="C41" s="6"/>
      <c r="D41" s="6"/>
      <c r="E41" s="6"/>
      <c r="F41" s="6"/>
      <c r="G41" s="6"/>
    </row>
    <row r="42" customFormat="false" ht="15" hidden="false" customHeight="false" outlineLevel="0" collapsed="false">
      <c r="A42" s="6"/>
      <c r="B42" s="32" t="s">
        <v>271</v>
      </c>
      <c r="C42" s="36" t="n">
        <f aca="false">C35+C40</f>
        <v>83590975</v>
      </c>
      <c r="D42" s="36" t="n">
        <f aca="false">D35+D40</f>
        <v>103239277.676957</v>
      </c>
      <c r="E42" s="36" t="n">
        <f aca="false">E35+E40</f>
        <v>125400927.115629</v>
      </c>
      <c r="F42" s="36" t="n">
        <f aca="false">F35+F40</f>
        <v>149929198.986388</v>
      </c>
      <c r="G42" s="36" t="n">
        <f aca="false">G35+G40</f>
        <v>176659193.012037</v>
      </c>
    </row>
    <row r="43" customFormat="false" ht="15" hidden="false" customHeight="false" outlineLevel="0" collapsed="false">
      <c r="A43" s="6"/>
      <c r="B43" s="6"/>
      <c r="C43" s="6"/>
      <c r="D43" s="6"/>
      <c r="E43" s="6"/>
      <c r="F43" s="6"/>
      <c r="G43" s="6"/>
    </row>
    <row r="44" customFormat="false" ht="15" hidden="false" customHeight="false" outlineLevel="0" collapsed="false">
      <c r="A44" s="6"/>
      <c r="B44" s="41" t="s">
        <v>272</v>
      </c>
      <c r="C44" s="42" t="n">
        <f aca="false">C21-C42</f>
        <v>5199056.18395303</v>
      </c>
      <c r="D44" s="42" t="n">
        <f aca="false">D21-D42</f>
        <v>5199056.18395303</v>
      </c>
      <c r="E44" s="42" t="n">
        <f aca="false">E21-E42</f>
        <v>5199056.18395302</v>
      </c>
      <c r="F44" s="42" t="n">
        <f aca="false">F21-F42</f>
        <v>5199056.18395302</v>
      </c>
      <c r="G44" s="42" t="n">
        <f aca="false">G21-G42</f>
        <v>5199056.18395305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273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274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275</v>
      </c>
      <c r="C7" s="10"/>
      <c r="D7" s="10"/>
      <c r="E7" s="10"/>
      <c r="F7" s="10"/>
      <c r="G7" s="10"/>
    </row>
    <row r="8" customFormat="false" ht="15" hidden="false" customHeight="false" outlineLevel="0" collapsed="false">
      <c r="A8" s="6"/>
      <c r="B8" s="35" t="s">
        <v>276</v>
      </c>
      <c r="C8" s="31" t="n">
        <f aca="false">IS_Net_Inc</f>
        <v>18015907.1428571</v>
      </c>
      <c r="D8" s="31" t="n">
        <f aca="false">IS_Net_Inc</f>
        <v>21500205.2071429</v>
      </c>
      <c r="E8" s="31" t="n">
        <f aca="false">IS_Net_Inc</f>
        <v>24576240.5349929</v>
      </c>
      <c r="F8" s="31" t="n">
        <f aca="false">IS_Net_Inc</f>
        <v>27354352.2884175</v>
      </c>
      <c r="G8" s="31" t="n">
        <f aca="false">IS_Net_Inc</f>
        <v>29893438.080648</v>
      </c>
    </row>
    <row r="9" customFormat="false" ht="15" hidden="false" customHeight="false" outlineLevel="0" collapsed="false">
      <c r="A9" s="6"/>
      <c r="B9" s="35" t="s">
        <v>277</v>
      </c>
      <c r="C9" s="31" t="n">
        <f aca="false">CD_Total_DA</f>
        <v>2311678.57142857</v>
      </c>
      <c r="D9" s="31" t="n">
        <f aca="false">CD_Total_DA</f>
        <v>3461384.46428571</v>
      </c>
      <c r="E9" s="31" t="n">
        <f aca="false">CD_Total_DA</f>
        <v>4725253.24625</v>
      </c>
      <c r="F9" s="31" t="n">
        <f aca="false">CD_Total_DA</f>
        <v>6096664.18948018</v>
      </c>
      <c r="G9" s="31" t="n">
        <f aca="false">CD_Total_DA</f>
        <v>7570483.73295045</v>
      </c>
    </row>
    <row r="10" customFormat="false" ht="15" hidden="false" customHeight="false" outlineLevel="0" collapsed="false">
      <c r="A10" s="6"/>
      <c r="B10" s="7" t="s">
        <v>278</v>
      </c>
      <c r="C10" s="6"/>
      <c r="D10" s="6"/>
      <c r="E10" s="6"/>
      <c r="F10" s="6"/>
      <c r="G10" s="6"/>
    </row>
    <row r="11" customFormat="false" ht="15" hidden="false" customHeight="false" outlineLevel="0" collapsed="false">
      <c r="A11" s="6"/>
      <c r="B11" s="35" t="s">
        <v>279</v>
      </c>
      <c r="C11" s="31" t="n">
        <f aca="false">-(WC_AR-C38)</f>
        <v>-7151590.01956947</v>
      </c>
      <c r="D11" s="31" t="n">
        <f aca="false">-(Working_Capital!D9-Working_Capital!C9)</f>
        <v>-6377045.37671233</v>
      </c>
      <c r="E11" s="31" t="n">
        <f aca="false">-(Working_Capital!E9-Working_Capital!D9)</f>
        <v>-5713234.86900686</v>
      </c>
      <c r="F11" s="31" t="n">
        <f aca="false">-(Working_Capital!F9-Working_Capital!E9)</f>
        <v>-5230453.20218921</v>
      </c>
      <c r="G11" s="31" t="n">
        <f aca="false">-(Working_Capital!G9-Working_Capital!F9)</f>
        <v>-4836858.81633477</v>
      </c>
    </row>
    <row r="12" customFormat="false" ht="15" hidden="false" customHeight="false" outlineLevel="0" collapsed="false">
      <c r="A12" s="6"/>
      <c r="B12" s="35" t="s">
        <v>280</v>
      </c>
      <c r="C12" s="31" t="n">
        <f aca="false">-(WC_Unbilled-C39)</f>
        <v>-2200489.23679061</v>
      </c>
      <c r="D12" s="31" t="n">
        <f aca="false">-(Working_Capital!D10-Working_Capital!C10)</f>
        <v>-1962167.80821918</v>
      </c>
      <c r="E12" s="31" t="n">
        <f aca="false">-(Working_Capital!E10-Working_Capital!D10)</f>
        <v>-1757918.42123288</v>
      </c>
      <c r="F12" s="31" t="n">
        <f aca="false">-(Working_Capital!F10-Working_Capital!E10)</f>
        <v>-1609370.21605822</v>
      </c>
      <c r="G12" s="31" t="n">
        <f aca="false">-(Working_Capital!G10-Working_Capital!F10)</f>
        <v>-1488264.25117993</v>
      </c>
    </row>
    <row r="13" customFormat="false" ht="15" hidden="false" customHeight="false" outlineLevel="0" collapsed="false">
      <c r="A13" s="6"/>
      <c r="B13" s="35" t="s">
        <v>281</v>
      </c>
      <c r="C13" s="31" t="n">
        <f aca="false">WC_AP-C40</f>
        <v>1168232.87671233</v>
      </c>
      <c r="D13" s="31" t="n">
        <f aca="false">Working_Capital!D14-Working_Capital!C14</f>
        <v>2238968.02739726</v>
      </c>
      <c r="E13" s="31" t="n">
        <f aca="false">Working_Capital!E14-Working_Capital!D14</f>
        <v>1992363.03652055</v>
      </c>
      <c r="F13" s="31" t="n">
        <f aca="false">Working_Capital!F14-Working_Capital!E14</f>
        <v>1810648.64945981</v>
      </c>
      <c r="G13" s="31" t="n">
        <f aca="false">Working_Capital!G14-Working_Capital!F14</f>
        <v>1660532.55950464</v>
      </c>
    </row>
    <row r="14" customFormat="false" ht="15" hidden="false" customHeight="false" outlineLevel="0" collapsed="false">
      <c r="A14" s="6"/>
      <c r="B14" s="35" t="s">
        <v>282</v>
      </c>
      <c r="C14" s="31" t="n">
        <f aca="false">WC_Defer_Rev-C41</f>
        <v>2750611.54598826</v>
      </c>
      <c r="D14" s="31" t="n">
        <f aca="false">Working_Capital!D15-Working_Capital!C15</f>
        <v>2452709.76027397</v>
      </c>
      <c r="E14" s="31" t="n">
        <f aca="false">Working_Capital!E15-Working_Capital!D15</f>
        <v>2197398.0265411</v>
      </c>
      <c r="F14" s="31" t="n">
        <f aca="false">Working_Capital!F15-Working_Capital!E15</f>
        <v>2011712.77007277</v>
      </c>
      <c r="G14" s="31" t="n">
        <f aca="false">Working_Capital!G15-Working_Capital!F15</f>
        <v>1860330.31397491</v>
      </c>
    </row>
    <row r="15" customFormat="false" ht="15" hidden="false" customHeight="false" outlineLevel="0" collapsed="false">
      <c r="A15" s="6"/>
      <c r="B15" s="35" t="s">
        <v>283</v>
      </c>
      <c r="C15" s="31" t="n">
        <f aca="false">WC_Accrued-C42</f>
        <v>658606.428571429</v>
      </c>
      <c r="D15" s="31" t="n">
        <f aca="false">Working_Capital!D16-Working_Capital!C16</f>
        <v>599276.825</v>
      </c>
      <c r="E15" s="31" t="n">
        <f aca="false">Working_Capital!E16-Working_Capital!D16</f>
        <v>538504.983475002</v>
      </c>
      <c r="F15" s="31" t="n">
        <f aca="false">Working_Capital!F16-Working_Capital!E16</f>
        <v>494415.305666224</v>
      </c>
      <c r="G15" s="31" t="n">
        <f aca="false">Working_Capital!G16-Working_Capital!F16</f>
        <v>458550.214378155</v>
      </c>
    </row>
    <row r="16" customFormat="false" ht="15" hidden="false" customHeight="false" outlineLevel="0" collapsed="false">
      <c r="A16" s="6"/>
      <c r="B16" s="32" t="s">
        <v>284</v>
      </c>
      <c r="C16" s="36" t="n">
        <f aca="false">C8+C9+C11+C12+C13+C14+C15</f>
        <v>15552957.3091977</v>
      </c>
      <c r="D16" s="36" t="n">
        <f aca="false">D8+D9+D11+D12+D13+D14+D15</f>
        <v>21913331.0991683</v>
      </c>
      <c r="E16" s="36" t="n">
        <f aca="false">E8+E9+E11+E12+E13+E14+E15</f>
        <v>26558606.5375398</v>
      </c>
      <c r="F16" s="36" t="n">
        <f aca="false">F8+F9+F11+F12+F13+F14+F15</f>
        <v>30927969.784849</v>
      </c>
      <c r="G16" s="36" t="n">
        <f aca="false">G8+G9+G11+G12+G13+G14+G15</f>
        <v>35118211.8339414</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285</v>
      </c>
      <c r="C18" s="10"/>
      <c r="D18" s="10"/>
      <c r="E18" s="10"/>
      <c r="F18" s="10"/>
      <c r="G18" s="10"/>
    </row>
    <row r="19" customFormat="false" ht="15" hidden="false" customHeight="false" outlineLevel="0" collapsed="false">
      <c r="A19" s="6"/>
      <c r="B19" s="35" t="s">
        <v>200</v>
      </c>
      <c r="C19" s="31" t="n">
        <f aca="false">-CD_Total_CapEx</f>
        <v>-7181750</v>
      </c>
      <c r="D19" s="31" t="n">
        <f aca="false">-CD_Total_CapEx</f>
        <v>-8047941.25</v>
      </c>
      <c r="E19" s="31" t="n">
        <f aca="false">-CD_Total_CapEx</f>
        <v>-8847081.47375</v>
      </c>
      <c r="F19" s="31" t="n">
        <f aca="false">-CD_Total_CapEx</f>
        <v>-9599876.60261125</v>
      </c>
      <c r="G19" s="31" t="n">
        <f aca="false">-CD_Total_CapEx</f>
        <v>-10316736.8042919</v>
      </c>
    </row>
    <row r="20" customFormat="false" ht="15" hidden="false" customHeight="false" outlineLevel="0" collapsed="false">
      <c r="A20" s="6"/>
      <c r="B20" s="32" t="s">
        <v>286</v>
      </c>
      <c r="C20" s="36" t="n">
        <f aca="false">C19</f>
        <v>-7181750</v>
      </c>
      <c r="D20" s="36" t="n">
        <f aca="false">D19</f>
        <v>-8047941.25</v>
      </c>
      <c r="E20" s="36" t="n">
        <f aca="false">E19</f>
        <v>-8847081.47375</v>
      </c>
      <c r="F20" s="36" t="n">
        <f aca="false">F19</f>
        <v>-9599876.60261125</v>
      </c>
      <c r="G20" s="36" t="n">
        <f aca="false">G19</f>
        <v>-10316736.8042919</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287</v>
      </c>
      <c r="C22" s="10"/>
      <c r="D22" s="10"/>
      <c r="E22" s="10"/>
      <c r="F22" s="10"/>
      <c r="G22" s="10"/>
    </row>
    <row r="23" customFormat="false" ht="15" hidden="false" customHeight="false" outlineLevel="0" collapsed="false">
      <c r="A23" s="6"/>
      <c r="B23" s="35" t="s">
        <v>288</v>
      </c>
      <c r="C23" s="31" t="n">
        <f aca="false">0</f>
        <v>0</v>
      </c>
      <c r="D23" s="31" t="n">
        <f aca="false">0</f>
        <v>0</v>
      </c>
      <c r="E23" s="31" t="n">
        <f aca="false">0</f>
        <v>0</v>
      </c>
      <c r="F23" s="31" t="n">
        <f aca="false">0</f>
        <v>0</v>
      </c>
      <c r="G23" s="31" t="n">
        <f aca="false">0</f>
        <v>0</v>
      </c>
    </row>
    <row r="24" customFormat="false" ht="15" hidden="false" customHeight="false" outlineLevel="0" collapsed="false">
      <c r="A24" s="6"/>
      <c r="B24" s="35" t="s">
        <v>289</v>
      </c>
      <c r="C24" s="31" t="n">
        <f aca="false">-DS_TL_Repay</f>
        <v>-7142857.14285714</v>
      </c>
      <c r="D24" s="31" t="n">
        <f aca="false">-DS_TL_Repay</f>
        <v>-7142857.14285714</v>
      </c>
      <c r="E24" s="31" t="n">
        <f aca="false">-DS_TL_Repay</f>
        <v>-7142857.14285714</v>
      </c>
      <c r="F24" s="31" t="n">
        <f aca="false">-DS_TL_Repay</f>
        <v>-7142857.14285714</v>
      </c>
      <c r="G24" s="31" t="n">
        <f aca="false">-DS_TL_Repay</f>
        <v>-7142857.14285714</v>
      </c>
    </row>
    <row r="25" customFormat="false" ht="15" hidden="false" customHeight="false" outlineLevel="0" collapsed="false">
      <c r="A25" s="6"/>
      <c r="B25" s="35" t="s">
        <v>290</v>
      </c>
      <c r="C25" s="31" t="n">
        <f aca="false">-IS_Dividends</f>
        <v>-0</v>
      </c>
      <c r="D25" s="31" t="n">
        <f aca="false">-IS_Dividends</f>
        <v>-0</v>
      </c>
      <c r="E25" s="31" t="n">
        <f aca="false">-IS_Dividends</f>
        <v>-0</v>
      </c>
      <c r="F25" s="31" t="n">
        <f aca="false">-IS_Dividends</f>
        <v>-0</v>
      </c>
      <c r="G25" s="31" t="n">
        <f aca="false">-IS_Dividends</f>
        <v>-0</v>
      </c>
    </row>
    <row r="26" customFormat="false" ht="15" hidden="false" customHeight="false" outlineLevel="0" collapsed="false">
      <c r="A26" s="6"/>
      <c r="B26" s="32" t="s">
        <v>291</v>
      </c>
      <c r="C26" s="36" t="n">
        <f aca="false">C23+C24+C25</f>
        <v>-7142857.14285714</v>
      </c>
      <c r="D26" s="36" t="n">
        <f aca="false">D23+D24+D25</f>
        <v>-7142857.14285714</v>
      </c>
      <c r="E26" s="36" t="n">
        <f aca="false">E23+E24+E25</f>
        <v>-7142857.14285714</v>
      </c>
      <c r="F26" s="36" t="n">
        <f aca="false">F23+F24+F25</f>
        <v>-7142857.14285714</v>
      </c>
      <c r="G26" s="36" t="n">
        <f aca="false">G23+G24+G25</f>
        <v>-7142857.14285714</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32" t="s">
        <v>292</v>
      </c>
      <c r="C28" s="33" t="n">
        <f aca="false">C16+C20+C26</f>
        <v>1228350.16634051</v>
      </c>
      <c r="D28" s="33" t="n">
        <f aca="false">D16+D20+D26</f>
        <v>6722532.70631115</v>
      </c>
      <c r="E28" s="33" t="n">
        <f aca="false">E16+E20+E26</f>
        <v>10568667.9209326</v>
      </c>
      <c r="F28" s="33" t="n">
        <f aca="false">F16+F20+F26</f>
        <v>14185236.0393806</v>
      </c>
      <c r="G28" s="33" t="n">
        <f aca="false">G16+G20+G26</f>
        <v>17658617.8867924</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35" t="s">
        <v>153</v>
      </c>
      <c r="C30" s="31" t="n">
        <f aca="false">Open_Cash</f>
        <v>25000000</v>
      </c>
      <c r="D30" s="31" t="n">
        <f aca="false">C31</f>
        <v>26228350.1663405</v>
      </c>
      <c r="E30" s="31" t="n">
        <f aca="false">D31</f>
        <v>32950882.8726517</v>
      </c>
      <c r="F30" s="31" t="n">
        <f aca="false">E31</f>
        <v>43519550.7935843</v>
      </c>
      <c r="G30" s="31" t="n">
        <f aca="false">F31</f>
        <v>57704786.8329649</v>
      </c>
    </row>
    <row r="31" customFormat="false" ht="15" hidden="false" customHeight="false" outlineLevel="0" collapsed="false">
      <c r="A31" s="6"/>
      <c r="B31" s="32" t="s">
        <v>293</v>
      </c>
      <c r="C31" s="36" t="n">
        <f aca="false">C30+C28</f>
        <v>26228350.1663405</v>
      </c>
      <c r="D31" s="36" t="n">
        <f aca="false">D30+D28</f>
        <v>32950882.8726517</v>
      </c>
      <c r="E31" s="36" t="n">
        <f aca="false">E30+E28</f>
        <v>43519550.7935843</v>
      </c>
      <c r="F31" s="36" t="n">
        <f aca="false">F30+F28</f>
        <v>57704786.8329649</v>
      </c>
      <c r="G31" s="36" t="n">
        <f aca="false">G30+G28</f>
        <v>75363404.7197573</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6"/>
      <c r="C33" s="6"/>
      <c r="D33" s="6"/>
      <c r="E33" s="6"/>
      <c r="F33" s="6"/>
      <c r="G33" s="6"/>
    </row>
    <row r="34" customFormat="false" ht="15" hidden="false" customHeight="false" outlineLevel="0" collapsed="false">
      <c r="A34" s="6"/>
      <c r="B34" s="9" t="s">
        <v>294</v>
      </c>
      <c r="C34" s="10"/>
      <c r="D34" s="10"/>
      <c r="E34" s="10"/>
      <c r="F34" s="10"/>
      <c r="G34" s="10"/>
    </row>
    <row r="35" customFormat="false" ht="15" hidden="false" customHeight="false" outlineLevel="0" collapsed="false">
      <c r="A35" s="6"/>
      <c r="B35" s="29" t="s">
        <v>295</v>
      </c>
      <c r="C35" s="43" t="n">
        <f aca="false">(Open_Backlog*Burn_Rate/(1-Burn_Rate))*(1+Passthru_Pct)+Consult_Base+Lab_Base</f>
        <v>168928571.428571</v>
      </c>
      <c r="D35" s="6"/>
      <c r="E35" s="6"/>
      <c r="F35" s="6"/>
      <c r="G35" s="6"/>
    </row>
    <row r="36" customFormat="false" ht="15" hidden="false" customHeight="false" outlineLevel="0" collapsed="false">
      <c r="A36" s="6"/>
      <c r="B36" s="29" t="s">
        <v>296</v>
      </c>
      <c r="C36" s="43" t="n">
        <f aca="false">(C35-C35*Passthru_Pct/(1+Passthru_Pct))*Direct_Labour_Pct+C35*Passthru_Pct/(1+Passthru_Pct)+(Open_Backlog*Burn_Rate/(1-Burn_Rate))*Travel_Pct+Lab_Base*Lab_COGS_Pct</f>
        <v>120400000</v>
      </c>
      <c r="D36" s="6"/>
      <c r="E36" s="6"/>
      <c r="F36" s="6"/>
      <c r="G36" s="6"/>
    </row>
    <row r="37" customFormat="false" ht="15" hidden="false" customHeight="false" outlineLevel="0" collapsed="false">
      <c r="A37" s="6"/>
      <c r="B37" s="29" t="s">
        <v>297</v>
      </c>
      <c r="C37" s="43" t="n">
        <f aca="false">C35*(SGA_Pct+BD_Pct+IT_Pct)+Facil_Base</f>
        <v>39630357.1428572</v>
      </c>
      <c r="D37" s="6"/>
      <c r="E37" s="6"/>
      <c r="F37" s="6"/>
      <c r="G37" s="6"/>
    </row>
    <row r="38" customFormat="false" ht="15" hidden="false" customHeight="false" outlineLevel="0" collapsed="false">
      <c r="A38" s="6"/>
      <c r="B38" s="29" t="s">
        <v>298</v>
      </c>
      <c r="C38" s="43" t="n">
        <f aca="false">C35*DSO_Days/365</f>
        <v>30083170.2544031</v>
      </c>
      <c r="D38" s="6"/>
      <c r="E38" s="6"/>
      <c r="F38" s="6"/>
      <c r="G38" s="6"/>
    </row>
    <row r="39" customFormat="false" ht="15" hidden="false" customHeight="false" outlineLevel="0" collapsed="false">
      <c r="A39" s="6"/>
      <c r="B39" s="29" t="s">
        <v>299</v>
      </c>
      <c r="C39" s="43" t="n">
        <f aca="false">C35*Unbilled_Days/365</f>
        <v>9256360.07827789</v>
      </c>
      <c r="D39" s="6"/>
      <c r="E39" s="6"/>
      <c r="F39" s="6"/>
      <c r="G39" s="6"/>
    </row>
    <row r="40" customFormat="false" ht="15" hidden="false" customHeight="false" outlineLevel="0" collapsed="false">
      <c r="A40" s="6"/>
      <c r="B40" s="29" t="s">
        <v>300</v>
      </c>
      <c r="C40" s="43" t="n">
        <f aca="false">C36*DPO_Days/365</f>
        <v>11545205.4794521</v>
      </c>
      <c r="D40" s="6"/>
      <c r="E40" s="6"/>
      <c r="F40" s="6"/>
      <c r="G40" s="6"/>
    </row>
    <row r="41" customFormat="false" ht="15" hidden="false" customHeight="false" outlineLevel="0" collapsed="false">
      <c r="A41" s="6"/>
      <c r="B41" s="29" t="s">
        <v>301</v>
      </c>
      <c r="C41" s="43" t="n">
        <f aca="false">C35*Defer_Rev_Days/365</f>
        <v>11570450.0978474</v>
      </c>
      <c r="D41" s="6"/>
      <c r="E41" s="6"/>
      <c r="F41" s="6"/>
      <c r="G41" s="6"/>
    </row>
    <row r="42" customFormat="false" ht="15" hidden="false" customHeight="false" outlineLevel="0" collapsed="false">
      <c r="A42" s="6"/>
      <c r="B42" s="29" t="s">
        <v>302</v>
      </c>
      <c r="C42" s="43" t="n">
        <f aca="false">C37*Accrued_Pct</f>
        <v>3170428.57142857</v>
      </c>
      <c r="D42" s="6"/>
      <c r="E42" s="6"/>
      <c r="F42" s="6"/>
      <c r="G42"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303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34</v>
      </c>
      <c r="C7" s="10"/>
      <c r="D7" s="10"/>
      <c r="E7" s="10"/>
      <c r="F7" s="10"/>
      <c r="G7" s="10"/>
    </row>
    <row r="8" customFormat="false" ht="15" hidden="false" customHeight="false" outlineLevel="0" collapsed="false">
      <c r="A8" s="6"/>
      <c r="B8" s="32" t="s">
        <v>305</v>
      </c>
      <c r="C8" s="44" t="str">
        <f aca="false">IF(ABS(Balance_Sheet!C44)&lt;1,"PASS","FAIL")</f>
        <v>FAIL</v>
      </c>
      <c r="D8" s="44" t="str">
        <f aca="false">IF(ABS(Balance_Sheet!D44)&lt;1,"PASS","FAIL")</f>
        <v>FAIL</v>
      </c>
      <c r="E8" s="44" t="str">
        <f aca="false">IF(ABS(Balance_Sheet!E44)&lt;1,"PASS","FAIL")</f>
        <v>FAIL</v>
      </c>
      <c r="F8" s="44" t="str">
        <f aca="false">IF(ABS(Balance_Sheet!F44)&lt;1,"PASS","FAIL")</f>
        <v>FAIL</v>
      </c>
      <c r="G8" s="44" t="str">
        <f aca="false">IF(ABS(Balance_Sheet!G44)&lt;1,"PASS","FAIL")</f>
        <v>FAIL</v>
      </c>
    </row>
    <row r="9" customFormat="false" ht="15" hidden="false" customHeight="false" outlineLevel="0" collapsed="false">
      <c r="A9" s="6"/>
      <c r="B9" s="32" t="s">
        <v>306</v>
      </c>
      <c r="C9" s="44" t="str">
        <f aca="false">IF(AND(BR_BTB&gt;=0.8,BR_BTB&lt;=2),"PASS","FAIL")</f>
        <v>PASS</v>
      </c>
      <c r="D9" s="44" t="str">
        <f aca="false">IF(AND(BR_BTB&gt;=0.8,BR_BTB&lt;=2),"PASS","FAIL")</f>
        <v>PASS</v>
      </c>
      <c r="E9" s="44" t="str">
        <f aca="false">IF(AND(BR_BTB&gt;=0.8,BR_BTB&lt;=2),"PASS","FAIL")</f>
        <v>PASS</v>
      </c>
      <c r="F9" s="44" t="str">
        <f aca="false">IF(AND(BR_BTB&gt;=0.8,BR_BTB&lt;=2),"PASS","FAIL")</f>
        <v>PASS</v>
      </c>
      <c r="G9" s="44" t="str">
        <f aca="false">IF(AND(BR_BTB&gt;=0.8,BR_BTB&lt;=2),"PASS","FAIL")</f>
        <v>PASS</v>
      </c>
    </row>
    <row r="10" customFormat="false" ht="15" hidden="false" customHeight="false" outlineLevel="0" collapsed="false">
      <c r="A10" s="6"/>
      <c r="B10" s="32" t="s">
        <v>307</v>
      </c>
      <c r="C10" s="44" t="str">
        <f aca="false">IF(CF_CFO/DS_Total_Int&gt;1.5,"PASS","FAIL")</f>
        <v>PASS</v>
      </c>
      <c r="D10" s="44" t="str">
        <f aca="false">IF(CF_CFO/DS_Total_Int&gt;1.5,"PASS","FAIL")</f>
        <v>PASS</v>
      </c>
      <c r="E10" s="44" t="str">
        <f aca="false">IF(CF_CFO/DS_Total_Int&gt;1.5,"PASS","FAIL")</f>
        <v>PASS</v>
      </c>
      <c r="F10" s="44" t="str">
        <f aca="false">IF(CF_CFO/DS_Total_Int&gt;1.5,"PASS","FAIL")</f>
        <v>PASS</v>
      </c>
      <c r="G10" s="44" t="str">
        <f aca="false">IF(CF_CFO/DS_Total_Int&gt;1.5,"PASS","FAIL")</f>
        <v>PASS</v>
      </c>
    </row>
    <row r="11" customFormat="false" ht="15" hidden="false" customHeight="false" outlineLevel="0" collapsed="false">
      <c r="A11" s="6"/>
      <c r="B11" s="32" t="s">
        <v>308</v>
      </c>
      <c r="C11" s="44" t="str">
        <f aca="false">IF(Util_Target&lt;=0.85,"PASS","FAIL")</f>
        <v>PASS</v>
      </c>
      <c r="D11" s="44" t="str">
        <f aca="false">IF(Util_Target&lt;=0.85,"PASS","FAIL")</f>
        <v>PASS</v>
      </c>
      <c r="E11" s="44" t="str">
        <f aca="false">IF(Util_Target&lt;=0.85,"PASS","FAIL")</f>
        <v>PASS</v>
      </c>
      <c r="F11" s="44" t="str">
        <f aca="false">IF(Util_Target&lt;=0.85,"PASS","FAIL")</f>
        <v>PASS</v>
      </c>
      <c r="G11" s="44" t="str">
        <f aca="false">IF(Util_Target&lt;=0.85,"PASS","FAIL")</f>
        <v>PASS</v>
      </c>
    </row>
    <row r="12" customFormat="false" ht="15" hidden="false" customHeight="false" outlineLevel="0" collapsed="false">
      <c r="A12" s="6"/>
      <c r="B12" s="32" t="s">
        <v>309</v>
      </c>
      <c r="C12" s="44" t="str">
        <f aca="false">IF(AND(DC_Gross_Profit/BR_Total_Rev&gt;=0.25,DC_Gross_Profit/BR_Total_Rev&lt;=0.55),"PASS","FAIL")</f>
        <v>PASS</v>
      </c>
      <c r="D12" s="44" t="str">
        <f aca="false">IF(AND(DC_Gross_Profit/BR_Total_Rev&gt;=0.25,DC_Gross_Profit/BR_Total_Rev&lt;=0.55),"PASS","FAIL")</f>
        <v>PASS</v>
      </c>
      <c r="E12" s="44" t="str">
        <f aca="false">IF(AND(DC_Gross_Profit/BR_Total_Rev&gt;=0.25,DC_Gross_Profit/BR_Total_Rev&lt;=0.55),"PASS","FAIL")</f>
        <v>PASS</v>
      </c>
      <c r="F12" s="44" t="str">
        <f aca="false">IF(AND(DC_Gross_Profit/BR_Total_Rev&gt;=0.25,DC_Gross_Profit/BR_Total_Rev&lt;=0.55),"PASS","FAIL")</f>
        <v>PASS</v>
      </c>
      <c r="G12" s="44" t="str">
        <f aca="false">IF(AND(DC_Gross_Profit/BR_Total_Rev&gt;=0.25,DC_Gross_Profit/BR_Total_Rev&lt;=0.55),"PASS","FAIL")</f>
        <v>PASS</v>
      </c>
    </row>
    <row r="13" customFormat="false" ht="15" hidden="false" customHeight="false" outlineLevel="0" collapsed="false">
      <c r="A13" s="6"/>
      <c r="B13" s="32" t="s">
        <v>310</v>
      </c>
      <c r="C13" s="44" t="str">
        <f aca="false">IF(AND(IS_EBITDA/IS_Total_Rev&gt;=0.1,IS_EBITDA/IS_Total_Rev&lt;=0.3),"PASS","FAIL")</f>
        <v>PASS</v>
      </c>
      <c r="D13" s="44" t="str">
        <f aca="false">IF(AND(IS_EBITDA/IS_Total_Rev&gt;=0.1,IS_EBITDA/IS_Total_Rev&lt;=0.3),"PASS","FAIL")</f>
        <v>PASS</v>
      </c>
      <c r="E13" s="44" t="str">
        <f aca="false">IF(AND(IS_EBITDA/IS_Total_Rev&gt;=0.1,IS_EBITDA/IS_Total_Rev&lt;=0.3),"PASS","FAIL")</f>
        <v>PASS</v>
      </c>
      <c r="F13" s="44" t="str">
        <f aca="false">IF(AND(IS_EBITDA/IS_Total_Rev&gt;=0.1,IS_EBITDA/IS_Total_Rev&lt;=0.3),"PASS","FAIL")</f>
        <v>PASS</v>
      </c>
      <c r="G13" s="44" t="str">
        <f aca="false">IF(AND(IS_EBITDA/IS_Total_Rev&gt;=0.1,IS_EBITDA/IS_Total_Rev&lt;=0.3),"PASS","FAIL")</f>
        <v>PASS</v>
      </c>
    </row>
    <row r="14" customFormat="false" ht="15" hidden="false" customHeight="false" outlineLevel="0" collapsed="false">
      <c r="A14" s="6"/>
      <c r="B14" s="32" t="s">
        <v>311</v>
      </c>
      <c r="C14" s="44" t="str">
        <f aca="false">IF(CF_Close_Cash&gt;=0,"PASS","FAIL")</f>
        <v>PASS</v>
      </c>
      <c r="D14" s="44" t="str">
        <f aca="false">IF(CF_Close_Cash&gt;=0,"PASS","FAIL")</f>
        <v>PASS</v>
      </c>
      <c r="E14" s="44" t="str">
        <f aca="false">IF(CF_Close_Cash&gt;=0,"PASS","FAIL")</f>
        <v>PASS</v>
      </c>
      <c r="F14" s="44" t="str">
        <f aca="false">IF(CF_Close_Cash&gt;=0,"PASS","FAIL")</f>
        <v>PASS</v>
      </c>
      <c r="G14" s="44" t="str">
        <f aca="false">IF(CF_Close_Cash&gt;=0,"PASS","FAIL")</f>
        <v>PASS</v>
      </c>
    </row>
    <row r="15" customFormat="false" ht="15" hidden="false" customHeight="false" outlineLevel="0" collapsed="false">
      <c r="A15" s="6"/>
      <c r="B15" s="32" t="s">
        <v>312</v>
      </c>
      <c r="C15" s="44" t="str">
        <f aca="false">IF(AND(Burn_Rate&gt;=0.15,Burn_Rate&lt;=0.5),"PASS","FAIL")</f>
        <v>PASS</v>
      </c>
      <c r="D15" s="44" t="str">
        <f aca="false">IF(AND(Burn_Rate&gt;=0.15,Burn_Rate&lt;=0.5),"PASS","FAIL")</f>
        <v>PASS</v>
      </c>
      <c r="E15" s="44" t="str">
        <f aca="false">IF(AND(Burn_Rate&gt;=0.15,Burn_Rate&lt;=0.5),"PASS","FAIL")</f>
        <v>PASS</v>
      </c>
      <c r="F15" s="44" t="str">
        <f aca="false">IF(AND(Burn_Rate&gt;=0.15,Burn_Rate&lt;=0.5),"PASS","FAIL")</f>
        <v>PASS</v>
      </c>
      <c r="G15" s="44" t="str">
        <f aca="false">IF(AND(Burn_Rate&gt;=0.15,Burn_Rate&lt;=0.5),"PASS","FAIL")</f>
        <v>PASS</v>
      </c>
    </row>
    <row r="16" customFormat="false" ht="15" hidden="false" customHeight="false" outlineLevel="0" collapsed="false">
      <c r="A16" s="6"/>
      <c r="B16" s="32" t="s">
        <v>313</v>
      </c>
      <c r="C16" s="44" t="str">
        <f aca="false">IF(AND(DSO_Days&gt;=40,DSO_Days&lt;=100),"PASS","FAIL")</f>
        <v>PASS</v>
      </c>
      <c r="D16" s="44" t="str">
        <f aca="false">IF(AND(DSO_Days&gt;=40,DSO_Days&lt;=100),"PASS","FAIL")</f>
        <v>PASS</v>
      </c>
      <c r="E16" s="44" t="str">
        <f aca="false">IF(AND(DSO_Days&gt;=40,DSO_Days&lt;=100),"PASS","FAIL")</f>
        <v>PASS</v>
      </c>
      <c r="F16" s="44" t="str">
        <f aca="false">IF(AND(DSO_Days&gt;=40,DSO_Days&lt;=100),"PASS","FAIL")</f>
        <v>PASS</v>
      </c>
      <c r="G16" s="44" t="str">
        <f aca="false">IF(AND(DSO_Days&gt;=40,DSO_Days&lt;=100),"PASS","FAIL")</f>
        <v>PASS</v>
      </c>
    </row>
    <row r="17" customFormat="false" ht="15" hidden="false" customHeight="false" outlineLevel="0" collapsed="false">
      <c r="A17" s="6"/>
      <c r="B17" s="32" t="s">
        <v>314</v>
      </c>
      <c r="C17" s="44" t="str">
        <f aca="false">IF(CD_Accum_Depr&lt;=CD_PPE_Gross,"PASS","FAIL")</f>
        <v>PASS</v>
      </c>
      <c r="D17" s="44" t="str">
        <f aca="false">IF(CD_Accum_Depr&lt;=CD_PPE_Gross,"PASS","FAIL")</f>
        <v>PASS</v>
      </c>
      <c r="E17" s="44" t="str">
        <f aca="false">IF(CD_Accum_Depr&lt;=CD_PPE_Gross,"PASS","FAIL")</f>
        <v>PASS</v>
      </c>
      <c r="F17" s="44" t="str">
        <f aca="false">IF(CD_Accum_Depr&lt;=CD_PPE_Gross,"PASS","FAIL")</f>
        <v>PASS</v>
      </c>
      <c r="G17" s="44" t="str">
        <f aca="false">IF(CD_Accum_Depr&lt;=CD_PPE_Gross,"PASS","FAIL")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5" t="s">
        <v>315</v>
      </c>
    </row>
    <row r="3" customFormat="false" ht="3.75" hidden="false" customHeight="true" outlineLevel="0" collapsed="false">
      <c r="B3" s="46"/>
    </row>
    <row r="5" customFormat="false" ht="19.5" hidden="false" customHeight="true" outlineLevel="0" collapsed="false">
      <c r="B5" s="47" t="s">
        <v>316</v>
      </c>
    </row>
    <row r="6" customFormat="false" ht="48" hidden="false" customHeight="true" outlineLevel="0" collapsed="false">
      <c r="B6" s="48" t="s">
        <v>317</v>
      </c>
    </row>
    <row r="8" customFormat="false" ht="19.5" hidden="false" customHeight="true" outlineLevel="0" collapsed="false">
      <c r="B8" s="47" t="s">
        <v>318</v>
      </c>
    </row>
    <row r="9" customFormat="false" ht="61.5" hidden="false" customHeight="true" outlineLevel="0" collapsed="false">
      <c r="B9" s="48" t="s">
        <v>319</v>
      </c>
    </row>
    <row r="11" customFormat="false" ht="19.5" hidden="false" customHeight="true" outlineLevel="0" collapsed="false">
      <c r="B11" s="47" t="s">
        <v>320</v>
      </c>
    </row>
    <row r="12" customFormat="false" ht="75.75" hidden="false" customHeight="true" outlineLevel="0" collapsed="false">
      <c r="B12" s="48" t="s">
        <v>321</v>
      </c>
    </row>
    <row r="14" customFormat="false" ht="19.5" hidden="false" customHeight="true" outlineLevel="0" collapsed="false">
      <c r="B14" s="47" t="s">
        <v>322</v>
      </c>
    </row>
    <row r="15" customFormat="false" ht="61.5" hidden="false" customHeight="true" outlineLevel="0" collapsed="false">
      <c r="B15" s="48" t="s">
        <v>323</v>
      </c>
    </row>
    <row r="17" customFormat="false" ht="19.5" hidden="false" customHeight="true" outlineLevel="0" collapsed="false">
      <c r="B17" s="47" t="s">
        <v>324</v>
      </c>
    </row>
    <row r="18" customFormat="false" ht="33.75" hidden="false" customHeight="true" outlineLevel="0" collapsed="false">
      <c r="B18" s="48" t="s">
        <v>325</v>
      </c>
    </row>
    <row r="20" customFormat="false" ht="19.5" hidden="false" customHeight="true" outlineLevel="0" collapsed="false">
      <c r="B20" s="47" t="s">
        <v>326</v>
      </c>
    </row>
    <row r="21" customFormat="false" ht="33.75" hidden="false" customHeight="true" outlineLevel="0" collapsed="false">
      <c r="B21" s="48" t="s">
        <v>327</v>
      </c>
    </row>
    <row r="23" customFormat="false" ht="21.75" hidden="false" customHeight="true" outlineLevel="0" collapsed="false">
      <c r="B23" s="49" t="s">
        <v>328</v>
      </c>
    </row>
    <row r="25" customFormat="false" ht="18" hidden="false" customHeight="true" outlineLevel="0" collapsed="false">
      <c r="B25" s="50" t="s">
        <v>329</v>
      </c>
    </row>
    <row r="26" customFormat="false" ht="201.75" hidden="false" customHeight="true" outlineLevel="0" collapsed="false">
      <c r="B26" s="51" t="s">
        <v>330</v>
      </c>
    </row>
    <row r="28" customFormat="false" ht="18" hidden="false" customHeight="true" outlineLevel="0" collapsed="false">
      <c r="B28" s="52" t="s">
        <v>331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7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55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t="s">
        <v>56</v>
      </c>
      <c r="C5" s="22" t="s">
        <v>57</v>
      </c>
      <c r="D5" s="22" t="s">
        <v>58</v>
      </c>
      <c r="E5" s="22" t="s">
        <v>59</v>
      </c>
      <c r="F5" s="6"/>
      <c r="G5" s="6"/>
    </row>
    <row r="6" customFormat="false" ht="15" hidden="false" customHeight="false" outlineLevel="0" collapsed="false">
      <c r="A6" s="6"/>
      <c r="B6" s="6"/>
      <c r="C6" s="6"/>
      <c r="D6" s="6"/>
      <c r="E6" s="6"/>
      <c r="F6" s="6"/>
      <c r="G6" s="6"/>
    </row>
    <row r="7" customFormat="false" ht="15" hidden="false" customHeight="false" outlineLevel="0" collapsed="false">
      <c r="A7" s="6"/>
      <c r="B7" s="9" t="s">
        <v>60</v>
      </c>
      <c r="C7" s="10"/>
      <c r="D7" s="10"/>
      <c r="E7" s="10"/>
      <c r="F7" s="10"/>
      <c r="G7" s="10"/>
    </row>
    <row r="8" customFormat="false" ht="15" hidden="false" customHeight="false" outlineLevel="0" collapsed="false">
      <c r="A8" s="6"/>
      <c r="B8" s="23" t="s">
        <v>61</v>
      </c>
      <c r="C8" s="24" t="n">
        <v>2026</v>
      </c>
      <c r="D8" s="25"/>
      <c r="E8" s="25" t="s">
        <v>62</v>
      </c>
      <c r="F8" s="6"/>
      <c r="G8" s="6"/>
    </row>
    <row r="9" customFormat="false" ht="15" hidden="false" customHeight="false" outlineLevel="0" collapsed="false">
      <c r="A9" s="6"/>
      <c r="B9" s="6"/>
      <c r="C9" s="6"/>
      <c r="D9" s="6"/>
      <c r="E9" s="6"/>
      <c r="F9" s="6"/>
      <c r="G9" s="6"/>
    </row>
    <row r="10" customFormat="false" ht="15" hidden="false" customHeight="false" outlineLevel="0" collapsed="false">
      <c r="A10" s="6"/>
      <c r="B10" s="9" t="s">
        <v>63</v>
      </c>
      <c r="C10" s="10"/>
      <c r="D10" s="10"/>
      <c r="E10" s="10"/>
      <c r="F10" s="10"/>
      <c r="G10" s="10"/>
    </row>
    <row r="11" customFormat="false" ht="15" hidden="false" customHeight="false" outlineLevel="0" collapsed="false">
      <c r="A11" s="6"/>
      <c r="B11" s="23" t="s">
        <v>64</v>
      </c>
      <c r="C11" s="24" t="n">
        <v>250000000</v>
      </c>
      <c r="D11" s="25" t="s">
        <v>65</v>
      </c>
      <c r="E11" s="25" t="s">
        <v>66</v>
      </c>
      <c r="F11" s="6"/>
      <c r="G11" s="6"/>
    </row>
    <row r="12" customFormat="false" ht="15" hidden="false" customHeight="false" outlineLevel="0" collapsed="false">
      <c r="A12" s="6"/>
      <c r="B12" s="23" t="s">
        <v>67</v>
      </c>
      <c r="C12" s="24" t="n">
        <v>200000000</v>
      </c>
      <c r="D12" s="25" t="s">
        <v>65</v>
      </c>
      <c r="E12" s="25" t="s">
        <v>68</v>
      </c>
      <c r="F12" s="6"/>
      <c r="G12" s="6"/>
    </row>
    <row r="13" customFormat="false" ht="15" hidden="false" customHeight="false" outlineLevel="0" collapsed="false">
      <c r="A13" s="6"/>
      <c r="B13" s="23" t="s">
        <v>69</v>
      </c>
      <c r="C13" s="26" t="n">
        <v>0.12</v>
      </c>
      <c r="D13" s="25" t="s">
        <v>70</v>
      </c>
      <c r="E13" s="25"/>
      <c r="F13" s="6"/>
      <c r="G13" s="6"/>
    </row>
    <row r="14" customFormat="false" ht="15" hidden="false" customHeight="false" outlineLevel="0" collapsed="false">
      <c r="A14" s="6"/>
      <c r="B14" s="23" t="s">
        <v>71</v>
      </c>
      <c r="C14" s="26" t="n">
        <v>0.1</v>
      </c>
      <c r="D14" s="25" t="s">
        <v>70</v>
      </c>
      <c r="E14" s="25"/>
      <c r="F14" s="6"/>
      <c r="G14" s="6"/>
    </row>
    <row r="15" customFormat="false" ht="15" hidden="false" customHeight="false" outlineLevel="0" collapsed="false">
      <c r="A15" s="6"/>
      <c r="B15" s="23" t="s">
        <v>72</v>
      </c>
      <c r="C15" s="26" t="n">
        <v>0.08</v>
      </c>
      <c r="D15" s="25" t="s">
        <v>70</v>
      </c>
      <c r="E15" s="25"/>
      <c r="F15" s="6"/>
      <c r="G15" s="6"/>
    </row>
    <row r="16" customFormat="false" ht="15" hidden="false" customHeight="false" outlineLevel="0" collapsed="false">
      <c r="A16" s="6"/>
      <c r="B16" s="23" t="s">
        <v>73</v>
      </c>
      <c r="C16" s="26" t="n">
        <v>0.07</v>
      </c>
      <c r="D16" s="25" t="s">
        <v>70</v>
      </c>
      <c r="E16" s="25"/>
      <c r="F16" s="6"/>
      <c r="G16" s="6"/>
    </row>
    <row r="17" customFormat="false" ht="15" hidden="false" customHeight="false" outlineLevel="0" collapsed="false">
      <c r="A17" s="6"/>
      <c r="B17" s="23" t="s">
        <v>74</v>
      </c>
      <c r="C17" s="26" t="n">
        <v>0.06</v>
      </c>
      <c r="D17" s="25" t="s">
        <v>70</v>
      </c>
      <c r="E17" s="25"/>
      <c r="F17" s="6"/>
      <c r="G17" s="6"/>
    </row>
    <row r="18" customFormat="false" ht="15" hidden="false" customHeight="false" outlineLevel="0" collapsed="false">
      <c r="A18" s="6"/>
      <c r="B18" s="23" t="s">
        <v>75</v>
      </c>
      <c r="C18" s="26" t="n">
        <v>0.07</v>
      </c>
      <c r="D18" s="25" t="s">
        <v>70</v>
      </c>
      <c r="E18" s="25" t="s">
        <v>76</v>
      </c>
      <c r="F18" s="6"/>
      <c r="G18" s="6"/>
    </row>
    <row r="19" customFormat="false" ht="15" hidden="false" customHeight="false" outlineLevel="0" collapsed="false">
      <c r="A19" s="6"/>
      <c r="B19" s="23" t="s">
        <v>77</v>
      </c>
      <c r="C19" s="26" t="n">
        <v>0.3</v>
      </c>
      <c r="D19" s="25" t="s">
        <v>70</v>
      </c>
      <c r="E19" s="25" t="s">
        <v>78</v>
      </c>
      <c r="F19" s="6"/>
      <c r="G19" s="6"/>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79</v>
      </c>
      <c r="C21" s="10"/>
      <c r="D21" s="10"/>
      <c r="E21" s="10"/>
      <c r="F21" s="10"/>
      <c r="G21" s="10"/>
    </row>
    <row r="22" customFormat="false" ht="15" hidden="false" customHeight="false" outlineLevel="0" collapsed="false">
      <c r="A22" s="6"/>
      <c r="B22" s="23" t="s">
        <v>80</v>
      </c>
      <c r="C22" s="24" t="n">
        <v>15000000</v>
      </c>
      <c r="D22" s="25" t="s">
        <v>65</v>
      </c>
      <c r="E22" s="25" t="s">
        <v>81</v>
      </c>
      <c r="F22" s="6"/>
      <c r="G22" s="6"/>
    </row>
    <row r="23" customFormat="false" ht="15" hidden="false" customHeight="false" outlineLevel="0" collapsed="false">
      <c r="A23" s="6"/>
      <c r="B23" s="23" t="s">
        <v>82</v>
      </c>
      <c r="C23" s="26" t="n">
        <v>0.06</v>
      </c>
      <c r="D23" s="25" t="s">
        <v>70</v>
      </c>
      <c r="E23" s="25" t="s">
        <v>83</v>
      </c>
      <c r="F23" s="6"/>
      <c r="G23" s="6"/>
    </row>
    <row r="24" customFormat="false" ht="15" hidden="false" customHeight="false" outlineLevel="0" collapsed="false">
      <c r="A24" s="6"/>
      <c r="B24" s="6"/>
      <c r="C24" s="6"/>
      <c r="D24" s="6"/>
      <c r="E24" s="6"/>
      <c r="F24" s="6"/>
      <c r="G24" s="6"/>
    </row>
    <row r="25" customFormat="false" ht="15" hidden="false" customHeight="false" outlineLevel="0" collapsed="false">
      <c r="A25" s="6"/>
      <c r="B25" s="9" t="s">
        <v>84</v>
      </c>
      <c r="C25" s="10"/>
      <c r="D25" s="10"/>
      <c r="E25" s="10"/>
      <c r="F25" s="10"/>
      <c r="G25" s="10"/>
    </row>
    <row r="26" customFormat="false" ht="15" hidden="false" customHeight="false" outlineLevel="0" collapsed="false">
      <c r="A26" s="6"/>
      <c r="B26" s="23" t="s">
        <v>85</v>
      </c>
      <c r="C26" s="24" t="n">
        <v>20000000</v>
      </c>
      <c r="D26" s="25" t="s">
        <v>65</v>
      </c>
      <c r="E26" s="25" t="s">
        <v>86</v>
      </c>
      <c r="F26" s="6"/>
      <c r="G26" s="6"/>
    </row>
    <row r="27" customFormat="false" ht="15" hidden="false" customHeight="false" outlineLevel="0" collapsed="false">
      <c r="A27" s="6"/>
      <c r="B27" s="23" t="s">
        <v>87</v>
      </c>
      <c r="C27" s="26" t="n">
        <v>0.1</v>
      </c>
      <c r="D27" s="25" t="s">
        <v>70</v>
      </c>
      <c r="E27" s="25" t="s">
        <v>83</v>
      </c>
      <c r="F27" s="6"/>
      <c r="G27" s="6"/>
    </row>
    <row r="28" customFormat="false" ht="15" hidden="false" customHeight="false" outlineLevel="0" collapsed="false">
      <c r="A28" s="6"/>
      <c r="B28" s="6"/>
      <c r="C28" s="6"/>
      <c r="D28" s="6"/>
      <c r="E28" s="6"/>
      <c r="F28" s="6"/>
      <c r="G28" s="6"/>
    </row>
    <row r="29" customFormat="false" ht="15" hidden="false" customHeight="false" outlineLevel="0" collapsed="false">
      <c r="A29" s="6"/>
      <c r="B29" s="9" t="s">
        <v>88</v>
      </c>
      <c r="C29" s="10"/>
      <c r="D29" s="10"/>
      <c r="E29" s="10"/>
      <c r="F29" s="10"/>
      <c r="G29" s="10"/>
    </row>
    <row r="30" customFormat="false" ht="15" hidden="false" customHeight="false" outlineLevel="0" collapsed="false">
      <c r="A30" s="6"/>
      <c r="B30" s="23" t="s">
        <v>89</v>
      </c>
      <c r="C30" s="26" t="n">
        <v>0.25</v>
      </c>
      <c r="D30" s="25" t="s">
        <v>70</v>
      </c>
      <c r="E30" s="25" t="s">
        <v>90</v>
      </c>
      <c r="F30" s="6"/>
      <c r="G30" s="6"/>
    </row>
    <row r="31" customFormat="false" ht="15" hidden="false" customHeight="false" outlineLevel="0" collapsed="false">
      <c r="A31" s="6"/>
      <c r="B31" s="6"/>
      <c r="C31" s="6"/>
      <c r="D31" s="6"/>
      <c r="E31" s="6"/>
      <c r="F31" s="6"/>
      <c r="G31" s="6"/>
    </row>
    <row r="32" customFormat="false" ht="15" hidden="false" customHeight="false" outlineLevel="0" collapsed="false">
      <c r="A32" s="6"/>
      <c r="B32" s="9" t="s">
        <v>91</v>
      </c>
      <c r="C32" s="10"/>
      <c r="D32" s="10"/>
      <c r="E32" s="10"/>
      <c r="F32" s="10"/>
      <c r="G32" s="10"/>
    </row>
    <row r="33" customFormat="false" ht="15" hidden="false" customHeight="false" outlineLevel="0" collapsed="false">
      <c r="A33" s="6"/>
      <c r="B33" s="23" t="s">
        <v>92</v>
      </c>
      <c r="C33" s="26" t="n">
        <v>0.55</v>
      </c>
      <c r="D33" s="25" t="s">
        <v>70</v>
      </c>
      <c r="E33" s="25" t="s">
        <v>93</v>
      </c>
      <c r="F33" s="6"/>
      <c r="G33" s="6"/>
    </row>
    <row r="34" customFormat="false" ht="15" hidden="false" customHeight="false" outlineLevel="0" collapsed="false">
      <c r="A34" s="6"/>
      <c r="B34" s="23" t="s">
        <v>94</v>
      </c>
      <c r="C34" s="26" t="n">
        <v>0.04</v>
      </c>
      <c r="D34" s="25" t="s">
        <v>70</v>
      </c>
      <c r="E34" s="25" t="s">
        <v>95</v>
      </c>
      <c r="F34" s="6"/>
      <c r="G34" s="6"/>
    </row>
    <row r="35" customFormat="false" ht="15" hidden="false" customHeight="false" outlineLevel="0" collapsed="false">
      <c r="A35" s="6"/>
      <c r="B35" s="23" t="s">
        <v>96</v>
      </c>
      <c r="C35" s="26" t="n">
        <v>0.4</v>
      </c>
      <c r="D35" s="25" t="s">
        <v>70</v>
      </c>
      <c r="E35" s="25" t="s">
        <v>97</v>
      </c>
      <c r="F35" s="6"/>
      <c r="G35" s="6"/>
    </row>
    <row r="36" customFormat="false" ht="15" hidden="false" customHeight="false" outlineLevel="0" collapsed="false">
      <c r="A36" s="6"/>
      <c r="B36" s="6"/>
      <c r="C36" s="6"/>
      <c r="D36" s="6"/>
      <c r="E36" s="6"/>
      <c r="F36" s="6"/>
      <c r="G36" s="6"/>
    </row>
    <row r="37" customFormat="false" ht="15" hidden="false" customHeight="false" outlineLevel="0" collapsed="false">
      <c r="A37" s="6"/>
      <c r="B37" s="9" t="s">
        <v>98</v>
      </c>
      <c r="C37" s="10"/>
      <c r="D37" s="10"/>
      <c r="E37" s="10"/>
      <c r="F37" s="10"/>
      <c r="G37" s="10"/>
    </row>
    <row r="38" customFormat="false" ht="15" hidden="false" customHeight="false" outlineLevel="0" collapsed="false">
      <c r="A38" s="6"/>
      <c r="B38" s="23" t="s">
        <v>99</v>
      </c>
      <c r="C38" s="26" t="n">
        <v>0.75</v>
      </c>
      <c r="D38" s="25" t="s">
        <v>70</v>
      </c>
      <c r="E38" s="25" t="s">
        <v>100</v>
      </c>
      <c r="F38" s="6"/>
      <c r="G38" s="6"/>
    </row>
    <row r="39" customFormat="false" ht="15" hidden="false" customHeight="false" outlineLevel="0" collapsed="false">
      <c r="A39" s="6"/>
      <c r="B39" s="23" t="s">
        <v>101</v>
      </c>
      <c r="C39" s="24" t="n">
        <v>95000</v>
      </c>
      <c r="D39" s="25" t="s">
        <v>65</v>
      </c>
      <c r="E39" s="25" t="s">
        <v>102</v>
      </c>
      <c r="F39" s="6"/>
      <c r="G39" s="6"/>
    </row>
    <row r="40" customFormat="false" ht="15" hidden="false" customHeight="false" outlineLevel="0" collapsed="false">
      <c r="A40" s="6"/>
      <c r="B40" s="6"/>
      <c r="C40" s="6"/>
      <c r="D40" s="6"/>
      <c r="E40" s="6"/>
      <c r="F40" s="6"/>
      <c r="G40" s="6"/>
    </row>
    <row r="41" customFormat="false" ht="15" hidden="false" customHeight="false" outlineLevel="0" collapsed="false">
      <c r="A41" s="6"/>
      <c r="B41" s="9" t="s">
        <v>103</v>
      </c>
      <c r="C41" s="10"/>
      <c r="D41" s="10"/>
      <c r="E41" s="10"/>
      <c r="F41" s="10"/>
      <c r="G41" s="10"/>
    </row>
    <row r="42" customFormat="false" ht="15" hidden="false" customHeight="false" outlineLevel="0" collapsed="false">
      <c r="A42" s="6"/>
      <c r="B42" s="23" t="s">
        <v>104</v>
      </c>
      <c r="C42" s="26" t="n">
        <v>0.14</v>
      </c>
      <c r="D42" s="25" t="s">
        <v>70</v>
      </c>
      <c r="E42" s="25" t="s">
        <v>105</v>
      </c>
      <c r="F42" s="6"/>
      <c r="G42" s="6"/>
    </row>
    <row r="43" customFormat="false" ht="15" hidden="false" customHeight="false" outlineLevel="0" collapsed="false">
      <c r="A43" s="6"/>
      <c r="B43" s="23" t="s">
        <v>106</v>
      </c>
      <c r="C43" s="26" t="n">
        <v>0.035</v>
      </c>
      <c r="D43" s="25" t="s">
        <v>70</v>
      </c>
      <c r="E43" s="25" t="s">
        <v>105</v>
      </c>
      <c r="F43" s="6"/>
      <c r="G43" s="6"/>
    </row>
    <row r="44" customFormat="false" ht="15" hidden="false" customHeight="false" outlineLevel="0" collapsed="false">
      <c r="A44" s="6"/>
      <c r="B44" s="23" t="s">
        <v>107</v>
      </c>
      <c r="C44" s="26" t="n">
        <v>0.03</v>
      </c>
      <c r="D44" s="25" t="s">
        <v>70</v>
      </c>
      <c r="E44" s="25" t="s">
        <v>105</v>
      </c>
      <c r="F44" s="6"/>
      <c r="G44" s="6"/>
    </row>
    <row r="45" customFormat="false" ht="15" hidden="false" customHeight="false" outlineLevel="0" collapsed="false">
      <c r="A45" s="6"/>
      <c r="B45" s="23" t="s">
        <v>108</v>
      </c>
      <c r="C45" s="24" t="n">
        <v>5000000</v>
      </c>
      <c r="D45" s="25" t="s">
        <v>65</v>
      </c>
      <c r="E45" s="25" t="s">
        <v>109</v>
      </c>
      <c r="F45" s="6"/>
      <c r="G45" s="6"/>
    </row>
    <row r="46" customFormat="false" ht="15" hidden="false" customHeight="false" outlineLevel="0" collapsed="false">
      <c r="A46" s="6"/>
      <c r="B46" s="23" t="s">
        <v>110</v>
      </c>
      <c r="C46" s="26" t="n">
        <v>0.03</v>
      </c>
      <c r="D46" s="25" t="s">
        <v>70</v>
      </c>
      <c r="E46" s="25" t="s">
        <v>111</v>
      </c>
      <c r="F46" s="6"/>
      <c r="G46" s="6"/>
    </row>
    <row r="47" customFormat="false" ht="15" hidden="false" customHeight="false" outlineLevel="0" collapsed="false">
      <c r="A47" s="6"/>
      <c r="B47" s="6"/>
      <c r="C47" s="6"/>
      <c r="D47" s="6"/>
      <c r="E47" s="6"/>
      <c r="F47" s="6"/>
      <c r="G47" s="6"/>
    </row>
    <row r="48" customFormat="false" ht="15" hidden="false" customHeight="false" outlineLevel="0" collapsed="false">
      <c r="A48" s="6"/>
      <c r="B48" s="9" t="s">
        <v>112</v>
      </c>
      <c r="C48" s="10"/>
      <c r="D48" s="10"/>
      <c r="E48" s="10"/>
      <c r="F48" s="10"/>
      <c r="G48" s="10"/>
    </row>
    <row r="49" customFormat="false" ht="15" hidden="false" customHeight="false" outlineLevel="0" collapsed="false">
      <c r="A49" s="6"/>
      <c r="B49" s="23" t="s">
        <v>113</v>
      </c>
      <c r="C49" s="26" t="n">
        <v>0.02</v>
      </c>
      <c r="D49" s="25" t="s">
        <v>70</v>
      </c>
      <c r="E49" s="25" t="s">
        <v>105</v>
      </c>
      <c r="F49" s="6"/>
      <c r="G49" s="6"/>
    </row>
    <row r="50" customFormat="false" ht="15" hidden="false" customHeight="false" outlineLevel="0" collapsed="false">
      <c r="A50" s="6"/>
      <c r="B50" s="23" t="s">
        <v>114</v>
      </c>
      <c r="C50" s="24" t="n">
        <v>3000000</v>
      </c>
      <c r="D50" s="25" t="s">
        <v>65</v>
      </c>
      <c r="E50" s="25" t="s">
        <v>115</v>
      </c>
      <c r="F50" s="6"/>
      <c r="G50" s="6"/>
    </row>
    <row r="51" customFormat="false" ht="15" hidden="false" customHeight="false" outlineLevel="0" collapsed="false">
      <c r="A51" s="6"/>
      <c r="B51" s="23" t="s">
        <v>116</v>
      </c>
      <c r="C51" s="26" t="n">
        <v>0.05</v>
      </c>
      <c r="D51" s="25" t="s">
        <v>70</v>
      </c>
      <c r="E51" s="25" t="s">
        <v>111</v>
      </c>
      <c r="F51" s="6"/>
      <c r="G51" s="6"/>
    </row>
    <row r="52" customFormat="false" ht="15" hidden="false" customHeight="false" outlineLevel="0" collapsed="false">
      <c r="A52" s="6"/>
      <c r="B52" s="23" t="s">
        <v>117</v>
      </c>
      <c r="C52" s="24" t="n">
        <v>7</v>
      </c>
      <c r="D52" s="25" t="s">
        <v>118</v>
      </c>
      <c r="E52" s="25" t="s">
        <v>119</v>
      </c>
      <c r="F52" s="6"/>
      <c r="G52" s="6"/>
    </row>
    <row r="53" customFormat="false" ht="15" hidden="false" customHeight="false" outlineLevel="0" collapsed="false">
      <c r="A53" s="6"/>
      <c r="B53" s="23" t="s">
        <v>120</v>
      </c>
      <c r="C53" s="24" t="n">
        <v>15000000</v>
      </c>
      <c r="D53" s="25" t="s">
        <v>65</v>
      </c>
      <c r="E53" s="25" t="s">
        <v>121</v>
      </c>
      <c r="F53" s="6"/>
      <c r="G53" s="6"/>
    </row>
    <row r="54" customFormat="false" ht="15" hidden="false" customHeight="false" outlineLevel="0" collapsed="false">
      <c r="A54" s="6"/>
      <c r="B54" s="23" t="s">
        <v>122</v>
      </c>
      <c r="C54" s="24" t="n">
        <v>6000000</v>
      </c>
      <c r="D54" s="25" t="s">
        <v>65</v>
      </c>
      <c r="E54" s="25" t="s">
        <v>123</v>
      </c>
      <c r="F54" s="6"/>
      <c r="G54" s="6"/>
    </row>
    <row r="55" customFormat="false" ht="15" hidden="false" customHeight="false" outlineLevel="0" collapsed="false">
      <c r="A55" s="6"/>
      <c r="B55" s="6"/>
      <c r="C55" s="6"/>
      <c r="D55" s="6"/>
      <c r="E55" s="6"/>
      <c r="F55" s="6"/>
      <c r="G55" s="6"/>
    </row>
    <row r="56" customFormat="false" ht="15" hidden="false" customHeight="false" outlineLevel="0" collapsed="false">
      <c r="A56" s="6"/>
      <c r="B56" s="9" t="s">
        <v>124</v>
      </c>
      <c r="C56" s="10"/>
      <c r="D56" s="10"/>
      <c r="E56" s="10"/>
      <c r="F56" s="10"/>
      <c r="G56" s="10"/>
    </row>
    <row r="57" customFormat="false" ht="15" hidden="false" customHeight="false" outlineLevel="0" collapsed="false">
      <c r="A57" s="6"/>
      <c r="B57" s="23" t="s">
        <v>125</v>
      </c>
      <c r="C57" s="24" t="n">
        <v>65</v>
      </c>
      <c r="D57" s="25" t="s">
        <v>126</v>
      </c>
      <c r="E57" s="25" t="s">
        <v>127</v>
      </c>
      <c r="F57" s="6"/>
      <c r="G57" s="6"/>
    </row>
    <row r="58" customFormat="false" ht="15" hidden="false" customHeight="false" outlineLevel="0" collapsed="false">
      <c r="A58" s="6"/>
      <c r="B58" s="23" t="s">
        <v>128</v>
      </c>
      <c r="C58" s="24" t="n">
        <v>20</v>
      </c>
      <c r="D58" s="25" t="s">
        <v>126</v>
      </c>
      <c r="E58" s="25" t="s">
        <v>129</v>
      </c>
      <c r="F58" s="6"/>
      <c r="G58" s="6"/>
    </row>
    <row r="59" customFormat="false" ht="15" hidden="false" customHeight="false" outlineLevel="0" collapsed="false">
      <c r="A59" s="6"/>
      <c r="B59" s="23" t="s">
        <v>130</v>
      </c>
      <c r="C59" s="24" t="n">
        <v>35</v>
      </c>
      <c r="D59" s="25" t="s">
        <v>126</v>
      </c>
      <c r="E59" s="25" t="s">
        <v>131</v>
      </c>
      <c r="F59" s="6"/>
      <c r="G59" s="6"/>
    </row>
    <row r="60" customFormat="false" ht="15" hidden="false" customHeight="false" outlineLevel="0" collapsed="false">
      <c r="A60" s="6"/>
      <c r="B60" s="23" t="s">
        <v>132</v>
      </c>
      <c r="C60" s="24" t="n">
        <v>25</v>
      </c>
      <c r="D60" s="25" t="s">
        <v>126</v>
      </c>
      <c r="E60" s="25" t="s">
        <v>133</v>
      </c>
      <c r="F60" s="6"/>
      <c r="G60" s="6"/>
    </row>
    <row r="61" customFormat="false" ht="15" hidden="false" customHeight="false" outlineLevel="0" collapsed="false">
      <c r="A61" s="6"/>
      <c r="B61" s="23" t="s">
        <v>134</v>
      </c>
      <c r="C61" s="26" t="n">
        <v>0.08</v>
      </c>
      <c r="D61" s="25" t="s">
        <v>70</v>
      </c>
      <c r="E61" s="25" t="s">
        <v>135</v>
      </c>
      <c r="F61" s="6"/>
      <c r="G61" s="6"/>
    </row>
    <row r="62" customFormat="false" ht="15" hidden="false" customHeight="false" outlineLevel="0" collapsed="false">
      <c r="A62" s="6"/>
      <c r="B62" s="6"/>
      <c r="C62" s="6"/>
      <c r="D62" s="6"/>
      <c r="E62" s="6"/>
      <c r="F62" s="6"/>
      <c r="G62" s="6"/>
    </row>
    <row r="63" customFormat="false" ht="15" hidden="false" customHeight="false" outlineLevel="0" collapsed="false">
      <c r="A63" s="6"/>
      <c r="B63" s="9" t="s">
        <v>136</v>
      </c>
      <c r="C63" s="10"/>
      <c r="D63" s="10"/>
      <c r="E63" s="10"/>
      <c r="F63" s="10"/>
      <c r="G63" s="10"/>
    </row>
    <row r="64" customFormat="false" ht="15" hidden="false" customHeight="false" outlineLevel="0" collapsed="false">
      <c r="A64" s="6"/>
      <c r="B64" s="23" t="s">
        <v>137</v>
      </c>
      <c r="C64" s="24" t="n">
        <v>50000000</v>
      </c>
      <c r="D64" s="25" t="s">
        <v>65</v>
      </c>
      <c r="E64" s="25" t="s">
        <v>138</v>
      </c>
      <c r="F64" s="6"/>
      <c r="G64" s="6"/>
    </row>
    <row r="65" customFormat="false" ht="15" hidden="false" customHeight="false" outlineLevel="0" collapsed="false">
      <c r="A65" s="6"/>
      <c r="B65" s="23" t="s">
        <v>139</v>
      </c>
      <c r="C65" s="26" t="n">
        <v>0.075</v>
      </c>
      <c r="D65" s="25" t="s">
        <v>70</v>
      </c>
      <c r="E65" s="25" t="s">
        <v>140</v>
      </c>
      <c r="F65" s="6"/>
      <c r="G65" s="6"/>
    </row>
    <row r="66" customFormat="false" ht="15" hidden="false" customHeight="false" outlineLevel="0" collapsed="false">
      <c r="A66" s="6"/>
      <c r="B66" s="23" t="s">
        <v>141</v>
      </c>
      <c r="C66" s="24" t="n">
        <v>7</v>
      </c>
      <c r="D66" s="25" t="s">
        <v>118</v>
      </c>
      <c r="E66" s="25" t="s">
        <v>142</v>
      </c>
      <c r="F66" s="6"/>
      <c r="G66" s="6"/>
    </row>
    <row r="67" customFormat="false" ht="15" hidden="false" customHeight="false" outlineLevel="0" collapsed="false">
      <c r="A67" s="6"/>
      <c r="B67" s="23" t="s">
        <v>143</v>
      </c>
      <c r="C67" s="24" t="n">
        <v>15000000</v>
      </c>
      <c r="D67" s="25" t="s">
        <v>65</v>
      </c>
      <c r="E67" s="25" t="s">
        <v>144</v>
      </c>
      <c r="F67" s="6"/>
      <c r="G67" s="6"/>
    </row>
    <row r="68" customFormat="false" ht="15" hidden="false" customHeight="false" outlineLevel="0" collapsed="false">
      <c r="A68" s="6"/>
      <c r="B68" s="23" t="s">
        <v>145</v>
      </c>
      <c r="C68" s="26" t="n">
        <v>0.004</v>
      </c>
      <c r="D68" s="25" t="s">
        <v>70</v>
      </c>
      <c r="E68" s="25" t="s">
        <v>146</v>
      </c>
      <c r="F68" s="6"/>
      <c r="G68" s="6"/>
    </row>
    <row r="69" customFormat="false" ht="15" hidden="false" customHeight="false" outlineLevel="0" collapsed="false">
      <c r="A69" s="6"/>
      <c r="B69" s="6"/>
      <c r="C69" s="6"/>
      <c r="D69" s="6"/>
      <c r="E69" s="6"/>
      <c r="F69" s="6"/>
      <c r="G69" s="6"/>
    </row>
    <row r="70" customFormat="false" ht="15" hidden="false" customHeight="false" outlineLevel="0" collapsed="false">
      <c r="A70" s="6"/>
      <c r="B70" s="9" t="s">
        <v>147</v>
      </c>
      <c r="C70" s="10"/>
      <c r="D70" s="10"/>
      <c r="E70" s="10"/>
      <c r="F70" s="10"/>
      <c r="G70" s="10"/>
    </row>
    <row r="71" customFormat="false" ht="15" hidden="false" customHeight="false" outlineLevel="0" collapsed="false">
      <c r="A71" s="6"/>
      <c r="B71" s="23" t="s">
        <v>148</v>
      </c>
      <c r="C71" s="26" t="n">
        <v>0.2</v>
      </c>
      <c r="D71" s="25" t="s">
        <v>70</v>
      </c>
      <c r="E71" s="25" t="s">
        <v>149</v>
      </c>
      <c r="F71" s="6"/>
      <c r="G71" s="6"/>
    </row>
    <row r="72" customFormat="false" ht="15" hidden="false" customHeight="false" outlineLevel="0" collapsed="false">
      <c r="A72" s="6"/>
      <c r="B72" s="23" t="s">
        <v>150</v>
      </c>
      <c r="C72" s="26" t="n">
        <v>0</v>
      </c>
      <c r="D72" s="25" t="s">
        <v>70</v>
      </c>
      <c r="E72" s="25" t="s">
        <v>151</v>
      </c>
      <c r="F72" s="6"/>
      <c r="G72" s="6"/>
    </row>
    <row r="73" customFormat="false" ht="15" hidden="false" customHeight="false" outlineLevel="0" collapsed="false">
      <c r="A73" s="6"/>
      <c r="B73" s="6"/>
      <c r="C73" s="6"/>
      <c r="D73" s="6"/>
      <c r="E73" s="6"/>
      <c r="F73" s="6"/>
      <c r="G73" s="6"/>
    </row>
    <row r="74" customFormat="false" ht="15" hidden="false" customHeight="false" outlineLevel="0" collapsed="false">
      <c r="A74" s="6"/>
      <c r="B74" s="9" t="s">
        <v>152</v>
      </c>
      <c r="C74" s="10"/>
      <c r="D74" s="10"/>
      <c r="E74" s="10"/>
      <c r="F74" s="10"/>
      <c r="G74" s="10"/>
    </row>
    <row r="75" customFormat="false" ht="15" hidden="false" customHeight="false" outlineLevel="0" collapsed="false">
      <c r="A75" s="6"/>
      <c r="B75" s="23" t="s">
        <v>153</v>
      </c>
      <c r="C75" s="24" t="n">
        <v>25000000</v>
      </c>
      <c r="D75" s="25" t="s">
        <v>65</v>
      </c>
      <c r="E75" s="25" t="s">
        <v>154</v>
      </c>
      <c r="F75" s="6"/>
      <c r="G75" s="6"/>
    </row>
    <row r="76" customFormat="false" ht="15" hidden="false" customHeight="false" outlineLevel="0" collapsed="false">
      <c r="A76" s="6"/>
      <c r="B76" s="23" t="s">
        <v>155</v>
      </c>
      <c r="C76" s="24" t="n">
        <v>40000000</v>
      </c>
      <c r="D76" s="25" t="s">
        <v>65</v>
      </c>
      <c r="E76" s="25" t="s">
        <v>156</v>
      </c>
      <c r="F76" s="6"/>
      <c r="G76" s="6"/>
    </row>
    <row r="77" customFormat="false" ht="15" hidden="false" customHeight="false" outlineLevel="0" collapsed="false">
      <c r="A77" s="6"/>
      <c r="B77" s="23" t="s">
        <v>157</v>
      </c>
      <c r="C77" s="24" t="n">
        <v>-48145610</v>
      </c>
      <c r="D77" s="25" t="s">
        <v>65</v>
      </c>
      <c r="E77" s="25" t="s">
        <v>158</v>
      </c>
      <c r="F77" s="6"/>
      <c r="G77"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161</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162</v>
      </c>
      <c r="C8" s="10"/>
      <c r="D8" s="10"/>
      <c r="E8" s="10"/>
      <c r="F8" s="10"/>
      <c r="G8" s="10"/>
    </row>
    <row r="9" customFormat="false" ht="15" hidden="false" customHeight="false" outlineLevel="0" collapsed="false">
      <c r="A9" s="6"/>
      <c r="B9" s="23" t="s">
        <v>64</v>
      </c>
      <c r="C9" s="31" t="n">
        <f aca="false">Open_Backlog</f>
        <v>250000000</v>
      </c>
      <c r="D9" s="31" t="n">
        <f aca="false">C13</f>
        <v>319550000</v>
      </c>
      <c r="E9" s="31" t="n">
        <f aca="false">D13</f>
        <v>380507050</v>
      </c>
      <c r="F9" s="31" t="n">
        <f aca="false">E13</f>
        <v>433988489.55</v>
      </c>
      <c r="G9" s="31" t="n">
        <f aca="false">F13</f>
        <v>481844394.69705</v>
      </c>
    </row>
    <row r="10" customFormat="false" ht="15" hidden="false" customHeight="false" outlineLevel="0" collapsed="false">
      <c r="A10" s="6"/>
      <c r="B10" s="23" t="s">
        <v>163</v>
      </c>
      <c r="C10" s="31" t="n">
        <f aca="false">Bookings_Base*(1+CHOOSE(C6,Bookings_Gr_Y1,Bookings_Gr_Y2,Bookings_Gr_Y3,Bookings_Gr_Y4,Bookings_Gr_Y5))</f>
        <v>224000000</v>
      </c>
      <c r="D10" s="31" t="n">
        <f aca="false">C10*(1+CHOOSE(D6,Bookings_Gr_Y1,Bookings_Gr_Y2,Bookings_Gr_Y3,Bookings_Gr_Y4,Bookings_Gr_Y5))</f>
        <v>246400000</v>
      </c>
      <c r="E10" s="31" t="n">
        <f aca="false">D10*(1+CHOOSE(E6,Bookings_Gr_Y1,Bookings_Gr_Y2,Bookings_Gr_Y3,Bookings_Gr_Y4,Bookings_Gr_Y5))</f>
        <v>266112000</v>
      </c>
      <c r="F10" s="31" t="n">
        <f aca="false">E10*(1+CHOOSE(F6,Bookings_Gr_Y1,Bookings_Gr_Y2,Bookings_Gr_Y3,Bookings_Gr_Y4,Bookings_Gr_Y5))</f>
        <v>284739840</v>
      </c>
      <c r="G10" s="31" t="n">
        <f aca="false">F10*(1+CHOOSE(G6,Bookings_Gr_Y1,Bookings_Gr_Y2,Bookings_Gr_Y3,Bookings_Gr_Y4,Bookings_Gr_Y5))</f>
        <v>301824230.4</v>
      </c>
    </row>
    <row r="11" customFormat="false" ht="15" hidden="false" customHeight="false" outlineLevel="0" collapsed="false">
      <c r="A11" s="6"/>
      <c r="B11" s="23" t="s">
        <v>164</v>
      </c>
      <c r="C11" s="31" t="n">
        <f aca="false">-C9*Cancel_Rate</f>
        <v>-17500000</v>
      </c>
      <c r="D11" s="31" t="n">
        <f aca="false">-D9*Cancel_Rate</f>
        <v>-22368500</v>
      </c>
      <c r="E11" s="31" t="n">
        <f aca="false">-E9*Cancel_Rate</f>
        <v>-26635493.5</v>
      </c>
      <c r="F11" s="31" t="n">
        <f aca="false">-F9*Cancel_Rate</f>
        <v>-30379194.2685</v>
      </c>
      <c r="G11" s="31" t="n">
        <f aca="false">-G9*Cancel_Rate</f>
        <v>-33729107.6287935</v>
      </c>
    </row>
    <row r="12" customFormat="false" ht="15" hidden="false" customHeight="false" outlineLevel="0" collapsed="false">
      <c r="A12" s="6"/>
      <c r="B12" s="23" t="s">
        <v>165</v>
      </c>
      <c r="C12" s="31" t="n">
        <f aca="false">-(C9+C10+C11)*Burn_Rate</f>
        <v>-136950000</v>
      </c>
      <c r="D12" s="31" t="n">
        <f aca="false">-(D9+D10+D11)*Burn_Rate</f>
        <v>-163074450</v>
      </c>
      <c r="E12" s="31" t="n">
        <f aca="false">-(E9+E10+E11)*Burn_Rate</f>
        <v>-185995066.95</v>
      </c>
      <c r="F12" s="31" t="n">
        <f aca="false">-(F9+F10+F11)*Burn_Rate</f>
        <v>-206504740.58445</v>
      </c>
      <c r="G12" s="31" t="n">
        <f aca="false">-(G9+G10+G11)*Burn_Rate</f>
        <v>-224981855.240477</v>
      </c>
    </row>
    <row r="13" customFormat="false" ht="15" hidden="false" customHeight="false" outlineLevel="0" collapsed="false">
      <c r="A13" s="6"/>
      <c r="B13" s="32" t="s">
        <v>166</v>
      </c>
      <c r="C13" s="33" t="n">
        <f aca="false">C9+C10+C11+C12</f>
        <v>319550000</v>
      </c>
      <c r="D13" s="33" t="n">
        <f aca="false">D9+D10+D11+D12</f>
        <v>380507050</v>
      </c>
      <c r="E13" s="33" t="n">
        <f aca="false">E9+E10+E11+E12</f>
        <v>433988489.55</v>
      </c>
      <c r="F13" s="33" t="n">
        <f aca="false">F9+F10+F11+F12</f>
        <v>481844394.69705</v>
      </c>
      <c r="G13" s="33" t="n">
        <f aca="false">G9+G10+G11+G12</f>
        <v>524957662.22778</v>
      </c>
    </row>
    <row r="14" customFormat="false" ht="15" hidden="false" customHeight="false" outlineLevel="0" collapsed="false">
      <c r="A14" s="6"/>
      <c r="B14" s="25" t="s">
        <v>167</v>
      </c>
      <c r="C14" s="34" t="n">
        <f aca="false">C10/(-C12)</f>
        <v>1.63563344286236</v>
      </c>
      <c r="D14" s="34" t="n">
        <f aca="false">D10/(-D12)</f>
        <v>1.51096631017305</v>
      </c>
      <c r="E14" s="34" t="n">
        <f aca="false">E10/(-E12)</f>
        <v>1.43074762338475</v>
      </c>
      <c r="F14" s="34" t="n">
        <f aca="false">F10/(-F12)</f>
        <v>1.37885376962354</v>
      </c>
      <c r="G14" s="34" t="n">
        <f aca="false">G10/(-G12)</f>
        <v>1.34154921105699</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168</v>
      </c>
      <c r="C16" s="10"/>
      <c r="D16" s="10"/>
      <c r="E16" s="10"/>
      <c r="F16" s="10"/>
      <c r="G16" s="10"/>
    </row>
    <row r="17" customFormat="false" ht="15" hidden="false" customHeight="false" outlineLevel="0" collapsed="false">
      <c r="A17" s="6"/>
      <c r="B17" s="23" t="s">
        <v>169</v>
      </c>
      <c r="C17" s="31" t="n">
        <f aca="false">-C12</f>
        <v>136950000</v>
      </c>
      <c r="D17" s="31" t="n">
        <f aca="false">-D12</f>
        <v>163074450</v>
      </c>
      <c r="E17" s="31" t="n">
        <f aca="false">-E12</f>
        <v>185995066.95</v>
      </c>
      <c r="F17" s="31" t="n">
        <f aca="false">-F12</f>
        <v>206504740.58445</v>
      </c>
      <c r="G17" s="31" t="n">
        <f aca="false">-G12</f>
        <v>224981855.240477</v>
      </c>
    </row>
    <row r="18" customFormat="false" ht="15" hidden="false" customHeight="false" outlineLevel="0" collapsed="false">
      <c r="A18" s="6"/>
      <c r="B18" s="35" t="s">
        <v>170</v>
      </c>
      <c r="C18" s="31" t="n">
        <f aca="false">C17*Passthru_Pct</f>
        <v>34237500</v>
      </c>
      <c r="D18" s="31" t="n">
        <f aca="false">D17*Passthru_Pct</f>
        <v>40768612.5</v>
      </c>
      <c r="E18" s="31" t="n">
        <f aca="false">E17*Passthru_Pct</f>
        <v>46498766.7375</v>
      </c>
      <c r="F18" s="31" t="n">
        <f aca="false">F17*Passthru_Pct</f>
        <v>51626185.1461125</v>
      </c>
      <c r="G18" s="31" t="n">
        <f aca="false">G17*Passthru_Pct</f>
        <v>56245463.8101193</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23" t="s">
        <v>79</v>
      </c>
      <c r="C20" s="31" t="n">
        <f aca="false">Consult_Base*(1+Consult_Growth)^C6</f>
        <v>15900000</v>
      </c>
      <c r="D20" s="31" t="n">
        <f aca="false">Consult_Base*(1+Consult_Growth)^D6</f>
        <v>16854000</v>
      </c>
      <c r="E20" s="31" t="n">
        <f aca="false">Consult_Base*(1+Consult_Growth)^E6</f>
        <v>17865240</v>
      </c>
      <c r="F20" s="31" t="n">
        <f aca="false">Consult_Base*(1+Consult_Growth)^F6</f>
        <v>18937154.4</v>
      </c>
      <c r="G20" s="31" t="n">
        <f aca="false">Consult_Base*(1+Consult_Growth)^G6</f>
        <v>20073383.664</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23" t="s">
        <v>84</v>
      </c>
      <c r="C22" s="31" t="n">
        <f aca="false">Lab_Base*(1+Lab_Growth)^C6</f>
        <v>22000000</v>
      </c>
      <c r="D22" s="31" t="n">
        <f aca="false">Lab_Base*(1+Lab_Growth)^D6</f>
        <v>24200000</v>
      </c>
      <c r="E22" s="31" t="n">
        <f aca="false">Lab_Base*(1+Lab_Growth)^E6</f>
        <v>26620000</v>
      </c>
      <c r="F22" s="31" t="n">
        <f aca="false">Lab_Base*(1+Lab_Growth)^F6</f>
        <v>29282000</v>
      </c>
      <c r="G22" s="31" t="n">
        <f aca="false">Lab_Base*(1+Lab_Growth)^G6</f>
        <v>32210200</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32" t="s">
        <v>171</v>
      </c>
      <c r="C24" s="36" t="n">
        <f aca="false">C17+C18+C20+C22</f>
        <v>209087500</v>
      </c>
      <c r="D24" s="36" t="n">
        <f aca="false">D17+D18+D20+D22</f>
        <v>244897062.5</v>
      </c>
      <c r="E24" s="36" t="n">
        <f aca="false">E17+E18+E20+E22</f>
        <v>276979073.6875</v>
      </c>
      <c r="F24" s="36" t="n">
        <f aca="false">F17+F18+F20+F22</f>
        <v>306350080.130563</v>
      </c>
      <c r="G24" s="36" t="n">
        <f aca="false">G17+G18+G20+G22</f>
        <v>333510902.714596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91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173</v>
      </c>
      <c r="C8" s="10"/>
      <c r="D8" s="10"/>
      <c r="E8" s="10"/>
      <c r="F8" s="10"/>
      <c r="G8" s="10"/>
    </row>
    <row r="9" customFormat="false" ht="15" hidden="false" customHeight="false" outlineLevel="0" collapsed="false">
      <c r="A9" s="6"/>
      <c r="B9" s="25" t="s">
        <v>169</v>
      </c>
      <c r="C9" s="37" t="n">
        <f aca="false">BR_Clin_Rev</f>
        <v>136950000</v>
      </c>
      <c r="D9" s="37" t="n">
        <f aca="false">BR_Clin_Rev</f>
        <v>163074450</v>
      </c>
      <c r="E9" s="37" t="n">
        <f aca="false">BR_Clin_Rev</f>
        <v>185995066.95</v>
      </c>
      <c r="F9" s="37" t="n">
        <f aca="false">BR_Clin_Rev</f>
        <v>206504740.58445</v>
      </c>
      <c r="G9" s="37" t="n">
        <f aca="false">BR_Clin_Rev</f>
        <v>224981855.240477</v>
      </c>
    </row>
    <row r="10" customFormat="false" ht="15" hidden="false" customHeight="false" outlineLevel="0" collapsed="false">
      <c r="A10" s="6"/>
      <c r="B10" s="35" t="s">
        <v>174</v>
      </c>
      <c r="C10" s="31" t="n">
        <f aca="false">(BR_Clin_Rev+BR_Consult)*Direct_Labour_Pct</f>
        <v>84067500</v>
      </c>
      <c r="D10" s="31" t="n">
        <f aca="false">(BR_Clin_Rev+BR_Consult)*Direct_Labour_Pct</f>
        <v>98960647.5</v>
      </c>
      <c r="E10" s="31" t="n">
        <f aca="false">(BR_Clin_Rev+BR_Consult)*Direct_Labour_Pct</f>
        <v>112123168.8225</v>
      </c>
      <c r="F10" s="31" t="n">
        <f aca="false">(BR_Clin_Rev+BR_Consult)*Direct_Labour_Pct</f>
        <v>123993042.241448</v>
      </c>
      <c r="G10" s="31" t="n">
        <f aca="false">(BR_Clin_Rev+BR_Consult)*Direct_Labour_Pct</f>
        <v>134780381.397462</v>
      </c>
    </row>
    <row r="11" customFormat="false" ht="15" hidden="false" customHeight="false" outlineLevel="0" collapsed="false">
      <c r="A11" s="6"/>
      <c r="B11" s="35" t="s">
        <v>88</v>
      </c>
      <c r="C11" s="31" t="n">
        <f aca="false">BR_Passthru</f>
        <v>34237500</v>
      </c>
      <c r="D11" s="31" t="n">
        <f aca="false">BR_Passthru</f>
        <v>40768612.5</v>
      </c>
      <c r="E11" s="31" t="n">
        <f aca="false">BR_Passthru</f>
        <v>46498766.7375</v>
      </c>
      <c r="F11" s="31" t="n">
        <f aca="false">BR_Passthru</f>
        <v>51626185.1461125</v>
      </c>
      <c r="G11" s="31" t="n">
        <f aca="false">BR_Passthru</f>
        <v>56245463.8101193</v>
      </c>
    </row>
    <row r="12" customFormat="false" ht="15" hidden="false" customHeight="false" outlineLevel="0" collapsed="false">
      <c r="A12" s="6"/>
      <c r="B12" s="35" t="s">
        <v>175</v>
      </c>
      <c r="C12" s="31" t="n">
        <f aca="false">BR_Clin_Rev*Travel_Pct</f>
        <v>5478000</v>
      </c>
      <c r="D12" s="31" t="n">
        <f aca="false">BR_Clin_Rev*Travel_Pct</f>
        <v>6522978</v>
      </c>
      <c r="E12" s="31" t="n">
        <f aca="false">BR_Clin_Rev*Travel_Pct</f>
        <v>7439802.678</v>
      </c>
      <c r="F12" s="31" t="n">
        <f aca="false">BR_Clin_Rev*Travel_Pct</f>
        <v>8260189.623378</v>
      </c>
      <c r="G12" s="31" t="n">
        <f aca="false">BR_Clin_Rev*Travel_Pct</f>
        <v>8999274.20961908</v>
      </c>
    </row>
    <row r="13" customFormat="false" ht="15" hidden="false" customHeight="false" outlineLevel="0" collapsed="false">
      <c r="A13" s="6"/>
      <c r="B13" s="32" t="s">
        <v>176</v>
      </c>
      <c r="C13" s="33" t="n">
        <f aca="false">C10+C11+C12</f>
        <v>123783000</v>
      </c>
      <c r="D13" s="33" t="n">
        <f aca="false">D10+D11+D12</f>
        <v>146252238</v>
      </c>
      <c r="E13" s="33" t="n">
        <f aca="false">E10+E11+E12</f>
        <v>166061738.238</v>
      </c>
      <c r="F13" s="33" t="n">
        <f aca="false">F10+F11+F12</f>
        <v>183879417.010938</v>
      </c>
      <c r="G13" s="33" t="n">
        <f aca="false">G10+G11+G12</f>
        <v>200025119.417201</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177</v>
      </c>
      <c r="C15" s="10"/>
      <c r="D15" s="10"/>
      <c r="E15" s="10"/>
      <c r="F15" s="10"/>
      <c r="G15" s="10"/>
    </row>
    <row r="16" customFormat="false" ht="15" hidden="false" customHeight="false" outlineLevel="0" collapsed="false">
      <c r="A16" s="6"/>
      <c r="B16" s="25" t="s">
        <v>178</v>
      </c>
      <c r="C16" s="37" t="n">
        <f aca="false">BR_Lab</f>
        <v>22000000</v>
      </c>
      <c r="D16" s="37" t="n">
        <f aca="false">BR_Lab</f>
        <v>24200000</v>
      </c>
      <c r="E16" s="37" t="n">
        <f aca="false">BR_Lab</f>
        <v>26620000</v>
      </c>
      <c r="F16" s="37" t="n">
        <f aca="false">BR_Lab</f>
        <v>29282000</v>
      </c>
      <c r="G16" s="37" t="n">
        <f aca="false">BR_Lab</f>
        <v>32210200</v>
      </c>
    </row>
    <row r="17" customFormat="false" ht="15" hidden="false" customHeight="false" outlineLevel="0" collapsed="false">
      <c r="A17" s="6"/>
      <c r="B17" s="35" t="s">
        <v>179</v>
      </c>
      <c r="C17" s="31" t="n">
        <f aca="false">BR_Lab*Lab_COGS_Pct</f>
        <v>8800000</v>
      </c>
      <c r="D17" s="31" t="n">
        <f aca="false">BR_Lab*Lab_COGS_Pct</f>
        <v>9680000</v>
      </c>
      <c r="E17" s="31" t="n">
        <f aca="false">BR_Lab*Lab_COGS_Pct</f>
        <v>10648000</v>
      </c>
      <c r="F17" s="31" t="n">
        <f aca="false">BR_Lab*Lab_COGS_Pct</f>
        <v>11712800</v>
      </c>
      <c r="G17" s="31" t="n">
        <f aca="false">BR_Lab*Lab_COGS_Pct</f>
        <v>12884080</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32" t="s">
        <v>180</v>
      </c>
      <c r="C19" s="36" t="n">
        <f aca="false">C13+C17</f>
        <v>132583000</v>
      </c>
      <c r="D19" s="36" t="n">
        <f aca="false">D13+D17</f>
        <v>155932238</v>
      </c>
      <c r="E19" s="36" t="n">
        <f aca="false">E13+E17</f>
        <v>176709738.238</v>
      </c>
      <c r="F19" s="36" t="n">
        <f aca="false">F13+F17</f>
        <v>195592217.010938</v>
      </c>
      <c r="G19" s="36" t="n">
        <f aca="false">G13+G17</f>
        <v>212909199.417201</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32" t="s">
        <v>181</v>
      </c>
      <c r="C21" s="36" t="n">
        <f aca="false">BR_Total_Rev-C19</f>
        <v>76504500</v>
      </c>
      <c r="D21" s="36" t="n">
        <f aca="false">BR_Total_Rev-D19</f>
        <v>88964824.5</v>
      </c>
      <c r="E21" s="36" t="n">
        <f aca="false">BR_Total_Rev-E19</f>
        <v>100269335.4495</v>
      </c>
      <c r="F21" s="36" t="n">
        <f aca="false">BR_Total_Rev-F19</f>
        <v>110757863.119624</v>
      </c>
      <c r="G21" s="36" t="n">
        <f aca="false">BR_Total_Rev-G19</f>
        <v>120601703.297396</v>
      </c>
    </row>
    <row r="22" customFormat="false" ht="15" hidden="false" customHeight="false" outlineLevel="0" collapsed="false">
      <c r="A22" s="6"/>
      <c r="B22" s="25" t="s">
        <v>182</v>
      </c>
      <c r="C22" s="38" t="n">
        <f aca="false">C21/BR_Total_Rev</f>
        <v>0.365897052669337</v>
      </c>
      <c r="D22" s="38" t="n">
        <f aca="false">D21/BR_Total_Rev</f>
        <v>0.363274363488946</v>
      </c>
      <c r="E22" s="38" t="n">
        <f aca="false">E21/BR_Total_Rev</f>
        <v>0.362010509005559</v>
      </c>
      <c r="F22" s="38" t="n">
        <f aca="false">F21/BR_Total_Rev</f>
        <v>0.361540180020259</v>
      </c>
      <c r="G22" s="38" t="n">
        <f aca="false">G21/BR_Total_Rev</f>
        <v>0.361612475981336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184</v>
      </c>
      <c r="C8" s="10"/>
      <c r="D8" s="10"/>
      <c r="E8" s="10"/>
      <c r="F8" s="10"/>
      <c r="G8" s="10"/>
    </row>
    <row r="9" customFormat="false" ht="15" hidden="false" customHeight="false" outlineLevel="0" collapsed="false">
      <c r="A9" s="6"/>
      <c r="B9" s="25" t="s">
        <v>185</v>
      </c>
      <c r="C9" s="37" t="n">
        <f aca="false">BR_Clin_Rev+BR_Consult</f>
        <v>152850000</v>
      </c>
      <c r="D9" s="37" t="n">
        <f aca="false">BR_Clin_Rev+BR_Consult</f>
        <v>179928450</v>
      </c>
      <c r="E9" s="37" t="n">
        <f aca="false">BR_Clin_Rev+BR_Consult</f>
        <v>203860306.95</v>
      </c>
      <c r="F9" s="37" t="n">
        <f aca="false">BR_Clin_Rev+BR_Consult</f>
        <v>225441894.98445</v>
      </c>
      <c r="G9" s="37" t="n">
        <f aca="false">BR_Clin_Rev+BR_Consult</f>
        <v>245055238.904477</v>
      </c>
    </row>
    <row r="10" customFormat="false" ht="15" hidden="false" customHeight="false" outlineLevel="0" collapsed="false">
      <c r="A10" s="6"/>
      <c r="B10" s="25" t="s">
        <v>186</v>
      </c>
      <c r="C10" s="38" t="n">
        <f aca="false">Util_Target</f>
        <v>0.75</v>
      </c>
      <c r="D10" s="38" t="n">
        <f aca="false">Util_Target</f>
        <v>0.75</v>
      </c>
      <c r="E10" s="38" t="n">
        <f aca="false">Util_Target</f>
        <v>0.75</v>
      </c>
      <c r="F10" s="38" t="n">
        <f aca="false">Util_Target</f>
        <v>0.75</v>
      </c>
      <c r="G10" s="38" t="n">
        <f aca="false">Util_Target</f>
        <v>0.75</v>
      </c>
    </row>
    <row r="11" customFormat="false" ht="15" hidden="false" customHeight="false" outlineLevel="0" collapsed="false">
      <c r="A11" s="6"/>
      <c r="B11" s="25" t="s">
        <v>187</v>
      </c>
      <c r="C11" s="39" t="n">
        <f aca="false">Avg_FTE_Cost</f>
        <v>95000</v>
      </c>
      <c r="D11" s="39" t="n">
        <f aca="false">Avg_FTE_Cost</f>
        <v>95000</v>
      </c>
      <c r="E11" s="39" t="n">
        <f aca="false">Avg_FTE_Cost</f>
        <v>95000</v>
      </c>
      <c r="F11" s="39" t="n">
        <f aca="false">Avg_FTE_Cost</f>
        <v>95000</v>
      </c>
      <c r="G11" s="39" t="n">
        <f aca="false">Avg_FTE_Cost</f>
        <v>95000</v>
      </c>
    </row>
    <row r="12" customFormat="false" ht="15" hidden="false" customHeight="false" outlineLevel="0" collapsed="false">
      <c r="A12" s="6"/>
      <c r="B12" s="23" t="s">
        <v>188</v>
      </c>
      <c r="C12" s="31" t="n">
        <f aca="false">DC_Labour/(C11*C10)</f>
        <v>1179.89473684211</v>
      </c>
      <c r="D12" s="31" t="n">
        <f aca="false">DC_Labour/(D11*D10)</f>
        <v>1388.92136842105</v>
      </c>
      <c r="E12" s="31" t="n">
        <f aca="false">DC_Labour/(E11*E10)</f>
        <v>1573.65850978947</v>
      </c>
      <c r="F12" s="31" t="n">
        <f aca="false">DC_Labour/(F11*F10)</f>
        <v>1740.25322444137</v>
      </c>
      <c r="G12" s="31" t="n">
        <f aca="false">DC_Labour/(G11*G10)</f>
        <v>1891.65447575386</v>
      </c>
    </row>
    <row r="13" customFormat="false" ht="15" hidden="false" customHeight="false" outlineLevel="0" collapsed="false">
      <c r="A13" s="6"/>
      <c r="B13" s="25" t="s">
        <v>189</v>
      </c>
      <c r="C13" s="39" t="n">
        <f aca="false">C9/C12</f>
        <v>129545.454545455</v>
      </c>
      <c r="D13" s="39" t="n">
        <f aca="false">D9/D12</f>
        <v>129545.454545455</v>
      </c>
      <c r="E13" s="39" t="n">
        <f aca="false">E9/E12</f>
        <v>129545.454545455</v>
      </c>
      <c r="F13" s="39" t="n">
        <f aca="false">F9/F12</f>
        <v>129545.454545455</v>
      </c>
      <c r="G13" s="39" t="n">
        <f aca="false">G9/G12</f>
        <v>129545.454545455</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190</v>
      </c>
      <c r="C15" s="10"/>
      <c r="D15" s="10"/>
      <c r="E15" s="10"/>
      <c r="F15" s="10"/>
      <c r="G15" s="10"/>
    </row>
    <row r="16" customFormat="false" ht="15" hidden="false" customHeight="false" outlineLevel="0" collapsed="false">
      <c r="A16" s="6"/>
      <c r="B16" s="35" t="s">
        <v>191</v>
      </c>
      <c r="C16" s="31" t="n">
        <f aca="false">ROUND(C12*0.25,0)</f>
        <v>295</v>
      </c>
      <c r="D16" s="31" t="n">
        <f aca="false">ROUND(D12*0.25,0)</f>
        <v>347</v>
      </c>
      <c r="E16" s="31" t="n">
        <f aca="false">ROUND(E12*0.25,0)</f>
        <v>393</v>
      </c>
      <c r="F16" s="31" t="n">
        <f aca="false">ROUND(F12*0.25,0)</f>
        <v>435</v>
      </c>
      <c r="G16" s="31" t="n">
        <f aca="false">ROUND(G12*0.25,0)</f>
        <v>473</v>
      </c>
    </row>
    <row r="17" customFormat="false" ht="15" hidden="false" customHeight="false" outlineLevel="0" collapsed="false">
      <c r="A17" s="6"/>
      <c r="B17" s="40" t="s">
        <v>192</v>
      </c>
      <c r="C17" s="37" t="n">
        <f aca="false">C16*120000</f>
        <v>35400000</v>
      </c>
      <c r="D17" s="37" t="n">
        <f aca="false">D16*120000</f>
        <v>41640000</v>
      </c>
      <c r="E17" s="37" t="n">
        <f aca="false">E16*120000</f>
        <v>47160000</v>
      </c>
      <c r="F17" s="37" t="n">
        <f aca="false">F16*120000</f>
        <v>52200000</v>
      </c>
      <c r="G17" s="37" t="n">
        <f aca="false">G16*120000</f>
        <v>56760000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103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103</v>
      </c>
      <c r="C8" s="10"/>
      <c r="D8" s="10"/>
      <c r="E8" s="10"/>
      <c r="F8" s="10"/>
      <c r="G8" s="10"/>
    </row>
    <row r="9" customFormat="false" ht="15" hidden="false" customHeight="false" outlineLevel="0" collapsed="false">
      <c r="A9" s="6"/>
      <c r="B9" s="35" t="s">
        <v>194</v>
      </c>
      <c r="C9" s="31" t="n">
        <f aca="false">BR_Total_Rev*SGA_Pct</f>
        <v>29272250</v>
      </c>
      <c r="D9" s="31" t="n">
        <f aca="false">BR_Total_Rev*SGA_Pct</f>
        <v>34285588.75</v>
      </c>
      <c r="E9" s="31" t="n">
        <f aca="false">BR_Total_Rev*SGA_Pct</f>
        <v>38777070.31625</v>
      </c>
      <c r="F9" s="31" t="n">
        <f aca="false">BR_Total_Rev*SGA_Pct</f>
        <v>42889011.2182788</v>
      </c>
      <c r="G9" s="31" t="n">
        <f aca="false">BR_Total_Rev*SGA_Pct</f>
        <v>46691526.3800435</v>
      </c>
    </row>
    <row r="10" customFormat="false" ht="15" hidden="false" customHeight="false" outlineLevel="0" collapsed="false">
      <c r="A10" s="6"/>
      <c r="B10" s="35" t="s">
        <v>195</v>
      </c>
      <c r="C10" s="31" t="n">
        <f aca="false">BR_Total_Rev*BD_Pct</f>
        <v>7318062.5</v>
      </c>
      <c r="D10" s="31" t="n">
        <f aca="false">BR_Total_Rev*BD_Pct</f>
        <v>8571397.1875</v>
      </c>
      <c r="E10" s="31" t="n">
        <f aca="false">BR_Total_Rev*BD_Pct</f>
        <v>9694267.5790625</v>
      </c>
      <c r="F10" s="31" t="n">
        <f aca="false">BR_Total_Rev*BD_Pct</f>
        <v>10722252.8045697</v>
      </c>
      <c r="G10" s="31" t="n">
        <f aca="false">BR_Total_Rev*BD_Pct</f>
        <v>11672881.5950109</v>
      </c>
    </row>
    <row r="11" customFormat="false" ht="15" hidden="false" customHeight="false" outlineLevel="0" collapsed="false">
      <c r="A11" s="6"/>
      <c r="B11" s="35" t="s">
        <v>196</v>
      </c>
      <c r="C11" s="31" t="n">
        <f aca="false">BR_Total_Rev*IT_Pct</f>
        <v>6272625</v>
      </c>
      <c r="D11" s="31" t="n">
        <f aca="false">BR_Total_Rev*IT_Pct</f>
        <v>7346911.875</v>
      </c>
      <c r="E11" s="31" t="n">
        <f aca="false">BR_Total_Rev*IT_Pct</f>
        <v>8309372.210625</v>
      </c>
      <c r="F11" s="31" t="n">
        <f aca="false">BR_Total_Rev*IT_Pct</f>
        <v>9190502.40391688</v>
      </c>
      <c r="G11" s="31" t="n">
        <f aca="false">BR_Total_Rev*IT_Pct</f>
        <v>10005327.0814379</v>
      </c>
    </row>
    <row r="12" customFormat="false" ht="15" hidden="false" customHeight="false" outlineLevel="0" collapsed="false">
      <c r="A12" s="6"/>
      <c r="B12" s="35" t="s">
        <v>197</v>
      </c>
      <c r="C12" s="31" t="n">
        <f aca="false">Facil_Base*(1+Facil_Esc)^(COLUMN()-3)</f>
        <v>5000000</v>
      </c>
      <c r="D12" s="31" t="n">
        <f aca="false">Facil_Base*(1+Facil_Esc)^(COLUMN()-3)</f>
        <v>5150000</v>
      </c>
      <c r="E12" s="31" t="n">
        <f aca="false">Facil_Base*(1+Facil_Esc)^(COLUMN()-3)</f>
        <v>5304500</v>
      </c>
      <c r="F12" s="31" t="n">
        <f aca="false">Facil_Base*(1+Facil_Esc)^(COLUMN()-3)</f>
        <v>5463635</v>
      </c>
      <c r="G12" s="31" t="n">
        <f aca="false">Facil_Base*(1+Facil_Esc)^(COLUMN()-3)</f>
        <v>5627544.05</v>
      </c>
    </row>
    <row r="13" customFormat="false" ht="15" hidden="false" customHeight="false" outlineLevel="0" collapsed="false">
      <c r="A13" s="6"/>
      <c r="B13" s="32" t="s">
        <v>198</v>
      </c>
      <c r="C13" s="36" t="n">
        <f aca="false">SUM(C9:C12)</f>
        <v>47862937.5</v>
      </c>
      <c r="D13" s="36" t="n">
        <f aca="false">SUM(D9:D12)</f>
        <v>55353897.8125</v>
      </c>
      <c r="E13" s="36" t="n">
        <f aca="false">SUM(E9:E12)</f>
        <v>62085210.1059375</v>
      </c>
      <c r="F13" s="36" t="n">
        <f aca="false">SUM(F9:F12)</f>
        <v>68265401.4267653</v>
      </c>
      <c r="G13" s="36" t="n">
        <f aca="false">SUM(G9:G12)</f>
        <v>73997279.1064923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200</v>
      </c>
      <c r="C8" s="10"/>
      <c r="D8" s="10"/>
      <c r="E8" s="10"/>
      <c r="F8" s="10"/>
      <c r="G8" s="10"/>
    </row>
    <row r="9" customFormat="false" ht="15" hidden="false" customHeight="false" outlineLevel="0" collapsed="false">
      <c r="A9" s="6"/>
      <c r="B9" s="35" t="s">
        <v>201</v>
      </c>
      <c r="C9" s="31" t="n">
        <f aca="false">BR_Total_Rev*Maint_CapEx_Pct</f>
        <v>4181750</v>
      </c>
      <c r="D9" s="31" t="n">
        <f aca="false">BR_Total_Rev*Maint_CapEx_Pct</f>
        <v>4897941.25</v>
      </c>
      <c r="E9" s="31" t="n">
        <f aca="false">BR_Total_Rev*Maint_CapEx_Pct</f>
        <v>5539581.47375</v>
      </c>
      <c r="F9" s="31" t="n">
        <f aca="false">BR_Total_Rev*Maint_CapEx_Pct</f>
        <v>6127001.60261125</v>
      </c>
      <c r="G9" s="31" t="n">
        <f aca="false">BR_Total_Rev*Maint_CapEx_Pct</f>
        <v>6670218.05429193</v>
      </c>
    </row>
    <row r="10" customFormat="false" ht="15" hidden="false" customHeight="false" outlineLevel="0" collapsed="false">
      <c r="A10" s="6"/>
      <c r="B10" s="35" t="s">
        <v>202</v>
      </c>
      <c r="C10" s="31" t="n">
        <f aca="false">Growth_CapEx_Y1*(1+Growth_CapEx_Gr)^(COLUMN()-3)</f>
        <v>3000000</v>
      </c>
      <c r="D10" s="31" t="n">
        <f aca="false">Growth_CapEx_Y1*(1+Growth_CapEx_Gr)^(COLUMN()-3)</f>
        <v>3150000</v>
      </c>
      <c r="E10" s="31" t="n">
        <f aca="false">Growth_CapEx_Y1*(1+Growth_CapEx_Gr)^(COLUMN()-3)</f>
        <v>3307500</v>
      </c>
      <c r="F10" s="31" t="n">
        <f aca="false">Growth_CapEx_Y1*(1+Growth_CapEx_Gr)^(COLUMN()-3)</f>
        <v>3472875</v>
      </c>
      <c r="G10" s="31" t="n">
        <f aca="false">Growth_CapEx_Y1*(1+Growth_CapEx_Gr)^(COLUMN()-3)</f>
        <v>3646518.75</v>
      </c>
    </row>
    <row r="11" customFormat="false" ht="15" hidden="false" customHeight="false" outlineLevel="0" collapsed="false">
      <c r="A11" s="6"/>
      <c r="B11" s="32" t="s">
        <v>203</v>
      </c>
      <c r="C11" s="33" t="n">
        <f aca="false">C9+C10</f>
        <v>7181750</v>
      </c>
      <c r="D11" s="33" t="n">
        <f aca="false">D9+D10</f>
        <v>8047941.25</v>
      </c>
      <c r="E11" s="33" t="n">
        <f aca="false">E9+E10</f>
        <v>8847081.47375</v>
      </c>
      <c r="F11" s="33" t="n">
        <f aca="false">F9+F10</f>
        <v>9599876.60261125</v>
      </c>
      <c r="G11" s="33" t="n">
        <f aca="false">G9+G10</f>
        <v>10316736.8042919</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204</v>
      </c>
      <c r="C13" s="10"/>
      <c r="D13" s="10"/>
      <c r="E13" s="10"/>
      <c r="F13" s="10"/>
      <c r="G13" s="10"/>
    </row>
    <row r="14" customFormat="false" ht="15" hidden="false" customHeight="false" outlineLevel="0" collapsed="false">
      <c r="A14" s="6"/>
      <c r="B14" s="35" t="s">
        <v>205</v>
      </c>
      <c r="C14" s="31" t="n">
        <f aca="false">MIN((Open_PPE_Gross-Open_Accum_Depr)/Asset_Life,MAX(0,(Open_PPE_Gross-Open_Accum_Depr)-(Open_PPE_Gross-Open_Accum_Depr)/Asset_Life*(COLUMN()-3)))</f>
        <v>1285714.28571429</v>
      </c>
      <c r="D14" s="31" t="n">
        <f aca="false">MIN((Open_PPE_Gross-Open_Accum_Depr)/Asset_Life,MAX(0,(Open_PPE_Gross-Open_Accum_Depr)-(Open_PPE_Gross-Open_Accum_Depr)/Asset_Life*(COLUMN()-3)))</f>
        <v>1285714.28571429</v>
      </c>
      <c r="E14" s="31" t="n">
        <f aca="false">MIN((Open_PPE_Gross-Open_Accum_Depr)/Asset_Life,MAX(0,(Open_PPE_Gross-Open_Accum_Depr)-(Open_PPE_Gross-Open_Accum_Depr)/Asset_Life*(COLUMN()-3)))</f>
        <v>1285714.28571429</v>
      </c>
      <c r="F14" s="31" t="n">
        <f aca="false">MIN((Open_PPE_Gross-Open_Accum_Depr)/Asset_Life,MAX(0,(Open_PPE_Gross-Open_Accum_Depr)-(Open_PPE_Gross-Open_Accum_Depr)/Asset_Life*(COLUMN()-3)))</f>
        <v>1285714.28571429</v>
      </c>
      <c r="G14" s="31" t="n">
        <f aca="false">MIN((Open_PPE_Gross-Open_Accum_Depr)/Asset_Life,MAX(0,(Open_PPE_Gross-Open_Accum_Depr)-(Open_PPE_Gross-Open_Accum_Depr)/Asset_Life*(COLUMN()-3)))</f>
        <v>1285714.28571429</v>
      </c>
    </row>
    <row r="15" customFormat="false" ht="15" hidden="false" customHeight="false" outlineLevel="0" collapsed="false">
      <c r="A15" s="6"/>
      <c r="B15" s="35" t="s">
        <v>206</v>
      </c>
      <c r="C15" s="31" t="n">
        <f aca="false">SUM($C$11:C11)/Asset_Life</f>
        <v>1025964.28571429</v>
      </c>
      <c r="D15" s="31" t="n">
        <f aca="false">SUM($C$11:D11)/Asset_Life</f>
        <v>2175670.17857143</v>
      </c>
      <c r="E15" s="31" t="n">
        <f aca="false">SUM($C$11:E11)/Asset_Life</f>
        <v>3439538.96053572</v>
      </c>
      <c r="F15" s="31" t="n">
        <f aca="false">SUM($C$11:F11)/Asset_Life</f>
        <v>4810949.90376589</v>
      </c>
      <c r="G15" s="31" t="n">
        <f aca="false">SUM($C$11:G11)/Asset_Life</f>
        <v>6284769.44723617</v>
      </c>
    </row>
    <row r="16" customFormat="false" ht="15" hidden="false" customHeight="false" outlineLevel="0" collapsed="false">
      <c r="A16" s="6"/>
      <c r="B16" s="32" t="s">
        <v>207</v>
      </c>
      <c r="C16" s="33" t="n">
        <f aca="false">C14+C15</f>
        <v>2311678.57142857</v>
      </c>
      <c r="D16" s="33" t="n">
        <f aca="false">D14+D15</f>
        <v>3461384.46428571</v>
      </c>
      <c r="E16" s="33" t="n">
        <f aca="false">E14+E15</f>
        <v>4725253.24625</v>
      </c>
      <c r="F16" s="33" t="n">
        <f aca="false">F14+F15</f>
        <v>6096664.18948018</v>
      </c>
      <c r="G16" s="33" t="n">
        <f aca="false">G14+G15</f>
        <v>7570483.73295045</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208</v>
      </c>
      <c r="C18" s="10"/>
      <c r="D18" s="10"/>
      <c r="E18" s="10"/>
      <c r="F18" s="10"/>
      <c r="G18" s="10"/>
    </row>
    <row r="19" customFormat="false" ht="15" hidden="false" customHeight="false" outlineLevel="0" collapsed="false">
      <c r="A19" s="6"/>
      <c r="B19" s="23" t="s">
        <v>209</v>
      </c>
      <c r="C19" s="31" t="n">
        <f aca="false">Open_PPE_Gross+SUM($C$11:C11)</f>
        <v>22181750</v>
      </c>
      <c r="D19" s="31" t="n">
        <f aca="false">Open_PPE_Gross+SUM($C$11:D11)</f>
        <v>30229691.25</v>
      </c>
      <c r="E19" s="31" t="n">
        <f aca="false">Open_PPE_Gross+SUM($C$11:E11)</f>
        <v>39076772.72375</v>
      </c>
      <c r="F19" s="31" t="n">
        <f aca="false">Open_PPE_Gross+SUM($C$11:F11)</f>
        <v>48676649.3263613</v>
      </c>
      <c r="G19" s="31" t="n">
        <f aca="false">Open_PPE_Gross+SUM($C$11:G11)</f>
        <v>58993386.1306532</v>
      </c>
    </row>
    <row r="20" customFormat="false" ht="15" hidden="false" customHeight="false" outlineLevel="0" collapsed="false">
      <c r="A20" s="6"/>
      <c r="B20" s="23" t="s">
        <v>210</v>
      </c>
      <c r="C20" s="31" t="n">
        <f aca="false">Open_Accum_Depr+SUM($C$16:C16)</f>
        <v>8311678.57142857</v>
      </c>
      <c r="D20" s="31" t="n">
        <f aca="false">Open_Accum_Depr+SUM($C$16:D16)</f>
        <v>11773063.0357143</v>
      </c>
      <c r="E20" s="31" t="n">
        <f aca="false">Open_Accum_Depr+SUM($C$16:E16)</f>
        <v>16498316.2819643</v>
      </c>
      <c r="F20" s="31" t="n">
        <f aca="false">Open_Accum_Depr+SUM($C$16:F16)</f>
        <v>22594980.4714445</v>
      </c>
      <c r="G20" s="31" t="n">
        <f aca="false">Open_Accum_Depr+SUM($C$16:G16)</f>
        <v>30165464.2043949</v>
      </c>
    </row>
    <row r="21" customFormat="false" ht="15" hidden="false" customHeight="false" outlineLevel="0" collapsed="false">
      <c r="A21" s="6"/>
      <c r="B21" s="32" t="s">
        <v>211</v>
      </c>
      <c r="C21" s="33" t="n">
        <f aca="false">C19-C20</f>
        <v>13870071.4285714</v>
      </c>
      <c r="D21" s="33" t="n">
        <f aca="false">D19-D20</f>
        <v>18456628.2142857</v>
      </c>
      <c r="E21" s="33" t="n">
        <f aca="false">E19-E20</f>
        <v>22578456.4417857</v>
      </c>
      <c r="F21" s="33" t="n">
        <f aca="false">F19-F20</f>
        <v>26081668.8549168</v>
      </c>
      <c r="G21" s="33" t="n">
        <f aca="false">G19-G20</f>
        <v>28827921.9262583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213</v>
      </c>
      <c r="C8" s="10"/>
      <c r="D8" s="10"/>
      <c r="E8" s="10"/>
      <c r="F8" s="10"/>
      <c r="G8" s="10"/>
    </row>
    <row r="9" customFormat="false" ht="15" hidden="false" customHeight="false" outlineLevel="0" collapsed="false">
      <c r="A9" s="6"/>
      <c r="B9" s="35" t="s">
        <v>214</v>
      </c>
      <c r="C9" s="31" t="n">
        <f aca="false">BR_Total_Rev*DSO_Days/365</f>
        <v>37234760.2739726</v>
      </c>
      <c r="D9" s="31" t="n">
        <f aca="false">BR_Total_Rev*DSO_Days/365</f>
        <v>43611805.6506849</v>
      </c>
      <c r="E9" s="31" t="n">
        <f aca="false">BR_Total_Rev*DSO_Days/365</f>
        <v>49325040.5196918</v>
      </c>
      <c r="F9" s="31" t="n">
        <f aca="false">BR_Total_Rev*DSO_Days/365</f>
        <v>54555493.721881</v>
      </c>
      <c r="G9" s="31" t="n">
        <f aca="false">BR_Total_Rev*DSO_Days/365</f>
        <v>59392352.5382158</v>
      </c>
    </row>
    <row r="10" customFormat="false" ht="15" hidden="false" customHeight="false" outlineLevel="0" collapsed="false">
      <c r="A10" s="6"/>
      <c r="B10" s="35" t="s">
        <v>215</v>
      </c>
      <c r="C10" s="31" t="n">
        <f aca="false">BR_Total_Rev*Unbilled_Days/365</f>
        <v>11456849.3150685</v>
      </c>
      <c r="D10" s="31" t="n">
        <f aca="false">BR_Total_Rev*Unbilled_Days/365</f>
        <v>13419017.1232877</v>
      </c>
      <c r="E10" s="31" t="n">
        <f aca="false">BR_Total_Rev*Unbilled_Days/365</f>
        <v>15176935.5445206</v>
      </c>
      <c r="F10" s="31" t="n">
        <f aca="false">BR_Total_Rev*Unbilled_Days/365</f>
        <v>16786305.7605788</v>
      </c>
      <c r="G10" s="31" t="n">
        <f aca="false">BR_Total_Rev*Unbilled_Days/365</f>
        <v>18274570.0117587</v>
      </c>
    </row>
    <row r="11" customFormat="false" ht="15" hidden="false" customHeight="false" outlineLevel="0" collapsed="false">
      <c r="A11" s="6"/>
      <c r="B11" s="32" t="s">
        <v>216</v>
      </c>
      <c r="C11" s="33" t="n">
        <f aca="false">C9+C10</f>
        <v>48691609.5890411</v>
      </c>
      <c r="D11" s="33" t="n">
        <f aca="false">D9+D10</f>
        <v>57030822.7739726</v>
      </c>
      <c r="E11" s="33" t="n">
        <f aca="false">E9+E10</f>
        <v>64501976.0642123</v>
      </c>
      <c r="F11" s="33" t="n">
        <f aca="false">F9+F10</f>
        <v>71341799.4824598</v>
      </c>
      <c r="G11" s="33" t="n">
        <f aca="false">G9+G10</f>
        <v>77666922.5499745</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217</v>
      </c>
      <c r="C13" s="10"/>
      <c r="D13" s="10"/>
      <c r="E13" s="10"/>
      <c r="F13" s="10"/>
      <c r="G13" s="10"/>
    </row>
    <row r="14" customFormat="false" ht="15" hidden="false" customHeight="false" outlineLevel="0" collapsed="false">
      <c r="A14" s="6"/>
      <c r="B14" s="35" t="s">
        <v>218</v>
      </c>
      <c r="C14" s="31" t="n">
        <f aca="false">DC_Total_Dir*DPO_Days/365</f>
        <v>12713438.3561644</v>
      </c>
      <c r="D14" s="31" t="n">
        <f aca="false">DC_Total_Dir*DPO_Days/365</f>
        <v>14952406.3835616</v>
      </c>
      <c r="E14" s="31" t="n">
        <f aca="false">DC_Total_Dir*DPO_Days/365</f>
        <v>16944769.4200822</v>
      </c>
      <c r="F14" s="31" t="n">
        <f aca="false">DC_Total_Dir*DPO_Days/365</f>
        <v>18755418.069542</v>
      </c>
      <c r="G14" s="31" t="n">
        <f aca="false">DC_Total_Dir*DPO_Days/365</f>
        <v>20415950.6290466</v>
      </c>
    </row>
    <row r="15" customFormat="false" ht="15" hidden="false" customHeight="false" outlineLevel="0" collapsed="false">
      <c r="A15" s="6"/>
      <c r="B15" s="35" t="s">
        <v>219</v>
      </c>
      <c r="C15" s="31" t="n">
        <f aca="false">BR_Total_Rev*Defer_Rev_Days/365</f>
        <v>14321061.6438356</v>
      </c>
      <c r="D15" s="31" t="n">
        <f aca="false">BR_Total_Rev*Defer_Rev_Days/365</f>
        <v>16773771.4041096</v>
      </c>
      <c r="E15" s="31" t="n">
        <f aca="false">BR_Total_Rev*Defer_Rev_Days/365</f>
        <v>18971169.4306507</v>
      </c>
      <c r="F15" s="31" t="n">
        <f aca="false">BR_Total_Rev*Defer_Rev_Days/365</f>
        <v>20982882.2007235</v>
      </c>
      <c r="G15" s="31" t="n">
        <f aca="false">BR_Total_Rev*Defer_Rev_Days/365</f>
        <v>22843212.5146984</v>
      </c>
    </row>
    <row r="16" customFormat="false" ht="15" hidden="false" customHeight="false" outlineLevel="0" collapsed="false">
      <c r="A16" s="6"/>
      <c r="B16" s="35" t="s">
        <v>220</v>
      </c>
      <c r="C16" s="31" t="n">
        <f aca="false">OX_Total*Accrued_Pct</f>
        <v>3829035</v>
      </c>
      <c r="D16" s="31" t="n">
        <f aca="false">OX_Total*Accrued_Pct</f>
        <v>4428311.825</v>
      </c>
      <c r="E16" s="31" t="n">
        <f aca="false">OX_Total*Accrued_Pct</f>
        <v>4966816.808475</v>
      </c>
      <c r="F16" s="31" t="n">
        <f aca="false">OX_Total*Accrued_Pct</f>
        <v>5461232.11414123</v>
      </c>
      <c r="G16" s="31" t="n">
        <f aca="false">OX_Total*Accrued_Pct</f>
        <v>5919782.32851938</v>
      </c>
    </row>
    <row r="17" customFormat="false" ht="15" hidden="false" customHeight="false" outlineLevel="0" collapsed="false">
      <c r="A17" s="6"/>
      <c r="B17" s="32" t="s">
        <v>221</v>
      </c>
      <c r="C17" s="33" t="n">
        <f aca="false">C14+C15+C16</f>
        <v>30863535</v>
      </c>
      <c r="D17" s="33" t="n">
        <f aca="false">D14+D15+D16</f>
        <v>36154489.6126712</v>
      </c>
      <c r="E17" s="33" t="n">
        <f aca="false">E14+E15+E16</f>
        <v>40882755.6592079</v>
      </c>
      <c r="F17" s="33" t="n">
        <f aca="false">F14+F15+F16</f>
        <v>45199532.3844067</v>
      </c>
      <c r="G17" s="33" t="n">
        <f aca="false">G14+G15+G16</f>
        <v>49178945.4722644</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32" t="s">
        <v>222</v>
      </c>
      <c r="C19" s="36" t="n">
        <f aca="false">C11-C17</f>
        <v>17828074.5890411</v>
      </c>
      <c r="D19" s="36" t="n">
        <f aca="false">D11-D17</f>
        <v>20876333.1613014</v>
      </c>
      <c r="E19" s="36" t="n">
        <f aca="false">E11-E17</f>
        <v>23619220.4050045</v>
      </c>
      <c r="F19" s="36" t="n">
        <f aca="false">F11-F17</f>
        <v>26142267.0980531</v>
      </c>
      <c r="G19" s="36" t="n">
        <f aca="false">G11-G17</f>
        <v>28487977.0777101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7"/>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225</v>
      </c>
      <c r="C8" s="10"/>
      <c r="D8" s="10"/>
      <c r="E8" s="10"/>
      <c r="F8" s="10"/>
      <c r="G8" s="10"/>
    </row>
    <row r="9" customFormat="false" ht="15" hidden="false" customHeight="false" outlineLevel="0" collapsed="false">
      <c r="A9" s="6"/>
      <c r="B9" s="35" t="s">
        <v>226</v>
      </c>
      <c r="C9" s="31" t="n">
        <f aca="false">Term_Loan_Amt</f>
        <v>50000000</v>
      </c>
      <c r="D9" s="31" t="n">
        <f aca="false">C11</f>
        <v>42857142.8571429</v>
      </c>
      <c r="E9" s="31" t="n">
        <f aca="false">D11</f>
        <v>35714285.7142857</v>
      </c>
      <c r="F9" s="31" t="n">
        <f aca="false">E11</f>
        <v>28571428.5714286</v>
      </c>
      <c r="G9" s="31" t="n">
        <f aca="false">F11</f>
        <v>21428571.4285714</v>
      </c>
    </row>
    <row r="10" customFormat="false" ht="15" hidden="false" customHeight="false" outlineLevel="0" collapsed="false">
      <c r="A10" s="6"/>
      <c r="B10" s="35" t="s">
        <v>227</v>
      </c>
      <c r="C10" s="31" t="n">
        <f aca="false">MIN(Term_Loan_Amt/Term_Loan_Tenor,C9)</f>
        <v>7142857.14285714</v>
      </c>
      <c r="D10" s="31" t="n">
        <f aca="false">MIN(Term_Loan_Amt/Term_Loan_Tenor,D9)</f>
        <v>7142857.14285714</v>
      </c>
      <c r="E10" s="31" t="n">
        <f aca="false">MIN(Term_Loan_Amt/Term_Loan_Tenor,E9)</f>
        <v>7142857.14285714</v>
      </c>
      <c r="F10" s="31" t="n">
        <f aca="false">MIN(Term_Loan_Amt/Term_Loan_Tenor,F9)</f>
        <v>7142857.14285714</v>
      </c>
      <c r="G10" s="31" t="n">
        <f aca="false">MIN(Term_Loan_Amt/Term_Loan_Tenor,G9)</f>
        <v>7142857.14285714</v>
      </c>
    </row>
    <row r="11" customFormat="false" ht="15" hidden="false" customHeight="false" outlineLevel="0" collapsed="false">
      <c r="A11" s="6"/>
      <c r="B11" s="32" t="s">
        <v>228</v>
      </c>
      <c r="C11" s="33" t="n">
        <f aca="false">C9-C10</f>
        <v>42857142.8571429</v>
      </c>
      <c r="D11" s="33" t="n">
        <f aca="false">D9-D10</f>
        <v>35714285.7142857</v>
      </c>
      <c r="E11" s="33" t="n">
        <f aca="false">E9-E10</f>
        <v>28571428.5714286</v>
      </c>
      <c r="F11" s="33" t="n">
        <f aca="false">F9-F10</f>
        <v>21428571.4285714</v>
      </c>
      <c r="G11" s="33" t="n">
        <f aca="false">G9-G10</f>
        <v>14285714.2857143</v>
      </c>
    </row>
    <row r="12" customFormat="false" ht="15" hidden="false" customHeight="false" outlineLevel="0" collapsed="false">
      <c r="A12" s="6"/>
      <c r="B12" s="35" t="s">
        <v>229</v>
      </c>
      <c r="C12" s="31" t="n">
        <f aca="false">C9*Term_Loan_Rate</f>
        <v>3750000</v>
      </c>
      <c r="D12" s="31" t="n">
        <f aca="false">D9*Term_Loan_Rate</f>
        <v>3214285.71428571</v>
      </c>
      <c r="E12" s="31" t="n">
        <f aca="false">E9*Term_Loan_Rate</f>
        <v>2678571.42857143</v>
      </c>
      <c r="F12" s="31" t="n">
        <f aca="false">F9*Term_Loan_Rate</f>
        <v>2142857.14285714</v>
      </c>
      <c r="G12" s="31" t="n">
        <f aca="false">G9*Term_Loan_Rate</f>
        <v>1607142.85714286</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230</v>
      </c>
      <c r="C14" s="10"/>
      <c r="D14" s="10"/>
      <c r="E14" s="10"/>
      <c r="F14" s="10"/>
      <c r="G14" s="10"/>
    </row>
    <row r="15" customFormat="false" ht="15" hidden="false" customHeight="false" outlineLevel="0" collapsed="false">
      <c r="A15" s="6"/>
      <c r="B15" s="40" t="s">
        <v>231</v>
      </c>
      <c r="C15" s="37" t="n">
        <f aca="false">Revolver_Limit</f>
        <v>15000000</v>
      </c>
      <c r="D15" s="37" t="n">
        <f aca="false">Revolver_Limit</f>
        <v>15000000</v>
      </c>
      <c r="E15" s="37" t="n">
        <f aca="false">Revolver_Limit</f>
        <v>15000000</v>
      </c>
      <c r="F15" s="37" t="n">
        <f aca="false">Revolver_Limit</f>
        <v>15000000</v>
      </c>
      <c r="G15" s="37" t="n">
        <f aca="false">Revolver_Limit</f>
        <v>15000000</v>
      </c>
    </row>
    <row r="16" customFormat="false" ht="15" hidden="false" customHeight="false" outlineLevel="0" collapsed="false">
      <c r="A16" s="6"/>
      <c r="B16" s="35" t="s">
        <v>232</v>
      </c>
      <c r="C16" s="31" t="n">
        <f aca="false">C15*Commit_Fee_Rate</f>
        <v>60000</v>
      </c>
      <c r="D16" s="31" t="n">
        <f aca="false">D15*Commit_Fee_Rate</f>
        <v>60000</v>
      </c>
      <c r="E16" s="31" t="n">
        <f aca="false">E15*Commit_Fee_Rate</f>
        <v>60000</v>
      </c>
      <c r="F16" s="31" t="n">
        <f aca="false">F15*Commit_Fee_Rate</f>
        <v>60000</v>
      </c>
      <c r="G16" s="31" t="n">
        <f aca="false">G15*Commit_Fee_Rate</f>
        <v>60000</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32" t="s">
        <v>233</v>
      </c>
      <c r="C18" s="36" t="n">
        <f aca="false">C12+C16</f>
        <v>3810000</v>
      </c>
      <c r="D18" s="36" t="n">
        <f aca="false">D12+D16</f>
        <v>3274285.71428571</v>
      </c>
      <c r="E18" s="36" t="n">
        <f aca="false">E12+E16</f>
        <v>2738571.42857143</v>
      </c>
      <c r="F18" s="36" t="n">
        <f aca="false">F12+F16</f>
        <v>2202857.14285714</v>
      </c>
      <c r="G18" s="36" t="n">
        <f aca="false">G12+G16</f>
        <v>1667142.85714286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2026-05-15T18:52:59Z</dcterms:created>
  <dc:creator>openpyxl</dc:creator>
  <dc:description/>
  <dc:language>en-GB</dc:language>
  <cp:lastModifiedBy/>
  <dcterms:modified xsi:type="dcterms:W3CDTF">2026-05-15T18:53:00Z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