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Assumptions" sheetId="2" state="visible" r:id="rId2"/>
    <sheet xmlns:r="http://schemas.openxmlformats.org/officeDocument/2006/relationships" name="Fleet" sheetId="3" state="visible" r:id="rId3"/>
    <sheet xmlns:r="http://schemas.openxmlformats.org/officeDocument/2006/relationships" name="Capacity" sheetId="4" state="visible" r:id="rId4"/>
    <sheet xmlns:r="http://schemas.openxmlformats.org/officeDocument/2006/relationships" name="Revenue" sheetId="5" state="visible" r:id="rId5"/>
    <sheet xmlns:r="http://schemas.openxmlformats.org/officeDocument/2006/relationships" name="P&amp;L" sheetId="6" state="visible" r:id="rId6"/>
    <sheet xmlns:r="http://schemas.openxmlformats.org/officeDocument/2006/relationships" name="Dashboard" sheetId="7" state="visible" r:id="rId7"/>
    <sheet xmlns:r="http://schemas.openxmlformats.org/officeDocument/2006/relationships" name="Disclaimer" sheetId="8" state="visible" r:id="rId8"/>
  </sheets>
  <definedNames>
    <definedName name="StartShips_Small">Assumptions!$C$7</definedName>
    <definedName name="Berths_Small">Assumptions!$D$7</definedName>
    <definedName name="Sailings_Small">Assumptions!$E$7</definedName>
    <definedName name="Days_Small">Assumptions!$F$7</definedName>
    <definedName name="Ticket_Small">Assumptions!$G$7</definedName>
    <definedName name="Onboard_Small">Assumptions!$H$7</definedName>
    <definedName name="Fuel_Small">Assumptions!$I$7</definedName>
    <definedName name="Crew_Small">Assumptions!$J$7</definedName>
    <definedName name="Capex_Small">Assumptions!$K$7</definedName>
    <definedName name="StartShips_Mid">Assumptions!$C$8</definedName>
    <definedName name="Berths_Mid">Assumptions!$D$8</definedName>
    <definedName name="Sailings_Mid">Assumptions!$E$8</definedName>
    <definedName name="Days_Mid">Assumptions!$F$8</definedName>
    <definedName name="Ticket_Mid">Assumptions!$G$8</definedName>
    <definedName name="Onboard_Mid">Assumptions!$H$8</definedName>
    <definedName name="Fuel_Mid">Assumptions!$I$8</definedName>
    <definedName name="Crew_Mid">Assumptions!$J$8</definedName>
    <definedName name="Capex_Mid">Assumptions!$K$8</definedName>
    <definedName name="StartShips_Large">Assumptions!$C$9</definedName>
    <definedName name="Berths_Large">Assumptions!$D$9</definedName>
    <definedName name="Sailings_Large">Assumptions!$E$9</definedName>
    <definedName name="Days_Large">Assumptions!$F$9</definedName>
    <definedName name="Ticket_Large">Assumptions!$G$9</definedName>
    <definedName name="Onboard_Large">Assumptions!$H$9</definedName>
    <definedName name="Fuel_Large">Assumptions!$I$9</definedName>
    <definedName name="Crew_Large">Assumptions!$J$9</definedName>
    <definedName name="Capex_Large">Assumptions!$K$9</definedName>
    <definedName name="NB_Small">Assumptions!$C$12:$G$12</definedName>
    <definedName name="NB_Mid">Assumptions!$C$13:$G$13</definedName>
    <definedName name="NB_Large">Assumptions!$C$14:$G$14</definedName>
    <definedName name="Occupancy">Assumptions!$C$17</definedName>
    <definedName name="Yield_Growth">Assumptions!$C$18</definedName>
    <definedName name="Fuel_Infl">Assumptions!$C$19</definedName>
    <definedName name="Opex_Infl">Assumptions!$C$20</definedName>
    <definedName name="Comm_Pct">Assumptions!$C$21</definedName>
    <definedName name="Mkt_Pct">Assumptions!$C$22</definedName>
    <definedName name="GA_Base">Assumptions!$C$23</definedName>
    <definedName name="Maint_Pct">Assumptions!$C$24</definedName>
    <definedName name="DA_Pct">Assumptions!$C$25</definedName>
    <definedName name="Debt_Pct">Assumptions!$C$26</definedName>
    <definedName name="Int_Rate">Assumptions!$C$27</definedName>
    <definedName name="Tax_Rate">Assumptions!$C$28</definedName>
    <definedName name="Capex_Scale">Assumptions!$C$29</definedName>
    <definedName name="Margin_Green">Assumptions!$C$32</definedName>
    <definedName name="Margin_Amber">Assumptions!$C$33</definedName>
    <definedName name="Occ_Green">Assumptions!$C$34</definedName>
    <definedName name="Occ_Amber">Assumptions!$C$35</definedName>
    <definedName name="Yield_Green">Assumptions!$C$36</definedName>
    <definedName name="Yield_Amber">Assumptions!$C$37</definedName>
    <definedName name="PL_Rev_Y5">'P&amp;L'!$G$7</definedName>
    <definedName name="PL_EBITDA_Y5">'P&amp;L'!$G$17</definedName>
    <definedName name="PL_Fuel_Y5">'P&amp;L'!$G$10</definedName>
    <definedName name="Fleet_Total_Y5">Fleet!$G$10</definedName>
    <definedName name="Cap_APCD_Y5">Capacity!$G$10</definedName>
    <definedName name="Cap_OPCD_Y5">Capacity!$G$17</definedName>
    <definedName name="Cap_Pax_Y5">Capacity!$G$19</definedName>
    <definedName name="Rev_Yield_Y5">Revenue!$G$21</definedName>
    <definedName name="Cap_APCD_Y5_Range">Capacity!$G$7:$G$9</definedName>
  </definedNames>
  <calcPr calcId="191029" calcMode="auto" fullCalcOnLoad="1"/>
</workbook>
</file>

<file path=xl/styles.xml><?xml version="1.0" encoding="utf-8"?>
<styleSheet xmlns="http://schemas.openxmlformats.org/spreadsheetml/2006/main">
  <numFmts count="3">
    <numFmt numFmtId="164" formatCode="$#,##0"/>
    <numFmt numFmtId="165" formatCode="0.0%"/>
    <numFmt numFmtId="166" formatCode="#,##0.0"/>
  </numFmts>
  <fonts count="20">
    <font>
      <name val="Calibri"/>
      <family val="2"/>
      <color theme="1"/>
      <sz val="11"/>
      <scheme val="minor"/>
    </font>
    <font>
      <name val="Arial"/>
      <b val="1"/>
      <sz val="18"/>
    </font>
    <font>
      <name val="Arial"/>
      <i val="1"/>
      <color rgb="00808080"/>
      <sz val="11"/>
    </font>
    <font>
      <name val="Arial"/>
      <b val="1"/>
      <color rgb="001F4E79"/>
      <sz val="11"/>
    </font>
    <font>
      <name val="Arial"/>
      <b val="1"/>
      <sz val="11"/>
    </font>
    <font>
      <name val="Arial"/>
      <sz val="11"/>
    </font>
    <font>
      <name val="Arial"/>
      <color rgb="002E75B6"/>
      <sz val="11"/>
    </font>
    <font>
      <name val="Arial"/>
      <b val="1"/>
      <color rgb="00FFFFFF"/>
      <sz val="11"/>
    </font>
    <font>
      <name val="Calibri"/>
      <color theme="0"/>
      <sz val="11"/>
    </font>
    <font>
      <name val="Arial"/>
      <b val="1"/>
      <color theme="0"/>
      <sz val="18"/>
    </font>
    <font>
      <name val="Arial"/>
      <i val="1"/>
      <color theme="0"/>
      <sz val="11"/>
    </font>
    <font>
      <name val="Arial"/>
      <b val="1"/>
      <color theme="3"/>
      <sz val="11"/>
    </font>
    <font>
      <name val="Arial"/>
      <color theme="3"/>
      <sz val="11"/>
    </font>
    <font>
      <name val="Arial"/>
      <b val="1"/>
      <color theme="0"/>
      <sz val="11"/>
    </font>
    <font>
      <name val="Arial"/>
      <b val="1"/>
      <color theme="0"/>
      <sz val="11"/>
      <u val="single"/>
    </font>
    <font>
      <name val="Arial"/>
      <b val="1"/>
      <color rgb="001F4E79"/>
      <sz val="18"/>
    </font>
    <font>
      <name val="Arial"/>
      <color rgb="00262626"/>
      <sz val="10"/>
    </font>
    <font>
      <name val="Arial"/>
      <b val="1"/>
      <color rgb="001F4E79"/>
      <sz val="10"/>
    </font>
    <font>
      <name val="Arial"/>
      <color rgb="00404040"/>
      <sz val="9"/>
    </font>
    <font>
      <name val="Arial"/>
      <i val="1"/>
      <color rgb="00808080"/>
      <sz val="10"/>
    </font>
  </fonts>
  <fills count="9">
    <fill>
      <patternFill/>
    </fill>
    <fill>
      <patternFill patternType="gray125"/>
    </fill>
    <fill>
      <patternFill patternType="solid">
        <fgColor rgb="00D6E4F0"/>
      </patternFill>
    </fill>
    <fill>
      <patternFill patternType="solid">
        <fgColor rgb="00EBF1F8"/>
      </patternFill>
    </fill>
    <fill>
      <patternFill patternType="solid">
        <fgColor rgb="001F4E79"/>
      </patternFill>
    </fill>
    <fill>
      <patternFill patternType="solid">
        <fgColor theme="3"/>
        <bgColor theme="3"/>
      </patternFill>
    </fill>
    <fill>
      <patternFill patternType="solid">
        <fgColor theme="3" tint="0.8"/>
        <bgColor theme="3" tint="0.8"/>
      </patternFill>
    </fill>
    <fill>
      <patternFill patternType="solid">
        <fgColor rgb="001F4E79"/>
        <bgColor rgb="001F4E79"/>
      </patternFill>
    </fill>
    <fill>
      <patternFill patternType="solid">
        <fgColor rgb="00F2F2F2"/>
        <bgColor rgb="00F2F2F2"/>
      </patternFill>
    </fill>
  </fills>
  <borders count="4">
    <border>
      <left/>
      <right/>
      <top/>
      <bottom/>
      <diagonal/>
    </border>
    <border>
      <top style="thin"/>
    </border>
    <border>
      <top style="double"/>
    </border>
    <border>
      <bottom style="thin">
        <color rgb="001F4E79"/>
      </bottom>
    </border>
  </borders>
  <cellStyleXfs count="1">
    <xf numFmtId="0" fontId="5" fillId="0" borderId="0"/>
  </cellStyleXfs>
  <cellXfs count="39">
    <xf numFmtId="0" fontId="0" fillId="0" borderId="0" pivotButton="0" quotePrefix="0" xfId="0"/>
    <xf numFmtId="0" fontId="8" fillId="5" borderId="0" pivotButton="0" quotePrefix="0" xfId="0"/>
    <xf numFmtId="0" fontId="9" fillId="5" borderId="0" pivotButton="0" quotePrefix="0" xfId="0"/>
    <xf numFmtId="0" fontId="14" fillId="5" borderId="0" applyAlignment="1" pivotButton="0" quotePrefix="0" xfId="0">
      <alignment horizontal="left" vertical="center"/>
    </xf>
    <xf numFmtId="0" fontId="10" fillId="5" borderId="0" pivotButton="0" quotePrefix="0" xfId="0"/>
    <xf numFmtId="0" fontId="11" fillId="6" borderId="0" pivotButton="0" quotePrefix="0" xfId="0"/>
    <xf numFmtId="0" fontId="4" fillId="0" borderId="0" pivotButton="0" quotePrefix="0" xfId="0"/>
    <xf numFmtId="0" fontId="5" fillId="0" borderId="0" pivotButton="0" quotePrefix="0" xfId="0"/>
    <xf numFmtId="0" fontId="11" fillId="0" borderId="0" pivotButton="0" quotePrefix="0" xfId="0"/>
    <xf numFmtId="0" fontId="2" fillId="0" borderId="0" pivotButton="0" quotePrefix="0" xfId="0"/>
    <xf numFmtId="0" fontId="11" fillId="6" borderId="0" applyAlignment="1" pivotButton="0" quotePrefix="0" xfId="0">
      <alignment horizontal="center"/>
    </xf>
    <xf numFmtId="3" fontId="12" fillId="3" borderId="0" applyAlignment="1" pivotButton="0" quotePrefix="0" xfId="0">
      <alignment horizontal="right"/>
    </xf>
    <xf numFmtId="164" fontId="12" fillId="3" borderId="0" applyAlignment="1" pivotButton="0" quotePrefix="0" xfId="0">
      <alignment horizontal="right"/>
    </xf>
    <xf numFmtId="165" fontId="12" fillId="3" borderId="0" applyAlignment="1" pivotButton="0" quotePrefix="0" xfId="0">
      <alignment horizontal="right"/>
    </xf>
    <xf numFmtId="49" fontId="13" fillId="5" borderId="0" applyAlignment="1" pivotButton="0" quotePrefix="0" xfId="0">
      <alignment horizontal="center"/>
    </xf>
    <xf numFmtId="3" fontId="5" fillId="0" borderId="0" applyAlignment="1" pivotButton="0" quotePrefix="0" xfId="0">
      <alignment horizontal="right"/>
    </xf>
    <xf numFmtId="0" fontId="4" fillId="0" borderId="1" pivotButton="0" quotePrefix="0" xfId="0"/>
    <xf numFmtId="3" fontId="4" fillId="0" borderId="1" applyAlignment="1" pivotButton="0" quotePrefix="0" xfId="0">
      <alignment horizontal="right"/>
    </xf>
    <xf numFmtId="166" fontId="5" fillId="0" borderId="0" applyAlignment="1" pivotButton="0" quotePrefix="0" xfId="0">
      <alignment horizontal="right"/>
    </xf>
    <xf numFmtId="166" fontId="4" fillId="0" borderId="1" applyAlignment="1" pivotButton="0" quotePrefix="0" xfId="0">
      <alignment horizontal="right"/>
    </xf>
    <xf numFmtId="164" fontId="5" fillId="0" borderId="0" applyAlignment="1" pivotButton="0" quotePrefix="0" xfId="0">
      <alignment horizontal="right"/>
    </xf>
    <xf numFmtId="164" fontId="4" fillId="0" borderId="1" applyAlignment="1" pivotButton="0" quotePrefix="0" xfId="0">
      <alignment horizontal="right"/>
    </xf>
    <xf numFmtId="0" fontId="4" fillId="0" borderId="2" pivotButton="0" quotePrefix="0" xfId="0"/>
    <xf numFmtId="164" fontId="4" fillId="0" borderId="2" applyAlignment="1" pivotButton="0" quotePrefix="0" xfId="0">
      <alignment horizontal="right"/>
    </xf>
    <xf numFmtId="164" fontId="4" fillId="0" borderId="0" applyAlignment="1" pivotButton="0" quotePrefix="0" xfId="0">
      <alignment horizontal="right"/>
    </xf>
    <xf numFmtId="165" fontId="5" fillId="0" borderId="0" applyAlignment="1" pivotButton="0" quotePrefix="0" xfId="0">
      <alignment horizontal="right"/>
    </xf>
    <xf numFmtId="0" fontId="13" fillId="5" borderId="0" applyAlignment="1" pivotButton="0" quotePrefix="0" xfId="0">
      <alignment horizontal="center"/>
    </xf>
    <xf numFmtId="0" fontId="2" fillId="0" borderId="0" applyAlignment="1" pivotButton="0" quotePrefix="0" xfId="0">
      <alignment horizontal="center"/>
    </xf>
    <xf numFmtId="0" fontId="5" fillId="0" borderId="0" applyAlignment="1" pivotButton="0" quotePrefix="0" xfId="0">
      <alignment horizontal="center"/>
    </xf>
    <xf numFmtId="0" fontId="5" fillId="0" borderId="0" applyAlignment="1" pivotButton="0" quotePrefix="0" xfId="0">
      <alignment horizontal="left" indent="1"/>
    </xf>
    <xf numFmtId="165" fontId="4" fillId="0" borderId="1" applyAlignment="1" pivotButton="0" quotePrefix="0" xfId="0">
      <alignment horizontal="right"/>
    </xf>
    <xf numFmtId="0" fontId="15" fillId="0" borderId="0" applyAlignment="1" pivotButton="0" quotePrefix="0" xfId="0">
      <alignment horizontal="left" vertical="center"/>
    </xf>
    <xf numFmtId="0" fontId="0" fillId="0" borderId="3" pivotButton="0" quotePrefix="0" xfId="0"/>
    <xf numFmtId="0" fontId="7" fillId="7" borderId="0" applyAlignment="1" pivotButton="0" quotePrefix="0" xfId="0">
      <alignment horizontal="left" vertical="center" indent="1"/>
    </xf>
    <xf numFmtId="0" fontId="16" fillId="0" borderId="0" applyAlignment="1" pivotButton="0" quotePrefix="0" xfId="0">
      <alignment horizontal="left" vertical="top" wrapText="1" indent="1"/>
    </xf>
    <xf numFmtId="0" fontId="17" fillId="0" borderId="0" applyAlignment="1" pivotButton="0" quotePrefix="0" xfId="0">
      <alignment horizontal="left" vertical="center" indent="1"/>
    </xf>
    <xf numFmtId="0" fontId="3" fillId="0" borderId="0" applyAlignment="1" pivotButton="0" quotePrefix="0" xfId="0">
      <alignment horizontal="left" vertical="center" indent="1"/>
    </xf>
    <xf numFmtId="0" fontId="18" fillId="8" borderId="0" applyAlignment="1" pivotButton="0" quotePrefix="0" xfId="0">
      <alignment horizontal="left" vertical="top" wrapText="1" indent="1"/>
    </xf>
    <xf numFmtId="0" fontId="19" fillId="0" borderId="0" applyAlignment="1" pivotButton="0" quotePrefix="0" xfId="0">
      <alignment horizontal="left" vertical="center"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www.finamodel.com/" TargetMode="External" Id="rId1"/></Relationships>
</file>

<file path=xl/worksheets/sheet1.xml><?xml version="1.0" encoding="utf-8"?>
<worksheet xmlns="http://schemas.openxmlformats.org/spreadsheetml/2006/main">
  <sheetPr>
    <tabColor rgb="001F4E79"/>
    <outlinePr summaryBelow="1" summaryRight="1"/>
    <pageSetUpPr/>
  </sheetPr>
  <dimension ref="A1:AD22"/>
  <sheetViews>
    <sheetView showGridLines="0" workbookViewId="0">
      <selection activeCell="A1" sqref="A1"/>
    </sheetView>
  </sheetViews>
  <sheetFormatPr baseColWidth="8" defaultRowHeight="15"/>
  <cols>
    <col width="2" customWidth="1" min="1" max="1"/>
    <col width="22" customWidth="1" min="2" max="2"/>
    <col width="52" customWidth="1" min="3" max="3"/>
    <col width="52" customWidth="1" min="4" max="4"/>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Cruise Line</t>
        </is>
      </c>
      <c r="C2" s="1" t="n"/>
      <c r="D2" s="3" t="inlineStr">
        <is>
          <t>FINAMODEL.com</t>
        </is>
      </c>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Five-year multi-ship operating model</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row r="6">
      <c r="B6" s="5" t="inlineStr">
        <is>
          <t>Sheet</t>
        </is>
      </c>
      <c r="C6" s="5" t="inlineStr">
        <is>
          <t>Purpose</t>
        </is>
      </c>
    </row>
    <row r="7">
      <c r="B7" s="6" t="inlineStr">
        <is>
          <t>Cover</t>
        </is>
      </c>
      <c r="C7" s="7" t="inlineStr">
        <is>
          <t>Title and navigation.</t>
        </is>
      </c>
    </row>
    <row r="8">
      <c r="B8" s="6" t="inlineStr">
        <is>
          <t>Assumptions</t>
        </is>
      </c>
      <c r="C8" s="7" t="inlineStr">
        <is>
          <t>Class inputs, newbuilds, operating parameters, thresholds.</t>
        </is>
      </c>
    </row>
    <row r="9">
      <c r="B9" s="6" t="inlineStr">
        <is>
          <t>Fleet</t>
        </is>
      </c>
      <c r="C9" s="7" t="inlineStr">
        <is>
          <t>Closing ships, average ships, and berths per class.</t>
        </is>
      </c>
    </row>
    <row r="10">
      <c r="B10" s="6" t="inlineStr">
        <is>
          <t>Capacity</t>
        </is>
      </c>
      <c r="C10" s="7" t="inlineStr">
        <is>
          <t>APCD, OPCD and passengers carried.</t>
        </is>
      </c>
    </row>
    <row r="11">
      <c r="B11" s="6" t="inlineStr">
        <is>
          <t>Revenue</t>
        </is>
      </c>
      <c r="C11" s="7" t="inlineStr">
        <is>
          <t>Ticket and onboard revenue per class.</t>
        </is>
      </c>
    </row>
    <row r="12">
      <c r="B12" s="6" t="inlineStr">
        <is>
          <t>P&amp;L</t>
        </is>
      </c>
      <c r="C12" s="7" t="inlineStr">
        <is>
          <t>Revenue to net income with margins.</t>
        </is>
      </c>
    </row>
    <row r="13">
      <c r="B13" s="6" t="inlineStr">
        <is>
          <t>Dashboard</t>
        </is>
      </c>
      <c r="C13" s="7" t="inlineStr">
        <is>
          <t>Headline metrics and capacity mix.</t>
        </is>
      </c>
    </row>
    <row r="14"/>
    <row r="15"/>
    <row r="16">
      <c r="B16" s="8" t="inlineStr">
        <is>
          <t>Tab colour legend</t>
        </is>
      </c>
    </row>
    <row r="17">
      <c r="B17" s="7" t="inlineStr">
        <is>
          <t>Dark blue</t>
        </is>
      </c>
      <c r="C17" s="9" t="inlineStr">
        <is>
          <t>Cover</t>
        </is>
      </c>
    </row>
    <row r="18">
      <c r="B18" s="7" t="inlineStr">
        <is>
          <t>Light blue</t>
        </is>
      </c>
      <c r="C18" s="9" t="inlineStr">
        <is>
          <t>Assumptions</t>
        </is>
      </c>
    </row>
    <row r="19">
      <c r="B19" s="7" t="inlineStr">
        <is>
          <t>Green</t>
        </is>
      </c>
      <c r="C19" s="9" t="inlineStr">
        <is>
          <t>Fleet / Capacity</t>
        </is>
      </c>
    </row>
    <row r="20">
      <c r="B20" s="7" t="inlineStr">
        <is>
          <t>Orange</t>
        </is>
      </c>
      <c r="C20" s="9" t="inlineStr">
        <is>
          <t>Revenue</t>
        </is>
      </c>
    </row>
    <row r="21">
      <c r="B21" s="7" t="inlineStr">
        <is>
          <t>Yellow</t>
        </is>
      </c>
      <c r="C21" s="9" t="inlineStr">
        <is>
          <t>P&amp;L</t>
        </is>
      </c>
    </row>
    <row r="22">
      <c r="B22" s="7" t="inlineStr">
        <is>
          <t>Grey</t>
        </is>
      </c>
      <c r="C22" s="9" t="inlineStr">
        <is>
          <t>Dashboard</t>
        </is>
      </c>
    </row>
  </sheetData>
  <hyperlinks>
    <hyperlink xmlns:r="http://schemas.openxmlformats.org/officeDocument/2006/relationships" ref="D2" r:id="rId1"/>
  </hyperlinks>
  <pageMargins left="0.75" right="0.75" top="1" bottom="1" header="0.5" footer="0.5"/>
</worksheet>
</file>

<file path=xl/worksheets/sheet2.xml><?xml version="1.0" encoding="utf-8"?>
<worksheet xmlns="http://schemas.openxmlformats.org/spreadsheetml/2006/main">
  <sheetPr>
    <tabColor rgb="005B9BD5"/>
    <outlinePr summaryBelow="1" summaryRight="1"/>
    <pageSetUpPr/>
  </sheetPr>
  <dimension ref="A1:AD37"/>
  <sheetViews>
    <sheetView showGridLines="0" workbookViewId="0">
      <selection activeCell="A1" sqref="A1"/>
    </sheetView>
  </sheetViews>
  <sheetFormatPr baseColWidth="8" defaultRowHeight="15"/>
  <cols>
    <col width="2" customWidth="1" min="1" max="1"/>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Assumptions</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Class inputs</t>
        </is>
      </c>
    </row>
    <row r="6">
      <c r="B6" s="10" t="inlineStr">
        <is>
          <t>Class</t>
        </is>
      </c>
      <c r="C6" s="10" t="inlineStr">
        <is>
          <t>Start ships</t>
        </is>
      </c>
      <c r="D6" s="10" t="inlineStr">
        <is>
          <t>Berths/ship</t>
        </is>
      </c>
      <c r="E6" s="10" t="inlineStr">
        <is>
          <t>Sailings/yr</t>
        </is>
      </c>
      <c r="F6" s="10" t="inlineStr">
        <is>
          <t>Days/sail</t>
        </is>
      </c>
      <c r="G6" s="10" t="inlineStr">
        <is>
          <t>Ticket $/PCD</t>
        </is>
      </c>
      <c r="H6" s="10" t="inlineStr">
        <is>
          <t>Onboard $/PCD</t>
        </is>
      </c>
      <c r="I6" s="10" t="inlineStr">
        <is>
          <t>Fuel $/APCD</t>
        </is>
      </c>
      <c r="J6" s="10" t="inlineStr">
        <is>
          <t>Crew $/APCD</t>
        </is>
      </c>
      <c r="K6" s="10" t="inlineStr">
        <is>
          <t>Capex/ship $M</t>
        </is>
      </c>
    </row>
    <row r="7">
      <c r="B7" s="7" t="inlineStr">
        <is>
          <t>Small</t>
        </is>
      </c>
      <c r="C7" s="11" t="n">
        <v>2</v>
      </c>
      <c r="D7" s="11" t="n">
        <v>1800</v>
      </c>
      <c r="E7" s="11" t="n">
        <v>28</v>
      </c>
      <c r="F7" s="11" t="n">
        <v>10</v>
      </c>
      <c r="G7" s="12" t="n">
        <v>320</v>
      </c>
      <c r="H7" s="12" t="n">
        <v>145</v>
      </c>
      <c r="I7" s="12" t="n">
        <v>28</v>
      </c>
      <c r="J7" s="12" t="n">
        <v>110</v>
      </c>
      <c r="K7" s="12" t="n">
        <v>550</v>
      </c>
    </row>
    <row r="8">
      <c r="B8" s="7" t="inlineStr">
        <is>
          <t>Mid</t>
        </is>
      </c>
      <c r="C8" s="11" t="n">
        <v>3</v>
      </c>
      <c r="D8" s="11" t="n">
        <v>3200</v>
      </c>
      <c r="E8" s="11" t="n">
        <v>32</v>
      </c>
      <c r="F8" s="11" t="n">
        <v>8</v>
      </c>
      <c r="G8" s="12" t="n">
        <v>240</v>
      </c>
      <c r="H8" s="12" t="n">
        <v>120</v>
      </c>
      <c r="I8" s="12" t="n">
        <v>24</v>
      </c>
      <c r="J8" s="12" t="n">
        <v>92</v>
      </c>
      <c r="K8" s="12" t="n">
        <v>850</v>
      </c>
    </row>
    <row r="9">
      <c r="B9" s="7" t="inlineStr">
        <is>
          <t>Large</t>
        </is>
      </c>
      <c r="C9" s="11" t="n">
        <v>1</v>
      </c>
      <c r="D9" s="11" t="n">
        <v>5400</v>
      </c>
      <c r="E9" s="11" t="n">
        <v>30</v>
      </c>
      <c r="F9" s="11" t="n">
        <v>7</v>
      </c>
      <c r="G9" s="12" t="n">
        <v>200</v>
      </c>
      <c r="H9" s="12" t="n">
        <v>95</v>
      </c>
      <c r="I9" s="12" t="n">
        <v>20</v>
      </c>
      <c r="J9" s="12" t="n">
        <v>78</v>
      </c>
      <c r="K9" s="12" t="n">
        <v>1350</v>
      </c>
    </row>
    <row r="10">
      <c r="B10" s="5" t="inlineStr">
        <is>
          <t>Newbuild schedule (ships added)</t>
        </is>
      </c>
    </row>
    <row r="11">
      <c r="B11" s="5" t="inlineStr">
        <is>
          <t>Class</t>
        </is>
      </c>
      <c r="C11" s="10" t="inlineStr">
        <is>
          <t>Y1</t>
        </is>
      </c>
      <c r="D11" s="10" t="inlineStr">
        <is>
          <t>Y2</t>
        </is>
      </c>
      <c r="E11" s="10" t="inlineStr">
        <is>
          <t>Y3</t>
        </is>
      </c>
      <c r="F11" s="10" t="inlineStr">
        <is>
          <t>Y4</t>
        </is>
      </c>
      <c r="G11" s="10" t="inlineStr">
        <is>
          <t>Y5</t>
        </is>
      </c>
    </row>
    <row r="12">
      <c r="B12" s="7" t="inlineStr">
        <is>
          <t>Small</t>
        </is>
      </c>
      <c r="C12" s="11" t="n">
        <v>0</v>
      </c>
      <c r="D12" s="11" t="n">
        <v>1</v>
      </c>
      <c r="E12" s="11" t="n">
        <v>0</v>
      </c>
      <c r="F12" s="11" t="n">
        <v>0</v>
      </c>
      <c r="G12" s="11" t="n">
        <v>1</v>
      </c>
    </row>
    <row r="13">
      <c r="B13" s="7" t="inlineStr">
        <is>
          <t>Mid</t>
        </is>
      </c>
      <c r="C13" s="11" t="n">
        <v>0</v>
      </c>
      <c r="D13" s="11" t="n">
        <v>0</v>
      </c>
      <c r="E13" s="11" t="n">
        <v>1</v>
      </c>
      <c r="F13" s="11" t="n">
        <v>1</v>
      </c>
      <c r="G13" s="11" t="n">
        <v>0</v>
      </c>
    </row>
    <row r="14">
      <c r="B14" s="7" t="inlineStr">
        <is>
          <t>Large</t>
        </is>
      </c>
      <c r="C14" s="11" t="n">
        <v>1</v>
      </c>
      <c r="D14" s="11" t="n">
        <v>0</v>
      </c>
      <c r="E14" s="11" t="n">
        <v>0</v>
      </c>
      <c r="F14" s="11" t="n">
        <v>1</v>
      </c>
      <c r="G14" s="11" t="n">
        <v>1</v>
      </c>
    </row>
    <row r="15">
      <c r="B15" s="5" t="inlineStr">
        <is>
          <t>Operating parameters</t>
        </is>
      </c>
    </row>
    <row r="16"/>
    <row r="17">
      <c r="B17" s="7" t="inlineStr">
        <is>
          <t>Occupancy</t>
        </is>
      </c>
      <c r="C17" s="13" t="n">
        <v>1.05</v>
      </c>
      <c r="D17" s="9" t="inlineStr">
        <is>
          <t>% APCD</t>
        </is>
      </c>
    </row>
    <row r="18">
      <c r="B18" s="7" t="inlineStr">
        <is>
          <t>Yield growth</t>
        </is>
      </c>
      <c r="C18" s="13" t="n">
        <v>0.025</v>
      </c>
      <c r="D18" s="9" t="inlineStr">
        <is>
          <t>per year</t>
        </is>
      </c>
    </row>
    <row r="19">
      <c r="B19" s="7" t="inlineStr">
        <is>
          <t>Fuel cost inflation</t>
        </is>
      </c>
      <c r="C19" s="13" t="n">
        <v>0.04</v>
      </c>
      <c r="D19" s="9" t="inlineStr">
        <is>
          <t>per year</t>
        </is>
      </c>
    </row>
    <row r="20">
      <c r="B20" s="7" t="inlineStr">
        <is>
          <t>Other opex inflation</t>
        </is>
      </c>
      <c r="C20" s="13" t="n">
        <v>0.03</v>
      </c>
      <c r="D20" s="9" t="inlineStr">
        <is>
          <t>per year</t>
        </is>
      </c>
    </row>
    <row r="21">
      <c r="B21" s="7" t="inlineStr">
        <is>
          <t>Commissions/transport</t>
        </is>
      </c>
      <c r="C21" s="13" t="n">
        <v>0.13</v>
      </c>
      <c r="D21" s="9" t="inlineStr">
        <is>
          <t>% ticket</t>
        </is>
      </c>
    </row>
    <row r="22">
      <c r="B22" s="7" t="inlineStr">
        <is>
          <t>Marketing</t>
        </is>
      </c>
      <c r="C22" s="13" t="n">
        <v>0.04</v>
      </c>
      <c r="D22" s="9" t="inlineStr">
        <is>
          <t>% revenue</t>
        </is>
      </c>
    </row>
    <row r="23">
      <c r="B23" s="7" t="inlineStr">
        <is>
          <t>G&amp;A base (Y1)</t>
        </is>
      </c>
      <c r="C23" s="12" t="n">
        <v>180000000</v>
      </c>
      <c r="D23" s="9" t="inlineStr">
        <is>
          <t>annual</t>
        </is>
      </c>
    </row>
    <row r="24">
      <c r="B24" s="7" t="inlineStr">
        <is>
          <t>Maintenance capex</t>
        </is>
      </c>
      <c r="C24" s="13" t="n">
        <v>0.07000000000000001</v>
      </c>
      <c r="D24" s="9" t="inlineStr">
        <is>
          <t>% revenue</t>
        </is>
      </c>
    </row>
    <row r="25">
      <c r="B25" s="7" t="inlineStr">
        <is>
          <t>D&amp;A</t>
        </is>
      </c>
      <c r="C25" s="13" t="n">
        <v>0.1</v>
      </c>
      <c r="D25" s="9" t="inlineStr">
        <is>
          <t>% revenue</t>
        </is>
      </c>
    </row>
    <row r="26">
      <c r="B26" s="7" t="inlineStr">
        <is>
          <t>Debt % of fleet capex</t>
        </is>
      </c>
      <c r="C26" s="13" t="n">
        <v>0.75</v>
      </c>
      <c r="D26" s="9" t="inlineStr">
        <is>
          <t>leverage</t>
        </is>
      </c>
    </row>
    <row r="27">
      <c r="B27" s="7" t="inlineStr">
        <is>
          <t>Interest rate</t>
        </is>
      </c>
      <c r="C27" s="13" t="n">
        <v>0.055</v>
      </c>
      <c r="D27" s="9" t="inlineStr">
        <is>
          <t>blended</t>
        </is>
      </c>
    </row>
    <row r="28">
      <c r="B28" s="7" t="inlineStr">
        <is>
          <t>Tax rate</t>
        </is>
      </c>
      <c r="C28" s="13" t="n">
        <v>0.05</v>
      </c>
      <c r="D28" s="9" t="inlineStr">
        <is>
          <t>blended</t>
        </is>
      </c>
    </row>
    <row r="29">
      <c r="B29" s="7" t="inlineStr">
        <is>
          <t>Capex unit scale</t>
        </is>
      </c>
      <c r="C29" s="11" t="n">
        <v>1000000</v>
      </c>
      <c r="D29" s="9" t="inlineStr">
        <is>
          <t>$ per $M</t>
        </is>
      </c>
    </row>
    <row r="30">
      <c r="B30" s="5" t="inlineStr">
        <is>
          <t>Status thresholds</t>
        </is>
      </c>
    </row>
    <row r="31"/>
    <row r="32">
      <c r="B32" s="7" t="inlineStr">
        <is>
          <t>EBITDA margin: on-track</t>
        </is>
      </c>
      <c r="C32" s="13" t="n">
        <v>0.25</v>
      </c>
      <c r="D32" s="9" t="inlineStr">
        <is>
          <t>% rev</t>
        </is>
      </c>
    </row>
    <row r="33">
      <c r="B33" s="7" t="inlineStr">
        <is>
          <t>EBITDA margin: watch</t>
        </is>
      </c>
      <c r="C33" s="13" t="n">
        <v>0.18</v>
      </c>
      <c r="D33" s="9" t="inlineStr">
        <is>
          <t>% rev</t>
        </is>
      </c>
    </row>
    <row r="34">
      <c r="B34" s="7" t="inlineStr">
        <is>
          <t>Occupancy: on-track</t>
        </is>
      </c>
      <c r="C34" s="13" t="n">
        <v>1.04</v>
      </c>
      <c r="D34" s="9" t="inlineStr">
        <is>
          <t>% APCD</t>
        </is>
      </c>
    </row>
    <row r="35">
      <c r="B35" s="7" t="inlineStr">
        <is>
          <t>Occupancy: watch</t>
        </is>
      </c>
      <c r="C35" s="13" t="n">
        <v>0.95</v>
      </c>
      <c r="D35" s="9" t="inlineStr">
        <is>
          <t>% APCD</t>
        </is>
      </c>
    </row>
    <row r="36">
      <c r="B36" s="7" t="inlineStr">
        <is>
          <t>Net yield: on-track</t>
        </is>
      </c>
      <c r="C36" s="12" t="n">
        <v>260</v>
      </c>
      <c r="D36" s="9" t="inlineStr">
        <is>
          <t>$/APCD</t>
        </is>
      </c>
    </row>
    <row r="37">
      <c r="B37" s="7" t="inlineStr">
        <is>
          <t>Net yield: watch</t>
        </is>
      </c>
      <c r="C37" s="12" t="n">
        <v>200</v>
      </c>
      <c r="D37" s="9" t="inlineStr">
        <is>
          <t>$/APCD</t>
        </is>
      </c>
    </row>
  </sheetData>
  <pageMargins left="0.75" right="0.75" top="1" bottom="1" header="0.5" footer="0.5"/>
</worksheet>
</file>

<file path=xl/worksheets/sheet3.xml><?xml version="1.0" encoding="utf-8"?>
<worksheet xmlns="http://schemas.openxmlformats.org/spreadsheetml/2006/main">
  <sheetPr>
    <tabColor rgb="0070AD47"/>
    <outlinePr summaryBelow="1" summaryRight="1"/>
    <pageSetUpPr/>
  </sheetPr>
  <dimension ref="A1:AD24"/>
  <sheetViews>
    <sheetView showGridLines="0" workbookViewId="0">
      <selection activeCell="A1" sqref="A1"/>
    </sheetView>
  </sheetViews>
  <sheetFormatPr baseColWidth="8" defaultRowHeight="15"/>
  <cols>
    <col width="2" customWidth="1" min="1" max="1"/>
    <col width="30" customWidth="1" min="2" max="2"/>
    <col width="14" customWidth="1" min="3" max="3"/>
    <col width="14" customWidth="1" min="4" max="4"/>
    <col width="14" customWidth="1" min="5" max="5"/>
    <col width="14" customWidth="1" min="6" max="6"/>
    <col width="14"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Fleet</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Closing, average, and berths</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Closing ships</t>
        </is>
      </c>
    </row>
    <row r="6">
      <c r="B6" s="5" t="inlineStr">
        <is>
          <t>Class</t>
        </is>
      </c>
      <c r="C6" s="14" t="inlineStr">
        <is>
          <t>Y1</t>
        </is>
      </c>
      <c r="D6" s="14" t="inlineStr">
        <is>
          <t>Y2</t>
        </is>
      </c>
      <c r="E6" s="14" t="inlineStr">
        <is>
          <t>Y3</t>
        </is>
      </c>
      <c r="F6" s="14" t="inlineStr">
        <is>
          <t>Y4</t>
        </is>
      </c>
      <c r="G6" s="14" t="inlineStr">
        <is>
          <t>Y5</t>
        </is>
      </c>
    </row>
    <row r="7">
      <c r="B7" s="7" t="inlineStr">
        <is>
          <t>Small</t>
        </is>
      </c>
      <c r="C7" s="15">
        <f>StartShips_Small+INDEX(NB_Small,1)</f>
        <v/>
      </c>
      <c r="D7" s="15">
        <f>C7+INDEX(NB_Small,2)</f>
        <v/>
      </c>
      <c r="E7" s="15">
        <f>D7+INDEX(NB_Small,3)</f>
        <v/>
      </c>
      <c r="F7" s="15">
        <f>E7+INDEX(NB_Small,4)</f>
        <v/>
      </c>
      <c r="G7" s="15">
        <f>F7+INDEX(NB_Small,5)</f>
        <v/>
      </c>
    </row>
    <row r="8">
      <c r="B8" s="7" t="inlineStr">
        <is>
          <t>Mid</t>
        </is>
      </c>
      <c r="C8" s="15">
        <f>StartShips_Mid+INDEX(NB_Mid,1)</f>
        <v/>
      </c>
      <c r="D8" s="15">
        <f>C8+INDEX(NB_Mid,2)</f>
        <v/>
      </c>
      <c r="E8" s="15">
        <f>D8+INDEX(NB_Mid,3)</f>
        <v/>
      </c>
      <c r="F8" s="15">
        <f>E8+INDEX(NB_Mid,4)</f>
        <v/>
      </c>
      <c r="G8" s="15">
        <f>F8+INDEX(NB_Mid,5)</f>
        <v/>
      </c>
    </row>
    <row r="9">
      <c r="B9" s="7" t="inlineStr">
        <is>
          <t>Large</t>
        </is>
      </c>
      <c r="C9" s="15">
        <f>StartShips_Large+INDEX(NB_Large,1)</f>
        <v/>
      </c>
      <c r="D9" s="15">
        <f>C9+INDEX(NB_Large,2)</f>
        <v/>
      </c>
      <c r="E9" s="15">
        <f>D9+INDEX(NB_Large,3)</f>
        <v/>
      </c>
      <c r="F9" s="15">
        <f>E9+INDEX(NB_Large,4)</f>
        <v/>
      </c>
      <c r="G9" s="15">
        <f>F9+INDEX(NB_Large,5)</f>
        <v/>
      </c>
    </row>
    <row r="10">
      <c r="B10" s="16" t="inlineStr">
        <is>
          <t>Total ships</t>
        </is>
      </c>
      <c r="C10" s="17">
        <f>SUM(C7:C9)</f>
        <v/>
      </c>
      <c r="D10" s="17">
        <f>SUM(D7:D9)</f>
        <v/>
      </c>
      <c r="E10" s="17">
        <f>SUM(E7:E9)</f>
        <v/>
      </c>
      <c r="F10" s="17">
        <f>SUM(F7:F9)</f>
        <v/>
      </c>
      <c r="G10" s="17">
        <f>SUM(G7:G9)</f>
        <v/>
      </c>
    </row>
    <row r="11"/>
    <row r="12">
      <c r="B12" s="5" t="inlineStr">
        <is>
          <t>Average ships (deployment weighted)</t>
        </is>
      </c>
    </row>
    <row r="13">
      <c r="B13" s="5" t="inlineStr">
        <is>
          <t>Class</t>
        </is>
      </c>
      <c r="C13" s="14" t="inlineStr">
        <is>
          <t>Y1</t>
        </is>
      </c>
      <c r="D13" s="14" t="inlineStr">
        <is>
          <t>Y2</t>
        </is>
      </c>
      <c r="E13" s="14" t="inlineStr">
        <is>
          <t>Y3</t>
        </is>
      </c>
      <c r="F13" s="14" t="inlineStr">
        <is>
          <t>Y4</t>
        </is>
      </c>
      <c r="G13" s="14" t="inlineStr">
        <is>
          <t>Y5</t>
        </is>
      </c>
    </row>
    <row r="14">
      <c r="B14" s="7" t="inlineStr">
        <is>
          <t>Small</t>
        </is>
      </c>
      <c r="C14" s="18">
        <f>(StartShips_Small+C7)/2</f>
        <v/>
      </c>
      <c r="D14" s="18">
        <f>(C7+D7)/2</f>
        <v/>
      </c>
      <c r="E14" s="18">
        <f>(D7+E7)/2</f>
        <v/>
      </c>
      <c r="F14" s="18">
        <f>(E7+F7)/2</f>
        <v/>
      </c>
      <c r="G14" s="18">
        <f>(F7+G7)/2</f>
        <v/>
      </c>
    </row>
    <row r="15">
      <c r="B15" s="7" t="inlineStr">
        <is>
          <t>Mid</t>
        </is>
      </c>
      <c r="C15" s="18">
        <f>(StartShips_Mid+C8)/2</f>
        <v/>
      </c>
      <c r="D15" s="18">
        <f>(C8+D8)/2</f>
        <v/>
      </c>
      <c r="E15" s="18">
        <f>(D8+E8)/2</f>
        <v/>
      </c>
      <c r="F15" s="18">
        <f>(E8+F8)/2</f>
        <v/>
      </c>
      <c r="G15" s="18">
        <f>(F8+G8)/2</f>
        <v/>
      </c>
    </row>
    <row r="16">
      <c r="B16" s="7" t="inlineStr">
        <is>
          <t>Large</t>
        </is>
      </c>
      <c r="C16" s="18">
        <f>(StartShips_Large+C9)/2</f>
        <v/>
      </c>
      <c r="D16" s="18">
        <f>(C9+D9)/2</f>
        <v/>
      </c>
      <c r="E16" s="18">
        <f>(D9+E9)/2</f>
        <v/>
      </c>
      <c r="F16" s="18">
        <f>(E9+F9)/2</f>
        <v/>
      </c>
      <c r="G16" s="18">
        <f>(F9+G9)/2</f>
        <v/>
      </c>
    </row>
    <row r="17">
      <c r="B17" s="16" t="inlineStr">
        <is>
          <t>Total avg ships</t>
        </is>
      </c>
      <c r="C17" s="19">
        <f>SUM(C14:C16)</f>
        <v/>
      </c>
      <c r="D17" s="19">
        <f>SUM(D14:D16)</f>
        <v/>
      </c>
      <c r="E17" s="19">
        <f>SUM(E14:E16)</f>
        <v/>
      </c>
      <c r="F17" s="19">
        <f>SUM(F14:F16)</f>
        <v/>
      </c>
      <c r="G17" s="19">
        <f>SUM(G14:G16)</f>
        <v/>
      </c>
    </row>
    <row r="18"/>
    <row r="19">
      <c r="B19" s="5" t="inlineStr">
        <is>
          <t>Berths (closing)</t>
        </is>
      </c>
    </row>
    <row r="20">
      <c r="B20" s="5" t="inlineStr">
        <is>
          <t>Class</t>
        </is>
      </c>
      <c r="C20" s="14" t="inlineStr">
        <is>
          <t>Y1</t>
        </is>
      </c>
      <c r="D20" s="14" t="inlineStr">
        <is>
          <t>Y2</t>
        </is>
      </c>
      <c r="E20" s="14" t="inlineStr">
        <is>
          <t>Y3</t>
        </is>
      </c>
      <c r="F20" s="14" t="inlineStr">
        <is>
          <t>Y4</t>
        </is>
      </c>
      <c r="G20" s="14" t="inlineStr">
        <is>
          <t>Y5</t>
        </is>
      </c>
    </row>
    <row r="21">
      <c r="B21" s="7" t="inlineStr">
        <is>
          <t>Small</t>
        </is>
      </c>
      <c r="C21" s="15">
        <f>C7*Berths_Small</f>
        <v/>
      </c>
      <c r="D21" s="15">
        <f>D7*Berths_Small</f>
        <v/>
      </c>
      <c r="E21" s="15">
        <f>E7*Berths_Small</f>
        <v/>
      </c>
      <c r="F21" s="15">
        <f>F7*Berths_Small</f>
        <v/>
      </c>
      <c r="G21" s="15">
        <f>G7*Berths_Small</f>
        <v/>
      </c>
    </row>
    <row r="22">
      <c r="B22" s="7" t="inlineStr">
        <is>
          <t>Mid</t>
        </is>
      </c>
      <c r="C22" s="15">
        <f>C8*Berths_Mid</f>
        <v/>
      </c>
      <c r="D22" s="15">
        <f>D8*Berths_Mid</f>
        <v/>
      </c>
      <c r="E22" s="15">
        <f>E8*Berths_Mid</f>
        <v/>
      </c>
      <c r="F22" s="15">
        <f>F8*Berths_Mid</f>
        <v/>
      </c>
      <c r="G22" s="15">
        <f>G8*Berths_Mid</f>
        <v/>
      </c>
    </row>
    <row r="23">
      <c r="B23" s="7" t="inlineStr">
        <is>
          <t>Large</t>
        </is>
      </c>
      <c r="C23" s="15">
        <f>C9*Berths_Large</f>
        <v/>
      </c>
      <c r="D23" s="15">
        <f>D9*Berths_Large</f>
        <v/>
      </c>
      <c r="E23" s="15">
        <f>E9*Berths_Large</f>
        <v/>
      </c>
      <c r="F23" s="15">
        <f>F9*Berths_Large</f>
        <v/>
      </c>
      <c r="G23" s="15">
        <f>G9*Berths_Large</f>
        <v/>
      </c>
    </row>
    <row r="24">
      <c r="B24" s="16" t="inlineStr">
        <is>
          <t>Total berths</t>
        </is>
      </c>
      <c r="C24" s="17">
        <f>SUM(C21:C23)</f>
        <v/>
      </c>
      <c r="D24" s="17">
        <f>SUM(D21:D23)</f>
        <v/>
      </c>
      <c r="E24" s="17">
        <f>SUM(E21:E23)</f>
        <v/>
      </c>
      <c r="F24" s="17">
        <f>SUM(F21:F23)</f>
        <v/>
      </c>
      <c r="G24" s="17">
        <f>SUM(G21:G23)</f>
        <v/>
      </c>
    </row>
  </sheetData>
  <pageMargins left="0.75" right="0.75" top="1" bottom="1" header="0.5" footer="0.5"/>
</worksheet>
</file>

<file path=xl/worksheets/sheet4.xml><?xml version="1.0" encoding="utf-8"?>
<worksheet xmlns="http://schemas.openxmlformats.org/spreadsheetml/2006/main">
  <sheetPr>
    <tabColor rgb="0070AD47"/>
    <outlinePr summaryBelow="1" summaryRight="1"/>
    <pageSetUpPr/>
  </sheetPr>
  <dimension ref="A1:AD19"/>
  <sheetViews>
    <sheetView showGridLines="0" workbookViewId="0">
      <selection activeCell="A1" sqref="A1"/>
    </sheetView>
  </sheetViews>
  <sheetFormatPr baseColWidth="8" defaultRowHeight="15"/>
  <cols>
    <col width="2" customWidth="1" min="1" max="1"/>
    <col width="30" customWidth="1" min="2" max="2"/>
    <col width="15" customWidth="1" min="3" max="3"/>
    <col width="15" customWidth="1" min="4" max="4"/>
    <col width="15" customWidth="1" min="5" max="5"/>
    <col width="15" customWidth="1" min="6" max="6"/>
    <col width="15"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Capacity</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APCD, OPCD, and passengers carried</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Available Passenger Cruise Days (APCD)</t>
        </is>
      </c>
    </row>
    <row r="6">
      <c r="B6" s="5" t="inlineStr">
        <is>
          <t>Class</t>
        </is>
      </c>
      <c r="C6" s="14" t="inlineStr">
        <is>
          <t>Y1</t>
        </is>
      </c>
      <c r="D6" s="14" t="inlineStr">
        <is>
          <t>Y2</t>
        </is>
      </c>
      <c r="E6" s="14" t="inlineStr">
        <is>
          <t>Y3</t>
        </is>
      </c>
      <c r="F6" s="14" t="inlineStr">
        <is>
          <t>Y4</t>
        </is>
      </c>
      <c r="G6" s="14" t="inlineStr">
        <is>
          <t>Y5</t>
        </is>
      </c>
    </row>
    <row r="7">
      <c r="B7" s="7" t="inlineStr">
        <is>
          <t>Small</t>
        </is>
      </c>
      <c r="C7" s="15">
        <f>Fleet!C14*Berths_Small*Sailings_Small*Days_Small</f>
        <v/>
      </c>
      <c r="D7" s="15">
        <f>Fleet!D14*Berths_Small*Sailings_Small*Days_Small</f>
        <v/>
      </c>
      <c r="E7" s="15">
        <f>Fleet!E14*Berths_Small*Sailings_Small*Days_Small</f>
        <v/>
      </c>
      <c r="F7" s="15">
        <f>Fleet!F14*Berths_Small*Sailings_Small*Days_Small</f>
        <v/>
      </c>
      <c r="G7" s="15">
        <f>Fleet!G14*Berths_Small*Sailings_Small*Days_Small</f>
        <v/>
      </c>
    </row>
    <row r="8">
      <c r="B8" s="7" t="inlineStr">
        <is>
          <t>Mid</t>
        </is>
      </c>
      <c r="C8" s="15">
        <f>Fleet!C15*Berths_Mid*Sailings_Mid*Days_Mid</f>
        <v/>
      </c>
      <c r="D8" s="15">
        <f>Fleet!D15*Berths_Mid*Sailings_Mid*Days_Mid</f>
        <v/>
      </c>
      <c r="E8" s="15">
        <f>Fleet!E15*Berths_Mid*Sailings_Mid*Days_Mid</f>
        <v/>
      </c>
      <c r="F8" s="15">
        <f>Fleet!F15*Berths_Mid*Sailings_Mid*Days_Mid</f>
        <v/>
      </c>
      <c r="G8" s="15">
        <f>Fleet!G15*Berths_Mid*Sailings_Mid*Days_Mid</f>
        <v/>
      </c>
    </row>
    <row r="9">
      <c r="B9" s="7" t="inlineStr">
        <is>
          <t>Large</t>
        </is>
      </c>
      <c r="C9" s="15">
        <f>Fleet!C16*Berths_Large*Sailings_Large*Days_Large</f>
        <v/>
      </c>
      <c r="D9" s="15">
        <f>Fleet!D16*Berths_Large*Sailings_Large*Days_Large</f>
        <v/>
      </c>
      <c r="E9" s="15">
        <f>Fleet!E16*Berths_Large*Sailings_Large*Days_Large</f>
        <v/>
      </c>
      <c r="F9" s="15">
        <f>Fleet!F16*Berths_Large*Sailings_Large*Days_Large</f>
        <v/>
      </c>
      <c r="G9" s="15">
        <f>Fleet!G16*Berths_Large*Sailings_Large*Days_Large</f>
        <v/>
      </c>
    </row>
    <row r="10">
      <c r="B10" s="16" t="inlineStr">
        <is>
          <t>Total APCD</t>
        </is>
      </c>
      <c r="C10" s="17">
        <f>SUM(C7:C9)</f>
        <v/>
      </c>
      <c r="D10" s="17">
        <f>SUM(D7:D9)</f>
        <v/>
      </c>
      <c r="E10" s="17">
        <f>SUM(E7:E9)</f>
        <v/>
      </c>
      <c r="F10" s="17">
        <f>SUM(F7:F9)</f>
        <v/>
      </c>
      <c r="G10" s="17">
        <f>SUM(G7:G9)</f>
        <v/>
      </c>
    </row>
    <row r="11"/>
    <row r="12">
      <c r="B12" s="5" t="inlineStr">
        <is>
          <t>Occupied Passenger Cruise Days (OPCD)</t>
        </is>
      </c>
    </row>
    <row r="13">
      <c r="B13" s="5" t="inlineStr">
        <is>
          <t>Class</t>
        </is>
      </c>
      <c r="C13" s="14" t="inlineStr">
        <is>
          <t>Y1</t>
        </is>
      </c>
      <c r="D13" s="14" t="inlineStr">
        <is>
          <t>Y2</t>
        </is>
      </c>
      <c r="E13" s="14" t="inlineStr">
        <is>
          <t>Y3</t>
        </is>
      </c>
      <c r="F13" s="14" t="inlineStr">
        <is>
          <t>Y4</t>
        </is>
      </c>
      <c r="G13" s="14" t="inlineStr">
        <is>
          <t>Y5</t>
        </is>
      </c>
    </row>
    <row r="14">
      <c r="B14" s="7" t="inlineStr">
        <is>
          <t>Small</t>
        </is>
      </c>
      <c r="C14" s="15">
        <f>C7*Occupancy</f>
        <v/>
      </c>
      <c r="D14" s="15">
        <f>D7*Occupancy</f>
        <v/>
      </c>
      <c r="E14" s="15">
        <f>E7*Occupancy</f>
        <v/>
      </c>
      <c r="F14" s="15">
        <f>F7*Occupancy</f>
        <v/>
      </c>
      <c r="G14" s="15">
        <f>G7*Occupancy</f>
        <v/>
      </c>
    </row>
    <row r="15">
      <c r="B15" s="7" t="inlineStr">
        <is>
          <t>Mid</t>
        </is>
      </c>
      <c r="C15" s="15">
        <f>C8*Occupancy</f>
        <v/>
      </c>
      <c r="D15" s="15">
        <f>D8*Occupancy</f>
        <v/>
      </c>
      <c r="E15" s="15">
        <f>E8*Occupancy</f>
        <v/>
      </c>
      <c r="F15" s="15">
        <f>F8*Occupancy</f>
        <v/>
      </c>
      <c r="G15" s="15">
        <f>G8*Occupancy</f>
        <v/>
      </c>
    </row>
    <row r="16">
      <c r="B16" s="7" t="inlineStr">
        <is>
          <t>Large</t>
        </is>
      </c>
      <c r="C16" s="15">
        <f>C9*Occupancy</f>
        <v/>
      </c>
      <c r="D16" s="15">
        <f>D9*Occupancy</f>
        <v/>
      </c>
      <c r="E16" s="15">
        <f>E9*Occupancy</f>
        <v/>
      </c>
      <c r="F16" s="15">
        <f>F9*Occupancy</f>
        <v/>
      </c>
      <c r="G16" s="15">
        <f>G9*Occupancy</f>
        <v/>
      </c>
    </row>
    <row r="17">
      <c r="B17" s="16" t="inlineStr">
        <is>
          <t>Total OPCD</t>
        </is>
      </c>
      <c r="C17" s="17">
        <f>SUM(C14:C16)</f>
        <v/>
      </c>
      <c r="D17" s="17">
        <f>SUM(D14:D16)</f>
        <v/>
      </c>
      <c r="E17" s="17">
        <f>SUM(E14:E16)</f>
        <v/>
      </c>
      <c r="F17" s="17">
        <f>SUM(F14:F16)</f>
        <v/>
      </c>
      <c r="G17" s="17">
        <f>SUM(G14:G16)</f>
        <v/>
      </c>
    </row>
    <row r="18"/>
    <row r="19">
      <c r="B19" s="7" t="inlineStr">
        <is>
          <t>Passengers carried</t>
        </is>
      </c>
      <c r="C19" s="15">
        <f>C14/Days_Small+C15/Days_Mid+C16/Days_Large</f>
        <v/>
      </c>
      <c r="D19" s="15">
        <f>D14/Days_Small+D15/Days_Mid+D16/Days_Large</f>
        <v/>
      </c>
      <c r="E19" s="15">
        <f>E14/Days_Small+E15/Days_Mid+E16/Days_Large</f>
        <v/>
      </c>
      <c r="F19" s="15">
        <f>F14/Days_Small+F15/Days_Mid+F16/Days_Large</f>
        <v/>
      </c>
      <c r="G19" s="15">
        <f>G14/Days_Small+G15/Days_Mid+G16/Days_Large</f>
        <v/>
      </c>
    </row>
  </sheetData>
  <pageMargins left="0.75" right="0.75" top="1" bottom="1" header="0.5" footer="0.5"/>
</worksheet>
</file>

<file path=xl/worksheets/sheet5.xml><?xml version="1.0" encoding="utf-8"?>
<worksheet xmlns="http://schemas.openxmlformats.org/spreadsheetml/2006/main">
  <sheetPr>
    <tabColor rgb="00ED7D31"/>
    <outlinePr summaryBelow="1" summaryRight="1"/>
    <pageSetUpPr/>
  </sheetPr>
  <dimension ref="A1:AD21"/>
  <sheetViews>
    <sheetView showGridLines="0" workbookViewId="0">
      <selection activeCell="A1" sqref="A1"/>
    </sheetView>
  </sheetViews>
  <sheetFormatPr baseColWidth="8" defaultRowHeight="15"/>
  <cols>
    <col width="2" customWidth="1" min="1" max="1"/>
    <col width="30" customWidth="1" min="2" max="2"/>
    <col width="15" customWidth="1" min="3" max="3"/>
    <col width="15" customWidth="1" min="4" max="4"/>
    <col width="15" customWidth="1" min="5" max="5"/>
    <col width="15" customWidth="1" min="6" max="6"/>
    <col width="15"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Revenue</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Ticket and onboard per class</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Ticket revenue</t>
        </is>
      </c>
    </row>
    <row r="6">
      <c r="B6" s="5" t="inlineStr">
        <is>
          <t>Class</t>
        </is>
      </c>
      <c r="C6" s="14" t="inlineStr">
        <is>
          <t>Y1</t>
        </is>
      </c>
      <c r="D6" s="14" t="inlineStr">
        <is>
          <t>Y2</t>
        </is>
      </c>
      <c r="E6" s="14" t="inlineStr">
        <is>
          <t>Y3</t>
        </is>
      </c>
      <c r="F6" s="14" t="inlineStr">
        <is>
          <t>Y4</t>
        </is>
      </c>
      <c r="G6" s="14" t="inlineStr">
        <is>
          <t>Y5</t>
        </is>
      </c>
    </row>
    <row r="7">
      <c r="B7" s="7" t="inlineStr">
        <is>
          <t>Small</t>
        </is>
      </c>
      <c r="C7" s="20">
        <f>Capacity!C14*Ticket_Small*(1+Yield_Growth)^(0)</f>
        <v/>
      </c>
      <c r="D7" s="20">
        <f>Capacity!D14*Ticket_Small*(1+Yield_Growth)^(1)</f>
        <v/>
      </c>
      <c r="E7" s="20">
        <f>Capacity!E14*Ticket_Small*(1+Yield_Growth)^(2)</f>
        <v/>
      </c>
      <c r="F7" s="20">
        <f>Capacity!F14*Ticket_Small*(1+Yield_Growth)^(3)</f>
        <v/>
      </c>
      <c r="G7" s="20">
        <f>Capacity!G14*Ticket_Small*(1+Yield_Growth)^(4)</f>
        <v/>
      </c>
    </row>
    <row r="8">
      <c r="B8" s="7" t="inlineStr">
        <is>
          <t>Mid</t>
        </is>
      </c>
      <c r="C8" s="20">
        <f>Capacity!C15*Ticket_Mid*(1+Yield_Growth)^(0)</f>
        <v/>
      </c>
      <c r="D8" s="20">
        <f>Capacity!D15*Ticket_Mid*(1+Yield_Growth)^(1)</f>
        <v/>
      </c>
      <c r="E8" s="20">
        <f>Capacity!E15*Ticket_Mid*(1+Yield_Growth)^(2)</f>
        <v/>
      </c>
      <c r="F8" s="20">
        <f>Capacity!F15*Ticket_Mid*(1+Yield_Growth)^(3)</f>
        <v/>
      </c>
      <c r="G8" s="20">
        <f>Capacity!G15*Ticket_Mid*(1+Yield_Growth)^(4)</f>
        <v/>
      </c>
    </row>
    <row r="9">
      <c r="B9" s="7" t="inlineStr">
        <is>
          <t>Large</t>
        </is>
      </c>
      <c r="C9" s="20">
        <f>Capacity!C16*Ticket_Large*(1+Yield_Growth)^(0)</f>
        <v/>
      </c>
      <c r="D9" s="20">
        <f>Capacity!D16*Ticket_Large*(1+Yield_Growth)^(1)</f>
        <v/>
      </c>
      <c r="E9" s="20">
        <f>Capacity!E16*Ticket_Large*(1+Yield_Growth)^(2)</f>
        <v/>
      </c>
      <c r="F9" s="20">
        <f>Capacity!F16*Ticket_Large*(1+Yield_Growth)^(3)</f>
        <v/>
      </c>
      <c r="G9" s="20">
        <f>Capacity!G16*Ticket_Large*(1+Yield_Growth)^(4)</f>
        <v/>
      </c>
    </row>
    <row r="10">
      <c r="B10" s="16" t="inlineStr">
        <is>
          <t>Total ticket</t>
        </is>
      </c>
      <c r="C10" s="21">
        <f>SUM(C7:C9)</f>
        <v/>
      </c>
      <c r="D10" s="21">
        <f>SUM(D7:D9)</f>
        <v/>
      </c>
      <c r="E10" s="21">
        <f>SUM(E7:E9)</f>
        <v/>
      </c>
      <c r="F10" s="21">
        <f>SUM(F7:F9)</f>
        <v/>
      </c>
      <c r="G10" s="21">
        <f>SUM(G7:G9)</f>
        <v/>
      </c>
    </row>
    <row r="11"/>
    <row r="12">
      <c r="B12" s="5" t="inlineStr">
        <is>
          <t>Onboard revenue</t>
        </is>
      </c>
    </row>
    <row r="13">
      <c r="B13" s="5" t="inlineStr">
        <is>
          <t>Class</t>
        </is>
      </c>
      <c r="C13" s="14" t="inlineStr">
        <is>
          <t>Y1</t>
        </is>
      </c>
      <c r="D13" s="14" t="inlineStr">
        <is>
          <t>Y2</t>
        </is>
      </c>
      <c r="E13" s="14" t="inlineStr">
        <is>
          <t>Y3</t>
        </is>
      </c>
      <c r="F13" s="14" t="inlineStr">
        <is>
          <t>Y4</t>
        </is>
      </c>
      <c r="G13" s="14" t="inlineStr">
        <is>
          <t>Y5</t>
        </is>
      </c>
    </row>
    <row r="14">
      <c r="B14" s="7" t="inlineStr">
        <is>
          <t>Small</t>
        </is>
      </c>
      <c r="C14" s="20">
        <f>Capacity!C14*Onboard_Small*(1+Yield_Growth)^(0)</f>
        <v/>
      </c>
      <c r="D14" s="20">
        <f>Capacity!D14*Onboard_Small*(1+Yield_Growth)^(1)</f>
        <v/>
      </c>
      <c r="E14" s="20">
        <f>Capacity!E14*Onboard_Small*(1+Yield_Growth)^(2)</f>
        <v/>
      </c>
      <c r="F14" s="20">
        <f>Capacity!F14*Onboard_Small*(1+Yield_Growth)^(3)</f>
        <v/>
      </c>
      <c r="G14" s="20">
        <f>Capacity!G14*Onboard_Small*(1+Yield_Growth)^(4)</f>
        <v/>
      </c>
    </row>
    <row r="15">
      <c r="B15" s="7" t="inlineStr">
        <is>
          <t>Mid</t>
        </is>
      </c>
      <c r="C15" s="20">
        <f>Capacity!C15*Onboard_Mid*(1+Yield_Growth)^(0)</f>
        <v/>
      </c>
      <c r="D15" s="20">
        <f>Capacity!D15*Onboard_Mid*(1+Yield_Growth)^(1)</f>
        <v/>
      </c>
      <c r="E15" s="20">
        <f>Capacity!E15*Onboard_Mid*(1+Yield_Growth)^(2)</f>
        <v/>
      </c>
      <c r="F15" s="20">
        <f>Capacity!F15*Onboard_Mid*(1+Yield_Growth)^(3)</f>
        <v/>
      </c>
      <c r="G15" s="20">
        <f>Capacity!G15*Onboard_Mid*(1+Yield_Growth)^(4)</f>
        <v/>
      </c>
    </row>
    <row r="16">
      <c r="B16" s="7" t="inlineStr">
        <is>
          <t>Large</t>
        </is>
      </c>
      <c r="C16" s="20">
        <f>Capacity!C16*Onboard_Large*(1+Yield_Growth)^(0)</f>
        <v/>
      </c>
      <c r="D16" s="20">
        <f>Capacity!D16*Onboard_Large*(1+Yield_Growth)^(1)</f>
        <v/>
      </c>
      <c r="E16" s="20">
        <f>Capacity!E16*Onboard_Large*(1+Yield_Growth)^(2)</f>
        <v/>
      </c>
      <c r="F16" s="20">
        <f>Capacity!F16*Onboard_Large*(1+Yield_Growth)^(3)</f>
        <v/>
      </c>
      <c r="G16" s="20">
        <f>Capacity!G16*Onboard_Large*(1+Yield_Growth)^(4)</f>
        <v/>
      </c>
    </row>
    <row r="17">
      <c r="B17" s="16" t="inlineStr">
        <is>
          <t>Total onboard</t>
        </is>
      </c>
      <c r="C17" s="21">
        <f>SUM(C14:C16)</f>
        <v/>
      </c>
      <c r="D17" s="21">
        <f>SUM(D14:D16)</f>
        <v/>
      </c>
      <c r="E17" s="21">
        <f>SUM(E14:E16)</f>
        <v/>
      </c>
      <c r="F17" s="21">
        <f>SUM(F14:F16)</f>
        <v/>
      </c>
      <c r="G17" s="21">
        <f>SUM(G14:G16)</f>
        <v/>
      </c>
    </row>
    <row r="18"/>
    <row r="19">
      <c r="B19" s="5" t="inlineStr">
        <is>
          <t>Total revenue</t>
        </is>
      </c>
    </row>
    <row r="20">
      <c r="B20" s="22" t="inlineStr">
        <is>
          <t>Total revenue</t>
        </is>
      </c>
      <c r="C20" s="23">
        <f>C10+C17</f>
        <v/>
      </c>
      <c r="D20" s="23">
        <f>D10+D17</f>
        <v/>
      </c>
      <c r="E20" s="23">
        <f>E10+E17</f>
        <v/>
      </c>
      <c r="F20" s="23">
        <f>F10+F17</f>
        <v/>
      </c>
      <c r="G20" s="23">
        <f>G10+G17</f>
        <v/>
      </c>
    </row>
    <row r="21">
      <c r="B21" s="7" t="inlineStr">
        <is>
          <t>Gross yield ($/APCD)</t>
        </is>
      </c>
      <c r="C21" s="20">
        <f>IF(Capacity!C10=0,0,C20/Capacity!C10)</f>
        <v/>
      </c>
      <c r="D21" s="20">
        <f>IF(Capacity!D10=0,0,D20/Capacity!D10)</f>
        <v/>
      </c>
      <c r="E21" s="20">
        <f>IF(Capacity!E10=0,0,E20/Capacity!E10)</f>
        <v/>
      </c>
      <c r="F21" s="20">
        <f>IF(Capacity!F10=0,0,F20/Capacity!F10)</f>
        <v/>
      </c>
      <c r="G21" s="20">
        <f>IF(Capacity!G10=0,0,G20/Capacity!G10)</f>
        <v/>
      </c>
    </row>
  </sheetData>
  <pageMargins left="0.75" right="0.75" top="1" bottom="1" header="0.5" footer="0.5"/>
</worksheet>
</file>

<file path=xl/worksheets/sheet6.xml><?xml version="1.0" encoding="utf-8"?>
<worksheet xmlns="http://schemas.openxmlformats.org/spreadsheetml/2006/main">
  <sheetPr>
    <tabColor rgb="00FFC000"/>
    <outlinePr summaryBelow="1" summaryRight="1"/>
    <pageSetUpPr/>
  </sheetPr>
  <dimension ref="A1:AD30"/>
  <sheetViews>
    <sheetView showGridLines="0" workbookViewId="0">
      <selection activeCell="A1" sqref="A1"/>
    </sheetView>
  </sheetViews>
  <sheetFormatPr baseColWidth="8" defaultRowHeight="15"/>
  <cols>
    <col width="2" customWidth="1" min="1" max="1"/>
    <col width="30" customWidth="1" min="2" max="2"/>
    <col width="15" customWidth="1" min="3" max="3"/>
    <col width="15" customWidth="1" min="4" max="4"/>
    <col width="15" customWidth="1" min="5" max="5"/>
    <col width="15" customWidth="1" min="6" max="6"/>
    <col width="15"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P&amp;L</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Revenue to net income</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Revenue</t>
        </is>
      </c>
    </row>
    <row r="6">
      <c r="B6" s="5" t="inlineStr">
        <is>
          <t>Item</t>
        </is>
      </c>
      <c r="C6" s="14" t="inlineStr">
        <is>
          <t>Y1</t>
        </is>
      </c>
      <c r="D6" s="14" t="inlineStr">
        <is>
          <t>Y2</t>
        </is>
      </c>
      <c r="E6" s="14" t="inlineStr">
        <is>
          <t>Y3</t>
        </is>
      </c>
      <c r="F6" s="14" t="inlineStr">
        <is>
          <t>Y4</t>
        </is>
      </c>
      <c r="G6" s="14" t="inlineStr">
        <is>
          <t>Y5</t>
        </is>
      </c>
    </row>
    <row r="7">
      <c r="B7" s="6" t="inlineStr">
        <is>
          <t>Total revenue</t>
        </is>
      </c>
      <c r="C7" s="24">
        <f>Revenue!C20</f>
        <v/>
      </c>
      <c r="D7" s="24">
        <f>Revenue!D20</f>
        <v/>
      </c>
      <c r="E7" s="24">
        <f>Revenue!E20</f>
        <v/>
      </c>
      <c r="F7" s="24">
        <f>Revenue!F20</f>
        <v/>
      </c>
      <c r="G7" s="24">
        <f>Revenue!G20</f>
        <v/>
      </c>
    </row>
    <row r="8"/>
    <row r="9">
      <c r="B9" s="5" t="inlineStr">
        <is>
          <t>Operating expenses</t>
        </is>
      </c>
    </row>
    <row r="10">
      <c r="B10" s="7" t="inlineStr">
        <is>
          <t>Fuel</t>
        </is>
      </c>
      <c r="C10" s="20">
        <f>(Capacity!C7*Fuel_Small+Capacity!C8*Fuel_Mid+Capacity!C9*Fuel_Large)*(1+Fuel_Infl)^(0)</f>
        <v/>
      </c>
      <c r="D10" s="20">
        <f>(Capacity!D7*Fuel_Small+Capacity!D8*Fuel_Mid+Capacity!D9*Fuel_Large)*(1+Fuel_Infl)^(1)</f>
        <v/>
      </c>
      <c r="E10" s="20">
        <f>(Capacity!E7*Fuel_Small+Capacity!E8*Fuel_Mid+Capacity!E9*Fuel_Large)*(1+Fuel_Infl)^(2)</f>
        <v/>
      </c>
      <c r="F10" s="20">
        <f>(Capacity!F7*Fuel_Small+Capacity!F8*Fuel_Mid+Capacity!F9*Fuel_Large)*(1+Fuel_Infl)^(3)</f>
        <v/>
      </c>
      <c r="G10" s="20">
        <f>(Capacity!G7*Fuel_Small+Capacity!G8*Fuel_Mid+Capacity!G9*Fuel_Large)*(1+Fuel_Infl)^(4)</f>
        <v/>
      </c>
    </row>
    <row r="11">
      <c r="B11" s="7" t="inlineStr">
        <is>
          <t>Crew, port, insurance</t>
        </is>
      </c>
      <c r="C11" s="20">
        <f>(Capacity!C7*Crew_Small+Capacity!C8*Crew_Mid+Capacity!C9*Crew_Large)*(1+Opex_Infl)^(0)</f>
        <v/>
      </c>
      <c r="D11" s="20">
        <f>(Capacity!D7*Crew_Small+Capacity!D8*Crew_Mid+Capacity!D9*Crew_Large)*(1+Opex_Infl)^(1)</f>
        <v/>
      </c>
      <c r="E11" s="20">
        <f>(Capacity!E7*Crew_Small+Capacity!E8*Crew_Mid+Capacity!E9*Crew_Large)*(1+Opex_Infl)^(2)</f>
        <v/>
      </c>
      <c r="F11" s="20">
        <f>(Capacity!F7*Crew_Small+Capacity!F8*Crew_Mid+Capacity!F9*Crew_Large)*(1+Opex_Infl)^(3)</f>
        <v/>
      </c>
      <c r="G11" s="20">
        <f>(Capacity!G7*Crew_Small+Capacity!G8*Crew_Mid+Capacity!G9*Crew_Large)*(1+Opex_Infl)^(4)</f>
        <v/>
      </c>
    </row>
    <row r="12">
      <c r="B12" s="7" t="inlineStr">
        <is>
          <t>Commissions / transport</t>
        </is>
      </c>
      <c r="C12" s="20">
        <f>Revenue!C10*Comm_Pct</f>
        <v/>
      </c>
      <c r="D12" s="20">
        <f>Revenue!D10*Comm_Pct</f>
        <v/>
      </c>
      <c r="E12" s="20">
        <f>Revenue!E10*Comm_Pct</f>
        <v/>
      </c>
      <c r="F12" s="20">
        <f>Revenue!F10*Comm_Pct</f>
        <v/>
      </c>
      <c r="G12" s="20">
        <f>Revenue!G10*Comm_Pct</f>
        <v/>
      </c>
    </row>
    <row r="13">
      <c r="B13" s="7" t="inlineStr">
        <is>
          <t>Marketing</t>
        </is>
      </c>
      <c r="C13" s="20">
        <f>C7*Mkt_Pct</f>
        <v/>
      </c>
      <c r="D13" s="20">
        <f>D7*Mkt_Pct</f>
        <v/>
      </c>
      <c r="E13" s="20">
        <f>E7*Mkt_Pct</f>
        <v/>
      </c>
      <c r="F13" s="20">
        <f>F7*Mkt_Pct</f>
        <v/>
      </c>
      <c r="G13" s="20">
        <f>G7*Mkt_Pct</f>
        <v/>
      </c>
    </row>
    <row r="14">
      <c r="B14" s="7" t="inlineStr">
        <is>
          <t>G&amp;A</t>
        </is>
      </c>
      <c r="C14" s="20">
        <f>GA_Base*(1+Opex_Infl)^(0)</f>
        <v/>
      </c>
      <c r="D14" s="20">
        <f>GA_Base*(1+Opex_Infl)^(1)</f>
        <v/>
      </c>
      <c r="E14" s="20">
        <f>GA_Base*(1+Opex_Infl)^(2)</f>
        <v/>
      </c>
      <c r="F14" s="20">
        <f>GA_Base*(1+Opex_Infl)^(3)</f>
        <v/>
      </c>
      <c r="G14" s="20">
        <f>GA_Base*(1+Opex_Infl)^(4)</f>
        <v/>
      </c>
    </row>
    <row r="15">
      <c r="B15" s="16" t="inlineStr">
        <is>
          <t>Total opex</t>
        </is>
      </c>
      <c r="C15" s="21">
        <f>SUM(C10:C14)</f>
        <v/>
      </c>
      <c r="D15" s="21">
        <f>SUM(D10:D14)</f>
        <v/>
      </c>
      <c r="E15" s="21">
        <f>SUM(E10:E14)</f>
        <v/>
      </c>
      <c r="F15" s="21">
        <f>SUM(F10:F14)</f>
        <v/>
      </c>
      <c r="G15" s="21">
        <f>SUM(G10:G14)</f>
        <v/>
      </c>
    </row>
    <row r="16"/>
    <row r="17">
      <c r="B17" s="16" t="inlineStr">
        <is>
          <t>EBITDA</t>
        </is>
      </c>
      <c r="C17" s="21">
        <f>C7-C15</f>
        <v/>
      </c>
      <c r="D17" s="21">
        <f>D7-D15</f>
        <v/>
      </c>
      <c r="E17" s="21">
        <f>E7-E15</f>
        <v/>
      </c>
      <c r="F17" s="21">
        <f>F7-F15</f>
        <v/>
      </c>
      <c r="G17" s="21">
        <f>G7-G15</f>
        <v/>
      </c>
    </row>
    <row r="18"/>
    <row r="19">
      <c r="B19" s="5" t="inlineStr">
        <is>
          <t>Below the line</t>
        </is>
      </c>
    </row>
    <row r="20">
      <c r="B20" s="7" t="inlineStr">
        <is>
          <t>D&amp;A</t>
        </is>
      </c>
      <c r="C20" s="20">
        <f>C7*DA_Pct</f>
        <v/>
      </c>
      <c r="D20" s="20">
        <f>D7*DA_Pct</f>
        <v/>
      </c>
      <c r="E20" s="20">
        <f>E7*DA_Pct</f>
        <v/>
      </c>
      <c r="F20" s="20">
        <f>F7*DA_Pct</f>
        <v/>
      </c>
      <c r="G20" s="20">
        <f>G7*DA_Pct</f>
        <v/>
      </c>
    </row>
    <row r="21">
      <c r="B21" s="7" t="inlineStr">
        <is>
          <t>Interest</t>
        </is>
      </c>
      <c r="C21" s="20">
        <f>(SUM(Assumptions!$C$12:C$12)*Capex_Small*Capex_Scale+SUM(Assumptions!$C$13:C$13)*Capex_Mid*Capex_Scale+SUM(Assumptions!$C$14:C$14)*Capex_Large*Capex_Scale+0)*Debt_Pct*Int_Rate</f>
        <v/>
      </c>
      <c r="D21" s="20">
        <f>(SUM(Assumptions!$C$12:D$12)*Capex_Small*Capex_Scale+SUM(Assumptions!$C$13:D$13)*Capex_Mid*Capex_Scale+SUM(Assumptions!$C$14:D$14)*Capex_Large*Capex_Scale+SUM($C$7:C$7)*Maint_Pct)*Debt_Pct*Int_Rate</f>
        <v/>
      </c>
      <c r="E21" s="20">
        <f>(SUM(Assumptions!$C$12:E$12)*Capex_Small*Capex_Scale+SUM(Assumptions!$C$13:E$13)*Capex_Mid*Capex_Scale+SUM(Assumptions!$C$14:E$14)*Capex_Large*Capex_Scale+SUM($C$7:D$7)*Maint_Pct)*Debt_Pct*Int_Rate</f>
        <v/>
      </c>
      <c r="F21" s="20">
        <f>(SUM(Assumptions!$C$12:F$12)*Capex_Small*Capex_Scale+SUM(Assumptions!$C$13:F$13)*Capex_Mid*Capex_Scale+SUM(Assumptions!$C$14:F$14)*Capex_Large*Capex_Scale+SUM($C$7:E$7)*Maint_Pct)*Debt_Pct*Int_Rate</f>
        <v/>
      </c>
      <c r="G21" s="20">
        <f>(SUM(Assumptions!$C$12:G$12)*Capex_Small*Capex_Scale+SUM(Assumptions!$C$13:G$13)*Capex_Mid*Capex_Scale+SUM(Assumptions!$C$14:G$14)*Capex_Large*Capex_Scale+SUM($C$7:F$7)*Maint_Pct)*Debt_Pct*Int_Rate</f>
        <v/>
      </c>
    </row>
    <row r="22">
      <c r="B22" s="16" t="inlineStr">
        <is>
          <t>EBT</t>
        </is>
      </c>
      <c r="C22" s="21">
        <f>C17-C20-C21</f>
        <v/>
      </c>
      <c r="D22" s="21">
        <f>D17-D20-D21</f>
        <v/>
      </c>
      <c r="E22" s="21">
        <f>E17-E20-E21</f>
        <v/>
      </c>
      <c r="F22" s="21">
        <f>F17-F20-F21</f>
        <v/>
      </c>
      <c r="G22" s="21">
        <f>G17-G20-G21</f>
        <v/>
      </c>
    </row>
    <row r="23">
      <c r="B23" s="7" t="inlineStr">
        <is>
          <t>Tax</t>
        </is>
      </c>
      <c r="C23" s="20">
        <f>MAX(0,C22)*Tax_Rate</f>
        <v/>
      </c>
      <c r="D23" s="20">
        <f>MAX(0,D22)*Tax_Rate</f>
        <v/>
      </c>
      <c r="E23" s="20">
        <f>MAX(0,E22)*Tax_Rate</f>
        <v/>
      </c>
      <c r="F23" s="20">
        <f>MAX(0,F22)*Tax_Rate</f>
        <v/>
      </c>
      <c r="G23" s="20">
        <f>MAX(0,G22)*Tax_Rate</f>
        <v/>
      </c>
    </row>
    <row r="24">
      <c r="B24" s="22" t="inlineStr">
        <is>
          <t>Net income</t>
        </is>
      </c>
      <c r="C24" s="23">
        <f>C22-C23</f>
        <v/>
      </c>
      <c r="D24" s="23">
        <f>D22-D23</f>
        <v/>
      </c>
      <c r="E24" s="23">
        <f>E22-E23</f>
        <v/>
      </c>
      <c r="F24" s="23">
        <f>F22-F23</f>
        <v/>
      </c>
      <c r="G24" s="23">
        <f>G22-G23</f>
        <v/>
      </c>
    </row>
    <row r="25"/>
    <row r="26">
      <c r="B26" s="5" t="inlineStr">
        <is>
          <t>Margins</t>
        </is>
      </c>
    </row>
    <row r="27">
      <c r="B27" s="7" t="inlineStr">
        <is>
          <t>EBITDA margin</t>
        </is>
      </c>
      <c r="C27" s="25">
        <f>IF(C7=0,0,C17/C7)</f>
        <v/>
      </c>
      <c r="D27" s="25">
        <f>IF(D7=0,0,D17/D7)</f>
        <v/>
      </c>
      <c r="E27" s="25">
        <f>IF(E7=0,0,E17/E7)</f>
        <v/>
      </c>
      <c r="F27" s="25">
        <f>IF(F7=0,0,F17/F7)</f>
        <v/>
      </c>
      <c r="G27" s="25">
        <f>IF(G7=0,0,G17/G7)</f>
        <v/>
      </c>
    </row>
    <row r="28">
      <c r="B28" s="7" t="inlineStr">
        <is>
          <t>Net margin</t>
        </is>
      </c>
      <c r="C28" s="25">
        <f>IF(C7=0,0,C24/C7)</f>
        <v/>
      </c>
      <c r="D28" s="25">
        <f>IF(D7=0,0,D24/D7)</f>
        <v/>
      </c>
      <c r="E28" s="25">
        <f>IF(E7=0,0,E24/E7)</f>
        <v/>
      </c>
      <c r="F28" s="25">
        <f>IF(F7=0,0,F24/F7)</f>
        <v/>
      </c>
      <c r="G28" s="25">
        <f>IF(G7=0,0,G24/G7)</f>
        <v/>
      </c>
    </row>
    <row r="29"/>
    <row r="30">
      <c r="B30" s="7" t="inlineStr">
        <is>
          <t>Identity check</t>
        </is>
      </c>
      <c r="C30" s="20">
        <f>C7-C15-C20-C21-C23-C24</f>
        <v/>
      </c>
      <c r="D30" s="20">
        <f>D7-D15-D20-D21-D23-D24</f>
        <v/>
      </c>
      <c r="E30" s="20">
        <f>E7-E15-E20-E21-E23-E24</f>
        <v/>
      </c>
      <c r="F30" s="20">
        <f>F7-F15-F20-F21-F23-F24</f>
        <v/>
      </c>
      <c r="G30" s="20">
        <f>G7-G15-G20-G21-G23-G24</f>
        <v/>
      </c>
    </row>
  </sheetData>
  <pageMargins left="0.75" right="0.75" top="1" bottom="1" header="0.5" footer="0.5"/>
</worksheet>
</file>

<file path=xl/worksheets/sheet7.xml><?xml version="1.0" encoding="utf-8"?>
<worksheet xmlns="http://schemas.openxmlformats.org/spreadsheetml/2006/main">
  <sheetPr>
    <tabColor rgb="00A5A5A5"/>
    <outlinePr summaryBelow="1" summaryRight="1"/>
    <pageSetUpPr/>
  </sheetPr>
  <dimension ref="A1:AD21"/>
  <sheetViews>
    <sheetView showGridLines="0" workbookViewId="0">
      <selection activeCell="A1" sqref="A1"/>
    </sheetView>
  </sheetViews>
  <sheetFormatPr baseColWidth="8" defaultRowHeight="15"/>
  <cols>
    <col width="2" customWidth="1" min="1" max="1"/>
    <col width="32" customWidth="1" min="2" max="2"/>
    <col width="18" customWidth="1" min="3" max="3"/>
    <col width="14" customWidth="1" min="4" max="4"/>
    <col width="18" customWidth="1" min="5" max="5"/>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Dashboard</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Headline metrics with status</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Headline metrics</t>
        </is>
      </c>
    </row>
    <row r="6">
      <c r="B6" s="26" t="inlineStr">
        <is>
          <t>Metric</t>
        </is>
      </c>
      <c r="C6" s="26" t="inlineStr">
        <is>
          <t>Value</t>
        </is>
      </c>
      <c r="D6" s="26" t="inlineStr">
        <is>
          <t>Unit</t>
        </is>
      </c>
      <c r="E6" s="26" t="inlineStr">
        <is>
          <t>Status</t>
        </is>
      </c>
    </row>
    <row r="7">
      <c r="B7" s="7" t="inlineStr">
        <is>
          <t>Y5 revenue</t>
        </is>
      </c>
      <c r="C7" s="20">
        <f>PL_Rev_Y5</f>
        <v/>
      </c>
      <c r="D7" s="27" t="inlineStr">
        <is>
          <t>$</t>
        </is>
      </c>
    </row>
    <row r="8">
      <c r="B8" s="7" t="inlineStr">
        <is>
          <t>Y5 EBITDA</t>
        </is>
      </c>
      <c r="C8" s="20">
        <f>PL_EBITDA_Y5</f>
        <v/>
      </c>
      <c r="D8" s="27" t="inlineStr">
        <is>
          <t>$</t>
        </is>
      </c>
    </row>
    <row r="9">
      <c r="B9" s="7" t="inlineStr">
        <is>
          <t>Y5 EBITDA margin</t>
        </is>
      </c>
      <c r="C9" s="25">
        <f>IF(PL_Rev_Y5=0,0,PL_EBITDA_Y5/PL_Rev_Y5)</f>
        <v/>
      </c>
      <c r="D9" s="27" t="inlineStr">
        <is>
          <t>% rev</t>
        </is>
      </c>
      <c r="E9" s="28">
        <f>IF(IF(PL_Rev_Y5=0,0,PL_EBITDA_Y5/PL_Rev_Y5)&gt;=Margin_Green,"On track",IF(IF(PL_Rev_Y5=0,0,PL_EBITDA_Y5/PL_Rev_Y5)&gt;=Margin_Amber,"Watch","Stretched"))</f>
        <v/>
      </c>
    </row>
    <row r="10">
      <c r="B10" s="7" t="inlineStr">
        <is>
          <t>Y5 occupancy</t>
        </is>
      </c>
      <c r="C10" s="25">
        <f>IF(Cap_APCD_Y5=0,0,Cap_OPCD_Y5/Cap_APCD_Y5)</f>
        <v/>
      </c>
      <c r="D10" s="27" t="inlineStr">
        <is>
          <t>% APCD</t>
        </is>
      </c>
      <c r="E10" s="28">
        <f>IF(IF(Cap_APCD_Y5=0,0,Cap_OPCD_Y5/Cap_APCD_Y5)&gt;=Occ_Green,"On track",IF(IF(Cap_APCD_Y5=0,0,Cap_OPCD_Y5/Cap_APCD_Y5)&gt;=Occ_Amber,"Watch","Soft"))</f>
        <v/>
      </c>
    </row>
    <row r="11">
      <c r="B11" s="7" t="inlineStr">
        <is>
          <t>Y5 gross yield</t>
        </is>
      </c>
      <c r="C11" s="20">
        <f>Rev_Yield_Y5</f>
        <v/>
      </c>
      <c r="D11" s="27" t="inlineStr">
        <is>
          <t>$/APCD</t>
        </is>
      </c>
      <c r="E11" s="28">
        <f>IF(Rev_Yield_Y5&gt;=Yield_Green,"On track",IF(Rev_Yield_Y5&gt;=Yield_Amber,"Watch","Soft"))</f>
        <v/>
      </c>
    </row>
    <row r="12">
      <c r="B12" s="7" t="inlineStr">
        <is>
          <t>Y5 fuel % of revenue</t>
        </is>
      </c>
      <c r="C12" s="25">
        <f>IF(PL_Rev_Y5=0,0,PL_Fuel_Y5/PL_Rev_Y5)</f>
        <v/>
      </c>
      <c r="D12" s="27" t="inlineStr">
        <is>
          <t>% rev</t>
        </is>
      </c>
    </row>
    <row r="13">
      <c r="B13" s="7" t="inlineStr">
        <is>
          <t>Y5 ships in fleet</t>
        </is>
      </c>
      <c r="C13" s="15">
        <f>Fleet_Total_Y5</f>
        <v/>
      </c>
      <c r="D13" s="27" t="inlineStr">
        <is>
          <t>ships</t>
        </is>
      </c>
    </row>
    <row r="14">
      <c r="B14" s="7" t="inlineStr">
        <is>
          <t>Y5 passengers</t>
        </is>
      </c>
      <c r="C14" s="15">
        <f>Cap_Pax_Y5</f>
        <v/>
      </c>
      <c r="D14" s="27" t="inlineStr">
        <is>
          <t>pax</t>
        </is>
      </c>
    </row>
    <row r="15"/>
    <row r="16">
      <c r="B16" s="5" t="inlineStr">
        <is>
          <t>Y5 capacity mix</t>
        </is>
      </c>
    </row>
    <row r="17">
      <c r="B17" s="5" t="inlineStr">
        <is>
          <t>Class</t>
        </is>
      </c>
      <c r="C17" s="10" t="inlineStr">
        <is>
          <t>APCD</t>
        </is>
      </c>
      <c r="D17" s="10" t="inlineStr">
        <is>
          <t>% of fleet</t>
        </is>
      </c>
    </row>
    <row r="18">
      <c r="B18" s="29" t="inlineStr">
        <is>
          <t>Small</t>
        </is>
      </c>
      <c r="C18" s="15">
        <f>Capacity!$G$7</f>
        <v/>
      </c>
      <c r="D18" s="25">
        <f>IF(SUM(Cap_APCD_Y5_Range)=0,0,C18/SUM(Cap_APCD_Y5_Range))</f>
        <v/>
      </c>
    </row>
    <row r="19">
      <c r="B19" s="29" t="inlineStr">
        <is>
          <t>Mid</t>
        </is>
      </c>
      <c r="C19" s="15">
        <f>Capacity!$G$8</f>
        <v/>
      </c>
      <c r="D19" s="25">
        <f>IF(SUM(Cap_APCD_Y5_Range)=0,0,C19/SUM(Cap_APCD_Y5_Range))</f>
        <v/>
      </c>
    </row>
    <row r="20">
      <c r="B20" s="29" t="inlineStr">
        <is>
          <t>Large</t>
        </is>
      </c>
      <c r="C20" s="15">
        <f>Capacity!$G$9</f>
        <v/>
      </c>
      <c r="D20" s="25">
        <f>IF(SUM(Cap_APCD_Y5_Range)=0,0,C20/SUM(Cap_APCD_Y5_Range))</f>
        <v/>
      </c>
    </row>
    <row r="21">
      <c r="B21" s="16" t="inlineStr">
        <is>
          <t>Total</t>
        </is>
      </c>
      <c r="C21" s="17">
        <f>SUM(C18:C20)</f>
        <v/>
      </c>
      <c r="D21" s="30">
        <f>SUM(D18:D20)</f>
        <v/>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B2:B28"/>
  <sheetViews>
    <sheetView showGridLines="0" workbookViewId="0">
      <selection activeCell="A1" sqref="A1"/>
    </sheetView>
  </sheetViews>
  <sheetFormatPr baseColWidth="8" defaultRowHeight="15"/>
  <cols>
    <col width="2" customWidth="1" min="1" max="1"/>
    <col width="90" customWidth="1" min="2" max="2"/>
    <col width="2" customWidth="1" min="3" max="3"/>
  </cols>
  <sheetData>
    <row r="2" ht="32" customHeight="1">
      <c r="B2" s="31" t="inlineStr">
        <is>
          <t>Disclaimer, Copyright &amp; License</t>
        </is>
      </c>
    </row>
    <row r="3" ht="4" customHeight="1">
      <c r="B3" s="32" t="n"/>
    </row>
    <row r="5" ht="20" customHeight="1">
      <c r="B5" s="33" t="inlineStr">
        <is>
          <t>Disclaimer</t>
        </is>
      </c>
    </row>
    <row r="6" ht="48" customHeight="1">
      <c r="B6" s="34" t="inlineStr">
        <is>
          <t>This financial model ("the Model") is provided by Finamodel for illustrative and educational purposes only. It is a template — not a finished analysis, valuation, recommendation, or solicitation to buy, sell, or hold any security, asset, or financial instrument.</t>
        </is>
      </c>
    </row>
    <row r="8" ht="20" customHeight="1">
      <c r="B8" s="33" t="inlineStr">
        <is>
          <t>No investment advice</t>
        </is>
      </c>
    </row>
    <row r="9" ht="62" customHeight="1">
      <c r="B9" s="34" t="inlineStr">
        <is>
          <t>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is>
      </c>
    </row>
    <row r="11" ht="20" customHeight="1">
      <c r="B11" s="33" t="inlineStr">
        <is>
          <t>No warranty</t>
        </is>
      </c>
    </row>
    <row r="12" ht="76" customHeight="1">
      <c r="B12" s="34" t="inlineStr">
        <is>
          <t>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is>
      </c>
    </row>
    <row r="14" ht="20" customHeight="1">
      <c r="B14" s="33" t="inlineStr">
        <is>
          <t>Limitation of liability</t>
        </is>
      </c>
    </row>
    <row r="15" ht="62" customHeight="1">
      <c r="B15" s="34" t="inlineStr">
        <is>
          <t>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is>
      </c>
    </row>
    <row r="17" ht="20" customHeight="1">
      <c r="B17" s="33" t="inlineStr">
        <is>
          <t>Forward-looking statements</t>
        </is>
      </c>
    </row>
    <row r="18" ht="34" customHeight="1">
      <c r="B18" s="34" t="inlineStr">
        <is>
          <t>Any projections, forecasts, or scenarios are hypothetical, based on assumptions that may not materialize, and do not represent guaranteed outcomes.</t>
        </is>
      </c>
    </row>
    <row r="20" ht="20" customHeight="1">
      <c r="B20" s="33" t="inlineStr">
        <is>
          <t>Third-party data</t>
        </is>
      </c>
    </row>
    <row r="21" ht="34" customHeight="1">
      <c r="B21" s="34" t="inlineStr">
        <is>
          <t>Where the Model references market data, comparables, or macro indicators, such data is sourced from third parties believed to be reliable but is not independently verified.</t>
        </is>
      </c>
    </row>
    <row r="23" ht="22" customHeight="1">
      <c r="B23" s="35" t="inlineStr">
        <is>
          <t>Copyright © 2026 Finamodel. All rights reserved.</t>
        </is>
      </c>
    </row>
    <row r="25" ht="18" customHeight="1">
      <c r="B25" s="36" t="inlineStr">
        <is>
          <t>License — MIT</t>
        </is>
      </c>
    </row>
    <row r="26" ht="202" customHeight="1">
      <c r="B26" s="37" t="inlineStr">
        <is>
          <t>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is>
      </c>
    </row>
    <row r="28" ht="18" customHeight="1">
      <c r="B28" s="38" t="inlineStr">
        <is>
          <t>Finamodel — github.com/alextapio/finamodel</t>
        </is>
      </c>
    </row>
  </sheetData>
  <printOptions horizontalCentered="1"/>
  <pageMargins left="0.4" right="0.4" top="1" bottom="1" header="0.5" footer="0.5"/>
  <pageSetup orientation="portrait" fitToHeight="1"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2026-05-17T05:18:06Z</dcterms:created>
  <dcterms:modified xmlns:dcterms="http://purl.org/dc/terms/" xmlns:xsi="http://www.w3.org/2001/XMLSchema-instance" xsi:type="dcterms:W3CDTF">2026-05-17T05:18:06Z</dcterms:modified>
</cp:coreProperties>
</file>