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User_Volume_Build" sheetId="3" state="visible" r:id="rId5"/>
    <sheet name="Revenue_Build" sheetId="4" state="visible" r:id="rId6"/>
    <sheet name="Opex_Headcount" sheetId="5" state="visible" r:id="rId7"/>
    <sheet name="Capex_Amort" sheetId="6" state="visible" r:id="rId8"/>
    <sheet name="Income_Statement" sheetId="7" state="visible" r:id="rId9"/>
    <sheet name="Balance_Sheet" sheetId="8" state="visible" r:id="rId10"/>
    <sheet name="Cash_Flow" sheetId="9" state="visible" r:id="rId11"/>
    <sheet name="Checks" sheetId="10" state="visible" r:id="rId12"/>
    <sheet name="Disclaimer" sheetId="11" state="visible" r:id="rId13"/>
  </sheets>
  <definedNames>
    <definedName function="false" hidden="false" name="Avg_Vol_Per_MTU" vbProcedure="false">Assumptions!$C$20</definedName>
    <definedName function="false" hidden="false" name="BS_AP" vbProcedure="false">Balance_Sheet!$C$22:$G$22</definedName>
    <definedName function="false" hidden="false" name="BS_AR" vbProcedure="false">Balance_Sheet!$C$10:$G$10</definedName>
    <definedName function="false" hidden="false" name="BS_Cash" vbProcedure="false">Balance_Sheet!$C$9:$G$9</definedName>
    <definedName function="false" hidden="false" name="BS_Retained_Earnings" vbProcedure="false">Balance_Sheet!$C$30:$G$30</definedName>
    <definedName function="false" hidden="false" name="BS_Share_Capital" vbProcedure="false">Balance_Sheet!$C$29:$G$29</definedName>
    <definedName function="false" hidden="false" name="BS_Tax_Payable" vbProcedure="false">Balance_Sheet!$C$23:$G$23</definedName>
    <definedName function="false" hidden="false" name="BS_Total_Assets" vbProcedure="false">Balance_Sheet!$C$18:$G$18</definedName>
    <definedName function="false" hidden="false" name="BS_Total_CL" vbProcedure="false">Balance_Sheet!$C$24:$G$24</definedName>
    <definedName function="false" hidden="false" name="BS_Total_Equity" vbProcedure="false">Balance_Sheet!$C$31:$G$31</definedName>
    <definedName function="false" hidden="false" name="BS_Total_LE" vbProcedure="false">Balance_Sheet!$C$33:$G$33</definedName>
    <definedName function="false" hidden="false" name="BS_Total_Liabilities" vbProcedure="false">Balance_Sheet!$C$26:$G$26</definedName>
    <definedName function="false" hidden="false" name="CAC" vbProcedure="false">Assumptions!$C$53</definedName>
    <definedName function="false" hidden="false" name="Capitalise_Pct" vbProcedure="false">Assumptions!$C$59</definedName>
    <definedName function="false" hidden="false" name="CA_HW_Closing" vbProcedure="false">Capex_Amort!$C$25:$G$25</definedName>
    <definedName function="false" hidden="false" name="CA_HW_Depr" vbProcedure="false">Capex_Amort!$C$24:$G$24</definedName>
    <definedName function="false" hidden="false" name="CA_Net_Intangibles" vbProcedure="false">Capex_Amort!$C$29:$G$29</definedName>
    <definedName function="false" hidden="false" name="CA_SW_Amort" vbProcedure="false">Capex_Amort!$C$18:$G$18</definedName>
    <definedName function="false" hidden="false" name="CA_SW_Closing" vbProcedure="false">Capex_Amort!$C$19:$G$19</definedName>
    <definedName function="false" hidden="false" name="CA_Total_Capex" vbProcedure="false">Capex_Amort!$C$13:$G$13</definedName>
    <definedName function="false" hidden="false" name="CA_Total_DA" vbProcedure="false">Capex_Amort!$C$27:$G$27</definedName>
    <definedName function="false" hidden="false" name="CF_CFF" vbProcedure="false">Cash_Flow!$C$24:$G$24</definedName>
    <definedName function="false" hidden="false" name="CF_CFI" vbProcedure="false">Cash_Flow!$C$20:$G$20</definedName>
    <definedName function="false" hidden="false" name="CF_CFO" vbProcedure="false">Cash_Flow!$C$16:$G$16</definedName>
    <definedName function="false" hidden="false" name="CF_Closing_Cash" vbProcedure="false">Cash_Flow!$C$29:$G$29</definedName>
    <definedName function="false" hidden="false" name="CF_Equity_Injection" vbProcedure="false">Cash_Flow!$C$23:$G$23</definedName>
    <definedName function="false" hidden="false" name="CF_Net_Change" vbProcedure="false">Cash_Flow!$C$26:$G$26</definedName>
    <definedName function="false" hidden="false" name="CF_Opening_Cash" vbProcedure="false">Cash_Flow!$C$28:$G$28</definedName>
    <definedName function="false" hidden="false" name="Cloud_Tech_Pct" vbProcedure="false">Assumptions!$C$54</definedName>
    <definedName function="false" hidden="false" name="Comp_Headcount" vbProcedure="false">Assumptions!$C$46</definedName>
    <definedName function="false" hidden="false" name="Comp_Salary" vbProcedure="false">Assumptions!$C$47</definedName>
    <definedName function="false" hidden="false" name="Crypto_Appreciation" vbProcedure="false">Assumptions!$C$25</definedName>
    <definedName function="false" hidden="false" name="Custody_Fee_Rate" vbProcedure="false">Assumptions!$C$33</definedName>
    <definedName function="false" hidden="false" name="Deriv_Spot_Ratio" vbProcedure="false">Assumptions!$C$22</definedName>
    <definedName function="false" hidden="false" name="Deriv_Take_Rate" vbProcedure="false">Assumptions!$C$32</definedName>
    <definedName function="false" hidden="false" name="DPO" vbProcedure="false">Assumptions!$C$66</definedName>
    <definedName function="false" hidden="false" name="DSO" vbProcedure="false">Assumptions!$C$65</definedName>
    <definedName function="false" hidden="false" name="Eng_Headcount" vbProcedure="false">Assumptions!$C$44</definedName>
    <definedName function="false" hidden="false" name="Eng_Salary" vbProcedure="false">Assumptions!$C$45</definedName>
    <definedName function="false" hidden="false" name="Gas_Fee_Pct" vbProcedure="false">Assumptions!$C$39</definedName>
    <definedName function="false" hidden="false" name="GA_Headcount" vbProcedure="false">Assumptions!$C$50</definedName>
    <definedName function="false" hidden="false" name="GA_Salary" vbProcedure="false">Assumptions!$C$51</definedName>
    <definedName function="false" hidden="false" name="HW_Capex_Annual" vbProcedure="false">Assumptions!$C$61</definedName>
    <definedName function="false" hidden="false" name="HW_Life" vbProcedure="false">Assumptions!$C$62</definedName>
    <definedName function="false" hidden="false" name="Inst_Take_Rate" vbProcedure="false">Assumptions!$C$30</definedName>
    <definedName function="false" hidden="false" name="Insurance_Pct" vbProcedure="false">Assumptions!$C$55</definedName>
    <definedName function="false" hidden="false" name="IS_DA" vbProcedure="false">Income_Statement!$C$37:$G$37</definedName>
    <definedName function="false" hidden="false" name="IS_EBIT" vbProcedure="false">Income_Statement!$C$39:$G$39</definedName>
    <definedName function="false" hidden="false" name="IS_EBITDA" vbProcedure="false">Income_Statement!$C$33:$G$33</definedName>
    <definedName function="false" hidden="false" name="IS_Gross_Profit" vbProcedure="false">Income_Statement!$C$22:$G$22</definedName>
    <definedName function="false" hidden="false" name="IS_Net_Income" vbProcedure="false">Income_Statement!$C$43:$G$43</definedName>
    <definedName function="false" hidden="false" name="IS_Tax" vbProcedure="false">Income_Statement!$C$41:$G$41</definedName>
    <definedName function="false" hidden="false" name="IS_Total_COGS" vbProcedure="false">Income_Statement!$C$20:$G$20</definedName>
    <definedName function="false" hidden="false" name="IS_Total_Opex" vbProcedure="false">Income_Statement!$C$31:$G$31</definedName>
    <definedName function="false" hidden="false" name="IS_Total_Rev" vbProcedure="false">Income_Statement!$C$13:$G$13</definedName>
    <definedName function="false" hidden="false" name="KYC_Cost_Per_User" vbProcedure="false">Assumptions!$C$40</definedName>
    <definedName function="false" hidden="false" name="MM_Rebate_Pct" vbProcedure="false">Assumptions!$C$41</definedName>
    <definedName function="false" hidden="false" name="Model_Start_Year" vbProcedure="false">Assumptions!$C$8</definedName>
    <definedName function="false" hidden="false" name="Monthly_Churn" vbProcedure="false">Assumptions!$C$17</definedName>
    <definedName function="false" hidden="false" name="MTU_Growth_Y1" vbProcedure="false">Assumptions!$C$12</definedName>
    <definedName function="false" hidden="false" name="MTU_Growth_Y2" vbProcedure="false">Assumptions!$C$13</definedName>
    <definedName function="false" hidden="false" name="MTU_Growth_Y3" vbProcedure="false">Assumptions!$C$14</definedName>
    <definedName function="false" hidden="false" name="MTU_Growth_Y4" vbProcedure="false">Assumptions!$C$15</definedName>
    <definedName function="false" hidden="false" name="MTU_Growth_Y5" vbProcedure="false">Assumptions!$C$16</definedName>
    <definedName function="false" hidden="false" name="Network_Yield" vbProcedure="false">Assumptions!$C$35</definedName>
    <definedName function="false" hidden="false" name="Net_Inflow_Rate" vbProcedure="false">Assumptions!$C$24</definedName>
    <definedName function="false" hidden="false" name="OH_Cloud_Tech" vbProcedure="false">Opex_Headcount!$C$29:$G$29</definedName>
    <definedName function="false" hidden="false" name="OH_Eng_Cost" vbProcedure="false">Opex_Headcount!$C$11:$G$11</definedName>
    <definedName function="false" hidden="false" name="OH_Insurance" vbProcedure="false">Opex_Headcount!$C$30:$G$30</definedName>
    <definedName function="false" hidden="false" name="OH_Marketing" vbProcedure="false">Opex_Headcount!$C$28:$G$28</definedName>
    <definedName function="false" hidden="false" name="OH_Rent" vbProcedure="false">Opex_Headcount!$C$31:$G$31</definedName>
    <definedName function="false" hidden="false" name="OH_Total_Opex" vbProcedure="false">Opex_Headcount!$C$33:$G$33</definedName>
    <definedName function="false" hidden="false" name="OH_Total_Staff" vbProcedure="false">Opex_Headcount!$C$25:$G$25</definedName>
    <definedName function="false" hidden="false" name="Opening_Cash" vbProcedure="false">Assumptions!$C$73</definedName>
    <definedName function="false" hidden="false" name="Opening_Equity" vbProcedure="false">Assumptions!$C$74</definedName>
    <definedName function="false" hidden="false" name="Payment_Proc_Fee" vbProcedure="false">Assumptions!$C$38</definedName>
    <definedName function="false" hidden="false" name="RB_Custody_Rev" vbProcedure="false">Revenue_Build!$C$17:$G$17</definedName>
    <definedName function="false" hidden="false" name="RB_Deriv_Rev" vbProcedure="false">Revenue_Build!$C$14:$G$14</definedName>
    <definedName function="false" hidden="false" name="RB_Staking_Rev" vbProcedure="false">Revenue_Build!$C$20:$G$20</definedName>
    <definedName function="false" hidden="false" name="RB_Total_Rev" vbProcedure="false">Revenue_Build!$C$23:$G$23</definedName>
    <definedName function="false" hidden="false" name="RB_Total_Spot" vbProcedure="false">Revenue_Build!$C$11:$G$11</definedName>
    <definedName function="false" hidden="false" name="Reg_Capital_Pct" vbProcedure="false">Assumptions!$C$70</definedName>
    <definedName function="false" hidden="false" name="Rent_Annual" vbProcedure="false">Assumptions!$C$56</definedName>
    <definedName function="false" hidden="false" name="Retail_Take_Rate" vbProcedure="false">Assumptions!$C$29</definedName>
    <definedName function="false" hidden="false" name="Retail_Vol_Split" vbProcedure="false">Assumptions!$C$31</definedName>
    <definedName function="false" hidden="false" name="Salary_Growth" vbProcedure="false">Assumptions!$C$52</definedName>
    <definedName function="false" hidden="false" name="Software_Life" vbProcedure="false">Assumptions!$C$60</definedName>
    <definedName function="false" hidden="false" name="Staking_Commission" vbProcedure="false">Assumptions!$C$34</definedName>
    <definedName function="false" hidden="false" name="Staking_Part" vbProcedure="false">Assumptions!$C$26</definedName>
    <definedName function="false" hidden="false" name="Starting_AUC" vbProcedure="false">Assumptions!$C$23</definedName>
    <definedName function="false" hidden="false" name="Starting_MTU" vbProcedure="false">Assumptions!$C$11</definedName>
    <definedName function="false" hidden="false" name="Supp_Headcount" vbProcedure="false">Assumptions!$C$48</definedName>
    <definedName function="false" hidden="false" name="Supp_Salary" vbProcedure="false">Assumptions!$C$49</definedName>
    <definedName function="false" hidden="false" name="Tax_Rate" vbProcedure="false">Assumptions!$C$69</definedName>
    <definedName function="false" hidden="false" name="UVB_Avg_AUC" vbProcedure="false">User_Volume_Build!$C$29:$G$29</definedName>
    <definedName function="false" hidden="false" name="UVB_Avg_MTU" vbProcedure="false">User_Volume_Build!$C$14:$G$14</definedName>
    <definedName function="false" hidden="false" name="UVB_Closing_MTU" vbProcedure="false">User_Volume_Build!$C$12:$G$12</definedName>
    <definedName function="false" hidden="false" name="UVB_Deriv_Vol" vbProcedure="false">User_Volume_Build!$C$22:$G$22</definedName>
    <definedName function="false" hidden="false" name="UVB_Inst_Vol" vbProcedure="false">User_Volume_Build!$C$20:$G$20</definedName>
    <definedName function="false" hidden="false" name="UVB_New_Users" vbProcedure="false">User_Volume_Build!$C$10:$G$10</definedName>
    <definedName function="false" hidden="false" name="UVB_Retail_Vol" vbProcedure="false">User_Volume_Build!$C$19:$G$19</definedName>
    <definedName function="false" hidden="false" name="UVB_Staked_Assets" vbProcedure="false">User_Volume_Build!$C$31:$G$31</definedName>
    <definedName function="false" hidden="false" name="UVB_Total_Vol" vbProcedure="false">User_Volume_Build!$C$18:$G$18</definedName>
    <definedName function="false" hidden="false" name="Vol_Growth" vbProcedure="false">Assumptions!$C$21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<sst xmlns="http://schemas.openxmlformats.org/spreadsheetml/2006/main" count="388" uniqueCount="314">
  <si>
    <t xml:space="preserve">Crypto Exchange Financial Model</t>
  </si>
  <si>
    <t xml:space="preserve">FINAMODEL.com</t>
  </si>
  <si>
    <t xml:space="preserve">Investment Analysis</t>
  </si>
  <si>
    <t xml:space="preserve">Company Name</t>
  </si>
  <si>
    <t xml:space="preserve">[Exchange Name]</t>
  </si>
  <si>
    <t xml:space="preserve">Currency</t>
  </si>
  <si>
    <t xml:space="preserve">USD ($)</t>
  </si>
  <si>
    <t xml:space="preserve">Projection Period</t>
  </si>
  <si>
    <t xml:space="preserve">5 Years</t>
  </si>
  <si>
    <t xml:space="preserve">Date Prepared</t>
  </si>
  <si>
    <t xml:space="preserve">April 2026</t>
  </si>
  <si>
    <t xml:space="preserve">Sheet Navigation</t>
  </si>
  <si>
    <t xml:space="preserve">Assumptions</t>
  </si>
  <si>
    <t xml:space="preserve">All model inputs and drivers</t>
  </si>
  <si>
    <t xml:space="preserve">User_Volume_Build</t>
  </si>
  <si>
    <t xml:space="preserve">MTU funnel, volumes, AUC</t>
  </si>
  <si>
    <t xml:space="preserve">Revenue_Build</t>
  </si>
  <si>
    <t xml:space="preserve">Spot, derivatives, custody, staking</t>
  </si>
  <si>
    <t xml:space="preserve">Opex_Headcount</t>
  </si>
  <si>
    <t xml:space="preserve">Staff costs, marketing, tech</t>
  </si>
  <si>
    <t xml:space="preserve">Capex_Amort</t>
  </si>
  <si>
    <t xml:space="preserve">Capitalised software, depreciation</t>
  </si>
  <si>
    <t xml:space="preserve">Income_Statement</t>
  </si>
  <si>
    <t xml:space="preserve">Revenue to Net Income</t>
  </si>
  <si>
    <t xml:space="preserve">Balance_Sheet</t>
  </si>
  <si>
    <t xml:space="preserve">Assets, Liabilities, Equity</t>
  </si>
  <si>
    <t xml:space="preserve">Cash_Flow</t>
  </si>
  <si>
    <t xml:space="preserve">Operating, Investing, Financing</t>
  </si>
  <si>
    <t xml:space="preserve">Checks</t>
  </si>
  <si>
    <t xml:space="preserve">Model validation flags</t>
  </si>
  <si>
    <t xml:space="preserve">Tab Colour Legend</t>
  </si>
  <si>
    <t xml:space="preserve">Dark Blue</t>
  </si>
  <si>
    <t xml:space="preserve">Cover</t>
  </si>
  <si>
    <t xml:space="preserve">Light Blue</t>
  </si>
  <si>
    <t xml:space="preserve">Assumptions / Inputs</t>
  </si>
  <si>
    <t xml:space="preserve">Green</t>
  </si>
  <si>
    <t xml:space="preserve">Revenue &amp; Volume Drivers</t>
  </si>
  <si>
    <t xml:space="preserve">Orange</t>
  </si>
  <si>
    <t xml:space="preserve">Cost Schedules</t>
  </si>
  <si>
    <t xml:space="preserve">Grey</t>
  </si>
  <si>
    <t xml:space="preserve">Financial Statements</t>
  </si>
  <si>
    <t xml:space="preserve">Red</t>
  </si>
  <si>
    <t xml:space="preserve">About this model</t>
  </si>
  <si>
    <t xml:space="preserve">This cryptocurrency exchange model projects revenue from trading fees, custody, staking yield, and other services provided to retail and institutional digital asset users. It models monthly trading active users (MTU) through acquisition and churn funnels; trading volume by product (spot, derivatives, options); average assets under custody; and staked assets earning protocol yield. Revenue includes spot trading fees (blended take rate: 150 bps retail, 10 bps institutional), derivatives (3 bps), custody (15 bps AUC annually), and staking commission (25% of protocol yield on staked balances). The model includes user acquisition cost (CAC) and lifetime value (LTV) analysis.
The model includes operating expenses for customer acquisition (marketing, growth), engineering (development salaries, capitalised software), compliance and legal (regulatory licensing, AML/KYC), customer support, and technology infrastructure (cloud, blockchain gas). COGS includes payment processing (1.5% of fiat volume), blockchain transaction costs (2% of trading revenue), and market maker rebates (5% of trading revenue). Capex is primarily capitalised software (60% of engineering salaries) depreciated over 3 years. Working capital is minimal (cryptocurrency exchanges typically have negative float if users keep funds in native wallets).
This model is used by fintech investment committees evaluating cryptocurrency exchange opportunities, founders building go-to-market financial models, lenders sizing facilities for custodians and trading platforms, and venture investors conducting pre-investment due diligence. It captures the unique unit economics of digital asset platforms where fee compression is occurring while volumes scale rapidly.</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</si>
  <si>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</si>
  <si>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</si>
  <si>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</si>
  <si>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</si>
  <si>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</si>
  <si>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</si>
  <si>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</si>
  <si>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</si>
  <si>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</si>
  <si>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General</t>
  </si>
  <si>
    <t xml:space="preserve">Model Start Year</t>
  </si>
  <si>
    <t xml:space="preserve">First projection year</t>
  </si>
  <si>
    <t xml:space="preserve">User Growth</t>
  </si>
  <si>
    <t xml:space="preserve">Starting MTUs</t>
  </si>
  <si>
    <t xml:space="preserve">Users</t>
  </si>
  <si>
    <t xml:space="preserve">Monthly transacting users at start</t>
  </si>
  <si>
    <t xml:space="preserve">MTU Growth Y1</t>
  </si>
  <si>
    <t xml:space="preserve">%</t>
  </si>
  <si>
    <t xml:space="preserve">High growth year</t>
  </si>
  <si>
    <t xml:space="preserve">MTU Growth Y2</t>
  </si>
  <si>
    <t xml:space="preserve">MTU Growth Y3</t>
  </si>
  <si>
    <t xml:space="preserve">MTU Growth Y4</t>
  </si>
  <si>
    <t xml:space="preserve">MTU Growth Y5</t>
  </si>
  <si>
    <t xml:space="preserve">Maturing growth</t>
  </si>
  <si>
    <t xml:space="preserve">Monthly Churn Rate</t>
  </si>
  <si>
    <t xml:space="preserve">5% monthly churn</t>
  </si>
  <si>
    <t xml:space="preserve">Volume &amp; Assets Under Custody</t>
  </si>
  <si>
    <t xml:space="preserve">Avg Volume per MTU</t>
  </si>
  <si>
    <t xml:space="preserve">$/yr</t>
  </si>
  <si>
    <t xml:space="preserve">Annual trading volume per user</t>
  </si>
  <si>
    <t xml:space="preserve">Volume per MTU Growth</t>
  </si>
  <si>
    <t xml:space="preserve">Volume per user increases</t>
  </si>
  <si>
    <t xml:space="preserve">Derivatives/Spot Ratio</t>
  </si>
  <si>
    <t xml:space="preserve">x</t>
  </si>
  <si>
    <t xml:space="preserve">Derivatives 2x spot volume</t>
  </si>
  <si>
    <t xml:space="preserve">Starting AUC</t>
  </si>
  <si>
    <t xml:space="preserve">$</t>
  </si>
  <si>
    <t xml:space="preserve">Assets under custody at start</t>
  </si>
  <si>
    <t xml:space="preserve">Net Inflow Rate</t>
  </si>
  <si>
    <t xml:space="preserve">Annual net inflows as % of AUC</t>
  </si>
  <si>
    <t xml:space="preserve">Crypto Price Change</t>
  </si>
  <si>
    <t xml:space="preserve">Annual crypto market appreciation</t>
  </si>
  <si>
    <t xml:space="preserve">Staking Participation</t>
  </si>
  <si>
    <t xml:space="preserve">% of AUC opted into staking</t>
  </si>
  <si>
    <t xml:space="preserve">Take Rates</t>
  </si>
  <si>
    <t xml:space="preserve">Retail Spot Take Rate</t>
  </si>
  <si>
    <t xml:space="preserve">bps</t>
  </si>
  <si>
    <t xml:space="preserve">1.50% retail fee</t>
  </si>
  <si>
    <t xml:space="preserve">Institutional Take Rate</t>
  </si>
  <si>
    <t xml:space="preserve">0.10% institutional fee</t>
  </si>
  <si>
    <t xml:space="preserve">Retail Volume Split</t>
  </si>
  <si>
    <t xml:space="preserve">30% retail / 70% institutional</t>
  </si>
  <si>
    <t xml:space="preserve">Derivatives Take Rate</t>
  </si>
  <si>
    <t xml:space="preserve">0.03% blended maker/taker</t>
  </si>
  <si>
    <t xml:space="preserve">Custody Fee Rate</t>
  </si>
  <si>
    <t xml:space="preserve">15bps annual on AUC</t>
  </si>
  <si>
    <t xml:space="preserve">Staking Commission</t>
  </si>
  <si>
    <t xml:space="preserve">Exchange keeps 25% of rewards</t>
  </si>
  <si>
    <t xml:space="preserve">Network Staking Yield</t>
  </si>
  <si>
    <t xml:space="preserve">Blended PoS network yield</t>
  </si>
  <si>
    <t xml:space="preserve">Cost of Revenue</t>
  </si>
  <si>
    <t xml:space="preserve">Payment Processing Fee</t>
  </si>
  <si>
    <t xml:space="preserve">Fiat on/off ramp fees</t>
  </si>
  <si>
    <t xml:space="preserve">Gas Fee % of Trade Rev</t>
  </si>
  <si>
    <t xml:space="preserve">Blockchain network costs</t>
  </si>
  <si>
    <t xml:space="preserve">KYC Cost per New User</t>
  </si>
  <si>
    <t xml:space="preserve">Identity verification API</t>
  </si>
  <si>
    <t xml:space="preserve">Market Maker Rebate</t>
  </si>
  <si>
    <t xml:space="preserve">Rebates to liquidity providers</t>
  </si>
  <si>
    <t xml:space="preserve">Headcount &amp; Operating Expenses</t>
  </si>
  <si>
    <t xml:space="preserve">Engineering Headcount</t>
  </si>
  <si>
    <t xml:space="preserve">FTE</t>
  </si>
  <si>
    <t xml:space="preserve">Eng Avg Salary</t>
  </si>
  <si>
    <t xml:space="preserve">Fully loaded cost</t>
  </si>
  <si>
    <t xml:space="preserve">Compliance Headcount</t>
  </si>
  <si>
    <t xml:space="preserve">Compliance Avg Salary</t>
  </si>
  <si>
    <t xml:space="preserve">Support Headcount</t>
  </si>
  <si>
    <t xml:space="preserve">Support Avg Salary</t>
  </si>
  <si>
    <t xml:space="preserve">G&amp;A Headcount</t>
  </si>
  <si>
    <t xml:space="preserve">G&amp;A Avg Salary</t>
  </si>
  <si>
    <t xml:space="preserve">Annual Salary Growth</t>
  </si>
  <si>
    <t xml:space="preserve">Inflation adjustment</t>
  </si>
  <si>
    <t xml:space="preserve">Customer Acq Cost</t>
  </si>
  <si>
    <t xml:space="preserve">Cost per funded user</t>
  </si>
  <si>
    <t xml:space="preserve">Cloud &amp; Tech % of Rev</t>
  </si>
  <si>
    <t xml:space="preserve">AWS/GCP infrastructure</t>
  </si>
  <si>
    <t xml:space="preserve">Insurance % of Rev</t>
  </si>
  <si>
    <t xml:space="preserve">Crypto crime + D&amp;O</t>
  </si>
  <si>
    <t xml:space="preserve">Annual Rent</t>
  </si>
  <si>
    <t xml:space="preserve">Office costs</t>
  </si>
  <si>
    <t xml:space="preserve">Capital Expenditure</t>
  </si>
  <si>
    <t xml:space="preserve">Software Capitalise %</t>
  </si>
  <si>
    <t xml:space="preserve">% of eng salary capitalised</t>
  </si>
  <si>
    <t xml:space="preserve">Software Useful Life</t>
  </si>
  <si>
    <t xml:space="preserve">Years</t>
  </si>
  <si>
    <t xml:space="preserve">Amortisation period</t>
  </si>
  <si>
    <t xml:space="preserve">Hardware Capex Annual</t>
  </si>
  <si>
    <t xml:space="preserve">HSMs, servers</t>
  </si>
  <si>
    <t xml:space="preserve">Hardware Useful Life</t>
  </si>
  <si>
    <t xml:space="preserve">Depreciation period</t>
  </si>
  <si>
    <t xml:space="preserve">Working Capital</t>
  </si>
  <si>
    <t xml:space="preserve">Days Sales Outstanding</t>
  </si>
  <si>
    <t xml:space="preserve">Days</t>
  </si>
  <si>
    <t xml:space="preserve">Trading fees collected instantly</t>
  </si>
  <si>
    <t xml:space="preserve">Days Payable Outstanding</t>
  </si>
  <si>
    <t xml:space="preserve">Standard vendor terms</t>
  </si>
  <si>
    <t xml:space="preserve">Tax &amp; Regulatory Capital</t>
  </si>
  <si>
    <t xml:space="preserve">Corporate Tax Rate</t>
  </si>
  <si>
    <t xml:space="preserve">US/UK standard rate</t>
  </si>
  <si>
    <t xml:space="preserve">Regulatory Capital %</t>
  </si>
  <si>
    <t xml:space="preserve">5% of AUC as reserve</t>
  </si>
  <si>
    <t xml:space="preserve">Opening Balance Sheet</t>
  </si>
  <si>
    <t xml:space="preserve">Opening Cash</t>
  </si>
  <si>
    <t xml:space="preserve">VC-funded cash balance</t>
  </si>
  <si>
    <t xml:space="preserve">Opening Equity</t>
  </si>
  <si>
    <t xml:space="preserve">Share capital invested</t>
  </si>
  <si>
    <t xml:space="preserve">User &amp; Volume Build</t>
  </si>
  <si>
    <t xml:space="preserve">MTUs, Volumes, AUC</t>
  </si>
  <si>
    <t xml:space="preserve">Year #</t>
  </si>
  <si>
    <t xml:space="preserve">Monthly Transacting Users</t>
  </si>
  <si>
    <t xml:space="preserve">Opening MTUs</t>
  </si>
  <si>
    <t xml:space="preserve">New Users Added</t>
  </si>
  <si>
    <t xml:space="preserve">Churned Users</t>
  </si>
  <si>
    <t xml:space="preserve">Closing MTUs</t>
  </si>
  <si>
    <t xml:space="preserve">Average MTUs</t>
  </si>
  <si>
    <t xml:space="preserve">Trading Volume</t>
  </si>
  <si>
    <t xml:space="preserve">Vol per MTU</t>
  </si>
  <si>
    <t xml:space="preserve">Total Spot Volume</t>
  </si>
  <si>
    <t xml:space="preserve">Retail Volume</t>
  </si>
  <si>
    <t xml:space="preserve">Institutional Volume</t>
  </si>
  <si>
    <t xml:space="preserve">Derivatives Volume</t>
  </si>
  <si>
    <t xml:space="preserve">Assets Under Custody</t>
  </si>
  <si>
    <t xml:space="preserve">Opening AUC</t>
  </si>
  <si>
    <t xml:space="preserve">Net Inflows</t>
  </si>
  <si>
    <t xml:space="preserve">Price Appreciation</t>
  </si>
  <si>
    <t xml:space="preserve">Closing AUC</t>
  </si>
  <si>
    <t xml:space="preserve">Average AUC</t>
  </si>
  <si>
    <t xml:space="preserve">Staking</t>
  </si>
  <si>
    <t xml:space="preserve">Staked Assets</t>
  </si>
  <si>
    <t xml:space="preserve">Revenue Build</t>
  </si>
  <si>
    <t xml:space="preserve">Fee Revenue Detail</t>
  </si>
  <si>
    <t xml:space="preserve">Spot Trading Revenue</t>
  </si>
  <si>
    <t xml:space="preserve">Retail Spot Revenue</t>
  </si>
  <si>
    <t xml:space="preserve">Institutional Spot Rev</t>
  </si>
  <si>
    <t xml:space="preserve">Total Spot Revenue</t>
  </si>
  <si>
    <t xml:space="preserve">Derivatives Revenue</t>
  </si>
  <si>
    <t xml:space="preserve">Custody Revenue</t>
  </si>
  <si>
    <t xml:space="preserve">Staking Revenue</t>
  </si>
  <si>
    <t xml:space="preserve">Total Revenue</t>
  </si>
  <si>
    <t xml:space="preserve">TOTAL REVENUE</t>
  </si>
  <si>
    <t xml:space="preserve">Opex &amp; Headcount</t>
  </si>
  <si>
    <t xml:space="preserve">Operating Expenses</t>
  </si>
  <si>
    <t xml:space="preserve">Engineering</t>
  </si>
  <si>
    <t xml:space="preserve">Headcount</t>
  </si>
  <si>
    <t xml:space="preserve">Avg Salary</t>
  </si>
  <si>
    <t xml:space="preserve">Total Eng Cost</t>
  </si>
  <si>
    <t xml:space="preserve">Compliance &amp; Legal</t>
  </si>
  <si>
    <t xml:space="preserve">Total Compliance Cost</t>
  </si>
  <si>
    <t xml:space="preserve">Customer Support</t>
  </si>
  <si>
    <t xml:space="preserve">Total Support Cost</t>
  </si>
  <si>
    <t xml:space="preserve">General &amp; Administrative</t>
  </si>
  <si>
    <t xml:space="preserve">Total G&amp;A Cost</t>
  </si>
  <si>
    <t xml:space="preserve">TOTAL STAFF COST</t>
  </si>
  <si>
    <t xml:space="preserve">Other Operating Expenses</t>
  </si>
  <si>
    <t xml:space="preserve">Marketing (CAC)</t>
  </si>
  <si>
    <t xml:space="preserve">Cloud &amp; Technology</t>
  </si>
  <si>
    <t xml:space="preserve">Insurance</t>
  </si>
  <si>
    <t xml:space="preserve">Rent</t>
  </si>
  <si>
    <t xml:space="preserve">TOTAL OPEX</t>
  </si>
  <si>
    <t xml:space="preserve">Capex &amp; Amortisation</t>
  </si>
  <si>
    <t xml:space="preserve">Software &amp; Hardware</t>
  </si>
  <si>
    <t xml:space="preserve">Eng Cost (ref)</t>
  </si>
  <si>
    <t xml:space="preserve">Capitalisation Rate</t>
  </si>
  <si>
    <t xml:space="preserve">Software Additions</t>
  </si>
  <si>
    <t xml:space="preserve">Hardware Additions</t>
  </si>
  <si>
    <t xml:space="preserve">TOTAL CAPEX</t>
  </si>
  <si>
    <t xml:space="preserve">Software Intangibles</t>
  </si>
  <si>
    <t xml:space="preserve">Opening Balance</t>
  </si>
  <si>
    <t xml:space="preserve">Additions</t>
  </si>
  <si>
    <t xml:space="preserve">Amortisation</t>
  </si>
  <si>
    <t xml:space="preserve">Closing Balance</t>
  </si>
  <si>
    <t xml:space="preserve">Hardware PP&amp;E</t>
  </si>
  <si>
    <t xml:space="preserve">Depreciation</t>
  </si>
  <si>
    <t xml:space="preserve">TOTAL D&amp;A</t>
  </si>
  <si>
    <t xml:space="preserve">Net Intangibles + PPE</t>
  </si>
  <si>
    <t xml:space="preserve">Income Statement</t>
  </si>
  <si>
    <t xml:space="preserve">Profit &amp; Loss</t>
  </si>
  <si>
    <t xml:space="preserve">Revenue</t>
  </si>
  <si>
    <t xml:space="preserve">Payment Processing</t>
  </si>
  <si>
    <t xml:space="preserve">Blockchain Gas Fees</t>
  </si>
  <si>
    <t xml:space="preserve">KYC/AML Costs</t>
  </si>
  <si>
    <t xml:space="preserve">Market Maker Rebates</t>
  </si>
  <si>
    <t xml:space="preserve">TOTAL COGS</t>
  </si>
  <si>
    <t xml:space="preserve">Gross Profit</t>
  </si>
  <si>
    <t xml:space="preserve">Gross Margin</t>
  </si>
  <si>
    <t xml:space="preserve">Staff Costs</t>
  </si>
  <si>
    <t xml:space="preserve">Marketing</t>
  </si>
  <si>
    <t xml:space="preserve">EBITDA</t>
  </si>
  <si>
    <t xml:space="preserve">EBITDA Margin</t>
  </si>
  <si>
    <t xml:space="preserve">Depreciation &amp; Amortisation</t>
  </si>
  <si>
    <t xml:space="preserve">Total D&amp;A</t>
  </si>
  <si>
    <t xml:space="preserve">EBIT</t>
  </si>
  <si>
    <t xml:space="preserve">Tax</t>
  </si>
  <si>
    <t xml:space="preserve">Corporate Tax</t>
  </si>
  <si>
    <t xml:space="preserve">NET INCOME</t>
  </si>
  <si>
    <t xml:space="preserve">Net Margin</t>
  </si>
  <si>
    <t xml:space="preserve">Balance Sheet</t>
  </si>
  <si>
    <t xml:space="preserve">Corporate Assets</t>
  </si>
  <si>
    <t xml:space="preserve">Current Assets</t>
  </si>
  <si>
    <t xml:space="preserve">Cash</t>
  </si>
  <si>
    <t xml:space="preserve">Accounts Receivable</t>
  </si>
  <si>
    <t xml:space="preserve">Total Current Assets</t>
  </si>
  <si>
    <t xml:space="preserve">Non-Current Assets</t>
  </si>
  <si>
    <t xml:space="preserve">Net Intangibles</t>
  </si>
  <si>
    <t xml:space="preserve">Net Hardware/PP&amp;E</t>
  </si>
  <si>
    <t xml:space="preserve">Total Non-Current Assets</t>
  </si>
  <si>
    <t xml:space="preserve">TOTAL ASSETS</t>
  </si>
  <si>
    <t xml:space="preserve">Current Liabilities</t>
  </si>
  <si>
    <t xml:space="preserve">Accounts Payable</t>
  </si>
  <si>
    <t xml:space="preserve">Tax Payable</t>
  </si>
  <si>
    <t xml:space="preserve">Total Current Liabilities</t>
  </si>
  <si>
    <t xml:space="preserve">TOTAL LIABILITIES</t>
  </si>
  <si>
    <t xml:space="preserve">Equity</t>
  </si>
  <si>
    <t xml:space="preserve">Share Capital</t>
  </si>
  <si>
    <t xml:space="preserve">Retained Earnings</t>
  </si>
  <si>
    <t xml:space="preserve">Total Equity</t>
  </si>
  <si>
    <t xml:space="preserve">TOTAL LIABILITIES &amp; EQUITY</t>
  </si>
  <si>
    <t xml:space="preserve">Balance Check</t>
  </si>
  <si>
    <t xml:space="preserve">Cash Flow Statement</t>
  </si>
  <si>
    <t xml:space="preserve">Indirect Method</t>
  </si>
  <si>
    <t xml:space="preserve">Operating Activities</t>
  </si>
  <si>
    <t xml:space="preserve">Net Income</t>
  </si>
  <si>
    <t xml:space="preserve">D&amp;A Add-back</t>
  </si>
  <si>
    <t xml:space="preserve">Working Capital Changes</t>
  </si>
  <si>
    <t xml:space="preserve">Change in AR</t>
  </si>
  <si>
    <t xml:space="preserve">Change in AP</t>
  </si>
  <si>
    <t xml:space="preserve">Change in Tax Payable</t>
  </si>
  <si>
    <t xml:space="preserve">Cash from Operations</t>
  </si>
  <si>
    <t xml:space="preserve">Investing Activities</t>
  </si>
  <si>
    <t xml:space="preserve">Cash from Investing</t>
  </si>
  <si>
    <t xml:space="preserve">Financing Activities</t>
  </si>
  <si>
    <t xml:space="preserve">Equity Injection</t>
  </si>
  <si>
    <t xml:space="preserve">Cash from Financing</t>
  </si>
  <si>
    <t xml:space="preserve">Net Cash Change</t>
  </si>
  <si>
    <t xml:space="preserve">Cash Balance</t>
  </si>
  <si>
    <t xml:space="preserve">Closing Cash</t>
  </si>
  <si>
    <t xml:space="preserve">Model Checks</t>
  </si>
  <si>
    <t xml:space="preserve">Validation Flags</t>
  </si>
  <si>
    <t xml:space="preserve">BS Balances</t>
  </si>
  <si>
    <t xml:space="preserve">Cash &gt;= 0</t>
  </si>
  <si>
    <t xml:space="preserve">Reg Capital Met</t>
  </si>
  <si>
    <t xml:space="preserve">CFS Reconciles</t>
  </si>
  <si>
    <t xml:space="preserve">EBITDA Margin &lt; 65%</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</si>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</sst>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0%"/>
    <numFmt numFmtId="167" formatCode="0"/>
    <numFmt numFmtId="168" formatCode="\$#,##0.00"/>
    <numFmt numFmtId="169" formatCode="@"/>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D6E4F0"/>
        <bgColor rgb="FFC6D9F1"/>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true" applyProtection="false">
      <alignment horizontal="left" vertical="center" textRotation="0" wrapText="false" indent="0" shrinkToFit="false"/>
      <protection locked="true" hidden="false"/>
    </xf>
    <xf numFmtId="164" fontId="13" fillId="9"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5" fontId="18" fillId="1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0" borderId="0" xfId="0" applyFont="true" applyBorder="false" applyAlignment="true" applyProtection="false">
      <alignment horizontal="right" vertical="bottom" textRotation="0" wrapText="false" indent="0" shrinkToFit="false"/>
      <protection locked="true" hidden="false"/>
    </xf>
    <xf numFmtId="167" fontId="17" fillId="2" borderId="0" xfId="0" applyFont="true" applyBorder="false" applyAlignment="true" applyProtection="false">
      <alignment horizontal="center" vertical="bottom" textRotation="0" wrapText="false" indent="0" shrinkToFit="false"/>
      <protection locked="true" hidden="false"/>
    </xf>
    <xf numFmtId="167" fontId="19" fillId="0" borderId="0" xfId="0" applyFont="true" applyBorder="false" applyAlignment="true" applyProtection="false">
      <alignment horizontal="right"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5" fontId="19"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1" shrinkToFit="false"/>
      <protection locked="true" hidden="false"/>
    </xf>
    <xf numFmtId="166" fontId="19" fillId="0" borderId="0" xfId="0" applyFont="true" applyBorder="false" applyAlignment="true" applyProtection="false">
      <alignment horizontal="right" vertical="bottom" textRotation="0" wrapText="false" indent="0"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2" fillId="11"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5" fillId="12"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8" t="s">
        <v>4</v>
      </c>
      <c r="D5" s="6"/>
    </row>
    <row r="6" customFormat="false" ht="15" hidden="false" customHeight="false" outlineLevel="0" collapsed="false">
      <c r="A6" s="6"/>
      <c r="B6" s="7" t="s">
        <v>5</v>
      </c>
      <c r="C6" s="8" t="s">
        <v>6</v>
      </c>
      <c r="D6" s="6"/>
    </row>
    <row r="7" customFormat="false" ht="15" hidden="false" customHeight="false" outlineLevel="0" collapsed="false">
      <c r="A7" s="6"/>
      <c r="B7" s="7" t="s">
        <v>7</v>
      </c>
      <c r="C7" s="8" t="s">
        <v>8</v>
      </c>
      <c r="D7" s="6"/>
    </row>
    <row r="8" customFormat="false" ht="15" hidden="false" customHeight="false" outlineLevel="0" collapsed="false">
      <c r="A8" s="6"/>
      <c r="B8" s="7" t="s">
        <v>9</v>
      </c>
      <c r="C8" s="8" t="s">
        <v>10</v>
      </c>
      <c r="D8" s="6"/>
    </row>
    <row r="9" customFormat="false" ht="15" hidden="false" customHeight="false" outlineLevel="0" collapsed="false">
      <c r="A9" s="6"/>
      <c r="B9" s="6"/>
      <c r="C9" s="6"/>
      <c r="D9" s="6"/>
    </row>
    <row r="10" customFormat="false" ht="15" hidden="false" customHeight="false" outlineLevel="0" collapsed="false">
      <c r="A10" s="6"/>
      <c r="B10" s="9" t="s">
        <v>11</v>
      </c>
      <c r="C10" s="10"/>
      <c r="D10" s="10"/>
    </row>
    <row r="11" customFormat="false" ht="15" hidden="false" customHeight="false" outlineLevel="0" collapsed="false">
      <c r="A11" s="6"/>
      <c r="B11" s="7" t="s">
        <v>12</v>
      </c>
      <c r="C11" s="8" t="s">
        <v>13</v>
      </c>
      <c r="D11" s="6"/>
    </row>
    <row r="12" customFormat="false" ht="15" hidden="false" customHeight="false" outlineLevel="0" collapsed="false">
      <c r="A12" s="6"/>
      <c r="B12" s="7" t="s">
        <v>14</v>
      </c>
      <c r="C12" s="8" t="s">
        <v>15</v>
      </c>
      <c r="D12" s="6"/>
    </row>
    <row r="13" customFormat="false" ht="15" hidden="false" customHeight="false" outlineLevel="0" collapsed="false">
      <c r="A13" s="6"/>
      <c r="B13" s="7" t="s">
        <v>16</v>
      </c>
      <c r="C13" s="8" t="s">
        <v>17</v>
      </c>
      <c r="D13" s="6"/>
    </row>
    <row r="14" customFormat="false" ht="15" hidden="false" customHeight="false" outlineLevel="0" collapsed="false">
      <c r="A14" s="6"/>
      <c r="B14" s="7" t="s">
        <v>18</v>
      </c>
      <c r="C14" s="8" t="s">
        <v>19</v>
      </c>
      <c r="D14" s="6"/>
    </row>
    <row r="15" customFormat="false" ht="15" hidden="false" customHeight="false" outlineLevel="0" collapsed="false">
      <c r="A15" s="6"/>
      <c r="B15" s="7" t="s">
        <v>20</v>
      </c>
      <c r="C15" s="8" t="s">
        <v>21</v>
      </c>
      <c r="D15" s="6"/>
    </row>
    <row r="16" customFormat="false" ht="15" hidden="false" customHeight="false" outlineLevel="0" collapsed="false">
      <c r="A16" s="6"/>
      <c r="B16" s="7" t="s">
        <v>22</v>
      </c>
      <c r="C16" s="8" t="s">
        <v>23</v>
      </c>
      <c r="D16" s="6"/>
    </row>
    <row r="17" customFormat="false" ht="15" hidden="false" customHeight="false" outlineLevel="0" collapsed="false">
      <c r="A17" s="6"/>
      <c r="B17" s="7" t="s">
        <v>24</v>
      </c>
      <c r="C17" s="8" t="s">
        <v>25</v>
      </c>
      <c r="D17" s="6"/>
    </row>
    <row r="18" customFormat="false" ht="15" hidden="false" customHeight="false" outlineLevel="0" collapsed="false">
      <c r="A18" s="6"/>
      <c r="B18" s="7" t="s">
        <v>26</v>
      </c>
      <c r="C18" s="8" t="s">
        <v>27</v>
      </c>
      <c r="D18" s="6"/>
    </row>
    <row r="19" customFormat="false" ht="15" hidden="false" customHeight="false" outlineLevel="0" collapsed="false">
      <c r="A19" s="6"/>
      <c r="B19" s="7" t="s">
        <v>28</v>
      </c>
      <c r="C19" s="8" t="s">
        <v>29</v>
      </c>
      <c r="D19" s="6"/>
    </row>
    <row r="20" customFormat="false" ht="15" hidden="false" customHeight="false" outlineLevel="0" collapsed="false">
      <c r="A20" s="6"/>
      <c r="B20" s="6"/>
      <c r="C20" s="6"/>
      <c r="D20" s="6"/>
    </row>
    <row r="21" customFormat="false" ht="15" hidden="false" customHeight="false" outlineLevel="0" collapsed="false">
      <c r="A21" s="6"/>
      <c r="B21" s="9" t="s">
        <v>30</v>
      </c>
      <c r="C21" s="10"/>
      <c r="D21" s="10"/>
    </row>
    <row r="22" customFormat="false" ht="15" hidden="false" customHeight="false" outlineLevel="0" collapsed="false">
      <c r="A22" s="6"/>
      <c r="B22" s="7" t="s">
        <v>31</v>
      </c>
      <c r="C22" s="8" t="s">
        <v>32</v>
      </c>
      <c r="D22" s="11"/>
    </row>
    <row r="23" customFormat="false" ht="15" hidden="false" customHeight="false" outlineLevel="0" collapsed="false">
      <c r="A23" s="6"/>
      <c r="B23" s="7" t="s">
        <v>33</v>
      </c>
      <c r="C23" s="8" t="s">
        <v>34</v>
      </c>
      <c r="D23" s="12"/>
    </row>
    <row r="24" customFormat="false" ht="15" hidden="false" customHeight="false" outlineLevel="0" collapsed="false">
      <c r="A24" s="6"/>
      <c r="B24" s="7" t="s">
        <v>35</v>
      </c>
      <c r="C24" s="8" t="s">
        <v>36</v>
      </c>
      <c r="D24" s="13"/>
    </row>
    <row r="25" customFormat="false" ht="15" hidden="false" customHeight="false" outlineLevel="0" collapsed="false">
      <c r="A25" s="6"/>
      <c r="B25" s="7" t="s">
        <v>37</v>
      </c>
      <c r="C25" s="8" t="s">
        <v>38</v>
      </c>
      <c r="D25" s="14"/>
    </row>
    <row r="26" customFormat="false" ht="15" hidden="false" customHeight="false" outlineLevel="0" collapsed="false">
      <c r="A26" s="6"/>
      <c r="B26" s="7" t="s">
        <v>39</v>
      </c>
      <c r="C26" s="8" t="s">
        <v>40</v>
      </c>
      <c r="D26" s="15"/>
    </row>
    <row r="27" customFormat="false" ht="15" hidden="false" customHeight="false" outlineLevel="0" collapsed="false">
      <c r="A27" s="6"/>
      <c r="B27" s="7" t="s">
        <v>41</v>
      </c>
      <c r="C27" s="8" t="s">
        <v>28</v>
      </c>
      <c r="D27" s="16"/>
    </row>
    <row r="30" customFormat="false" ht="19.5" hidden="false" customHeight="true" outlineLevel="0" collapsed="false">
      <c r="B30" s="17" t="s">
        <v>42</v>
      </c>
      <c r="C30" s="18"/>
      <c r="D30" s="18"/>
      <c r="E30" s="18"/>
      <c r="F30" s="18"/>
      <c r="G30" s="18"/>
    </row>
    <row r="31" customFormat="false" ht="246" hidden="false" customHeight="true" outlineLevel="0" collapsed="false">
      <c r="B31" s="19" t="s">
        <v>43</v>
      </c>
      <c r="C31" s="19"/>
      <c r="D31" s="19"/>
      <c r="E31" s="19"/>
      <c r="F31" s="19"/>
      <c r="G31" s="19"/>
    </row>
    <row r="33" customFormat="false" ht="19.5" hidden="false" customHeight="true" outlineLevel="0" collapsed="false">
      <c r="B33" s="17" t="s">
        <v>44</v>
      </c>
      <c r="C33" s="18"/>
      <c r="D33" s="18"/>
      <c r="E33" s="18"/>
      <c r="F33" s="18"/>
      <c r="G33" s="18"/>
    </row>
    <row r="34" customFormat="false" ht="57" hidden="false" customHeight="true" outlineLevel="0" collapsed="false">
      <c r="B34" s="19" t="s">
        <v>45</v>
      </c>
      <c r="C34" s="19"/>
      <c r="D34" s="19"/>
      <c r="E34" s="19"/>
      <c r="F34" s="19"/>
      <c r="G34" s="19"/>
    </row>
    <row r="35" customFormat="false" ht="15" hidden="false" customHeight="false" outlineLevel="0" collapsed="false">
      <c r="B35" s="20" t="s">
        <v>46</v>
      </c>
      <c r="C35" s="20"/>
      <c r="D35" s="20"/>
      <c r="E35" s="20"/>
      <c r="F35" s="20"/>
      <c r="G35" s="20"/>
    </row>
    <row r="36" customFormat="false" ht="15" hidden="false" customHeight="false" outlineLevel="0" collapsed="false">
      <c r="B36" s="21" t="s">
        <v>47</v>
      </c>
    </row>
  </sheetData>
  <mergeCells count="3">
    <mergeCell ref="B31:G31"/>
    <mergeCell ref="B34:G34"/>
    <mergeCell ref="B35:G3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290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291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9" t="s">
        <v>28</v>
      </c>
      <c r="C7" s="10"/>
      <c r="D7" s="10"/>
      <c r="E7" s="10"/>
      <c r="F7" s="10"/>
      <c r="G7" s="10"/>
    </row>
    <row r="8" customFormat="false" ht="15" hidden="false" customHeight="false" outlineLevel="0" collapsed="false">
      <c r="A8" s="6"/>
      <c r="B8" s="8" t="s">
        <v>292</v>
      </c>
      <c r="C8" s="38" t="str">
        <f aca="false">IF(ABS(BS_Total_Assets-BS_Total_LE)&lt;1,"PASS","FAIL")</f>
        <v>PASS</v>
      </c>
      <c r="D8" s="38" t="str">
        <f aca="false">IF(ABS(BS_Total_Assets-BS_Total_LE)&lt;1,"PASS","FAIL")</f>
        <v>PASS</v>
      </c>
      <c r="E8" s="38" t="str">
        <f aca="false">IF(ABS(BS_Total_Assets-BS_Total_LE)&lt;1,"PASS","FAIL")</f>
        <v>PASS</v>
      </c>
      <c r="F8" s="38" t="str">
        <f aca="false">IF(ABS(BS_Total_Assets-BS_Total_LE)&lt;1,"PASS","FAIL")</f>
        <v>PASS</v>
      </c>
      <c r="G8" s="38" t="str">
        <f aca="false">IF(ABS(BS_Total_Assets-BS_Total_LE)&lt;1,"PASS","FAIL")</f>
        <v>PASS</v>
      </c>
    </row>
    <row r="9" customFormat="false" ht="15" hidden="false" customHeight="false" outlineLevel="0" collapsed="false">
      <c r="A9" s="6"/>
      <c r="B9" s="8" t="s">
        <v>293</v>
      </c>
      <c r="C9" s="38" t="str">
        <f aca="false">IF(CF_Closing_Cash&gt;=0,"PASS","FAIL")</f>
        <v>PASS</v>
      </c>
      <c r="D9" s="38" t="str">
        <f aca="false">IF(CF_Closing_Cash&gt;=0,"PASS","FAIL")</f>
        <v>PASS</v>
      </c>
      <c r="E9" s="38" t="str">
        <f aca="false">IF(CF_Closing_Cash&gt;=0,"PASS","FAIL")</f>
        <v>PASS</v>
      </c>
      <c r="F9" s="38" t="str">
        <f aca="false">IF(CF_Closing_Cash&gt;=0,"PASS","FAIL")</f>
        <v>PASS</v>
      </c>
      <c r="G9" s="38" t="str">
        <f aca="false">IF(CF_Closing_Cash&gt;=0,"PASS","FAIL")</f>
        <v>PASS</v>
      </c>
    </row>
    <row r="10" customFormat="false" ht="15" hidden="false" customHeight="false" outlineLevel="0" collapsed="false">
      <c r="A10" s="6"/>
      <c r="B10" s="8" t="s">
        <v>294</v>
      </c>
      <c r="C10" s="38" t="str">
        <f aca="false">IF(CF_Closing_Cash&gt;=UVB_Avg_AUC*Reg_Capital_Pct,"PASS","FAIL")</f>
        <v>PASS</v>
      </c>
      <c r="D10" s="38" t="str">
        <f aca="false">IF(CF_Closing_Cash&gt;=UVB_Avg_AUC*Reg_Capital_Pct,"PASS","FAIL")</f>
        <v>PASS</v>
      </c>
      <c r="E10" s="38" t="str">
        <f aca="false">IF(CF_Closing_Cash&gt;=UVB_Avg_AUC*Reg_Capital_Pct,"PASS","FAIL")</f>
        <v>PASS</v>
      </c>
      <c r="F10" s="38" t="str">
        <f aca="false">IF(CF_Closing_Cash&gt;=UVB_Avg_AUC*Reg_Capital_Pct,"PASS","FAIL")</f>
        <v>PASS</v>
      </c>
      <c r="G10" s="38" t="str">
        <f aca="false">IF(CF_Closing_Cash&gt;=UVB_Avg_AUC*Reg_Capital_Pct,"PASS","FAIL")</f>
        <v>PASS</v>
      </c>
    </row>
    <row r="11" customFormat="false" ht="15" hidden="false" customHeight="false" outlineLevel="0" collapsed="false">
      <c r="A11" s="6"/>
      <c r="B11" s="8" t="s">
        <v>295</v>
      </c>
      <c r="C11" s="38" t="str">
        <f aca="false">IF(ABS(CF_Opening_Cash+CF_CFO+CF_CFI+CF_CFF-CF_Closing_Cash)&lt;1,"PASS","FAIL")</f>
        <v>PASS</v>
      </c>
      <c r="D11" s="38" t="str">
        <f aca="false">IF(ABS(CF_Opening_Cash+CF_CFO+CF_CFI+CF_CFF-CF_Closing_Cash)&lt;1,"PASS","FAIL")</f>
        <v>PASS</v>
      </c>
      <c r="E11" s="38" t="str">
        <f aca="false">IF(ABS(CF_Opening_Cash+CF_CFO+CF_CFI+CF_CFF-CF_Closing_Cash)&lt;1,"PASS","FAIL")</f>
        <v>PASS</v>
      </c>
      <c r="F11" s="38" t="str">
        <f aca="false">IF(ABS(CF_Opening_Cash+CF_CFO+CF_CFI+CF_CFF-CF_Closing_Cash)&lt;1,"PASS","FAIL")</f>
        <v>PASS</v>
      </c>
      <c r="G11" s="38" t="str">
        <f aca="false">IF(ABS(CF_Opening_Cash+CF_CFO+CF_CFI+CF_CFF-CF_Closing_Cash)&lt;1,"PASS","FAIL")</f>
        <v>PASS</v>
      </c>
    </row>
    <row r="12" customFormat="false" ht="15" hidden="false" customHeight="false" outlineLevel="0" collapsed="false">
      <c r="A12" s="6"/>
      <c r="B12" s="8" t="s">
        <v>296</v>
      </c>
      <c r="C12" s="38" t="str">
        <f aca="false">IF(IFERROR(IS_EBITDA/IS_Total_Rev,0)&lt;0.65,"PASS","FLAG")</f>
        <v>PASS</v>
      </c>
      <c r="D12" s="38" t="str">
        <f aca="false">IF(IFERROR(IS_EBITDA/IS_Total_Rev,0)&lt;0.65,"PASS","FLAG")</f>
        <v>PASS</v>
      </c>
      <c r="E12" s="38" t="str">
        <f aca="false">IF(IFERROR(IS_EBITDA/IS_Total_Rev,0)&lt;0.65,"PASS","FLAG")</f>
        <v>PASS</v>
      </c>
      <c r="F12" s="38" t="str">
        <f aca="false">IF(IFERROR(IS_EBITDA/IS_Total_Rev,0)&lt;0.65,"PASS","FLAG")</f>
        <v>PASS</v>
      </c>
      <c r="G12" s="38" t="str">
        <f aca="false">IF(IFERROR(IS_EBITDA/IS_Total_Rev,0)&lt;0.65,"PASS","FLAG")</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9" t="s">
        <v>297</v>
      </c>
    </row>
    <row r="3" customFormat="false" ht="3.75" hidden="false" customHeight="true" outlineLevel="0" collapsed="false">
      <c r="B3" s="40"/>
    </row>
    <row r="5" customFormat="false" ht="19.5" hidden="false" customHeight="true" outlineLevel="0" collapsed="false">
      <c r="B5" s="41" t="s">
        <v>298</v>
      </c>
    </row>
    <row r="6" customFormat="false" ht="48" hidden="false" customHeight="true" outlineLevel="0" collapsed="false">
      <c r="B6" s="42" t="s">
        <v>299</v>
      </c>
    </row>
    <row r="8" customFormat="false" ht="19.5" hidden="false" customHeight="true" outlineLevel="0" collapsed="false">
      <c r="B8" s="41" t="s">
        <v>300</v>
      </c>
    </row>
    <row r="9" customFormat="false" ht="61.5" hidden="false" customHeight="true" outlineLevel="0" collapsed="false">
      <c r="B9" s="42" t="s">
        <v>301</v>
      </c>
    </row>
    <row r="11" customFormat="false" ht="19.5" hidden="false" customHeight="true" outlineLevel="0" collapsed="false">
      <c r="B11" s="41" t="s">
        <v>302</v>
      </c>
    </row>
    <row r="12" customFormat="false" ht="75.75" hidden="false" customHeight="true" outlineLevel="0" collapsed="false">
      <c r="B12" s="42" t="s">
        <v>303</v>
      </c>
    </row>
    <row r="14" customFormat="false" ht="19.5" hidden="false" customHeight="true" outlineLevel="0" collapsed="false">
      <c r="B14" s="41" t="s">
        <v>304</v>
      </c>
    </row>
    <row r="15" customFormat="false" ht="61.5" hidden="false" customHeight="true" outlineLevel="0" collapsed="false">
      <c r="B15" s="42" t="s">
        <v>305</v>
      </c>
    </row>
    <row r="17" customFormat="false" ht="19.5" hidden="false" customHeight="true" outlineLevel="0" collapsed="false">
      <c r="B17" s="41" t="s">
        <v>306</v>
      </c>
    </row>
    <row r="18" customFormat="false" ht="33.75" hidden="false" customHeight="true" outlineLevel="0" collapsed="false">
      <c r="B18" s="42" t="s">
        <v>307</v>
      </c>
    </row>
    <row r="20" customFormat="false" ht="19.5" hidden="false" customHeight="true" outlineLevel="0" collapsed="false">
      <c r="B20" s="41" t="s">
        <v>308</v>
      </c>
    </row>
    <row r="21" customFormat="false" ht="33.75" hidden="false" customHeight="true" outlineLevel="0" collapsed="false">
      <c r="B21" s="42" t="s">
        <v>309</v>
      </c>
    </row>
    <row r="23" customFormat="false" ht="21.75" hidden="false" customHeight="true" outlineLevel="0" collapsed="false">
      <c r="B23" s="43" t="s">
        <v>310</v>
      </c>
    </row>
    <row r="25" customFormat="false" ht="18" hidden="false" customHeight="true" outlineLevel="0" collapsed="false">
      <c r="B25" s="44" t="s">
        <v>311</v>
      </c>
    </row>
    <row r="26" customFormat="false" ht="201.75" hidden="false" customHeight="true" outlineLevel="0" collapsed="false">
      <c r="B26" s="45" t="s">
        <v>312</v>
      </c>
    </row>
    <row r="28" customFormat="false" ht="18" hidden="false" customHeight="true" outlineLevel="0" collapsed="false">
      <c r="B28" s="46" t="s">
        <v>313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7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48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t="s">
        <v>49</v>
      </c>
      <c r="C5" s="22" t="s">
        <v>50</v>
      </c>
      <c r="D5" s="22" t="s">
        <v>51</v>
      </c>
      <c r="E5" s="22" t="s">
        <v>52</v>
      </c>
      <c r="F5" s="6"/>
      <c r="G5" s="6"/>
    </row>
    <row r="6" customFormat="false" ht="15" hidden="false" customHeight="false" outlineLevel="0" collapsed="false">
      <c r="A6" s="6"/>
      <c r="B6" s="6"/>
      <c r="C6" s="6"/>
      <c r="D6" s="6"/>
      <c r="E6" s="6"/>
      <c r="F6" s="6"/>
      <c r="G6" s="6"/>
    </row>
    <row r="7" customFormat="false" ht="15" hidden="false" customHeight="false" outlineLevel="0" collapsed="false">
      <c r="A7" s="6"/>
      <c r="B7" s="9" t="s">
        <v>53</v>
      </c>
      <c r="C7" s="10"/>
      <c r="D7" s="10"/>
      <c r="E7" s="10"/>
      <c r="F7" s="10"/>
      <c r="G7" s="10"/>
    </row>
    <row r="8" customFormat="false" ht="15" hidden="false" customHeight="false" outlineLevel="0" collapsed="false">
      <c r="A8" s="6"/>
      <c r="B8" s="8" t="s">
        <v>54</v>
      </c>
      <c r="C8" s="23" t="n">
        <v>2026</v>
      </c>
      <c r="D8" s="24"/>
      <c r="E8" s="24" t="s">
        <v>55</v>
      </c>
      <c r="F8" s="6"/>
      <c r="G8" s="6"/>
    </row>
    <row r="9" customFormat="false" ht="15" hidden="false" customHeight="false" outlineLevel="0" collapsed="false">
      <c r="A9" s="6"/>
      <c r="B9" s="6"/>
      <c r="C9" s="6"/>
      <c r="D9" s="6"/>
      <c r="E9" s="6"/>
      <c r="F9" s="6"/>
      <c r="G9" s="6"/>
    </row>
    <row r="10" customFormat="false" ht="15" hidden="false" customHeight="false" outlineLevel="0" collapsed="false">
      <c r="A10" s="6"/>
      <c r="B10" s="9" t="s">
        <v>56</v>
      </c>
      <c r="C10" s="10"/>
      <c r="D10" s="10"/>
      <c r="E10" s="10"/>
      <c r="F10" s="10"/>
      <c r="G10" s="10"/>
    </row>
    <row r="11" customFormat="false" ht="15" hidden="false" customHeight="false" outlineLevel="0" collapsed="false">
      <c r="A11" s="6"/>
      <c r="B11" s="8" t="s">
        <v>57</v>
      </c>
      <c r="C11" s="23" t="n">
        <v>50000</v>
      </c>
      <c r="D11" s="24" t="s">
        <v>58</v>
      </c>
      <c r="E11" s="24" t="s">
        <v>59</v>
      </c>
      <c r="F11" s="6"/>
      <c r="G11" s="6"/>
    </row>
    <row r="12" customFormat="false" ht="15" hidden="false" customHeight="false" outlineLevel="0" collapsed="false">
      <c r="A12" s="6"/>
      <c r="B12" s="8" t="s">
        <v>60</v>
      </c>
      <c r="C12" s="25" t="n">
        <v>0.8</v>
      </c>
      <c r="D12" s="24" t="s">
        <v>61</v>
      </c>
      <c r="E12" s="24" t="s">
        <v>62</v>
      </c>
      <c r="F12" s="6"/>
      <c r="G12" s="6"/>
    </row>
    <row r="13" customFormat="false" ht="15" hidden="false" customHeight="false" outlineLevel="0" collapsed="false">
      <c r="A13" s="6"/>
      <c r="B13" s="8" t="s">
        <v>63</v>
      </c>
      <c r="C13" s="25" t="n">
        <v>0.5</v>
      </c>
      <c r="D13" s="24" t="s">
        <v>61</v>
      </c>
      <c r="E13" s="24"/>
      <c r="F13" s="6"/>
      <c r="G13" s="6"/>
    </row>
    <row r="14" customFormat="false" ht="15" hidden="false" customHeight="false" outlineLevel="0" collapsed="false">
      <c r="A14" s="6"/>
      <c r="B14" s="8" t="s">
        <v>64</v>
      </c>
      <c r="C14" s="25" t="n">
        <v>0.35</v>
      </c>
      <c r="D14" s="24" t="s">
        <v>61</v>
      </c>
      <c r="E14" s="24"/>
      <c r="F14" s="6"/>
      <c r="G14" s="6"/>
    </row>
    <row r="15" customFormat="false" ht="15" hidden="false" customHeight="false" outlineLevel="0" collapsed="false">
      <c r="A15" s="6"/>
      <c r="B15" s="8" t="s">
        <v>65</v>
      </c>
      <c r="C15" s="25" t="n">
        <v>0.25</v>
      </c>
      <c r="D15" s="24" t="s">
        <v>61</v>
      </c>
      <c r="E15" s="24"/>
      <c r="F15" s="6"/>
      <c r="G15" s="6"/>
    </row>
    <row r="16" customFormat="false" ht="15" hidden="false" customHeight="false" outlineLevel="0" collapsed="false">
      <c r="A16" s="6"/>
      <c r="B16" s="8" t="s">
        <v>66</v>
      </c>
      <c r="C16" s="25" t="n">
        <v>0.2</v>
      </c>
      <c r="D16" s="24" t="s">
        <v>61</v>
      </c>
      <c r="E16" s="24" t="s">
        <v>67</v>
      </c>
      <c r="F16" s="6"/>
      <c r="G16" s="6"/>
    </row>
    <row r="17" customFormat="false" ht="15" hidden="false" customHeight="false" outlineLevel="0" collapsed="false">
      <c r="A17" s="6"/>
      <c r="B17" s="8" t="s">
        <v>68</v>
      </c>
      <c r="C17" s="25" t="n">
        <v>0.05</v>
      </c>
      <c r="D17" s="24" t="s">
        <v>61</v>
      </c>
      <c r="E17" s="24" t="s">
        <v>69</v>
      </c>
      <c r="F17" s="6"/>
      <c r="G17" s="6"/>
    </row>
    <row r="18" customFormat="false" ht="15" hidden="false" customHeight="false" outlineLevel="0" collapsed="false">
      <c r="A18" s="6"/>
      <c r="B18" s="6"/>
      <c r="C18" s="6"/>
      <c r="D18" s="6"/>
      <c r="E18" s="6"/>
      <c r="F18" s="6"/>
      <c r="G18" s="6"/>
    </row>
    <row r="19" customFormat="false" ht="15" hidden="false" customHeight="false" outlineLevel="0" collapsed="false">
      <c r="A19" s="6"/>
      <c r="B19" s="9" t="s">
        <v>70</v>
      </c>
      <c r="C19" s="10"/>
      <c r="D19" s="10"/>
      <c r="E19" s="10"/>
      <c r="F19" s="10"/>
      <c r="G19" s="10"/>
    </row>
    <row r="20" customFormat="false" ht="15" hidden="false" customHeight="false" outlineLevel="0" collapsed="false">
      <c r="A20" s="6"/>
      <c r="B20" s="8" t="s">
        <v>71</v>
      </c>
      <c r="C20" s="23" t="n">
        <v>5000</v>
      </c>
      <c r="D20" s="24" t="s">
        <v>72</v>
      </c>
      <c r="E20" s="24" t="s">
        <v>73</v>
      </c>
      <c r="F20" s="6"/>
      <c r="G20" s="6"/>
    </row>
    <row r="21" customFormat="false" ht="15" hidden="false" customHeight="false" outlineLevel="0" collapsed="false">
      <c r="A21" s="6"/>
      <c r="B21" s="8" t="s">
        <v>74</v>
      </c>
      <c r="C21" s="25" t="n">
        <v>0.1</v>
      </c>
      <c r="D21" s="24" t="s">
        <v>61</v>
      </c>
      <c r="E21" s="24" t="s">
        <v>75</v>
      </c>
      <c r="F21" s="6"/>
      <c r="G21" s="6"/>
    </row>
    <row r="22" customFormat="false" ht="15" hidden="false" customHeight="false" outlineLevel="0" collapsed="false">
      <c r="A22" s="6"/>
      <c r="B22" s="8" t="s">
        <v>76</v>
      </c>
      <c r="C22" s="23" t="n">
        <v>2</v>
      </c>
      <c r="D22" s="24" t="s">
        <v>77</v>
      </c>
      <c r="E22" s="24" t="s">
        <v>78</v>
      </c>
      <c r="F22" s="6"/>
      <c r="G22" s="6"/>
    </row>
    <row r="23" customFormat="false" ht="15" hidden="false" customHeight="false" outlineLevel="0" collapsed="false">
      <c r="A23" s="6"/>
      <c r="B23" s="8" t="s">
        <v>79</v>
      </c>
      <c r="C23" s="23" t="n">
        <v>500000000</v>
      </c>
      <c r="D23" s="24" t="s">
        <v>80</v>
      </c>
      <c r="E23" s="24" t="s">
        <v>81</v>
      </c>
      <c r="F23" s="6"/>
      <c r="G23" s="6"/>
    </row>
    <row r="24" customFormat="false" ht="15" hidden="false" customHeight="false" outlineLevel="0" collapsed="false">
      <c r="A24" s="6"/>
      <c r="B24" s="8" t="s">
        <v>82</v>
      </c>
      <c r="C24" s="25" t="n">
        <v>0.15</v>
      </c>
      <c r="D24" s="24" t="s">
        <v>61</v>
      </c>
      <c r="E24" s="24" t="s">
        <v>83</v>
      </c>
      <c r="F24" s="6"/>
      <c r="G24" s="6"/>
    </row>
    <row r="25" customFormat="false" ht="15" hidden="false" customHeight="false" outlineLevel="0" collapsed="false">
      <c r="A25" s="6"/>
      <c r="B25" s="8" t="s">
        <v>84</v>
      </c>
      <c r="C25" s="25" t="n">
        <v>0.1</v>
      </c>
      <c r="D25" s="24" t="s">
        <v>61</v>
      </c>
      <c r="E25" s="24" t="s">
        <v>85</v>
      </c>
      <c r="F25" s="6"/>
      <c r="G25" s="6"/>
    </row>
    <row r="26" customFormat="false" ht="15" hidden="false" customHeight="false" outlineLevel="0" collapsed="false">
      <c r="A26" s="6"/>
      <c r="B26" s="8" t="s">
        <v>86</v>
      </c>
      <c r="C26" s="25" t="n">
        <v>0.3</v>
      </c>
      <c r="D26" s="24" t="s">
        <v>61</v>
      </c>
      <c r="E26" s="24" t="s">
        <v>87</v>
      </c>
      <c r="F26" s="6"/>
      <c r="G26" s="6"/>
    </row>
    <row r="27" customFormat="false" ht="15" hidden="false" customHeight="false" outlineLevel="0" collapsed="false">
      <c r="A27" s="6"/>
      <c r="B27" s="6"/>
      <c r="C27" s="6"/>
      <c r="D27" s="6"/>
      <c r="E27" s="6"/>
      <c r="F27" s="6"/>
      <c r="G27" s="6"/>
    </row>
    <row r="28" customFormat="false" ht="15" hidden="false" customHeight="false" outlineLevel="0" collapsed="false">
      <c r="A28" s="6"/>
      <c r="B28" s="9" t="s">
        <v>88</v>
      </c>
      <c r="C28" s="10"/>
      <c r="D28" s="10"/>
      <c r="E28" s="10"/>
      <c r="F28" s="10"/>
      <c r="G28" s="10"/>
    </row>
    <row r="29" customFormat="false" ht="15" hidden="false" customHeight="false" outlineLevel="0" collapsed="false">
      <c r="A29" s="6"/>
      <c r="B29" s="8" t="s">
        <v>89</v>
      </c>
      <c r="C29" s="23" t="n">
        <v>150</v>
      </c>
      <c r="D29" s="24" t="s">
        <v>90</v>
      </c>
      <c r="E29" s="24" t="s">
        <v>91</v>
      </c>
      <c r="F29" s="6"/>
      <c r="G29" s="6"/>
    </row>
    <row r="30" customFormat="false" ht="15" hidden="false" customHeight="false" outlineLevel="0" collapsed="false">
      <c r="A30" s="6"/>
      <c r="B30" s="8" t="s">
        <v>92</v>
      </c>
      <c r="C30" s="23" t="n">
        <v>10</v>
      </c>
      <c r="D30" s="24" t="s">
        <v>90</v>
      </c>
      <c r="E30" s="24" t="s">
        <v>93</v>
      </c>
      <c r="F30" s="6"/>
      <c r="G30" s="6"/>
    </row>
    <row r="31" customFormat="false" ht="15" hidden="false" customHeight="false" outlineLevel="0" collapsed="false">
      <c r="A31" s="6"/>
      <c r="B31" s="8" t="s">
        <v>94</v>
      </c>
      <c r="C31" s="25" t="n">
        <v>0.3</v>
      </c>
      <c r="D31" s="24" t="s">
        <v>61</v>
      </c>
      <c r="E31" s="24" t="s">
        <v>95</v>
      </c>
      <c r="F31" s="6"/>
      <c r="G31" s="6"/>
    </row>
    <row r="32" customFormat="false" ht="15" hidden="false" customHeight="false" outlineLevel="0" collapsed="false">
      <c r="A32" s="6"/>
      <c r="B32" s="8" t="s">
        <v>96</v>
      </c>
      <c r="C32" s="23" t="n">
        <v>3</v>
      </c>
      <c r="D32" s="24" t="s">
        <v>90</v>
      </c>
      <c r="E32" s="24" t="s">
        <v>97</v>
      </c>
      <c r="F32" s="6"/>
      <c r="G32" s="6"/>
    </row>
    <row r="33" customFormat="false" ht="15" hidden="false" customHeight="false" outlineLevel="0" collapsed="false">
      <c r="A33" s="6"/>
      <c r="B33" s="8" t="s">
        <v>98</v>
      </c>
      <c r="C33" s="23" t="n">
        <v>15</v>
      </c>
      <c r="D33" s="24" t="s">
        <v>90</v>
      </c>
      <c r="E33" s="24" t="s">
        <v>99</v>
      </c>
      <c r="F33" s="6"/>
      <c r="G33" s="6"/>
    </row>
    <row r="34" customFormat="false" ht="15" hidden="false" customHeight="false" outlineLevel="0" collapsed="false">
      <c r="A34" s="6"/>
      <c r="B34" s="8" t="s">
        <v>100</v>
      </c>
      <c r="C34" s="25" t="n">
        <v>0.25</v>
      </c>
      <c r="D34" s="24" t="s">
        <v>61</v>
      </c>
      <c r="E34" s="24" t="s">
        <v>101</v>
      </c>
      <c r="F34" s="6"/>
      <c r="G34" s="6"/>
    </row>
    <row r="35" customFormat="false" ht="15" hidden="false" customHeight="false" outlineLevel="0" collapsed="false">
      <c r="A35" s="6"/>
      <c r="B35" s="8" t="s">
        <v>102</v>
      </c>
      <c r="C35" s="25" t="n">
        <v>0.045</v>
      </c>
      <c r="D35" s="24" t="s">
        <v>61</v>
      </c>
      <c r="E35" s="24" t="s">
        <v>103</v>
      </c>
      <c r="F35" s="6"/>
      <c r="G35" s="6"/>
    </row>
    <row r="36" customFormat="false" ht="15" hidden="false" customHeight="false" outlineLevel="0" collapsed="false">
      <c r="A36" s="6"/>
      <c r="B36" s="6"/>
      <c r="C36" s="6"/>
      <c r="D36" s="6"/>
      <c r="E36" s="6"/>
      <c r="F36" s="6"/>
      <c r="G36" s="6"/>
    </row>
    <row r="37" customFormat="false" ht="15" hidden="false" customHeight="false" outlineLevel="0" collapsed="false">
      <c r="A37" s="6"/>
      <c r="B37" s="9" t="s">
        <v>104</v>
      </c>
      <c r="C37" s="10"/>
      <c r="D37" s="10"/>
      <c r="E37" s="10"/>
      <c r="F37" s="10"/>
      <c r="G37" s="10"/>
    </row>
    <row r="38" customFormat="false" ht="15" hidden="false" customHeight="false" outlineLevel="0" collapsed="false">
      <c r="A38" s="6"/>
      <c r="B38" s="8" t="s">
        <v>105</v>
      </c>
      <c r="C38" s="25" t="n">
        <v>0.015</v>
      </c>
      <c r="D38" s="24" t="s">
        <v>61</v>
      </c>
      <c r="E38" s="24" t="s">
        <v>106</v>
      </c>
      <c r="F38" s="6"/>
      <c r="G38" s="6"/>
    </row>
    <row r="39" customFormat="false" ht="15" hidden="false" customHeight="false" outlineLevel="0" collapsed="false">
      <c r="A39" s="6"/>
      <c r="B39" s="8" t="s">
        <v>107</v>
      </c>
      <c r="C39" s="25" t="n">
        <v>0.02</v>
      </c>
      <c r="D39" s="24" t="s">
        <v>61</v>
      </c>
      <c r="E39" s="24" t="s">
        <v>108</v>
      </c>
      <c r="F39" s="6"/>
      <c r="G39" s="6"/>
    </row>
    <row r="40" customFormat="false" ht="15" hidden="false" customHeight="false" outlineLevel="0" collapsed="false">
      <c r="A40" s="6"/>
      <c r="B40" s="8" t="s">
        <v>109</v>
      </c>
      <c r="C40" s="23" t="n">
        <v>3.5</v>
      </c>
      <c r="D40" s="24" t="s">
        <v>80</v>
      </c>
      <c r="E40" s="24" t="s">
        <v>110</v>
      </c>
      <c r="F40" s="6"/>
      <c r="G40" s="6"/>
    </row>
    <row r="41" customFormat="false" ht="15" hidden="false" customHeight="false" outlineLevel="0" collapsed="false">
      <c r="A41" s="6"/>
      <c r="B41" s="8" t="s">
        <v>111</v>
      </c>
      <c r="C41" s="25" t="n">
        <v>0.05</v>
      </c>
      <c r="D41" s="24" t="s">
        <v>61</v>
      </c>
      <c r="E41" s="24" t="s">
        <v>112</v>
      </c>
      <c r="F41" s="6"/>
      <c r="G41" s="6"/>
    </row>
    <row r="42" customFormat="false" ht="15" hidden="false" customHeight="false" outlineLevel="0" collapsed="false">
      <c r="A42" s="6"/>
      <c r="B42" s="6"/>
      <c r="C42" s="6"/>
      <c r="D42" s="6"/>
      <c r="E42" s="6"/>
      <c r="F42" s="6"/>
      <c r="G42" s="6"/>
    </row>
    <row r="43" customFormat="false" ht="15" hidden="false" customHeight="false" outlineLevel="0" collapsed="false">
      <c r="A43" s="6"/>
      <c r="B43" s="9" t="s">
        <v>113</v>
      </c>
      <c r="C43" s="10"/>
      <c r="D43" s="10"/>
      <c r="E43" s="10"/>
      <c r="F43" s="10"/>
      <c r="G43" s="10"/>
    </row>
    <row r="44" customFormat="false" ht="15" hidden="false" customHeight="false" outlineLevel="0" collapsed="false">
      <c r="A44" s="6"/>
      <c r="B44" s="8" t="s">
        <v>114</v>
      </c>
      <c r="C44" s="23" t="n">
        <v>40</v>
      </c>
      <c r="D44" s="24" t="s">
        <v>115</v>
      </c>
      <c r="E44" s="24"/>
      <c r="F44" s="6"/>
      <c r="G44" s="6"/>
    </row>
    <row r="45" customFormat="false" ht="15" hidden="false" customHeight="false" outlineLevel="0" collapsed="false">
      <c r="A45" s="6"/>
      <c r="B45" s="8" t="s">
        <v>116</v>
      </c>
      <c r="C45" s="23" t="n">
        <v>180000</v>
      </c>
      <c r="D45" s="24" t="s">
        <v>80</v>
      </c>
      <c r="E45" s="24" t="s">
        <v>117</v>
      </c>
      <c r="F45" s="6"/>
      <c r="G45" s="6"/>
    </row>
    <row r="46" customFormat="false" ht="15" hidden="false" customHeight="false" outlineLevel="0" collapsed="false">
      <c r="A46" s="6"/>
      <c r="B46" s="8" t="s">
        <v>118</v>
      </c>
      <c r="C46" s="23" t="n">
        <v>15</v>
      </c>
      <c r="D46" s="24" t="s">
        <v>115</v>
      </c>
      <c r="E46" s="24"/>
      <c r="F46" s="6"/>
      <c r="G46" s="6"/>
    </row>
    <row r="47" customFormat="false" ht="15" hidden="false" customHeight="false" outlineLevel="0" collapsed="false">
      <c r="A47" s="6"/>
      <c r="B47" s="8" t="s">
        <v>119</v>
      </c>
      <c r="C47" s="23" t="n">
        <v>150000</v>
      </c>
      <c r="D47" s="24" t="s">
        <v>80</v>
      </c>
      <c r="E47" s="24"/>
      <c r="F47" s="6"/>
      <c r="G47" s="6"/>
    </row>
    <row r="48" customFormat="false" ht="15" hidden="false" customHeight="false" outlineLevel="0" collapsed="false">
      <c r="A48" s="6"/>
      <c r="B48" s="8" t="s">
        <v>120</v>
      </c>
      <c r="C48" s="23" t="n">
        <v>20</v>
      </c>
      <c r="D48" s="24" t="s">
        <v>115</v>
      </c>
      <c r="E48" s="24"/>
      <c r="F48" s="6"/>
      <c r="G48" s="6"/>
    </row>
    <row r="49" customFormat="false" ht="15" hidden="false" customHeight="false" outlineLevel="0" collapsed="false">
      <c r="A49" s="6"/>
      <c r="B49" s="8" t="s">
        <v>121</v>
      </c>
      <c r="C49" s="23" t="n">
        <v>75000</v>
      </c>
      <c r="D49" s="24" t="s">
        <v>80</v>
      </c>
      <c r="E49" s="24"/>
      <c r="F49" s="6"/>
      <c r="G49" s="6"/>
    </row>
    <row r="50" customFormat="false" ht="15" hidden="false" customHeight="false" outlineLevel="0" collapsed="false">
      <c r="A50" s="6"/>
      <c r="B50" s="8" t="s">
        <v>122</v>
      </c>
      <c r="C50" s="23" t="n">
        <v>10</v>
      </c>
      <c r="D50" s="24" t="s">
        <v>115</v>
      </c>
      <c r="E50" s="24"/>
      <c r="F50" s="6"/>
      <c r="G50" s="6"/>
    </row>
    <row r="51" customFormat="false" ht="15" hidden="false" customHeight="false" outlineLevel="0" collapsed="false">
      <c r="A51" s="6"/>
      <c r="B51" s="8" t="s">
        <v>123</v>
      </c>
      <c r="C51" s="23" t="n">
        <v>120000</v>
      </c>
      <c r="D51" s="24" t="s">
        <v>80</v>
      </c>
      <c r="E51" s="24"/>
      <c r="F51" s="6"/>
      <c r="G51" s="6"/>
    </row>
    <row r="52" customFormat="false" ht="15" hidden="false" customHeight="false" outlineLevel="0" collapsed="false">
      <c r="A52" s="6"/>
      <c r="B52" s="8" t="s">
        <v>124</v>
      </c>
      <c r="C52" s="25" t="n">
        <v>0.03</v>
      </c>
      <c r="D52" s="24" t="s">
        <v>61</v>
      </c>
      <c r="E52" s="24" t="s">
        <v>125</v>
      </c>
      <c r="F52" s="6"/>
      <c r="G52" s="6"/>
    </row>
    <row r="53" customFormat="false" ht="15" hidden="false" customHeight="false" outlineLevel="0" collapsed="false">
      <c r="A53" s="6"/>
      <c r="B53" s="8" t="s">
        <v>126</v>
      </c>
      <c r="C53" s="23" t="n">
        <v>120</v>
      </c>
      <c r="D53" s="24" t="s">
        <v>80</v>
      </c>
      <c r="E53" s="24" t="s">
        <v>127</v>
      </c>
      <c r="F53" s="6"/>
      <c r="G53" s="6"/>
    </row>
    <row r="54" customFormat="false" ht="15" hidden="false" customHeight="false" outlineLevel="0" collapsed="false">
      <c r="A54" s="6"/>
      <c r="B54" s="8" t="s">
        <v>128</v>
      </c>
      <c r="C54" s="25" t="n">
        <v>0.06</v>
      </c>
      <c r="D54" s="24" t="s">
        <v>61</v>
      </c>
      <c r="E54" s="24" t="s">
        <v>129</v>
      </c>
      <c r="F54" s="6"/>
      <c r="G54" s="6"/>
    </row>
    <row r="55" customFormat="false" ht="15" hidden="false" customHeight="false" outlineLevel="0" collapsed="false">
      <c r="A55" s="6"/>
      <c r="B55" s="8" t="s">
        <v>130</v>
      </c>
      <c r="C55" s="25" t="n">
        <v>0.03</v>
      </c>
      <c r="D55" s="24" t="s">
        <v>61</v>
      </c>
      <c r="E55" s="24" t="s">
        <v>131</v>
      </c>
      <c r="F55" s="6"/>
      <c r="G55" s="6"/>
    </row>
    <row r="56" customFormat="false" ht="15" hidden="false" customHeight="false" outlineLevel="0" collapsed="false">
      <c r="A56" s="6"/>
      <c r="B56" s="8" t="s">
        <v>132</v>
      </c>
      <c r="C56" s="23" t="n">
        <v>600000</v>
      </c>
      <c r="D56" s="24" t="s">
        <v>80</v>
      </c>
      <c r="E56" s="24" t="s">
        <v>133</v>
      </c>
      <c r="F56" s="6"/>
      <c r="G56" s="6"/>
    </row>
    <row r="57" customFormat="false" ht="15" hidden="false" customHeight="false" outlineLevel="0" collapsed="false">
      <c r="A57" s="6"/>
      <c r="B57" s="6"/>
      <c r="C57" s="6"/>
      <c r="D57" s="6"/>
      <c r="E57" s="6"/>
      <c r="F57" s="6"/>
      <c r="G57" s="6"/>
    </row>
    <row r="58" customFormat="false" ht="15" hidden="false" customHeight="false" outlineLevel="0" collapsed="false">
      <c r="A58" s="6"/>
      <c r="B58" s="9" t="s">
        <v>134</v>
      </c>
      <c r="C58" s="10"/>
      <c r="D58" s="10"/>
      <c r="E58" s="10"/>
      <c r="F58" s="10"/>
      <c r="G58" s="10"/>
    </row>
    <row r="59" customFormat="false" ht="15" hidden="false" customHeight="false" outlineLevel="0" collapsed="false">
      <c r="A59" s="6"/>
      <c r="B59" s="8" t="s">
        <v>135</v>
      </c>
      <c r="C59" s="25" t="n">
        <v>0.6</v>
      </c>
      <c r="D59" s="24" t="s">
        <v>61</v>
      </c>
      <c r="E59" s="24" t="s">
        <v>136</v>
      </c>
      <c r="F59" s="6"/>
      <c r="G59" s="6"/>
    </row>
    <row r="60" customFormat="false" ht="15" hidden="false" customHeight="false" outlineLevel="0" collapsed="false">
      <c r="A60" s="6"/>
      <c r="B60" s="8" t="s">
        <v>137</v>
      </c>
      <c r="C60" s="23" t="n">
        <v>3</v>
      </c>
      <c r="D60" s="24" t="s">
        <v>138</v>
      </c>
      <c r="E60" s="24" t="s">
        <v>139</v>
      </c>
      <c r="F60" s="6"/>
      <c r="G60" s="6"/>
    </row>
    <row r="61" customFormat="false" ht="15" hidden="false" customHeight="false" outlineLevel="0" collapsed="false">
      <c r="A61" s="6"/>
      <c r="B61" s="8" t="s">
        <v>140</v>
      </c>
      <c r="C61" s="23" t="n">
        <v>200000</v>
      </c>
      <c r="D61" s="24" t="s">
        <v>80</v>
      </c>
      <c r="E61" s="24" t="s">
        <v>141</v>
      </c>
      <c r="F61" s="6"/>
      <c r="G61" s="6"/>
    </row>
    <row r="62" customFormat="false" ht="15" hidden="false" customHeight="false" outlineLevel="0" collapsed="false">
      <c r="A62" s="6"/>
      <c r="B62" s="8" t="s">
        <v>142</v>
      </c>
      <c r="C62" s="23" t="n">
        <v>5</v>
      </c>
      <c r="D62" s="24" t="s">
        <v>138</v>
      </c>
      <c r="E62" s="24" t="s">
        <v>143</v>
      </c>
      <c r="F62" s="6"/>
      <c r="G62" s="6"/>
    </row>
    <row r="63" customFormat="false" ht="15" hidden="false" customHeight="false" outlineLevel="0" collapsed="false">
      <c r="A63" s="6"/>
      <c r="B63" s="6"/>
      <c r="C63" s="6"/>
      <c r="D63" s="6"/>
      <c r="E63" s="6"/>
      <c r="F63" s="6"/>
      <c r="G63" s="6"/>
    </row>
    <row r="64" customFormat="false" ht="15" hidden="false" customHeight="false" outlineLevel="0" collapsed="false">
      <c r="A64" s="6"/>
      <c r="B64" s="9" t="s">
        <v>144</v>
      </c>
      <c r="C64" s="10"/>
      <c r="D64" s="10"/>
      <c r="E64" s="10"/>
      <c r="F64" s="10"/>
      <c r="G64" s="10"/>
    </row>
    <row r="65" customFormat="false" ht="15" hidden="false" customHeight="false" outlineLevel="0" collapsed="false">
      <c r="A65" s="6"/>
      <c r="B65" s="8" t="s">
        <v>145</v>
      </c>
      <c r="C65" s="23" t="n">
        <v>5</v>
      </c>
      <c r="D65" s="24" t="s">
        <v>146</v>
      </c>
      <c r="E65" s="24" t="s">
        <v>147</v>
      </c>
      <c r="F65" s="6"/>
      <c r="G65" s="6"/>
    </row>
    <row r="66" customFormat="false" ht="15" hidden="false" customHeight="false" outlineLevel="0" collapsed="false">
      <c r="A66" s="6"/>
      <c r="B66" s="8" t="s">
        <v>148</v>
      </c>
      <c r="C66" s="23" t="n">
        <v>35</v>
      </c>
      <c r="D66" s="24" t="s">
        <v>146</v>
      </c>
      <c r="E66" s="24" t="s">
        <v>149</v>
      </c>
      <c r="F66" s="6"/>
      <c r="G66" s="6"/>
    </row>
    <row r="67" customFormat="false" ht="15" hidden="false" customHeight="false" outlineLevel="0" collapsed="false">
      <c r="A67" s="6"/>
      <c r="B67" s="6"/>
      <c r="C67" s="6"/>
      <c r="D67" s="6"/>
      <c r="E67" s="6"/>
      <c r="F67" s="6"/>
      <c r="G67" s="6"/>
    </row>
    <row r="68" customFormat="false" ht="15" hidden="false" customHeight="false" outlineLevel="0" collapsed="false">
      <c r="A68" s="6"/>
      <c r="B68" s="9" t="s">
        <v>150</v>
      </c>
      <c r="C68" s="10"/>
      <c r="D68" s="10"/>
      <c r="E68" s="10"/>
      <c r="F68" s="10"/>
      <c r="G68" s="10"/>
    </row>
    <row r="69" customFormat="false" ht="15" hidden="false" customHeight="false" outlineLevel="0" collapsed="false">
      <c r="A69" s="6"/>
      <c r="B69" s="8" t="s">
        <v>151</v>
      </c>
      <c r="C69" s="25" t="n">
        <v>0.21</v>
      </c>
      <c r="D69" s="24" t="s">
        <v>61</v>
      </c>
      <c r="E69" s="24" t="s">
        <v>152</v>
      </c>
      <c r="F69" s="6"/>
      <c r="G69" s="6"/>
    </row>
    <row r="70" customFormat="false" ht="15" hidden="false" customHeight="false" outlineLevel="0" collapsed="false">
      <c r="A70" s="6"/>
      <c r="B70" s="8" t="s">
        <v>153</v>
      </c>
      <c r="C70" s="25" t="n">
        <v>0.05</v>
      </c>
      <c r="D70" s="24" t="s">
        <v>61</v>
      </c>
      <c r="E70" s="24" t="s">
        <v>154</v>
      </c>
      <c r="F70" s="6"/>
      <c r="G70" s="6"/>
    </row>
    <row r="71" customFormat="false" ht="15" hidden="false" customHeight="false" outlineLevel="0" collapsed="false">
      <c r="A71" s="6"/>
      <c r="B71" s="6"/>
      <c r="C71" s="6"/>
      <c r="D71" s="6"/>
      <c r="E71" s="6"/>
      <c r="F71" s="6"/>
      <c r="G71" s="6"/>
    </row>
    <row r="72" customFormat="false" ht="15" hidden="false" customHeight="false" outlineLevel="0" collapsed="false">
      <c r="A72" s="6"/>
      <c r="B72" s="9" t="s">
        <v>155</v>
      </c>
      <c r="C72" s="10"/>
      <c r="D72" s="10"/>
      <c r="E72" s="10"/>
      <c r="F72" s="10"/>
      <c r="G72" s="10"/>
    </row>
    <row r="73" customFormat="false" ht="15" hidden="false" customHeight="false" outlineLevel="0" collapsed="false">
      <c r="A73" s="6"/>
      <c r="B73" s="8" t="s">
        <v>156</v>
      </c>
      <c r="C73" s="23" t="n">
        <v>25000000</v>
      </c>
      <c r="D73" s="24" t="s">
        <v>80</v>
      </c>
      <c r="E73" s="24" t="s">
        <v>157</v>
      </c>
      <c r="F73" s="6"/>
      <c r="G73" s="6"/>
    </row>
    <row r="74" customFormat="false" ht="15" hidden="false" customHeight="false" outlineLevel="0" collapsed="false">
      <c r="A74" s="6"/>
      <c r="B74" s="8" t="s">
        <v>158</v>
      </c>
      <c r="C74" s="23" t="n">
        <v>25000000</v>
      </c>
      <c r="D74" s="24" t="s">
        <v>80</v>
      </c>
      <c r="E74" s="24" t="s">
        <v>159</v>
      </c>
      <c r="F74" s="6"/>
      <c r="G74"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160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161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24" t="s">
        <v>162</v>
      </c>
      <c r="C6" s="27" t="n">
        <f aca="false">COLUMN()-2</f>
        <v>1</v>
      </c>
      <c r="D6" s="27" t="n">
        <f aca="false">COLUMN()-2</f>
        <v>2</v>
      </c>
      <c r="E6" s="27" t="n">
        <f aca="false">COLUMN()-2</f>
        <v>3</v>
      </c>
      <c r="F6" s="27" t="n">
        <f aca="false">COLUMN()-2</f>
        <v>4</v>
      </c>
      <c r="G6" s="27"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163</v>
      </c>
      <c r="C8" s="10"/>
      <c r="D8" s="10"/>
      <c r="E8" s="10"/>
      <c r="F8" s="10"/>
      <c r="G8" s="10"/>
    </row>
    <row r="9" customFormat="false" ht="15" hidden="false" customHeight="false" outlineLevel="0" collapsed="false">
      <c r="A9" s="6"/>
      <c r="B9" s="8" t="s">
        <v>164</v>
      </c>
      <c r="C9" s="28" t="n">
        <f aca="false">Starting_MTU</f>
        <v>50000</v>
      </c>
      <c r="D9" s="28" t="n">
        <f aca="false">C12</f>
        <v>67018.0043831318</v>
      </c>
      <c r="E9" s="28" t="n">
        <f aca="false">D12</f>
        <v>69722.85691501</v>
      </c>
      <c r="F9" s="28" t="n">
        <f aca="false">E12</f>
        <v>62078.4489949378</v>
      </c>
      <c r="G9" s="28" t="n">
        <f aca="false">F12</f>
        <v>49064.3283895995</v>
      </c>
    </row>
    <row r="10" customFormat="false" ht="15" hidden="false" customHeight="false" outlineLevel="0" collapsed="false">
      <c r="A10" s="6"/>
      <c r="B10" s="29" t="s">
        <v>165</v>
      </c>
      <c r="C10" s="28" t="n">
        <f aca="false">C9*CHOOSE(C6,MTU_Growth_Y1,MTU_Growth_Y2,MTU_Growth_Y3,MTU_Growth_Y4,MTU_Growth_Y5)</f>
        <v>40000</v>
      </c>
      <c r="D10" s="28" t="n">
        <f aca="false">D9*CHOOSE(D6,MTU_Growth_Y1,MTU_Growth_Y2,MTU_Growth_Y3,MTU_Growth_Y4,MTU_Growth_Y5)</f>
        <v>33509.0021915659</v>
      </c>
      <c r="E10" s="28" t="n">
        <f aca="false">E9*CHOOSE(E6,MTU_Growth_Y1,MTU_Growth_Y2,MTU_Growth_Y3,MTU_Growth_Y4,MTU_Growth_Y5)</f>
        <v>24402.9999202535</v>
      </c>
      <c r="F10" s="28" t="n">
        <f aca="false">F9*CHOOSE(F6,MTU_Growth_Y1,MTU_Growth_Y2,MTU_Growth_Y3,MTU_Growth_Y4,MTU_Growth_Y5)</f>
        <v>15519.6122487344</v>
      </c>
      <c r="G10" s="28" t="n">
        <f aca="false">G9*CHOOSE(G6,MTU_Growth_Y1,MTU_Growth_Y2,MTU_Growth_Y3,MTU_Growth_Y4,MTU_Growth_Y5)</f>
        <v>9812.86567791991</v>
      </c>
    </row>
    <row r="11" customFormat="false" ht="15" hidden="false" customHeight="false" outlineLevel="0" collapsed="false">
      <c r="A11" s="6"/>
      <c r="B11" s="29" t="s">
        <v>166</v>
      </c>
      <c r="C11" s="28" t="n">
        <f aca="false">-C9*(1-(1-Monthly_Churn)^12)</f>
        <v>-22981.9956168682</v>
      </c>
      <c r="D11" s="28" t="n">
        <f aca="false">-D9*(1-(1-Monthly_Churn)^12)</f>
        <v>-30804.1496596877</v>
      </c>
      <c r="E11" s="28" t="n">
        <f aca="false">-E9*(1-(1-Monthly_Churn)^12)</f>
        <v>-32047.4078403257</v>
      </c>
      <c r="F11" s="28" t="n">
        <f aca="false">-F9*(1-(1-Monthly_Churn)^12)</f>
        <v>-28533.7328540727</v>
      </c>
      <c r="G11" s="28" t="n">
        <f aca="false">-G9*(1-(1-Monthly_Churn)^12)</f>
        <v>-22551.9235998871</v>
      </c>
    </row>
    <row r="12" customFormat="false" ht="15" hidden="false" customHeight="false" outlineLevel="0" collapsed="false">
      <c r="A12" s="6"/>
      <c r="B12" s="7" t="s">
        <v>167</v>
      </c>
      <c r="C12" s="30" t="n">
        <f aca="false">C9+C10+C11</f>
        <v>67018.0043831318</v>
      </c>
      <c r="D12" s="30" t="n">
        <f aca="false">D9+D10+D11</f>
        <v>69722.85691501</v>
      </c>
      <c r="E12" s="30" t="n">
        <f aca="false">E9+E10+E11</f>
        <v>62078.4489949378</v>
      </c>
      <c r="F12" s="30" t="n">
        <f aca="false">F9+F10+F11</f>
        <v>49064.3283895995</v>
      </c>
      <c r="G12" s="30" t="n">
        <f aca="false">G9+G10+G11</f>
        <v>36325.2704676323</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24" t="s">
        <v>168</v>
      </c>
      <c r="C14" s="31" t="n">
        <f aca="false">(C9+C12)/2</f>
        <v>58509.0021915659</v>
      </c>
      <c r="D14" s="31" t="n">
        <f aca="false">(D9+D12)/2</f>
        <v>68370.4306490709</v>
      </c>
      <c r="E14" s="31" t="n">
        <f aca="false">(E9+E12)/2</f>
        <v>65900.6529549739</v>
      </c>
      <c r="F14" s="31" t="n">
        <f aca="false">(F9+F12)/2</f>
        <v>55571.3886922687</v>
      </c>
      <c r="G14" s="31" t="n">
        <f aca="false">(G9+G12)/2</f>
        <v>42694.7994286159</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169</v>
      </c>
      <c r="C16" s="10"/>
      <c r="D16" s="10"/>
      <c r="E16" s="10"/>
      <c r="F16" s="10"/>
      <c r="G16" s="10"/>
    </row>
    <row r="17" customFormat="false" ht="15" hidden="false" customHeight="false" outlineLevel="0" collapsed="false">
      <c r="A17" s="6"/>
      <c r="B17" s="29" t="s">
        <v>170</v>
      </c>
      <c r="C17" s="32" t="n">
        <f aca="false">Avg_Vol_Per_MTU*(1+Vol_Growth)^C6</f>
        <v>5500</v>
      </c>
      <c r="D17" s="32" t="n">
        <f aca="false">Avg_Vol_Per_MTU*(1+Vol_Growth)^D6</f>
        <v>6050</v>
      </c>
      <c r="E17" s="32" t="n">
        <f aca="false">Avg_Vol_Per_MTU*(1+Vol_Growth)^E6</f>
        <v>6655</v>
      </c>
      <c r="F17" s="32" t="n">
        <f aca="false">Avg_Vol_Per_MTU*(1+Vol_Growth)^F6</f>
        <v>7320.5</v>
      </c>
      <c r="G17" s="32" t="n">
        <f aca="false">Avg_Vol_Per_MTU*(1+Vol_Growth)^G6</f>
        <v>8052.55</v>
      </c>
    </row>
    <row r="18" customFormat="false" ht="15" hidden="false" customHeight="false" outlineLevel="0" collapsed="false">
      <c r="A18" s="6"/>
      <c r="B18" s="8" t="s">
        <v>171</v>
      </c>
      <c r="C18" s="28" t="n">
        <f aca="false">C14*C17</f>
        <v>321799512.053613</v>
      </c>
      <c r="D18" s="28" t="n">
        <f aca="false">D14*D17</f>
        <v>413641105.426879</v>
      </c>
      <c r="E18" s="28" t="n">
        <f aca="false">E14*E17</f>
        <v>438568845.415351</v>
      </c>
      <c r="F18" s="28" t="n">
        <f aca="false">F14*F17</f>
        <v>406810350.921753</v>
      </c>
      <c r="G18" s="28" t="n">
        <f aca="false">G14*G17</f>
        <v>343802007.138901</v>
      </c>
    </row>
    <row r="19" customFormat="false" ht="15" hidden="false" customHeight="false" outlineLevel="0" collapsed="false">
      <c r="A19" s="6"/>
      <c r="B19" s="29" t="s">
        <v>172</v>
      </c>
      <c r="C19" s="28" t="n">
        <f aca="false">C18*Retail_Vol_Split</f>
        <v>96539853.6160838</v>
      </c>
      <c r="D19" s="28" t="n">
        <f aca="false">D18*Retail_Vol_Split</f>
        <v>124092331.628064</v>
      </c>
      <c r="E19" s="28" t="n">
        <f aca="false">E18*Retail_Vol_Split</f>
        <v>131570653.624605</v>
      </c>
      <c r="F19" s="28" t="n">
        <f aca="false">F18*Retail_Vol_Split</f>
        <v>122043105.276526</v>
      </c>
      <c r="G19" s="28" t="n">
        <f aca="false">G18*Retail_Vol_Split</f>
        <v>103140602.14167</v>
      </c>
    </row>
    <row r="20" customFormat="false" ht="15" hidden="false" customHeight="false" outlineLevel="0" collapsed="false">
      <c r="A20" s="6"/>
      <c r="B20" s="29" t="s">
        <v>173</v>
      </c>
      <c r="C20" s="28" t="n">
        <f aca="false">C18*(1-Retail_Vol_Split)</f>
        <v>225259658.437529</v>
      </c>
      <c r="D20" s="28" t="n">
        <f aca="false">D18*(1-Retail_Vol_Split)</f>
        <v>289548773.798815</v>
      </c>
      <c r="E20" s="28" t="n">
        <f aca="false">E18*(1-Retail_Vol_Split)</f>
        <v>306998191.790746</v>
      </c>
      <c r="F20" s="28" t="n">
        <f aca="false">F18*(1-Retail_Vol_Split)</f>
        <v>284767245.645227</v>
      </c>
      <c r="G20" s="28" t="n">
        <f aca="false">G18*(1-Retail_Vol_Split)</f>
        <v>240661404.997231</v>
      </c>
    </row>
    <row r="21" customFormat="false" ht="15" hidden="false" customHeight="false" outlineLevel="0" collapsed="false">
      <c r="A21" s="6"/>
      <c r="B21" s="9" t="s">
        <v>174</v>
      </c>
      <c r="C21" s="10"/>
      <c r="D21" s="10"/>
      <c r="E21" s="10"/>
      <c r="F21" s="10"/>
      <c r="G21" s="10"/>
    </row>
    <row r="22" customFormat="false" ht="15" hidden="false" customHeight="false" outlineLevel="0" collapsed="false">
      <c r="A22" s="6"/>
      <c r="B22" s="8" t="s">
        <v>174</v>
      </c>
      <c r="C22" s="28" t="n">
        <f aca="false">C18*Deriv_Spot_Ratio</f>
        <v>643599024.107225</v>
      </c>
      <c r="D22" s="28" t="n">
        <f aca="false">D18*Deriv_Spot_Ratio</f>
        <v>827282210.853758</v>
      </c>
      <c r="E22" s="28" t="n">
        <f aca="false">E18*Deriv_Spot_Ratio</f>
        <v>877137690.830703</v>
      </c>
      <c r="F22" s="28" t="n">
        <f aca="false">F18*Deriv_Spot_Ratio</f>
        <v>813620701.843506</v>
      </c>
      <c r="G22" s="28" t="n">
        <f aca="false">G18*Deriv_Spot_Ratio</f>
        <v>687604014.277803</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9" t="s">
        <v>175</v>
      </c>
      <c r="C24" s="10"/>
      <c r="D24" s="10"/>
      <c r="E24" s="10"/>
      <c r="F24" s="10"/>
      <c r="G24" s="10"/>
    </row>
    <row r="25" customFormat="false" ht="15" hidden="false" customHeight="false" outlineLevel="0" collapsed="false">
      <c r="A25" s="6"/>
      <c r="B25" s="8" t="s">
        <v>176</v>
      </c>
      <c r="C25" s="28" t="n">
        <f aca="false">Starting_AUC</f>
        <v>500000000</v>
      </c>
      <c r="D25" s="28" t="n">
        <f aca="false">C28</f>
        <v>625000000</v>
      </c>
      <c r="E25" s="28" t="n">
        <f aca="false">D28</f>
        <v>781250000</v>
      </c>
      <c r="F25" s="28" t="n">
        <f aca="false">E28</f>
        <v>976562500</v>
      </c>
      <c r="G25" s="28" t="n">
        <f aca="false">F28</f>
        <v>1220703125</v>
      </c>
    </row>
    <row r="26" customFormat="false" ht="15" hidden="false" customHeight="false" outlineLevel="0" collapsed="false">
      <c r="A26" s="6"/>
      <c r="B26" s="29" t="s">
        <v>177</v>
      </c>
      <c r="C26" s="28" t="n">
        <f aca="false">C25*Net_Inflow_Rate</f>
        <v>75000000</v>
      </c>
      <c r="D26" s="28" t="n">
        <f aca="false">D25*Net_Inflow_Rate</f>
        <v>93750000</v>
      </c>
      <c r="E26" s="28" t="n">
        <f aca="false">E25*Net_Inflow_Rate</f>
        <v>117187500</v>
      </c>
      <c r="F26" s="28" t="n">
        <f aca="false">F25*Net_Inflow_Rate</f>
        <v>146484375</v>
      </c>
      <c r="G26" s="28" t="n">
        <f aca="false">G25*Net_Inflow_Rate</f>
        <v>183105468.75</v>
      </c>
    </row>
    <row r="27" customFormat="false" ht="15" hidden="false" customHeight="false" outlineLevel="0" collapsed="false">
      <c r="A27" s="6"/>
      <c r="B27" s="29" t="s">
        <v>178</v>
      </c>
      <c r="C27" s="28" t="n">
        <f aca="false">C25*Crypto_Appreciation</f>
        <v>50000000</v>
      </c>
      <c r="D27" s="28" t="n">
        <f aca="false">D25*Crypto_Appreciation</f>
        <v>62500000</v>
      </c>
      <c r="E27" s="28" t="n">
        <f aca="false">E25*Crypto_Appreciation</f>
        <v>78125000</v>
      </c>
      <c r="F27" s="28" t="n">
        <f aca="false">F25*Crypto_Appreciation</f>
        <v>97656250</v>
      </c>
      <c r="G27" s="28" t="n">
        <f aca="false">G25*Crypto_Appreciation</f>
        <v>122070312.5</v>
      </c>
    </row>
    <row r="28" customFormat="false" ht="15" hidden="false" customHeight="false" outlineLevel="0" collapsed="false">
      <c r="A28" s="6"/>
      <c r="B28" s="7" t="s">
        <v>179</v>
      </c>
      <c r="C28" s="30" t="n">
        <f aca="false">C25+C26+C27</f>
        <v>625000000</v>
      </c>
      <c r="D28" s="30" t="n">
        <f aca="false">D25+D26+D27</f>
        <v>781250000</v>
      </c>
      <c r="E28" s="30" t="n">
        <f aca="false">E25+E26+E27</f>
        <v>976562500</v>
      </c>
      <c r="F28" s="30" t="n">
        <f aca="false">F25+F26+F27</f>
        <v>1220703125</v>
      </c>
      <c r="G28" s="30" t="n">
        <f aca="false">G25+G26+G27</f>
        <v>1525878906.25</v>
      </c>
    </row>
    <row r="29" customFormat="false" ht="15" hidden="false" customHeight="false" outlineLevel="0" collapsed="false">
      <c r="A29" s="6"/>
      <c r="B29" s="24" t="s">
        <v>180</v>
      </c>
      <c r="C29" s="31" t="n">
        <f aca="false">(C25+C28)/2</f>
        <v>562500000</v>
      </c>
      <c r="D29" s="31" t="n">
        <f aca="false">(D25+D28)/2</f>
        <v>703125000</v>
      </c>
      <c r="E29" s="31" t="n">
        <f aca="false">(E25+E28)/2</f>
        <v>878906250</v>
      </c>
      <c r="F29" s="31" t="n">
        <f aca="false">(F25+F28)/2</f>
        <v>1098632812.5</v>
      </c>
      <c r="G29" s="31" t="n">
        <f aca="false">(G25+G28)/2</f>
        <v>1373291015.625</v>
      </c>
    </row>
    <row r="30" customFormat="false" ht="15" hidden="false" customHeight="false" outlineLevel="0" collapsed="false">
      <c r="A30" s="6"/>
      <c r="B30" s="9" t="s">
        <v>181</v>
      </c>
      <c r="C30" s="10"/>
      <c r="D30" s="10"/>
      <c r="E30" s="10"/>
      <c r="F30" s="10"/>
      <c r="G30" s="10"/>
    </row>
    <row r="31" customFormat="false" ht="15" hidden="false" customHeight="false" outlineLevel="0" collapsed="false">
      <c r="A31" s="6"/>
      <c r="B31" s="8" t="s">
        <v>182</v>
      </c>
      <c r="C31" s="28" t="n">
        <f aca="false">C29*Staking_Part</f>
        <v>168750000</v>
      </c>
      <c r="D31" s="28" t="n">
        <f aca="false">D29*Staking_Part</f>
        <v>210937500</v>
      </c>
      <c r="E31" s="28" t="n">
        <f aca="false">E29*Staking_Part</f>
        <v>263671875</v>
      </c>
      <c r="F31" s="28" t="n">
        <f aca="false">F29*Staking_Part</f>
        <v>329589843.75</v>
      </c>
      <c r="G31" s="28" t="n">
        <f aca="false">G29*Staking_Part</f>
        <v>411987304.6875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24" t="s">
        <v>162</v>
      </c>
      <c r="C6" s="27" t="n">
        <f aca="false">COLUMN()-2</f>
        <v>1</v>
      </c>
      <c r="D6" s="27" t="n">
        <f aca="false">COLUMN()-2</f>
        <v>2</v>
      </c>
      <c r="E6" s="27" t="n">
        <f aca="false">COLUMN()-2</f>
        <v>3</v>
      </c>
      <c r="F6" s="27" t="n">
        <f aca="false">COLUMN()-2</f>
        <v>4</v>
      </c>
      <c r="G6" s="27"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185</v>
      </c>
      <c r="C8" s="10"/>
      <c r="D8" s="10"/>
      <c r="E8" s="10"/>
      <c r="F8" s="10"/>
      <c r="G8" s="10"/>
    </row>
    <row r="9" customFormat="false" ht="15" hidden="false" customHeight="false" outlineLevel="0" collapsed="false">
      <c r="A9" s="6"/>
      <c r="B9" s="29" t="s">
        <v>186</v>
      </c>
      <c r="C9" s="28" t="n">
        <f aca="false">UVB_Retail_Vol*(Retail_Take_Rate/10000)</f>
        <v>1448097.80424126</v>
      </c>
      <c r="D9" s="28" t="n">
        <f aca="false">UVB_Retail_Vol*(Retail_Take_Rate/10000)</f>
        <v>1861384.97442096</v>
      </c>
      <c r="E9" s="28" t="n">
        <f aca="false">UVB_Retail_Vol*(Retail_Take_Rate/10000)</f>
        <v>1973559.80436908</v>
      </c>
      <c r="F9" s="28" t="n">
        <f aca="false">UVB_Retail_Vol*(Retail_Take_Rate/10000)</f>
        <v>1830646.57914789</v>
      </c>
      <c r="G9" s="28" t="n">
        <f aca="false">UVB_Retail_Vol*(Retail_Take_Rate/10000)</f>
        <v>1547109.03212506</v>
      </c>
    </row>
    <row r="10" customFormat="false" ht="15" hidden="false" customHeight="false" outlineLevel="0" collapsed="false">
      <c r="A10" s="6"/>
      <c r="B10" s="29" t="s">
        <v>187</v>
      </c>
      <c r="C10" s="28" t="n">
        <f aca="false">UVB_Inst_Vol*(Inst_Take_Rate/10000)</f>
        <v>225259.658437529</v>
      </c>
      <c r="D10" s="28" t="n">
        <f aca="false">UVB_Inst_Vol*(Inst_Take_Rate/10000)</f>
        <v>289548.773798815</v>
      </c>
      <c r="E10" s="28" t="n">
        <f aca="false">UVB_Inst_Vol*(Inst_Take_Rate/10000)</f>
        <v>306998.191790746</v>
      </c>
      <c r="F10" s="28" t="n">
        <f aca="false">UVB_Inst_Vol*(Inst_Take_Rate/10000)</f>
        <v>284767.245645227</v>
      </c>
      <c r="G10" s="28" t="n">
        <f aca="false">UVB_Inst_Vol*(Inst_Take_Rate/10000)</f>
        <v>240661.404997231</v>
      </c>
    </row>
    <row r="11" customFormat="false" ht="15" hidden="false" customHeight="false" outlineLevel="0" collapsed="false">
      <c r="A11" s="6"/>
      <c r="B11" s="7" t="s">
        <v>188</v>
      </c>
      <c r="C11" s="30" t="n">
        <f aca="false">C9+C10</f>
        <v>1673357.46267879</v>
      </c>
      <c r="D11" s="30" t="n">
        <f aca="false">D9+D10</f>
        <v>2150933.74821977</v>
      </c>
      <c r="E11" s="30" t="n">
        <f aca="false">E9+E10</f>
        <v>2280557.99615983</v>
      </c>
      <c r="F11" s="30" t="n">
        <f aca="false">F9+F10</f>
        <v>2115413.82479311</v>
      </c>
      <c r="G11" s="30" t="n">
        <f aca="false">G9+G10</f>
        <v>1787770.43712229</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189</v>
      </c>
      <c r="C13" s="10"/>
      <c r="D13" s="10"/>
      <c r="E13" s="10"/>
      <c r="F13" s="10"/>
      <c r="G13" s="10"/>
    </row>
    <row r="14" customFormat="false" ht="15" hidden="false" customHeight="false" outlineLevel="0" collapsed="false">
      <c r="A14" s="6"/>
      <c r="B14" s="8" t="s">
        <v>189</v>
      </c>
      <c r="C14" s="28" t="n">
        <f aca="false">UVB_Deriv_Vol*(Deriv_Take_Rate/10000)</f>
        <v>193079.707232168</v>
      </c>
      <c r="D14" s="28" t="n">
        <f aca="false">UVB_Deriv_Vol*(Deriv_Take_Rate/10000)</f>
        <v>248184.663256127</v>
      </c>
      <c r="E14" s="28" t="n">
        <f aca="false">UVB_Deriv_Vol*(Deriv_Take_Rate/10000)</f>
        <v>263141.307249211</v>
      </c>
      <c r="F14" s="28" t="n">
        <f aca="false">UVB_Deriv_Vol*(Deriv_Take_Rate/10000)</f>
        <v>244086.210553052</v>
      </c>
      <c r="G14" s="28" t="n">
        <f aca="false">UVB_Deriv_Vol*(Deriv_Take_Rate/10000)</f>
        <v>206281.204283341</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190</v>
      </c>
      <c r="C16" s="10"/>
      <c r="D16" s="10"/>
      <c r="E16" s="10"/>
      <c r="F16" s="10"/>
      <c r="G16" s="10"/>
    </row>
    <row r="17" customFormat="false" ht="15" hidden="false" customHeight="false" outlineLevel="0" collapsed="false">
      <c r="A17" s="6"/>
      <c r="B17" s="8" t="s">
        <v>190</v>
      </c>
      <c r="C17" s="28" t="n">
        <f aca="false">UVB_Avg_AUC*(Custody_Fee_Rate/10000)</f>
        <v>843750</v>
      </c>
      <c r="D17" s="28" t="n">
        <f aca="false">UVB_Avg_AUC*(Custody_Fee_Rate/10000)</f>
        <v>1054687.5</v>
      </c>
      <c r="E17" s="28" t="n">
        <f aca="false">UVB_Avg_AUC*(Custody_Fee_Rate/10000)</f>
        <v>1318359.375</v>
      </c>
      <c r="F17" s="28" t="n">
        <f aca="false">UVB_Avg_AUC*(Custody_Fee_Rate/10000)</f>
        <v>1647949.21875</v>
      </c>
      <c r="G17" s="28" t="n">
        <f aca="false">UVB_Avg_AUC*(Custody_Fee_Rate/10000)</f>
        <v>2059936.5234375</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9" t="s">
        <v>191</v>
      </c>
      <c r="C19" s="10"/>
      <c r="D19" s="10"/>
      <c r="E19" s="10"/>
      <c r="F19" s="10"/>
      <c r="G19" s="10"/>
    </row>
    <row r="20" customFormat="false" ht="15" hidden="false" customHeight="false" outlineLevel="0" collapsed="false">
      <c r="A20" s="6"/>
      <c r="B20" s="8" t="s">
        <v>191</v>
      </c>
      <c r="C20" s="28" t="n">
        <f aca="false">UVB_Staked_Assets*Network_Yield*Staking_Commission</f>
        <v>1898437.5</v>
      </c>
      <c r="D20" s="28" t="n">
        <f aca="false">UVB_Staked_Assets*Network_Yield*Staking_Commission</f>
        <v>2373046.875</v>
      </c>
      <c r="E20" s="28" t="n">
        <f aca="false">UVB_Staked_Assets*Network_Yield*Staking_Commission</f>
        <v>2966308.59375</v>
      </c>
      <c r="F20" s="28" t="n">
        <f aca="false">UVB_Staked_Assets*Network_Yield*Staking_Commission</f>
        <v>3707885.7421875</v>
      </c>
      <c r="G20" s="28" t="n">
        <f aca="false">UVB_Staked_Assets*Network_Yield*Staking_Commission</f>
        <v>4634857.17773438</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9" t="s">
        <v>192</v>
      </c>
      <c r="C22" s="10"/>
      <c r="D22" s="10"/>
      <c r="E22" s="10"/>
      <c r="F22" s="10"/>
      <c r="G22" s="10"/>
    </row>
    <row r="23" customFormat="false" ht="15" hidden="false" customHeight="false" outlineLevel="0" collapsed="false">
      <c r="A23" s="6"/>
      <c r="B23" s="7" t="s">
        <v>193</v>
      </c>
      <c r="C23" s="33" t="n">
        <f aca="false">C11+C14+C17+C20</f>
        <v>4608624.66991095</v>
      </c>
      <c r="D23" s="33" t="n">
        <f aca="false">D11+D14+D17+D20</f>
        <v>5826852.7864759</v>
      </c>
      <c r="E23" s="33" t="n">
        <f aca="false">E11+E14+E17+E20</f>
        <v>6828367.27215904</v>
      </c>
      <c r="F23" s="33" t="n">
        <f aca="false">F11+F14+F17+F20</f>
        <v>7715334.99628367</v>
      </c>
      <c r="G23" s="33" t="n">
        <f aca="false">G11+G14+G17+G20</f>
        <v>8688845.3425775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24" t="s">
        <v>162</v>
      </c>
      <c r="C6" s="27" t="n">
        <f aca="false">COLUMN()-2</f>
        <v>1</v>
      </c>
      <c r="D6" s="27" t="n">
        <f aca="false">COLUMN()-2</f>
        <v>2</v>
      </c>
      <c r="E6" s="27" t="n">
        <f aca="false">COLUMN()-2</f>
        <v>3</v>
      </c>
      <c r="F6" s="27" t="n">
        <f aca="false">COLUMN()-2</f>
        <v>4</v>
      </c>
      <c r="G6" s="27"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196</v>
      </c>
      <c r="C8" s="10"/>
      <c r="D8" s="10"/>
      <c r="E8" s="10"/>
      <c r="F8" s="10"/>
      <c r="G8" s="10"/>
    </row>
    <row r="9" customFormat="false" ht="15" hidden="false" customHeight="false" outlineLevel="0" collapsed="false">
      <c r="A9" s="6"/>
      <c r="B9" s="8" t="s">
        <v>197</v>
      </c>
      <c r="C9" s="34" t="n">
        <f aca="false">Eng_Headcount</f>
        <v>40</v>
      </c>
      <c r="D9" s="34" t="n">
        <f aca="false">Eng_Headcount</f>
        <v>40</v>
      </c>
      <c r="E9" s="34" t="n">
        <f aca="false">Eng_Headcount</f>
        <v>40</v>
      </c>
      <c r="F9" s="34" t="n">
        <f aca="false">Eng_Headcount</f>
        <v>40</v>
      </c>
      <c r="G9" s="34" t="n">
        <f aca="false">Eng_Headcount</f>
        <v>40</v>
      </c>
    </row>
    <row r="10" customFormat="false" ht="15" hidden="false" customHeight="false" outlineLevel="0" collapsed="false">
      <c r="A10" s="6"/>
      <c r="B10" s="29" t="s">
        <v>198</v>
      </c>
      <c r="C10" s="32" t="n">
        <f aca="false">Eng_Salary*(1+Salary_Growth)^(C6-1)</f>
        <v>180000</v>
      </c>
      <c r="D10" s="32" t="n">
        <f aca="false">Eng_Salary*(1+Salary_Growth)^(D6-1)</f>
        <v>185400</v>
      </c>
      <c r="E10" s="32" t="n">
        <f aca="false">Eng_Salary*(1+Salary_Growth)^(E6-1)</f>
        <v>190962</v>
      </c>
      <c r="F10" s="32" t="n">
        <f aca="false">Eng_Salary*(1+Salary_Growth)^(F6-1)</f>
        <v>196690.86</v>
      </c>
      <c r="G10" s="32" t="n">
        <f aca="false">Eng_Salary*(1+Salary_Growth)^(G6-1)</f>
        <v>202591.5858</v>
      </c>
    </row>
    <row r="11" customFormat="false" ht="15" hidden="false" customHeight="false" outlineLevel="0" collapsed="false">
      <c r="A11" s="6"/>
      <c r="B11" s="7" t="s">
        <v>199</v>
      </c>
      <c r="C11" s="30" t="n">
        <f aca="false">C9*C10</f>
        <v>7200000</v>
      </c>
      <c r="D11" s="30" t="n">
        <f aca="false">D9*D10</f>
        <v>7416000</v>
      </c>
      <c r="E11" s="30" t="n">
        <f aca="false">E9*E10</f>
        <v>7638480</v>
      </c>
      <c r="F11" s="30" t="n">
        <f aca="false">F9*F10</f>
        <v>7867634.4</v>
      </c>
      <c r="G11" s="30" t="n">
        <f aca="false">G9*G10</f>
        <v>8103663.432</v>
      </c>
    </row>
    <row r="12" customFormat="false" ht="15" hidden="false" customHeight="false" outlineLevel="0" collapsed="false">
      <c r="A12" s="6"/>
      <c r="B12" s="9" t="s">
        <v>200</v>
      </c>
      <c r="C12" s="10"/>
      <c r="D12" s="10"/>
      <c r="E12" s="10"/>
      <c r="F12" s="10"/>
      <c r="G12" s="10"/>
    </row>
    <row r="13" customFormat="false" ht="15" hidden="false" customHeight="false" outlineLevel="0" collapsed="false">
      <c r="A13" s="6"/>
      <c r="B13" s="8" t="s">
        <v>197</v>
      </c>
      <c r="C13" s="34" t="n">
        <f aca="false">Comp_Headcount</f>
        <v>15</v>
      </c>
      <c r="D13" s="34" t="n">
        <f aca="false">Comp_Headcount</f>
        <v>15</v>
      </c>
      <c r="E13" s="34" t="n">
        <f aca="false">Comp_Headcount</f>
        <v>15</v>
      </c>
      <c r="F13" s="34" t="n">
        <f aca="false">Comp_Headcount</f>
        <v>15</v>
      </c>
      <c r="G13" s="34" t="n">
        <f aca="false">Comp_Headcount</f>
        <v>15</v>
      </c>
    </row>
    <row r="14" customFormat="false" ht="15" hidden="false" customHeight="false" outlineLevel="0" collapsed="false">
      <c r="A14" s="6"/>
      <c r="B14" s="29" t="s">
        <v>198</v>
      </c>
      <c r="C14" s="32" t="n">
        <f aca="false">Comp_Salary*(1+Salary_Growth)^(C6-1)</f>
        <v>150000</v>
      </c>
      <c r="D14" s="32" t="n">
        <f aca="false">Comp_Salary*(1+Salary_Growth)^(D6-1)</f>
        <v>154500</v>
      </c>
      <c r="E14" s="32" t="n">
        <f aca="false">Comp_Salary*(1+Salary_Growth)^(E6-1)</f>
        <v>159135</v>
      </c>
      <c r="F14" s="32" t="n">
        <f aca="false">Comp_Salary*(1+Salary_Growth)^(F6-1)</f>
        <v>163909.05</v>
      </c>
      <c r="G14" s="32" t="n">
        <f aca="false">Comp_Salary*(1+Salary_Growth)^(G6-1)</f>
        <v>168826.3215</v>
      </c>
    </row>
    <row r="15" customFormat="false" ht="15" hidden="false" customHeight="false" outlineLevel="0" collapsed="false">
      <c r="A15" s="6"/>
      <c r="B15" s="7" t="s">
        <v>201</v>
      </c>
      <c r="C15" s="30" t="n">
        <f aca="false">C13*C14</f>
        <v>2250000</v>
      </c>
      <c r="D15" s="30" t="n">
        <f aca="false">D13*D14</f>
        <v>2317500</v>
      </c>
      <c r="E15" s="30" t="n">
        <f aca="false">E13*E14</f>
        <v>2387025</v>
      </c>
      <c r="F15" s="30" t="n">
        <f aca="false">F13*F14</f>
        <v>2458635.75</v>
      </c>
      <c r="G15" s="30" t="n">
        <f aca="false">G13*G14</f>
        <v>2532394.8225</v>
      </c>
    </row>
    <row r="16" customFormat="false" ht="15" hidden="false" customHeight="false" outlineLevel="0" collapsed="false">
      <c r="A16" s="6"/>
      <c r="B16" s="9" t="s">
        <v>202</v>
      </c>
      <c r="C16" s="10"/>
      <c r="D16" s="10"/>
      <c r="E16" s="10"/>
      <c r="F16" s="10"/>
      <c r="G16" s="10"/>
    </row>
    <row r="17" customFormat="false" ht="15" hidden="false" customHeight="false" outlineLevel="0" collapsed="false">
      <c r="A17" s="6"/>
      <c r="B17" s="8" t="s">
        <v>197</v>
      </c>
      <c r="C17" s="34" t="n">
        <f aca="false">Supp_Headcount</f>
        <v>20</v>
      </c>
      <c r="D17" s="34" t="n">
        <f aca="false">Supp_Headcount</f>
        <v>20</v>
      </c>
      <c r="E17" s="34" t="n">
        <f aca="false">Supp_Headcount</f>
        <v>20</v>
      </c>
      <c r="F17" s="34" t="n">
        <f aca="false">Supp_Headcount</f>
        <v>20</v>
      </c>
      <c r="G17" s="34" t="n">
        <f aca="false">Supp_Headcount</f>
        <v>20</v>
      </c>
    </row>
    <row r="18" customFormat="false" ht="15" hidden="false" customHeight="false" outlineLevel="0" collapsed="false">
      <c r="A18" s="6"/>
      <c r="B18" s="29" t="s">
        <v>198</v>
      </c>
      <c r="C18" s="32" t="n">
        <f aca="false">Supp_Salary*(1+Salary_Growth)^(C6-1)</f>
        <v>75000</v>
      </c>
      <c r="D18" s="32" t="n">
        <f aca="false">Supp_Salary*(1+Salary_Growth)^(D6-1)</f>
        <v>77250</v>
      </c>
      <c r="E18" s="32" t="n">
        <f aca="false">Supp_Salary*(1+Salary_Growth)^(E6-1)</f>
        <v>79567.5</v>
      </c>
      <c r="F18" s="32" t="n">
        <f aca="false">Supp_Salary*(1+Salary_Growth)^(F6-1)</f>
        <v>81954.525</v>
      </c>
      <c r="G18" s="32" t="n">
        <f aca="false">Supp_Salary*(1+Salary_Growth)^(G6-1)</f>
        <v>84413.16075</v>
      </c>
    </row>
    <row r="19" customFormat="false" ht="15" hidden="false" customHeight="false" outlineLevel="0" collapsed="false">
      <c r="A19" s="6"/>
      <c r="B19" s="7" t="s">
        <v>203</v>
      </c>
      <c r="C19" s="30" t="n">
        <f aca="false">C17*C18</f>
        <v>1500000</v>
      </c>
      <c r="D19" s="30" t="n">
        <f aca="false">D17*D18</f>
        <v>1545000</v>
      </c>
      <c r="E19" s="30" t="n">
        <f aca="false">E17*E18</f>
        <v>1591350</v>
      </c>
      <c r="F19" s="30" t="n">
        <f aca="false">F17*F18</f>
        <v>1639090.5</v>
      </c>
      <c r="G19" s="30" t="n">
        <f aca="false">G17*G18</f>
        <v>1688263.215</v>
      </c>
    </row>
    <row r="20" customFormat="false" ht="15" hidden="false" customHeight="false" outlineLevel="0" collapsed="false">
      <c r="A20" s="6"/>
      <c r="B20" s="9" t="s">
        <v>204</v>
      </c>
      <c r="C20" s="10"/>
      <c r="D20" s="10"/>
      <c r="E20" s="10"/>
      <c r="F20" s="10"/>
      <c r="G20" s="10"/>
    </row>
    <row r="21" customFormat="false" ht="15" hidden="false" customHeight="false" outlineLevel="0" collapsed="false">
      <c r="A21" s="6"/>
      <c r="B21" s="8" t="s">
        <v>197</v>
      </c>
      <c r="C21" s="34" t="n">
        <f aca="false">GA_Headcount</f>
        <v>10</v>
      </c>
      <c r="D21" s="34" t="n">
        <f aca="false">GA_Headcount</f>
        <v>10</v>
      </c>
      <c r="E21" s="34" t="n">
        <f aca="false">GA_Headcount</f>
        <v>10</v>
      </c>
      <c r="F21" s="34" t="n">
        <f aca="false">GA_Headcount</f>
        <v>10</v>
      </c>
      <c r="G21" s="34" t="n">
        <f aca="false">GA_Headcount</f>
        <v>10</v>
      </c>
    </row>
    <row r="22" customFormat="false" ht="15" hidden="false" customHeight="false" outlineLevel="0" collapsed="false">
      <c r="A22" s="6"/>
      <c r="B22" s="29" t="s">
        <v>198</v>
      </c>
      <c r="C22" s="32" t="n">
        <f aca="false">GA_Salary*(1+Salary_Growth)^(C6-1)</f>
        <v>120000</v>
      </c>
      <c r="D22" s="32" t="n">
        <f aca="false">GA_Salary*(1+Salary_Growth)^(D6-1)</f>
        <v>123600</v>
      </c>
      <c r="E22" s="32" t="n">
        <f aca="false">GA_Salary*(1+Salary_Growth)^(E6-1)</f>
        <v>127308</v>
      </c>
      <c r="F22" s="32" t="n">
        <f aca="false">GA_Salary*(1+Salary_Growth)^(F6-1)</f>
        <v>131127.24</v>
      </c>
      <c r="G22" s="32" t="n">
        <f aca="false">GA_Salary*(1+Salary_Growth)^(G6-1)</f>
        <v>135061.0572</v>
      </c>
    </row>
    <row r="23" customFormat="false" ht="15" hidden="false" customHeight="false" outlineLevel="0" collapsed="false">
      <c r="A23" s="6"/>
      <c r="B23" s="7" t="s">
        <v>205</v>
      </c>
      <c r="C23" s="30" t="n">
        <f aca="false">C21*C22</f>
        <v>1200000</v>
      </c>
      <c r="D23" s="30" t="n">
        <f aca="false">D21*D22</f>
        <v>1236000</v>
      </c>
      <c r="E23" s="30" t="n">
        <f aca="false">E21*E22</f>
        <v>1273080</v>
      </c>
      <c r="F23" s="30" t="n">
        <f aca="false">F21*F22</f>
        <v>1311272.4</v>
      </c>
      <c r="G23" s="30" t="n">
        <f aca="false">G21*G22</f>
        <v>1350610.572</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7" t="s">
        <v>206</v>
      </c>
      <c r="C25" s="33" t="n">
        <f aca="false">C11+C15+C19+C23</f>
        <v>12150000</v>
      </c>
      <c r="D25" s="33" t="n">
        <f aca="false">D11+D15+D19+D23</f>
        <v>12514500</v>
      </c>
      <c r="E25" s="33" t="n">
        <f aca="false">E11+E15+E19+E23</f>
        <v>12889935</v>
      </c>
      <c r="F25" s="33" t="n">
        <f aca="false">F11+F15+F19+F23</f>
        <v>13276633.05</v>
      </c>
      <c r="G25" s="33" t="n">
        <f aca="false">G11+G15+G19+G23</f>
        <v>13674932.0415</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9" t="s">
        <v>207</v>
      </c>
      <c r="C27" s="10"/>
      <c r="D27" s="10"/>
      <c r="E27" s="10"/>
      <c r="F27" s="10"/>
      <c r="G27" s="10"/>
    </row>
    <row r="28" customFormat="false" ht="15" hidden="false" customHeight="false" outlineLevel="0" collapsed="false">
      <c r="A28" s="6"/>
      <c r="B28" s="29" t="s">
        <v>208</v>
      </c>
      <c r="C28" s="28" t="n">
        <f aca="false">UVB_New_Users*CAC</f>
        <v>4800000</v>
      </c>
      <c r="D28" s="28" t="n">
        <f aca="false">UVB_New_Users*CAC</f>
        <v>4021080.26298791</v>
      </c>
      <c r="E28" s="28" t="n">
        <f aca="false">UVB_New_Users*CAC</f>
        <v>2928359.99043042</v>
      </c>
      <c r="F28" s="28" t="n">
        <f aca="false">UVB_New_Users*CAC</f>
        <v>1862353.46984813</v>
      </c>
      <c r="G28" s="28" t="n">
        <f aca="false">UVB_New_Users*CAC</f>
        <v>1177543.88135039</v>
      </c>
    </row>
    <row r="29" customFormat="false" ht="15" hidden="false" customHeight="false" outlineLevel="0" collapsed="false">
      <c r="A29" s="6"/>
      <c r="B29" s="29" t="s">
        <v>209</v>
      </c>
      <c r="C29" s="28" t="n">
        <f aca="false">RB_Total_Rev*Cloud_Tech_Pct</f>
        <v>276517.480194657</v>
      </c>
      <c r="D29" s="28" t="n">
        <f aca="false">RB_Total_Rev*Cloud_Tech_Pct</f>
        <v>349611.167188554</v>
      </c>
      <c r="E29" s="28" t="n">
        <f aca="false">RB_Total_Rev*Cloud_Tech_Pct</f>
        <v>409702.036329542</v>
      </c>
      <c r="F29" s="28" t="n">
        <f aca="false">RB_Total_Rev*Cloud_Tech_Pct</f>
        <v>462920.09977702</v>
      </c>
      <c r="G29" s="28" t="n">
        <f aca="false">RB_Total_Rev*Cloud_Tech_Pct</f>
        <v>521330.72055465</v>
      </c>
    </row>
    <row r="30" customFormat="false" ht="15" hidden="false" customHeight="false" outlineLevel="0" collapsed="false">
      <c r="A30" s="6"/>
      <c r="B30" s="29" t="s">
        <v>210</v>
      </c>
      <c r="C30" s="28" t="n">
        <f aca="false">RB_Total_Rev*Insurance_Pct</f>
        <v>138258.740097329</v>
      </c>
      <c r="D30" s="28" t="n">
        <f aca="false">RB_Total_Rev*Insurance_Pct</f>
        <v>174805.583594277</v>
      </c>
      <c r="E30" s="28" t="n">
        <f aca="false">RB_Total_Rev*Insurance_Pct</f>
        <v>204851.018164771</v>
      </c>
      <c r="F30" s="28" t="n">
        <f aca="false">RB_Total_Rev*Insurance_Pct</f>
        <v>231460.04988851</v>
      </c>
      <c r="G30" s="28" t="n">
        <f aca="false">RB_Total_Rev*Insurance_Pct</f>
        <v>260665.360277325</v>
      </c>
    </row>
    <row r="31" customFormat="false" ht="15" hidden="false" customHeight="false" outlineLevel="0" collapsed="false">
      <c r="A31" s="6"/>
      <c r="B31" s="29" t="s">
        <v>211</v>
      </c>
      <c r="C31" s="28" t="n">
        <f aca="false">Rent_Annual*(1+Salary_Growth)^(C6-1)</f>
        <v>600000</v>
      </c>
      <c r="D31" s="28" t="n">
        <f aca="false">Rent_Annual*(1+Salary_Growth)^(D6-1)</f>
        <v>618000</v>
      </c>
      <c r="E31" s="28" t="n">
        <f aca="false">Rent_Annual*(1+Salary_Growth)^(E6-1)</f>
        <v>636540</v>
      </c>
      <c r="F31" s="28" t="n">
        <f aca="false">Rent_Annual*(1+Salary_Growth)^(F6-1)</f>
        <v>655636.2</v>
      </c>
      <c r="G31" s="28" t="n">
        <f aca="false">Rent_Annual*(1+Salary_Growth)^(G6-1)</f>
        <v>675305.286</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7" t="s">
        <v>212</v>
      </c>
      <c r="C33" s="33" t="n">
        <f aca="false">C25+C28+C29+C30+C31</f>
        <v>17964776.220292</v>
      </c>
      <c r="D33" s="33" t="n">
        <f aca="false">D25+D28+D29+D30+D31</f>
        <v>17677997.0137707</v>
      </c>
      <c r="E33" s="33" t="n">
        <f aca="false">E25+E28+E29+E30+E31</f>
        <v>17069388.0449247</v>
      </c>
      <c r="F33" s="33" t="n">
        <f aca="false">F25+F28+F29+F30+F31</f>
        <v>16489002.8695137</v>
      </c>
      <c r="G33" s="33" t="n">
        <f aca="false">G25+G28+G29+G30+G31</f>
        <v>16309777.2896824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213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24" t="s">
        <v>162</v>
      </c>
      <c r="C6" s="27" t="n">
        <f aca="false">COLUMN()-2</f>
        <v>1</v>
      </c>
      <c r="D6" s="27" t="n">
        <f aca="false">COLUMN()-2</f>
        <v>2</v>
      </c>
      <c r="E6" s="27" t="n">
        <f aca="false">COLUMN()-2</f>
        <v>3</v>
      </c>
      <c r="F6" s="27" t="n">
        <f aca="false">COLUMN()-2</f>
        <v>4</v>
      </c>
      <c r="G6" s="27"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134</v>
      </c>
      <c r="C8" s="10"/>
      <c r="D8" s="10"/>
      <c r="E8" s="10"/>
      <c r="F8" s="10"/>
      <c r="G8" s="10"/>
    </row>
    <row r="9" customFormat="false" ht="15" hidden="false" customHeight="false" outlineLevel="0" collapsed="false">
      <c r="A9" s="6"/>
      <c r="B9" s="35" t="s">
        <v>215</v>
      </c>
      <c r="C9" s="31" t="n">
        <f aca="false">OH_Eng_Cost</f>
        <v>7200000</v>
      </c>
      <c r="D9" s="31" t="n">
        <f aca="false">OH_Eng_Cost</f>
        <v>7416000</v>
      </c>
      <c r="E9" s="31" t="n">
        <f aca="false">OH_Eng_Cost</f>
        <v>7638480</v>
      </c>
      <c r="F9" s="31" t="n">
        <f aca="false">OH_Eng_Cost</f>
        <v>7867634.4</v>
      </c>
      <c r="G9" s="31" t="n">
        <f aca="false">OH_Eng_Cost</f>
        <v>8103663.432</v>
      </c>
    </row>
    <row r="10" customFormat="false" ht="15" hidden="false" customHeight="false" outlineLevel="0" collapsed="false">
      <c r="A10" s="6"/>
      <c r="B10" s="35" t="s">
        <v>216</v>
      </c>
      <c r="C10" s="36" t="n">
        <f aca="false">Capitalise_Pct</f>
        <v>0.6</v>
      </c>
      <c r="D10" s="36" t="n">
        <f aca="false">Capitalise_Pct</f>
        <v>0.6</v>
      </c>
      <c r="E10" s="36" t="n">
        <f aca="false">Capitalise_Pct</f>
        <v>0.6</v>
      </c>
      <c r="F10" s="36" t="n">
        <f aca="false">Capitalise_Pct</f>
        <v>0.6</v>
      </c>
      <c r="G10" s="36" t="n">
        <f aca="false">Capitalise_Pct</f>
        <v>0.6</v>
      </c>
    </row>
    <row r="11" customFormat="false" ht="15" hidden="false" customHeight="false" outlineLevel="0" collapsed="false">
      <c r="A11" s="6"/>
      <c r="B11" s="8" t="s">
        <v>217</v>
      </c>
      <c r="C11" s="28" t="n">
        <f aca="false">C9*C10</f>
        <v>4320000</v>
      </c>
      <c r="D11" s="28" t="n">
        <f aca="false">D9*D10</f>
        <v>4449600</v>
      </c>
      <c r="E11" s="28" t="n">
        <f aca="false">E9*E10</f>
        <v>4583088</v>
      </c>
      <c r="F11" s="28" t="n">
        <f aca="false">F9*F10</f>
        <v>4720580.64</v>
      </c>
      <c r="G11" s="28" t="n">
        <f aca="false">G9*G10</f>
        <v>4862198.0592</v>
      </c>
    </row>
    <row r="12" customFormat="false" ht="15" hidden="false" customHeight="false" outlineLevel="0" collapsed="false">
      <c r="A12" s="6"/>
      <c r="B12" s="8" t="s">
        <v>218</v>
      </c>
      <c r="C12" s="28" t="n">
        <f aca="false">HW_Capex_Annual</f>
        <v>200000</v>
      </c>
      <c r="D12" s="28" t="n">
        <f aca="false">HW_Capex_Annual</f>
        <v>200000</v>
      </c>
      <c r="E12" s="28" t="n">
        <f aca="false">HW_Capex_Annual</f>
        <v>200000</v>
      </c>
      <c r="F12" s="28" t="n">
        <f aca="false">HW_Capex_Annual</f>
        <v>200000</v>
      </c>
      <c r="G12" s="28" t="n">
        <f aca="false">HW_Capex_Annual</f>
        <v>200000</v>
      </c>
    </row>
    <row r="13" customFormat="false" ht="15" hidden="false" customHeight="false" outlineLevel="0" collapsed="false">
      <c r="A13" s="6"/>
      <c r="B13" s="7" t="s">
        <v>219</v>
      </c>
      <c r="C13" s="33" t="n">
        <f aca="false">C11+C12</f>
        <v>4520000</v>
      </c>
      <c r="D13" s="33" t="n">
        <f aca="false">D11+D12</f>
        <v>4649600</v>
      </c>
      <c r="E13" s="33" t="n">
        <f aca="false">E11+E12</f>
        <v>4783088</v>
      </c>
      <c r="F13" s="33" t="n">
        <f aca="false">F11+F12</f>
        <v>4920580.64</v>
      </c>
      <c r="G13" s="33" t="n">
        <f aca="false">G11+G12</f>
        <v>5062198.0592</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220</v>
      </c>
      <c r="C15" s="10"/>
      <c r="D15" s="10"/>
      <c r="E15" s="10"/>
      <c r="F15" s="10"/>
      <c r="G15" s="10"/>
    </row>
    <row r="16" customFormat="false" ht="15" hidden="false" customHeight="false" outlineLevel="0" collapsed="false">
      <c r="A16" s="6"/>
      <c r="B16" s="8" t="s">
        <v>221</v>
      </c>
      <c r="C16" s="28" t="n">
        <f aca="false">0</f>
        <v>0</v>
      </c>
      <c r="D16" s="28" t="n">
        <f aca="false">C19</f>
        <v>2880000</v>
      </c>
      <c r="E16" s="28" t="n">
        <f aca="false">D19</f>
        <v>4886400</v>
      </c>
      <c r="F16" s="28" t="n">
        <f aca="false">E19</f>
        <v>6312992</v>
      </c>
      <c r="G16" s="28" t="n">
        <f aca="false">F19</f>
        <v>7355715.09333333</v>
      </c>
    </row>
    <row r="17" customFormat="false" ht="15" hidden="false" customHeight="false" outlineLevel="0" collapsed="false">
      <c r="A17" s="6"/>
      <c r="B17" s="29" t="s">
        <v>222</v>
      </c>
      <c r="C17" s="28" t="n">
        <f aca="false">C11</f>
        <v>4320000</v>
      </c>
      <c r="D17" s="28" t="n">
        <f aca="false">D11</f>
        <v>4449600</v>
      </c>
      <c r="E17" s="28" t="n">
        <f aca="false">E11</f>
        <v>4583088</v>
      </c>
      <c r="F17" s="28" t="n">
        <f aca="false">F11</f>
        <v>4720580.64</v>
      </c>
      <c r="G17" s="28" t="n">
        <f aca="false">G11</f>
        <v>4862198.0592</v>
      </c>
    </row>
    <row r="18" customFormat="false" ht="15" hidden="false" customHeight="false" outlineLevel="0" collapsed="false">
      <c r="A18" s="6"/>
      <c r="B18" s="29" t="s">
        <v>223</v>
      </c>
      <c r="C18" s="28" t="n">
        <f aca="false">-MIN((C16+C17)/Software_Life,C16+C17)</f>
        <v>-1440000</v>
      </c>
      <c r="D18" s="28" t="n">
        <f aca="false">-MIN((D16+D17)/Software_Life,D16+D17)</f>
        <v>-2443200</v>
      </c>
      <c r="E18" s="28" t="n">
        <f aca="false">-MIN((E16+E17)/Software_Life,E16+E17)</f>
        <v>-3156496</v>
      </c>
      <c r="F18" s="28" t="n">
        <f aca="false">-MIN((F16+F17)/Software_Life,F16+F17)</f>
        <v>-3677857.54666667</v>
      </c>
      <c r="G18" s="28" t="n">
        <f aca="false">-MIN((G16+G17)/Software_Life,G16+G17)</f>
        <v>-4072637.71751111</v>
      </c>
    </row>
    <row r="19" customFormat="false" ht="15" hidden="false" customHeight="false" outlineLevel="0" collapsed="false">
      <c r="A19" s="6"/>
      <c r="B19" s="7" t="s">
        <v>224</v>
      </c>
      <c r="C19" s="30" t="n">
        <f aca="false">C16+C17+C18</f>
        <v>2880000</v>
      </c>
      <c r="D19" s="30" t="n">
        <f aca="false">D16+D17+D18</f>
        <v>4886400</v>
      </c>
      <c r="E19" s="30" t="n">
        <f aca="false">E16+E17+E18</f>
        <v>6312992</v>
      </c>
      <c r="F19" s="30" t="n">
        <f aca="false">F16+F17+F18</f>
        <v>7355715.09333333</v>
      </c>
      <c r="G19" s="30" t="n">
        <f aca="false">G16+G17+G18</f>
        <v>8145275.43502222</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9" t="s">
        <v>225</v>
      </c>
      <c r="C21" s="10"/>
      <c r="D21" s="10"/>
      <c r="E21" s="10"/>
      <c r="F21" s="10"/>
      <c r="G21" s="10"/>
    </row>
    <row r="22" customFormat="false" ht="15" hidden="false" customHeight="false" outlineLevel="0" collapsed="false">
      <c r="A22" s="6"/>
      <c r="B22" s="8" t="s">
        <v>221</v>
      </c>
      <c r="C22" s="28" t="n">
        <f aca="false">0</f>
        <v>0</v>
      </c>
      <c r="D22" s="28" t="n">
        <f aca="false">C25</f>
        <v>160000</v>
      </c>
      <c r="E22" s="28" t="n">
        <f aca="false">D25</f>
        <v>288000</v>
      </c>
      <c r="F22" s="28" t="n">
        <f aca="false">E25</f>
        <v>390400</v>
      </c>
      <c r="G22" s="28" t="n">
        <f aca="false">F25</f>
        <v>472320</v>
      </c>
    </row>
    <row r="23" customFormat="false" ht="15" hidden="false" customHeight="false" outlineLevel="0" collapsed="false">
      <c r="A23" s="6"/>
      <c r="B23" s="29" t="s">
        <v>222</v>
      </c>
      <c r="C23" s="28" t="n">
        <f aca="false">C12</f>
        <v>200000</v>
      </c>
      <c r="D23" s="28" t="n">
        <f aca="false">D12</f>
        <v>200000</v>
      </c>
      <c r="E23" s="28" t="n">
        <f aca="false">E12</f>
        <v>200000</v>
      </c>
      <c r="F23" s="28" t="n">
        <f aca="false">F12</f>
        <v>200000</v>
      </c>
      <c r="G23" s="28" t="n">
        <f aca="false">G12</f>
        <v>200000</v>
      </c>
    </row>
    <row r="24" customFormat="false" ht="15" hidden="false" customHeight="false" outlineLevel="0" collapsed="false">
      <c r="A24" s="6"/>
      <c r="B24" s="29" t="s">
        <v>226</v>
      </c>
      <c r="C24" s="28" t="n">
        <f aca="false">-MIN((C22+C23)/HW_Life,C22+C23)</f>
        <v>-40000</v>
      </c>
      <c r="D24" s="28" t="n">
        <f aca="false">-MIN((D22+D23)/HW_Life,D22+D23)</f>
        <v>-72000</v>
      </c>
      <c r="E24" s="28" t="n">
        <f aca="false">-MIN((E22+E23)/HW_Life,E22+E23)</f>
        <v>-97600</v>
      </c>
      <c r="F24" s="28" t="n">
        <f aca="false">-MIN((F22+F23)/HW_Life,F22+F23)</f>
        <v>-118080</v>
      </c>
      <c r="G24" s="28" t="n">
        <f aca="false">-MIN((G22+G23)/HW_Life,G22+G23)</f>
        <v>-134464</v>
      </c>
    </row>
    <row r="25" customFormat="false" ht="15" hidden="false" customHeight="false" outlineLevel="0" collapsed="false">
      <c r="A25" s="6"/>
      <c r="B25" s="7" t="s">
        <v>224</v>
      </c>
      <c r="C25" s="30" t="n">
        <f aca="false">C22+C23+C24</f>
        <v>160000</v>
      </c>
      <c r="D25" s="30" t="n">
        <f aca="false">D22+D23+D24</f>
        <v>288000</v>
      </c>
      <c r="E25" s="30" t="n">
        <f aca="false">E22+E23+E24</f>
        <v>390400</v>
      </c>
      <c r="F25" s="30" t="n">
        <f aca="false">F22+F23+F24</f>
        <v>472320</v>
      </c>
      <c r="G25" s="30" t="n">
        <f aca="false">G22+G23+G24</f>
        <v>537856</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7" t="s">
        <v>227</v>
      </c>
      <c r="C27" s="33" t="n">
        <f aca="false">C18+C24</f>
        <v>-1480000</v>
      </c>
      <c r="D27" s="33" t="n">
        <f aca="false">D18+D24</f>
        <v>-2515200</v>
      </c>
      <c r="E27" s="33" t="n">
        <f aca="false">E18+E24</f>
        <v>-3254096</v>
      </c>
      <c r="F27" s="33" t="n">
        <f aca="false">F18+F24</f>
        <v>-3795937.54666667</v>
      </c>
      <c r="G27" s="33" t="n">
        <f aca="false">G18+G24</f>
        <v>-4207101.71751111</v>
      </c>
    </row>
    <row r="28" customFormat="false" ht="15" hidden="false" customHeight="false" outlineLevel="0" collapsed="false">
      <c r="A28" s="6"/>
      <c r="B28" s="6"/>
      <c r="C28" s="6"/>
      <c r="D28" s="6"/>
      <c r="E28" s="6"/>
      <c r="F28" s="6"/>
      <c r="G28" s="6"/>
    </row>
    <row r="29" customFormat="false" ht="15" hidden="false" customHeight="false" outlineLevel="0" collapsed="false">
      <c r="A29" s="6"/>
      <c r="B29" s="8" t="s">
        <v>228</v>
      </c>
      <c r="C29" s="28" t="n">
        <f aca="false">C19+C25</f>
        <v>3040000</v>
      </c>
      <c r="D29" s="28" t="n">
        <f aca="false">D19+D25</f>
        <v>5174400</v>
      </c>
      <c r="E29" s="28" t="n">
        <f aca="false">E19+E25</f>
        <v>6703392</v>
      </c>
      <c r="F29" s="28" t="n">
        <f aca="false">F19+F25</f>
        <v>7828035.09333333</v>
      </c>
      <c r="G29" s="28" t="n">
        <f aca="false">G19+G25</f>
        <v>8683131.43502222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229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230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24" t="s">
        <v>162</v>
      </c>
      <c r="C6" s="27" t="n">
        <f aca="false">COLUMN()-2</f>
        <v>1</v>
      </c>
      <c r="D6" s="27" t="n">
        <f aca="false">COLUMN()-2</f>
        <v>2</v>
      </c>
      <c r="E6" s="27" t="n">
        <f aca="false">COLUMN()-2</f>
        <v>3</v>
      </c>
      <c r="F6" s="27" t="n">
        <f aca="false">COLUMN()-2</f>
        <v>4</v>
      </c>
      <c r="G6" s="27"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231</v>
      </c>
      <c r="C8" s="10"/>
      <c r="D8" s="10"/>
      <c r="E8" s="10"/>
      <c r="F8" s="10"/>
      <c r="G8" s="10"/>
    </row>
    <row r="9" customFormat="false" ht="15" hidden="false" customHeight="false" outlineLevel="0" collapsed="false">
      <c r="A9" s="6"/>
      <c r="B9" s="29" t="s">
        <v>185</v>
      </c>
      <c r="C9" s="28" t="n">
        <f aca="false">RB_Total_Spot</f>
        <v>1673357.46267879</v>
      </c>
      <c r="D9" s="28" t="n">
        <f aca="false">RB_Total_Spot</f>
        <v>2150933.74821977</v>
      </c>
      <c r="E9" s="28" t="n">
        <f aca="false">RB_Total_Spot</f>
        <v>2280557.99615983</v>
      </c>
      <c r="F9" s="28" t="n">
        <f aca="false">RB_Total_Spot</f>
        <v>2115413.82479311</v>
      </c>
      <c r="G9" s="28" t="n">
        <f aca="false">RB_Total_Spot</f>
        <v>1787770.43712229</v>
      </c>
    </row>
    <row r="10" customFormat="false" ht="15" hidden="false" customHeight="false" outlineLevel="0" collapsed="false">
      <c r="A10" s="6"/>
      <c r="B10" s="29" t="s">
        <v>189</v>
      </c>
      <c r="C10" s="28" t="n">
        <f aca="false">RB_Deriv_Rev</f>
        <v>193079.707232168</v>
      </c>
      <c r="D10" s="28" t="n">
        <f aca="false">RB_Deriv_Rev</f>
        <v>248184.663256127</v>
      </c>
      <c r="E10" s="28" t="n">
        <f aca="false">RB_Deriv_Rev</f>
        <v>263141.307249211</v>
      </c>
      <c r="F10" s="28" t="n">
        <f aca="false">RB_Deriv_Rev</f>
        <v>244086.210553052</v>
      </c>
      <c r="G10" s="28" t="n">
        <f aca="false">RB_Deriv_Rev</f>
        <v>206281.204283341</v>
      </c>
    </row>
    <row r="11" customFormat="false" ht="15" hidden="false" customHeight="false" outlineLevel="0" collapsed="false">
      <c r="A11" s="6"/>
      <c r="B11" s="29" t="s">
        <v>190</v>
      </c>
      <c r="C11" s="28" t="n">
        <f aca="false">RB_Custody_Rev</f>
        <v>843750</v>
      </c>
      <c r="D11" s="28" t="n">
        <f aca="false">RB_Custody_Rev</f>
        <v>1054687.5</v>
      </c>
      <c r="E11" s="28" t="n">
        <f aca="false">RB_Custody_Rev</f>
        <v>1318359.375</v>
      </c>
      <c r="F11" s="28" t="n">
        <f aca="false">RB_Custody_Rev</f>
        <v>1647949.21875</v>
      </c>
      <c r="G11" s="28" t="n">
        <f aca="false">RB_Custody_Rev</f>
        <v>2059936.5234375</v>
      </c>
    </row>
    <row r="12" customFormat="false" ht="15" hidden="false" customHeight="false" outlineLevel="0" collapsed="false">
      <c r="A12" s="6"/>
      <c r="B12" s="29" t="s">
        <v>191</v>
      </c>
      <c r="C12" s="28" t="n">
        <f aca="false">RB_Staking_Rev</f>
        <v>1898437.5</v>
      </c>
      <c r="D12" s="28" t="n">
        <f aca="false">RB_Staking_Rev</f>
        <v>2373046.875</v>
      </c>
      <c r="E12" s="28" t="n">
        <f aca="false">RB_Staking_Rev</f>
        <v>2966308.59375</v>
      </c>
      <c r="F12" s="28" t="n">
        <f aca="false">RB_Staking_Rev</f>
        <v>3707885.7421875</v>
      </c>
      <c r="G12" s="28" t="n">
        <f aca="false">RB_Staking_Rev</f>
        <v>4634857.17773438</v>
      </c>
    </row>
    <row r="13" customFormat="false" ht="15" hidden="false" customHeight="false" outlineLevel="0" collapsed="false">
      <c r="A13" s="6"/>
      <c r="B13" s="7" t="s">
        <v>193</v>
      </c>
      <c r="C13" s="33" t="n">
        <f aca="false">C9+C10+C11+C12</f>
        <v>4608624.66991095</v>
      </c>
      <c r="D13" s="33" t="n">
        <f aca="false">D9+D10+D11+D12</f>
        <v>5826852.7864759</v>
      </c>
      <c r="E13" s="33" t="n">
        <f aca="false">E9+E10+E11+E12</f>
        <v>6828367.27215904</v>
      </c>
      <c r="F13" s="33" t="n">
        <f aca="false">F9+F10+F11+F12</f>
        <v>7715334.99628367</v>
      </c>
      <c r="G13" s="33" t="n">
        <f aca="false">G9+G10+G11+G12</f>
        <v>8688845.3425775</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104</v>
      </c>
      <c r="C15" s="10"/>
      <c r="D15" s="10"/>
      <c r="E15" s="10"/>
      <c r="F15" s="10"/>
      <c r="G15" s="10"/>
    </row>
    <row r="16" customFormat="false" ht="15" hidden="false" customHeight="false" outlineLevel="0" collapsed="false">
      <c r="A16" s="6"/>
      <c r="B16" s="29" t="s">
        <v>232</v>
      </c>
      <c r="C16" s="28" t="n">
        <f aca="false">UVB_Retail_Vol*10%*Payment_Proc_Fee</f>
        <v>144809.780424126</v>
      </c>
      <c r="D16" s="28" t="n">
        <f aca="false">UVB_Retail_Vol*10%*Payment_Proc_Fee</f>
        <v>186138.497442096</v>
      </c>
      <c r="E16" s="28" t="n">
        <f aca="false">UVB_Retail_Vol*10%*Payment_Proc_Fee</f>
        <v>197355.980436908</v>
      </c>
      <c r="F16" s="28" t="n">
        <f aca="false">UVB_Retail_Vol*10%*Payment_Proc_Fee</f>
        <v>183064.657914789</v>
      </c>
      <c r="G16" s="28" t="n">
        <f aca="false">UVB_Retail_Vol*10%*Payment_Proc_Fee</f>
        <v>154710.903212506</v>
      </c>
    </row>
    <row r="17" customFormat="false" ht="15" hidden="false" customHeight="false" outlineLevel="0" collapsed="false">
      <c r="A17" s="6"/>
      <c r="B17" s="29" t="s">
        <v>233</v>
      </c>
      <c r="C17" s="28" t="n">
        <f aca="false">(UVB_Retail_Vol+UVB_Inst_Vol+UVB_Deriv_Vol)*Gas_Fee_Pct/10000</f>
        <v>1930.79707232168</v>
      </c>
      <c r="D17" s="28" t="n">
        <f aca="false">(UVB_Retail_Vol+UVB_Inst_Vol+UVB_Deriv_Vol)*Gas_Fee_Pct/10000</f>
        <v>2481.84663256127</v>
      </c>
      <c r="E17" s="28" t="n">
        <f aca="false">(UVB_Retail_Vol+UVB_Inst_Vol+UVB_Deriv_Vol)*Gas_Fee_Pct/10000</f>
        <v>2631.41307249211</v>
      </c>
      <c r="F17" s="28" t="n">
        <f aca="false">(UVB_Retail_Vol+UVB_Inst_Vol+UVB_Deriv_Vol)*Gas_Fee_Pct/10000</f>
        <v>2440.86210553052</v>
      </c>
      <c r="G17" s="28" t="n">
        <f aca="false">(UVB_Retail_Vol+UVB_Inst_Vol+UVB_Deriv_Vol)*Gas_Fee_Pct/10000</f>
        <v>2062.81204283341</v>
      </c>
    </row>
    <row r="18" customFormat="false" ht="15" hidden="false" customHeight="false" outlineLevel="0" collapsed="false">
      <c r="A18" s="6"/>
      <c r="B18" s="29" t="s">
        <v>234</v>
      </c>
      <c r="C18" s="28" t="n">
        <f aca="false">UVB_New_Users*KYC_Cost_Per_User</f>
        <v>140000</v>
      </c>
      <c r="D18" s="28" t="n">
        <f aca="false">UVB_New_Users*KYC_Cost_Per_User</f>
        <v>117281.507670481</v>
      </c>
      <c r="E18" s="28" t="n">
        <f aca="false">UVB_New_Users*KYC_Cost_Per_User</f>
        <v>85410.4997208872</v>
      </c>
      <c r="F18" s="28" t="n">
        <f aca="false">UVB_New_Users*KYC_Cost_Per_User</f>
        <v>54318.6428705706</v>
      </c>
      <c r="G18" s="28" t="n">
        <f aca="false">UVB_New_Users*KYC_Cost_Per_User</f>
        <v>34345.0298727197</v>
      </c>
    </row>
    <row r="19" customFormat="false" ht="15" hidden="false" customHeight="false" outlineLevel="0" collapsed="false">
      <c r="A19" s="6"/>
      <c r="B19" s="29" t="s">
        <v>235</v>
      </c>
      <c r="C19" s="28" t="n">
        <f aca="false">(UVB_Retail_Vol+UVB_Inst_Vol)*MM_Rebate_Pct/10000</f>
        <v>1608.99756026806</v>
      </c>
      <c r="D19" s="28" t="n">
        <f aca="false">(UVB_Retail_Vol+UVB_Inst_Vol)*MM_Rebate_Pct/10000</f>
        <v>2068.2055271344</v>
      </c>
      <c r="E19" s="28" t="n">
        <f aca="false">(UVB_Retail_Vol+UVB_Inst_Vol)*MM_Rebate_Pct/10000</f>
        <v>2192.84422707676</v>
      </c>
      <c r="F19" s="28" t="n">
        <f aca="false">(UVB_Retail_Vol+UVB_Inst_Vol)*MM_Rebate_Pct/10000</f>
        <v>2034.05175460876</v>
      </c>
      <c r="G19" s="28" t="n">
        <f aca="false">(UVB_Retail_Vol+UVB_Inst_Vol)*MM_Rebate_Pct/10000</f>
        <v>1719.01003569451</v>
      </c>
    </row>
    <row r="20" customFormat="false" ht="15" hidden="false" customHeight="false" outlineLevel="0" collapsed="false">
      <c r="A20" s="6"/>
      <c r="B20" s="7" t="s">
        <v>236</v>
      </c>
      <c r="C20" s="30" t="n">
        <f aca="false">C16+C17+C18+C19</f>
        <v>288349.575056715</v>
      </c>
      <c r="D20" s="30" t="n">
        <f aca="false">D16+D17+D18+D19</f>
        <v>307970.057272272</v>
      </c>
      <c r="E20" s="30" t="n">
        <f aca="false">E16+E17+E18+E19</f>
        <v>287590.737457364</v>
      </c>
      <c r="F20" s="30" t="n">
        <f aca="false">F16+F17+F18+F19</f>
        <v>241858.214645499</v>
      </c>
      <c r="G20" s="30" t="n">
        <f aca="false">G16+G17+G18+G19</f>
        <v>192837.755163753</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7" t="s">
        <v>237</v>
      </c>
      <c r="C22" s="30" t="n">
        <f aca="false">C13-C20</f>
        <v>4320275.09485424</v>
      </c>
      <c r="D22" s="30" t="n">
        <f aca="false">D13-D20</f>
        <v>5518882.72920363</v>
      </c>
      <c r="E22" s="30" t="n">
        <f aca="false">E13-E20</f>
        <v>6540776.53470167</v>
      </c>
      <c r="F22" s="30" t="n">
        <f aca="false">F13-F20</f>
        <v>7473476.78163817</v>
      </c>
      <c r="G22" s="30" t="n">
        <f aca="false">G13-G20</f>
        <v>8496007.58741375</v>
      </c>
    </row>
    <row r="23" customFormat="false" ht="15" hidden="false" customHeight="false" outlineLevel="0" collapsed="false">
      <c r="A23" s="6"/>
      <c r="B23" s="24" t="s">
        <v>238</v>
      </c>
      <c r="C23" s="36" t="n">
        <f aca="false">IFERROR(C22/C13,0)</f>
        <v>0.937432619119689</v>
      </c>
      <c r="D23" s="36" t="n">
        <f aca="false">IFERROR(D22/D13,0)</f>
        <v>0.947146415302087</v>
      </c>
      <c r="E23" s="36" t="n">
        <f aca="false">IFERROR(E22/E13,0)</f>
        <v>0.9578829424378</v>
      </c>
      <c r="F23" s="36" t="n">
        <f aca="false">IFERROR(F22/F13,0)</f>
        <v>0.968652273068895</v>
      </c>
      <c r="G23" s="36" t="n">
        <f aca="false">IFERROR(G22/G13,0)</f>
        <v>0.977806285235761</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9" t="s">
        <v>195</v>
      </c>
      <c r="C25" s="10"/>
      <c r="D25" s="10"/>
      <c r="E25" s="10"/>
      <c r="F25" s="10"/>
      <c r="G25" s="10"/>
    </row>
    <row r="26" customFormat="false" ht="15" hidden="false" customHeight="false" outlineLevel="0" collapsed="false">
      <c r="A26" s="6"/>
      <c r="B26" s="29" t="s">
        <v>239</v>
      </c>
      <c r="C26" s="28" t="n">
        <f aca="false">OH_Total_Staff</f>
        <v>12150000</v>
      </c>
      <c r="D26" s="28" t="n">
        <f aca="false">OH_Total_Staff</f>
        <v>12514500</v>
      </c>
      <c r="E26" s="28" t="n">
        <f aca="false">OH_Total_Staff</f>
        <v>12889935</v>
      </c>
      <c r="F26" s="28" t="n">
        <f aca="false">OH_Total_Staff</f>
        <v>13276633.05</v>
      </c>
      <c r="G26" s="28" t="n">
        <f aca="false">OH_Total_Staff</f>
        <v>13674932.0415</v>
      </c>
    </row>
    <row r="27" customFormat="false" ht="15" hidden="false" customHeight="false" outlineLevel="0" collapsed="false">
      <c r="A27" s="6"/>
      <c r="B27" s="29" t="s">
        <v>240</v>
      </c>
      <c r="C27" s="28" t="n">
        <f aca="false">OH_Marketing</f>
        <v>4800000</v>
      </c>
      <c r="D27" s="28" t="n">
        <f aca="false">OH_Marketing</f>
        <v>4021080.26298791</v>
      </c>
      <c r="E27" s="28" t="n">
        <f aca="false">OH_Marketing</f>
        <v>2928359.99043042</v>
      </c>
      <c r="F27" s="28" t="n">
        <f aca="false">OH_Marketing</f>
        <v>1862353.46984813</v>
      </c>
      <c r="G27" s="28" t="n">
        <f aca="false">OH_Marketing</f>
        <v>1177543.88135039</v>
      </c>
    </row>
    <row r="28" customFormat="false" ht="15" hidden="false" customHeight="false" outlineLevel="0" collapsed="false">
      <c r="A28" s="6"/>
      <c r="B28" s="29" t="s">
        <v>209</v>
      </c>
      <c r="C28" s="28" t="n">
        <f aca="false">OH_Cloud_Tech</f>
        <v>276517.480194657</v>
      </c>
      <c r="D28" s="28" t="n">
        <f aca="false">OH_Cloud_Tech</f>
        <v>349611.167188554</v>
      </c>
      <c r="E28" s="28" t="n">
        <f aca="false">OH_Cloud_Tech</f>
        <v>409702.036329542</v>
      </c>
      <c r="F28" s="28" t="n">
        <f aca="false">OH_Cloud_Tech</f>
        <v>462920.09977702</v>
      </c>
      <c r="G28" s="28" t="n">
        <f aca="false">OH_Cloud_Tech</f>
        <v>521330.72055465</v>
      </c>
    </row>
    <row r="29" customFormat="false" ht="15" hidden="false" customHeight="false" outlineLevel="0" collapsed="false">
      <c r="A29" s="6"/>
      <c r="B29" s="29" t="s">
        <v>210</v>
      </c>
      <c r="C29" s="28" t="n">
        <f aca="false">OH_Insurance</f>
        <v>138258.740097329</v>
      </c>
      <c r="D29" s="28" t="n">
        <f aca="false">OH_Insurance</f>
        <v>174805.583594277</v>
      </c>
      <c r="E29" s="28" t="n">
        <f aca="false">OH_Insurance</f>
        <v>204851.018164771</v>
      </c>
      <c r="F29" s="28" t="n">
        <f aca="false">OH_Insurance</f>
        <v>231460.04988851</v>
      </c>
      <c r="G29" s="28" t="n">
        <f aca="false">OH_Insurance</f>
        <v>260665.360277325</v>
      </c>
    </row>
    <row r="30" customFormat="false" ht="15" hidden="false" customHeight="false" outlineLevel="0" collapsed="false">
      <c r="A30" s="6"/>
      <c r="B30" s="29" t="s">
        <v>211</v>
      </c>
      <c r="C30" s="28" t="n">
        <f aca="false">OH_Rent</f>
        <v>600000</v>
      </c>
      <c r="D30" s="28" t="n">
        <f aca="false">OH_Rent</f>
        <v>618000</v>
      </c>
      <c r="E30" s="28" t="n">
        <f aca="false">OH_Rent</f>
        <v>636540</v>
      </c>
      <c r="F30" s="28" t="n">
        <f aca="false">OH_Rent</f>
        <v>655636.2</v>
      </c>
      <c r="G30" s="28" t="n">
        <f aca="false">OH_Rent</f>
        <v>675305.286</v>
      </c>
    </row>
    <row r="31" customFormat="false" ht="15" hidden="false" customHeight="false" outlineLevel="0" collapsed="false">
      <c r="A31" s="6"/>
      <c r="B31" s="7" t="s">
        <v>212</v>
      </c>
      <c r="C31" s="30" t="n">
        <f aca="false">C26+C27+C28+C29+C30</f>
        <v>17964776.220292</v>
      </c>
      <c r="D31" s="30" t="n">
        <f aca="false">D26+D27+D28+D29+D30</f>
        <v>17677997.0137707</v>
      </c>
      <c r="E31" s="30" t="n">
        <f aca="false">E26+E27+E28+E29+E30</f>
        <v>17069388.0449247</v>
      </c>
      <c r="F31" s="30" t="n">
        <f aca="false">F26+F27+F28+F29+F30</f>
        <v>16489002.8695137</v>
      </c>
      <c r="G31" s="30" t="n">
        <f aca="false">G26+G27+G28+G29+G30</f>
        <v>16309777.2896824</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7" t="s">
        <v>241</v>
      </c>
      <c r="C33" s="30" t="n">
        <f aca="false">C22-C31</f>
        <v>-13644501.1254378</v>
      </c>
      <c r="D33" s="30" t="n">
        <f aca="false">D22-D31</f>
        <v>-12159114.2845671</v>
      </c>
      <c r="E33" s="30" t="n">
        <f aca="false">E22-E31</f>
        <v>-10528611.5102231</v>
      </c>
      <c r="F33" s="30" t="n">
        <f aca="false">F22-F31</f>
        <v>-9015526.0878755</v>
      </c>
      <c r="G33" s="30" t="n">
        <f aca="false">G22-G31</f>
        <v>-7813769.70226862</v>
      </c>
    </row>
    <row r="34" customFormat="false" ht="15" hidden="false" customHeight="false" outlineLevel="0" collapsed="false">
      <c r="A34" s="6"/>
      <c r="B34" s="24" t="s">
        <v>242</v>
      </c>
      <c r="C34" s="36" t="n">
        <f aca="false">IFERROR(C33/C13,0)</f>
        <v>-2.96064490009801</v>
      </c>
      <c r="D34" s="36" t="n">
        <f aca="false">IFERROR(D33/D13,0)</f>
        <v>-2.08673785491687</v>
      </c>
      <c r="E34" s="36" t="n">
        <f aca="false">IFERROR(E33/E13,0)</f>
        <v>-1.54189297244611</v>
      </c>
      <c r="F34" s="36" t="n">
        <f aca="false">IFERROR(F33/F13,0)</f>
        <v>-1.1685203678412</v>
      </c>
      <c r="G34" s="36" t="n">
        <f aca="false">IFERROR(G33/G13,0)</f>
        <v>-0.899287465042012</v>
      </c>
    </row>
    <row r="35" customFormat="false" ht="15" hidden="false" customHeight="false" outlineLevel="0" collapsed="false">
      <c r="A35" s="6"/>
      <c r="B35" s="6"/>
      <c r="C35" s="6"/>
      <c r="D35" s="6"/>
      <c r="E35" s="6"/>
      <c r="F35" s="6"/>
      <c r="G35" s="6"/>
    </row>
    <row r="36" customFormat="false" ht="15" hidden="false" customHeight="false" outlineLevel="0" collapsed="false">
      <c r="A36" s="6"/>
      <c r="B36" s="9" t="s">
        <v>243</v>
      </c>
      <c r="C36" s="10"/>
      <c r="D36" s="10"/>
      <c r="E36" s="10"/>
      <c r="F36" s="10"/>
      <c r="G36" s="10"/>
    </row>
    <row r="37" customFormat="false" ht="15" hidden="false" customHeight="false" outlineLevel="0" collapsed="false">
      <c r="A37" s="6"/>
      <c r="B37" s="8" t="s">
        <v>244</v>
      </c>
      <c r="C37" s="28" t="n">
        <f aca="false">CA_Total_DA</f>
        <v>-1480000</v>
      </c>
      <c r="D37" s="28" t="n">
        <f aca="false">CA_Total_DA</f>
        <v>-2515200</v>
      </c>
      <c r="E37" s="28" t="n">
        <f aca="false">CA_Total_DA</f>
        <v>-3254096</v>
      </c>
      <c r="F37" s="28" t="n">
        <f aca="false">CA_Total_DA</f>
        <v>-3795937.54666667</v>
      </c>
      <c r="G37" s="28" t="n">
        <f aca="false">CA_Total_DA</f>
        <v>-4207101.71751111</v>
      </c>
    </row>
    <row r="38" customFormat="false" ht="15" hidden="false" customHeight="false" outlineLevel="0" collapsed="false">
      <c r="A38" s="6"/>
      <c r="B38" s="6"/>
      <c r="C38" s="6"/>
      <c r="D38" s="6"/>
      <c r="E38" s="6"/>
      <c r="F38" s="6"/>
      <c r="G38" s="6"/>
    </row>
    <row r="39" customFormat="false" ht="15" hidden="false" customHeight="false" outlineLevel="0" collapsed="false">
      <c r="A39" s="6"/>
      <c r="B39" s="7" t="s">
        <v>245</v>
      </c>
      <c r="C39" s="30" t="n">
        <f aca="false">C33+C37</f>
        <v>-15124501.1254378</v>
      </c>
      <c r="D39" s="30" t="n">
        <f aca="false">D33+D37</f>
        <v>-14674314.2845671</v>
      </c>
      <c r="E39" s="30" t="n">
        <f aca="false">E33+E37</f>
        <v>-13782707.5102231</v>
      </c>
      <c r="F39" s="30" t="n">
        <f aca="false">F33+F37</f>
        <v>-12811463.6345422</v>
      </c>
      <c r="G39" s="30" t="n">
        <f aca="false">G33+G37</f>
        <v>-12020871.4197797</v>
      </c>
    </row>
    <row r="40" customFormat="false" ht="15" hidden="false" customHeight="false" outlineLevel="0" collapsed="false">
      <c r="A40" s="6"/>
      <c r="B40" s="9" t="s">
        <v>246</v>
      </c>
      <c r="C40" s="10"/>
      <c r="D40" s="10"/>
      <c r="E40" s="10"/>
      <c r="F40" s="10"/>
      <c r="G40" s="10"/>
    </row>
    <row r="41" customFormat="false" ht="15" hidden="false" customHeight="false" outlineLevel="0" collapsed="false">
      <c r="A41" s="6"/>
      <c r="B41" s="8" t="s">
        <v>247</v>
      </c>
      <c r="C41" s="28" t="n">
        <f aca="false">-MAX(0,C39*Tax_Rate)</f>
        <v>-0</v>
      </c>
      <c r="D41" s="28" t="n">
        <f aca="false">-MAX(0,D39*Tax_Rate)</f>
        <v>-0</v>
      </c>
      <c r="E41" s="28" t="n">
        <f aca="false">-MAX(0,E39*Tax_Rate)</f>
        <v>-0</v>
      </c>
      <c r="F41" s="28" t="n">
        <f aca="false">-MAX(0,F39*Tax_Rate)</f>
        <v>-0</v>
      </c>
      <c r="G41" s="28" t="n">
        <f aca="false">-MAX(0,G39*Tax_Rate)</f>
        <v>-0</v>
      </c>
    </row>
    <row r="42" customFormat="false" ht="15" hidden="false" customHeight="false" outlineLevel="0" collapsed="false">
      <c r="A42" s="6"/>
      <c r="B42" s="6"/>
      <c r="C42" s="6"/>
      <c r="D42" s="6"/>
      <c r="E42" s="6"/>
      <c r="F42" s="6"/>
      <c r="G42" s="6"/>
    </row>
    <row r="43" customFormat="false" ht="15" hidden="false" customHeight="false" outlineLevel="0" collapsed="false">
      <c r="A43" s="6"/>
      <c r="B43" s="7" t="s">
        <v>248</v>
      </c>
      <c r="C43" s="33" t="n">
        <f aca="false">C39+C41</f>
        <v>-15124501.1254378</v>
      </c>
      <c r="D43" s="33" t="n">
        <f aca="false">D39+D41</f>
        <v>-14674314.2845671</v>
      </c>
      <c r="E43" s="33" t="n">
        <f aca="false">E39+E41</f>
        <v>-13782707.5102231</v>
      </c>
      <c r="F43" s="33" t="n">
        <f aca="false">F39+F41</f>
        <v>-12811463.6345422</v>
      </c>
      <c r="G43" s="33" t="n">
        <f aca="false">G39+G41</f>
        <v>-12020871.4197797</v>
      </c>
    </row>
    <row r="44" customFormat="false" ht="15" hidden="false" customHeight="false" outlineLevel="0" collapsed="false">
      <c r="A44" s="6"/>
      <c r="B44" s="24" t="s">
        <v>249</v>
      </c>
      <c r="C44" s="36" t="n">
        <f aca="false">IFERROR(C43/C13,0)</f>
        <v>-3.28178192166167</v>
      </c>
      <c r="D44" s="36" t="n">
        <f aca="false">IFERROR(D43/D13,0)</f>
        <v>-2.51839454716037</v>
      </c>
      <c r="E44" s="36" t="n">
        <f aca="false">IFERROR(E43/E13,0)</f>
        <v>-2.01844847543843</v>
      </c>
      <c r="F44" s="36" t="n">
        <f aca="false">IFERROR(F43/F13,0)</f>
        <v>-1.66051942536691</v>
      </c>
      <c r="G44" s="36" t="n">
        <f aca="false">IFERROR(G43/G13,0)</f>
        <v>-1.3834831839939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250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251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252</v>
      </c>
      <c r="C8" s="10"/>
      <c r="D8" s="10"/>
      <c r="E8" s="10"/>
      <c r="F8" s="10"/>
      <c r="G8" s="10"/>
    </row>
    <row r="9" customFormat="false" ht="15" hidden="false" customHeight="false" outlineLevel="0" collapsed="false">
      <c r="A9" s="6"/>
      <c r="B9" s="8" t="s">
        <v>253</v>
      </c>
      <c r="C9" s="28" t="n">
        <f aca="false">CF_Closing_Cash</f>
        <v>28125000</v>
      </c>
      <c r="D9" s="28" t="n">
        <f aca="false">CF_Closing_Cash</f>
        <v>35156250</v>
      </c>
      <c r="E9" s="28" t="n">
        <f aca="false">CF_Closing_Cash</f>
        <v>43945312.5</v>
      </c>
      <c r="F9" s="28" t="n">
        <f aca="false">CF_Closing_Cash</f>
        <v>54931640.625</v>
      </c>
      <c r="G9" s="28" t="n">
        <f aca="false">CF_Closing_Cash</f>
        <v>68664550.78125</v>
      </c>
    </row>
    <row r="10" customFormat="false" ht="15" hidden="false" customHeight="false" outlineLevel="0" collapsed="false">
      <c r="A10" s="6"/>
      <c r="B10" s="8" t="s">
        <v>254</v>
      </c>
      <c r="C10" s="28" t="n">
        <f aca="false">IS_Total_Rev*DSO/365</f>
        <v>63131.8447933007</v>
      </c>
      <c r="D10" s="28" t="n">
        <f aca="false">IS_Total_Rev*DSO/365</f>
        <v>79819.9011846014</v>
      </c>
      <c r="E10" s="28" t="n">
        <f aca="false">IS_Total_Rev*DSO/365</f>
        <v>93539.2777008087</v>
      </c>
      <c r="F10" s="28" t="n">
        <f aca="false">IS_Total_Rev*DSO/365</f>
        <v>105689.520497037</v>
      </c>
      <c r="G10" s="28" t="n">
        <f aca="false">IS_Total_Rev*DSO/365</f>
        <v>119025.278665445</v>
      </c>
    </row>
    <row r="11" customFormat="false" ht="15" hidden="false" customHeight="false" outlineLevel="0" collapsed="false">
      <c r="A11" s="6"/>
      <c r="B11" s="7" t="s">
        <v>255</v>
      </c>
      <c r="C11" s="30" t="n">
        <f aca="false">C9+C10</f>
        <v>28188131.8447933</v>
      </c>
      <c r="D11" s="30" t="n">
        <f aca="false">D9+D10</f>
        <v>35236069.9011846</v>
      </c>
      <c r="E11" s="30" t="n">
        <f aca="false">E9+E10</f>
        <v>44038851.7777008</v>
      </c>
      <c r="F11" s="30" t="n">
        <f aca="false">F9+F10</f>
        <v>55037330.145497</v>
      </c>
      <c r="G11" s="30" t="n">
        <f aca="false">G9+G10</f>
        <v>68783576.0599154</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256</v>
      </c>
      <c r="C13" s="10"/>
      <c r="D13" s="10"/>
      <c r="E13" s="10"/>
      <c r="F13" s="10"/>
      <c r="G13" s="10"/>
    </row>
    <row r="14" customFormat="false" ht="15" hidden="false" customHeight="false" outlineLevel="0" collapsed="false">
      <c r="A14" s="6"/>
      <c r="B14" s="8" t="s">
        <v>257</v>
      </c>
      <c r="C14" s="28" t="n">
        <f aca="false">CA_SW_Closing</f>
        <v>2880000</v>
      </c>
      <c r="D14" s="28" t="n">
        <f aca="false">CA_SW_Closing</f>
        <v>4886400</v>
      </c>
      <c r="E14" s="28" t="n">
        <f aca="false">CA_SW_Closing</f>
        <v>6312992</v>
      </c>
      <c r="F14" s="28" t="n">
        <f aca="false">CA_SW_Closing</f>
        <v>7355715.09333333</v>
      </c>
      <c r="G14" s="28" t="n">
        <f aca="false">CA_SW_Closing</f>
        <v>8145275.43502222</v>
      </c>
    </row>
    <row r="15" customFormat="false" ht="15" hidden="false" customHeight="false" outlineLevel="0" collapsed="false">
      <c r="A15" s="6"/>
      <c r="B15" s="8" t="s">
        <v>258</v>
      </c>
      <c r="C15" s="28" t="n">
        <f aca="false">CA_HW_Closing</f>
        <v>160000</v>
      </c>
      <c r="D15" s="28" t="n">
        <f aca="false">CA_HW_Closing</f>
        <v>288000</v>
      </c>
      <c r="E15" s="28" t="n">
        <f aca="false">CA_HW_Closing</f>
        <v>390400</v>
      </c>
      <c r="F15" s="28" t="n">
        <f aca="false">CA_HW_Closing</f>
        <v>472320</v>
      </c>
      <c r="G15" s="28" t="n">
        <f aca="false">CA_HW_Closing</f>
        <v>537856</v>
      </c>
    </row>
    <row r="16" customFormat="false" ht="15" hidden="false" customHeight="false" outlineLevel="0" collapsed="false">
      <c r="A16" s="6"/>
      <c r="B16" s="7" t="s">
        <v>259</v>
      </c>
      <c r="C16" s="30" t="n">
        <f aca="false">C14+C15</f>
        <v>3040000</v>
      </c>
      <c r="D16" s="30" t="n">
        <f aca="false">D14+D15</f>
        <v>5174400</v>
      </c>
      <c r="E16" s="30" t="n">
        <f aca="false">E14+E15</f>
        <v>6703392</v>
      </c>
      <c r="F16" s="30" t="n">
        <f aca="false">F14+F15</f>
        <v>7828035.09333333</v>
      </c>
      <c r="G16" s="30" t="n">
        <f aca="false">G14+G15</f>
        <v>8683131.43502222</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7" t="s">
        <v>260</v>
      </c>
      <c r="C18" s="33" t="n">
        <f aca="false">C11+C16</f>
        <v>31228131.8447933</v>
      </c>
      <c r="D18" s="33" t="n">
        <f aca="false">D11+D16</f>
        <v>40410469.9011846</v>
      </c>
      <c r="E18" s="33" t="n">
        <f aca="false">E11+E16</f>
        <v>50742243.7777008</v>
      </c>
      <c r="F18" s="33" t="n">
        <f aca="false">F11+F16</f>
        <v>62865365.2388304</v>
      </c>
      <c r="G18" s="33" t="n">
        <f aca="false">G11+G16</f>
        <v>77466707.4949377</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6"/>
      <c r="C20" s="6"/>
      <c r="D20" s="6"/>
      <c r="E20" s="6"/>
      <c r="F20" s="6"/>
      <c r="G20" s="6"/>
    </row>
    <row r="21" customFormat="false" ht="15" hidden="false" customHeight="false" outlineLevel="0" collapsed="false">
      <c r="A21" s="6"/>
      <c r="B21" s="9" t="s">
        <v>261</v>
      </c>
      <c r="C21" s="10"/>
      <c r="D21" s="10"/>
      <c r="E21" s="10"/>
      <c r="F21" s="10"/>
      <c r="G21" s="10"/>
    </row>
    <row r="22" customFormat="false" ht="15" hidden="false" customHeight="false" outlineLevel="0" collapsed="false">
      <c r="A22" s="6"/>
      <c r="B22" s="8" t="s">
        <v>262</v>
      </c>
      <c r="C22" s="28" t="n">
        <f aca="false">(IS_Total_COGS+IS_Total_Opex)*DPO/365</f>
        <v>1750299.73380056</v>
      </c>
      <c r="D22" s="28" t="n">
        <f aca="false">(IS_Total_COGS+IS_Total_Opex)*DPO/365</f>
        <v>1724681.77393563</v>
      </c>
      <c r="E22" s="28" t="n">
        <f aca="false">(IS_Total_COGS+IS_Total_Opex)*DPO/365</f>
        <v>1664367.8284476</v>
      </c>
      <c r="F22" s="28" t="n">
        <f aca="false">(IS_Total_COGS+IS_Total_Opex)*DPO/365</f>
        <v>1604329.14505636</v>
      </c>
      <c r="G22" s="28" t="n">
        <f aca="false">(IS_Total_COGS+IS_Total_Opex)*DPO/365</f>
        <v>1582442.53854689</v>
      </c>
    </row>
    <row r="23" customFormat="false" ht="15" hidden="false" customHeight="false" outlineLevel="0" collapsed="false">
      <c r="A23" s="6"/>
      <c r="B23" s="8" t="s">
        <v>263</v>
      </c>
      <c r="C23" s="28" t="n">
        <f aca="false">-IS_Tax</f>
        <v>0</v>
      </c>
      <c r="D23" s="28" t="n">
        <f aca="false">-IS_Tax</f>
        <v>0</v>
      </c>
      <c r="E23" s="28" t="n">
        <f aca="false">-IS_Tax</f>
        <v>0</v>
      </c>
      <c r="F23" s="28" t="n">
        <f aca="false">-IS_Tax</f>
        <v>0</v>
      </c>
      <c r="G23" s="28" t="n">
        <f aca="false">-IS_Tax</f>
        <v>0</v>
      </c>
    </row>
    <row r="24" customFormat="false" ht="15" hidden="false" customHeight="false" outlineLevel="0" collapsed="false">
      <c r="A24" s="6"/>
      <c r="B24" s="7" t="s">
        <v>264</v>
      </c>
      <c r="C24" s="30" t="n">
        <f aca="false">C22+C23</f>
        <v>1750299.73380056</v>
      </c>
      <c r="D24" s="30" t="n">
        <f aca="false">D22+D23</f>
        <v>1724681.77393563</v>
      </c>
      <c r="E24" s="30" t="n">
        <f aca="false">E22+E23</f>
        <v>1664367.8284476</v>
      </c>
      <c r="F24" s="30" t="n">
        <f aca="false">F22+F23</f>
        <v>1604329.14505636</v>
      </c>
      <c r="G24" s="30" t="n">
        <f aca="false">G22+G23</f>
        <v>1582442.53854689</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7" t="s">
        <v>265</v>
      </c>
      <c r="C26" s="30" t="n">
        <f aca="false">C24</f>
        <v>1750299.73380056</v>
      </c>
      <c r="D26" s="30" t="n">
        <f aca="false">D24</f>
        <v>1724681.77393563</v>
      </c>
      <c r="E26" s="30" t="n">
        <f aca="false">E24</f>
        <v>1664367.8284476</v>
      </c>
      <c r="F26" s="30" t="n">
        <f aca="false">F24</f>
        <v>1604329.14505636</v>
      </c>
      <c r="G26" s="30" t="n">
        <f aca="false">G24</f>
        <v>1582442.53854689</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9" t="s">
        <v>266</v>
      </c>
      <c r="C28" s="10"/>
      <c r="D28" s="10"/>
      <c r="E28" s="10"/>
      <c r="F28" s="10"/>
      <c r="G28" s="10"/>
    </row>
    <row r="29" customFormat="false" ht="15" hidden="false" customHeight="false" outlineLevel="0" collapsed="false">
      <c r="A29" s="6"/>
      <c r="B29" s="8" t="s">
        <v>267</v>
      </c>
      <c r="C29" s="28" t="n">
        <f aca="false">CF_Equity_Injection</f>
        <v>44602333.2364305</v>
      </c>
      <c r="D29" s="28" t="n">
        <f aca="false">C29+CF_Equity_Injection</f>
        <v>68484603.5372538</v>
      </c>
      <c r="E29" s="28" t="n">
        <f aca="false">D29+CF_Equity_Injection</f>
        <v>92659398.8694811</v>
      </c>
      <c r="F29" s="28" t="n">
        <f aca="false">E29+CF_Equity_Injection</f>
        <v>117654022.648544</v>
      </c>
      <c r="G29" s="28" t="n">
        <f aca="false">F29+CF_Equity_Injection</f>
        <v>144298122.930941</v>
      </c>
    </row>
    <row r="30" customFormat="false" ht="15" hidden="false" customHeight="false" outlineLevel="0" collapsed="false">
      <c r="A30" s="6"/>
      <c r="B30" s="8" t="s">
        <v>268</v>
      </c>
      <c r="C30" s="28" t="n">
        <f aca="false">IS_Net_Income</f>
        <v>-15124501.1254378</v>
      </c>
      <c r="D30" s="28" t="n">
        <f aca="false">C30+IS_Net_Income</f>
        <v>-29798815.4100049</v>
      </c>
      <c r="E30" s="28" t="n">
        <f aca="false">D30+IS_Net_Income</f>
        <v>-43581522.9202279</v>
      </c>
      <c r="F30" s="28" t="n">
        <f aca="false">E30+IS_Net_Income</f>
        <v>-56392986.5547701</v>
      </c>
      <c r="G30" s="28" t="n">
        <f aca="false">F30+IS_Net_Income</f>
        <v>-68413857.9745498</v>
      </c>
    </row>
    <row r="31" customFormat="false" ht="15" hidden="false" customHeight="false" outlineLevel="0" collapsed="false">
      <c r="A31" s="6"/>
      <c r="B31" s="7" t="s">
        <v>269</v>
      </c>
      <c r="C31" s="30" t="n">
        <f aca="false">C29+C30</f>
        <v>29477832.1109927</v>
      </c>
      <c r="D31" s="30" t="n">
        <f aca="false">D29+D30</f>
        <v>38685788.127249</v>
      </c>
      <c r="E31" s="30" t="n">
        <f aca="false">E29+E30</f>
        <v>49077875.9492532</v>
      </c>
      <c r="F31" s="30" t="n">
        <f aca="false">F29+F30</f>
        <v>61261036.093774</v>
      </c>
      <c r="G31" s="30" t="n">
        <f aca="false">G29+G30</f>
        <v>75884264.9563908</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7" t="s">
        <v>270</v>
      </c>
      <c r="C33" s="33" t="n">
        <f aca="false">C26+C31</f>
        <v>31228131.8447933</v>
      </c>
      <c r="D33" s="33" t="n">
        <f aca="false">D26+D31</f>
        <v>40410469.9011846</v>
      </c>
      <c r="E33" s="33" t="n">
        <f aca="false">E26+E31</f>
        <v>50742243.7777008</v>
      </c>
      <c r="F33" s="33" t="n">
        <f aca="false">F26+F31</f>
        <v>62865365.2388304</v>
      </c>
      <c r="G33" s="33" t="n">
        <f aca="false">G26+G31</f>
        <v>77466707.4949376</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8" t="s">
        <v>271</v>
      </c>
      <c r="C35" s="37" t="n">
        <f aca="false">C18-C33</f>
        <v>0</v>
      </c>
      <c r="D35" s="37" t="n">
        <f aca="false">D18-D33</f>
        <v>0</v>
      </c>
      <c r="E35" s="37" t="n">
        <f aca="false">E18-E33</f>
        <v>0</v>
      </c>
      <c r="F35" s="37" t="n">
        <f aca="false">F18-F33</f>
        <v>0</v>
      </c>
      <c r="G35" s="37" t="n">
        <f aca="false">G18-G33</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272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273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24" t="s">
        <v>162</v>
      </c>
      <c r="C6" s="27" t="n">
        <f aca="false">COLUMN()-2</f>
        <v>1</v>
      </c>
      <c r="D6" s="27" t="n">
        <f aca="false">COLUMN()-2</f>
        <v>2</v>
      </c>
      <c r="E6" s="27" t="n">
        <f aca="false">COLUMN()-2</f>
        <v>3</v>
      </c>
      <c r="F6" s="27" t="n">
        <f aca="false">COLUMN()-2</f>
        <v>4</v>
      </c>
      <c r="G6" s="27"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274</v>
      </c>
      <c r="C8" s="10"/>
      <c r="D8" s="10"/>
      <c r="E8" s="10"/>
      <c r="F8" s="10"/>
      <c r="G8" s="10"/>
    </row>
    <row r="9" customFormat="false" ht="15" hidden="false" customHeight="false" outlineLevel="0" collapsed="false">
      <c r="A9" s="6"/>
      <c r="B9" s="8" t="s">
        <v>275</v>
      </c>
      <c r="C9" s="28" t="n">
        <f aca="false">IS_Net_Income</f>
        <v>-15124501.1254378</v>
      </c>
      <c r="D9" s="28" t="n">
        <f aca="false">IS_Net_Income</f>
        <v>-14674314.2845671</v>
      </c>
      <c r="E9" s="28" t="n">
        <f aca="false">IS_Net_Income</f>
        <v>-13782707.5102231</v>
      </c>
      <c r="F9" s="28" t="n">
        <f aca="false">IS_Net_Income</f>
        <v>-12811463.6345422</v>
      </c>
      <c r="G9" s="28" t="n">
        <f aca="false">IS_Net_Income</f>
        <v>-12020871.4197797</v>
      </c>
    </row>
    <row r="10" customFormat="false" ht="15" hidden="false" customHeight="false" outlineLevel="0" collapsed="false">
      <c r="A10" s="6"/>
      <c r="B10" s="29" t="s">
        <v>276</v>
      </c>
      <c r="C10" s="28" t="n">
        <f aca="false">-CA_Total_DA</f>
        <v>1480000</v>
      </c>
      <c r="D10" s="28" t="n">
        <f aca="false">-CA_Total_DA</f>
        <v>2515200</v>
      </c>
      <c r="E10" s="28" t="n">
        <f aca="false">-CA_Total_DA</f>
        <v>3254096</v>
      </c>
      <c r="F10" s="28" t="n">
        <f aca="false">-CA_Total_DA</f>
        <v>3795937.54666667</v>
      </c>
      <c r="G10" s="28" t="n">
        <f aca="false">-CA_Total_DA</f>
        <v>4207101.71751111</v>
      </c>
    </row>
    <row r="11" customFormat="false" ht="15" hidden="false" customHeight="false" outlineLevel="0" collapsed="false">
      <c r="A11" s="6"/>
      <c r="B11" s="24" t="s">
        <v>277</v>
      </c>
      <c r="C11" s="6"/>
      <c r="D11" s="6"/>
      <c r="E11" s="6"/>
      <c r="F11" s="6"/>
      <c r="G11" s="6"/>
    </row>
    <row r="12" customFormat="false" ht="15" hidden="false" customHeight="false" outlineLevel="0" collapsed="false">
      <c r="A12" s="6"/>
      <c r="B12" s="29" t="s">
        <v>278</v>
      </c>
      <c r="C12" s="28" t="n">
        <f aca="false">-Balance_Sheet!C10</f>
        <v>-63131.8447933007</v>
      </c>
      <c r="D12" s="28" t="n">
        <f aca="false">-(Balance_Sheet!D10-Balance_Sheet!C10)</f>
        <v>-16688.0563913006</v>
      </c>
      <c r="E12" s="28" t="n">
        <f aca="false">-(Balance_Sheet!E10-Balance_Sheet!D10)</f>
        <v>-13719.3765162074</v>
      </c>
      <c r="F12" s="28" t="n">
        <f aca="false">-(Balance_Sheet!F10-Balance_Sheet!E10)</f>
        <v>-12150.2427962278</v>
      </c>
      <c r="G12" s="28" t="n">
        <f aca="false">-(Balance_Sheet!G10-Balance_Sheet!F10)</f>
        <v>-13335.7581684087</v>
      </c>
    </row>
    <row r="13" customFormat="false" ht="15" hidden="false" customHeight="false" outlineLevel="0" collapsed="false">
      <c r="A13" s="6"/>
      <c r="B13" s="29" t="s">
        <v>279</v>
      </c>
      <c r="C13" s="28" t="n">
        <f aca="false">Balance_Sheet!C22</f>
        <v>1750299.73380056</v>
      </c>
      <c r="D13" s="28" t="n">
        <f aca="false">Balance_Sheet!D22-Balance_Sheet!C22</f>
        <v>-25617.9598649296</v>
      </c>
      <c r="E13" s="28" t="n">
        <f aca="false">Balance_Sheet!E22-Balance_Sheet!D22</f>
        <v>-60313.9454880331</v>
      </c>
      <c r="F13" s="28" t="n">
        <f aca="false">Balance_Sheet!F22-Balance_Sheet!E22</f>
        <v>-60038.68339124</v>
      </c>
      <c r="G13" s="28" t="n">
        <f aca="false">Balance_Sheet!G22-Balance_Sheet!F22</f>
        <v>-21886.6065094699</v>
      </c>
    </row>
    <row r="14" customFormat="false" ht="15" hidden="false" customHeight="false" outlineLevel="0" collapsed="false">
      <c r="A14" s="6"/>
      <c r="B14" s="29" t="s">
        <v>280</v>
      </c>
      <c r="C14" s="28" t="n">
        <f aca="false">Balance_Sheet!C23</f>
        <v>0</v>
      </c>
      <c r="D14" s="28" t="n">
        <f aca="false">Balance_Sheet!D23-Balance_Sheet!C23</f>
        <v>0</v>
      </c>
      <c r="E14" s="28" t="n">
        <f aca="false">Balance_Sheet!E23-Balance_Sheet!D23</f>
        <v>0</v>
      </c>
      <c r="F14" s="28" t="n">
        <f aca="false">Balance_Sheet!F23-Balance_Sheet!E23</f>
        <v>0</v>
      </c>
      <c r="G14" s="28" t="n">
        <f aca="false">Balance_Sheet!G23-Balance_Sheet!F23</f>
        <v>0</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7" t="s">
        <v>281</v>
      </c>
      <c r="C16" s="30" t="n">
        <f aca="false">C9+C10+C12+C13+C14</f>
        <v>-11957333.2364305</v>
      </c>
      <c r="D16" s="30" t="n">
        <f aca="false">D9+D10+D12+D13+D14</f>
        <v>-12201420.3008233</v>
      </c>
      <c r="E16" s="30" t="n">
        <f aca="false">E9+E10+E12+E13+E14</f>
        <v>-10602644.8322273</v>
      </c>
      <c r="F16" s="30" t="n">
        <f aca="false">F9+F10+F12+F13+F14</f>
        <v>-9087715.01406296</v>
      </c>
      <c r="G16" s="30" t="n">
        <f aca="false">G9+G10+G12+G13+G14</f>
        <v>-7848992.0669465</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9" t="s">
        <v>282</v>
      </c>
      <c r="C18" s="10"/>
      <c r="D18" s="10"/>
      <c r="E18" s="10"/>
      <c r="F18" s="10"/>
      <c r="G18" s="10"/>
    </row>
    <row r="19" customFormat="false" ht="15" hidden="false" customHeight="false" outlineLevel="0" collapsed="false">
      <c r="A19" s="6"/>
      <c r="B19" s="29" t="s">
        <v>134</v>
      </c>
      <c r="C19" s="28" t="n">
        <f aca="false">-CA_Total_Capex</f>
        <v>-4520000</v>
      </c>
      <c r="D19" s="28" t="n">
        <f aca="false">-CA_Total_Capex</f>
        <v>-4649600</v>
      </c>
      <c r="E19" s="28" t="n">
        <f aca="false">-CA_Total_Capex</f>
        <v>-4783088</v>
      </c>
      <c r="F19" s="28" t="n">
        <f aca="false">-CA_Total_Capex</f>
        <v>-4920580.64</v>
      </c>
      <c r="G19" s="28" t="n">
        <f aca="false">-CA_Total_Capex</f>
        <v>-5062198.0592</v>
      </c>
    </row>
    <row r="20" customFormat="false" ht="15" hidden="false" customHeight="false" outlineLevel="0" collapsed="false">
      <c r="A20" s="6"/>
      <c r="B20" s="7" t="s">
        <v>283</v>
      </c>
      <c r="C20" s="30" t="n">
        <f aca="false">C19</f>
        <v>-4520000</v>
      </c>
      <c r="D20" s="30" t="n">
        <f aca="false">D19</f>
        <v>-4649600</v>
      </c>
      <c r="E20" s="30" t="n">
        <f aca="false">E19</f>
        <v>-4783088</v>
      </c>
      <c r="F20" s="30" t="n">
        <f aca="false">F19</f>
        <v>-4920580.64</v>
      </c>
      <c r="G20" s="30" t="n">
        <f aca="false">G19</f>
        <v>-5062198.0592</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9" t="s">
        <v>284</v>
      </c>
      <c r="C22" s="10"/>
      <c r="D22" s="10"/>
      <c r="E22" s="10"/>
      <c r="F22" s="10"/>
      <c r="G22" s="10"/>
    </row>
    <row r="23" customFormat="false" ht="15" hidden="false" customHeight="false" outlineLevel="0" collapsed="false">
      <c r="A23" s="6"/>
      <c r="B23" s="29" t="s">
        <v>285</v>
      </c>
      <c r="C23" s="28" t="n">
        <f aca="false">MAX(Opening_Equity,UVB_Avg_AUC*Reg_Capital_Pct-(C28+C16+C20))</f>
        <v>44602333.2364305</v>
      </c>
      <c r="D23" s="28" t="n">
        <f aca="false">MAX(0,UVB_Avg_AUC*Reg_Capital_Pct-(D28+D16+D20))</f>
        <v>23882270.3008233</v>
      </c>
      <c r="E23" s="28" t="n">
        <f aca="false">MAX(0,UVB_Avg_AUC*Reg_Capital_Pct-(E28+E16+E20))</f>
        <v>24174795.3322273</v>
      </c>
      <c r="F23" s="28" t="n">
        <f aca="false">MAX(0,UVB_Avg_AUC*Reg_Capital_Pct-(F28+F16+F20))</f>
        <v>24994623.779063</v>
      </c>
      <c r="G23" s="28" t="n">
        <f aca="false">MAX(0,UVB_Avg_AUC*Reg_Capital_Pct-(G28+G16+G20))</f>
        <v>26644100.2823965</v>
      </c>
    </row>
    <row r="24" customFormat="false" ht="15" hidden="false" customHeight="false" outlineLevel="0" collapsed="false">
      <c r="A24" s="6"/>
      <c r="B24" s="7" t="s">
        <v>286</v>
      </c>
      <c r="C24" s="30" t="n">
        <f aca="false">C23</f>
        <v>44602333.2364305</v>
      </c>
      <c r="D24" s="30" t="n">
        <f aca="false">D23</f>
        <v>23882270.3008233</v>
      </c>
      <c r="E24" s="30" t="n">
        <f aca="false">E23</f>
        <v>24174795.3322273</v>
      </c>
      <c r="F24" s="30" t="n">
        <f aca="false">F23</f>
        <v>24994623.779063</v>
      </c>
      <c r="G24" s="30" t="n">
        <f aca="false">G23</f>
        <v>26644100.2823965</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7" t="s">
        <v>287</v>
      </c>
      <c r="C26" s="30" t="n">
        <f aca="false">C16+C20+C24</f>
        <v>28125000</v>
      </c>
      <c r="D26" s="30" t="n">
        <f aca="false">D16+D20+D24</f>
        <v>7031250</v>
      </c>
      <c r="E26" s="30" t="n">
        <f aca="false">E16+E20+E24</f>
        <v>8789062.5</v>
      </c>
      <c r="F26" s="30" t="n">
        <f aca="false">F16+F20+F24</f>
        <v>10986328.125</v>
      </c>
      <c r="G26" s="30" t="n">
        <f aca="false">G16+G20+G24</f>
        <v>13732910.15625</v>
      </c>
    </row>
    <row r="27" customFormat="false" ht="15" hidden="false" customHeight="false" outlineLevel="0" collapsed="false">
      <c r="A27" s="6"/>
      <c r="B27" s="9" t="s">
        <v>288</v>
      </c>
      <c r="C27" s="10"/>
      <c r="D27" s="10"/>
      <c r="E27" s="10"/>
      <c r="F27" s="10"/>
      <c r="G27" s="10"/>
    </row>
    <row r="28" customFormat="false" ht="15" hidden="false" customHeight="false" outlineLevel="0" collapsed="false">
      <c r="A28" s="6"/>
      <c r="B28" s="8" t="s">
        <v>156</v>
      </c>
      <c r="C28" s="28" t="n">
        <f aca="false">0</f>
        <v>0</v>
      </c>
      <c r="D28" s="28" t="n">
        <f aca="false">C29</f>
        <v>28125000</v>
      </c>
      <c r="E28" s="28" t="n">
        <f aca="false">D29</f>
        <v>35156250</v>
      </c>
      <c r="F28" s="28" t="n">
        <f aca="false">E29</f>
        <v>43945312.5</v>
      </c>
      <c r="G28" s="28" t="n">
        <f aca="false">F29</f>
        <v>54931640.625</v>
      </c>
    </row>
    <row r="29" customFormat="false" ht="15" hidden="false" customHeight="false" outlineLevel="0" collapsed="false">
      <c r="A29" s="6"/>
      <c r="B29" s="7" t="s">
        <v>289</v>
      </c>
      <c r="C29" s="33" t="n">
        <f aca="false">C28+C26</f>
        <v>28125000</v>
      </c>
      <c r="D29" s="33" t="n">
        <f aca="false">D28+D26</f>
        <v>35156250</v>
      </c>
      <c r="E29" s="33" t="n">
        <f aca="false">E28+E26</f>
        <v>43945312.5</v>
      </c>
      <c r="F29" s="33" t="n">
        <f aca="false">F28+F26</f>
        <v>54931640.625</v>
      </c>
      <c r="G29" s="33" t="n">
        <f aca="false">G28+G26</f>
        <v>68664550.78125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2026-05-15T18:53:00Z</dcterms:created>
  <dc:creator>openpyxl</dc:creator>
  <dc:description/>
  <dc:language>en-GB</dc:language>
  <cp:lastModifiedBy/>
  <dcterms:modified xsi:type="dcterms:W3CDTF">2026-05-15T18:53:00Z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