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Construction_Capex" sheetId="4" state="visible" r:id="rId6"/>
    <sheet name="Capacity_Ramp" sheetId="5" state="visible" r:id="rId7"/>
    <sheet name="Revenue" sheetId="6" state="visible" r:id="rId8"/>
    <sheet name="Operating_Costs" sheetId="7" state="visible" r:id="rId9"/>
    <sheet name="Debt_Schedule" sheetId="8" state="visible" r:id="rId10"/>
    <sheet name="Income_Statement" sheetId="9" state="visible" r:id="rId11"/>
    <sheet name="Balance_Sheet" sheetId="10" state="visible" r:id="rId12"/>
    <sheet name="Cash_Flow" sheetId="11" state="visible" r:id="rId13"/>
    <sheet name="Valuation_Returns" sheetId="12" state="visible" r:id="rId14"/>
    <sheet name="Checks" sheetId="13" state="visible" r:id="rId15"/>
  </sheets>
  <definedNames>
    <definedName function="false" hidden="false" name="Amort_Term" vbProcedure="false">Assumptions!$C$30</definedName>
    <definedName function="false" hidden="false" name="Construction_Yrs" vbProcedure="false">Assumptions!$C$8</definedName>
    <definedName function="false" hidden="false" name="Const_Int_Rate" vbProcedure="false">Assumptions!$C$31</definedName>
    <definedName function="false" hidden="false" name="Debt_LTC" vbProcedure="false">Assumptions!$C$28</definedName>
    <definedName function="false" hidden="false" name="Discount_Rate" vbProcedure="false">Assumptions!$C$35</definedName>
    <definedName function="false" hidden="false" name="Electricity_Rate" vbProcedure="false">Assumptions!$C$18</definedName>
    <definedName function="false" hidden="false" name="Exit_Cap_Rate" vbProcedure="false">Assumptions!$C$34</definedName>
    <definedName function="false" hidden="false" name="Facility_Capacity_MW" vbProcedure="false">Assumptions!$C$7</definedName>
    <definedName function="false" hidden="false" name="Facility_Opex_MW" vbProcedure="false">Assumptions!$C$23</definedName>
    <definedName function="false" hidden="false" name="Interest_Rate" vbProcedure="false">Assumptions!$C$29</definedName>
    <definedName function="false" hidden="false" name="Leaseup_Months" vbProcedure="false">Assumptions!$C$14</definedName>
    <definedName function="false" hidden="false" name="Maint_Capex_Pct" vbProcedure="false">Assumptions!$C$26</definedName>
    <definedName function="false" hidden="false" name="MEP_Cost_Per_MW" vbProcedure="false">Assumptions!$C$10</definedName>
    <definedName function="false" hidden="false" name="MEP_Life" vbProcedure="false">Assumptions!$C$37</definedName>
    <definedName function="false" hidden="false" name="Phase1_Pct" vbProcedure="false">Assumptions!$C$11</definedName>
    <definedName function="false" hidden="false" name="Power_Markup" vbProcedure="false">Assumptions!$C$19</definedName>
    <definedName function="false" hidden="false" name="Prop_Tax_Ins_Pct" vbProcedure="false">Assumptions!$C$24</definedName>
    <definedName function="false" hidden="false" name="PUE_Ratio" vbProcedure="false">Assumptions!$C$17</definedName>
    <definedName function="false" hidden="false" name="Rent_Escalator" vbProcedure="false">Assumptions!$C$16</definedName>
    <definedName function="false" hidden="false" name="Rent_Per_KW" vbProcedure="false">Assumptions!$C$15</definedName>
    <definedName function="false" hidden="false" name="SGA_Pct" vbProcedure="false">Assumptions!$C$25</definedName>
    <definedName function="false" hidden="false" name="Shell_Cost_Per_MW" vbProcedure="false">Assumptions!$C$9</definedName>
    <definedName function="false" hidden="false" name="Shell_Life" vbProcedure="false">Assumptions!$C$36</definedName>
    <definedName function="false" hidden="false" name="Stabilised_Occupancy" vbProcedure="false">Assumptions!$C$13</definedName>
    <definedName function="false" hidden="false" name="Tax_Rate" vbProcedure="false">Assumptions!$C$33</definedName>
    <definedName function="false" hidden="false" name="XC_Fee" vbProcedure="false">Assumptions!$C$21</definedName>
    <definedName function="false" hidden="false" name="XC_Per_MW" vbProcedure="false">Assumptions!$C$20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<sst xmlns="http://schemas.openxmlformats.org/spreadsheetml/2006/main" count="310" uniqueCount="273">
  <si>
    <t xml:space="preserve">Data Centre Operations Model</t>
  </si>
  <si>
    <t xml:space="preserve">FINAMODEL.com</t>
  </si>
  <si>
    <t xml:space="preserve">Investment analysis</t>
  </si>
  <si>
    <t xml:space="preserve">Model Structure</t>
  </si>
  <si>
    <t xml:space="preserve">Cover</t>
  </si>
  <si>
    <t xml:space="preserve">Title and navigation</t>
  </si>
  <si>
    <t xml:space="preserve">Assumptions</t>
  </si>
  <si>
    <t xml:space="preserve">Model parameters</t>
  </si>
  <si>
    <t xml:space="preserve">Construction_Capex</t>
  </si>
  <si>
    <t xml:space="preserve">Build-out schedule</t>
  </si>
  <si>
    <t xml:space="preserve">Capacity_Ramp</t>
  </si>
  <si>
    <t xml:space="preserve">Occupancy ramp-up</t>
  </si>
  <si>
    <t xml:space="preserve">Revenue</t>
  </si>
  <si>
    <t xml:space="preserve">Revenue build</t>
  </si>
  <si>
    <t xml:space="preserve">Operating_Costs</t>
  </si>
  <si>
    <t xml:space="preserve">Opex schedule</t>
  </si>
  <si>
    <t xml:space="preserve">Debt_Schedule</t>
  </si>
  <si>
    <t xml:space="preserve">Financing</t>
  </si>
  <si>
    <t xml:space="preserve">Income_Statement</t>
  </si>
  <si>
    <t xml:space="preserve">P&amp;L summary</t>
  </si>
  <si>
    <t xml:space="preserve">Balance_Sheet</t>
  </si>
  <si>
    <t xml:space="preserve">Assets &amp; liabilities</t>
  </si>
  <si>
    <t xml:space="preserve">Cash_Flow</t>
  </si>
  <si>
    <t xml:space="preserve">Cash flow statement</t>
  </si>
  <si>
    <t xml:space="preserve">Valuation_Returns</t>
  </si>
  <si>
    <t xml:space="preserve">IRR &amp; valuation</t>
  </si>
  <si>
    <t xml:space="preserve">Checks</t>
  </si>
  <si>
    <t xml:space="preserve">Validation checks</t>
  </si>
  <si>
    <t xml:space="preserve">Tab Colour Legend</t>
  </si>
  <si>
    <t xml:space="preserve">Dark Blue</t>
  </si>
  <si>
    <t xml:space="preserve">Light Blue</t>
  </si>
  <si>
    <t xml:space="preserve">Assumptions / Inputs</t>
  </si>
  <si>
    <t xml:space="preserve">Green</t>
  </si>
  <si>
    <t xml:space="preserve">Revenue drivers</t>
  </si>
  <si>
    <t xml:space="preserve">Orange</t>
  </si>
  <si>
    <t xml:space="preserve">Cost / construction</t>
  </si>
  <si>
    <t xml:space="preserve">Red</t>
  </si>
  <si>
    <t xml:space="preserve">Debt / risk / checks</t>
  </si>
  <si>
    <t xml:space="preserve">Grey</t>
  </si>
  <si>
    <t xml:space="preserve">Summary / output</t>
  </si>
  <si>
    <t xml:space="preserve">About this model</t>
  </si>
  <si>
    <t xml:space="preserve">This data centre operations model forecasts the unit economics of running a facility renting colocation space and power to enterprise, cloud, and hyperscale customers. It projects installed capacity (MW available), leased capacity (MW sold), occupancy ramp, and pricing across wholesale (low $/kW/month, long-term contracts) and retail colocation (high $/kW/month, shorter terms). Revenue includes space rent (leased kW Ã MRC), power pass-through (kWh Ã PUE Ã electricity rate, typically at cost plus small admin margin), and interconnection fees (per cross-connect port). The model includes customer segments (Amazon, Google, enterprise, carrier) with different pricing and lock-in terms.
The model includes a capacity ramp schedule showing lease-up from opening through stabilised occupancy (70â90%); a revenue builder with space rent, power, and interconnection fees independently calculated; an operating cost section covering facility staff (engineers, security), property taxes and insurance, maintenance capex (2â4% of revenue), and SG&amp;A. Power costs are the primary variable cost and scale linearly with occupancy and PUE (Power Usage Effectiveness, typically 1.35x in this model). A debt schedule projects project finance or secured term loan drawdown during construction, conversion to amortising term loan at stabilisation, and DSCR covenant compliance.
This model is used by infrastructure funds evaluating data centre development or acquisition; operators managing capacity planning and pricing strategy; lenders sizing project finance facilities; and equity investors assessing the IRR and equity multiple on stabilised sites. It addresses the unique challenge of capital-heavy facilities with 5â8 year payback periods and long-term customer contracts providing revenue visibility.</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</si>
  <si>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</si>
  <si>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</si>
  <si>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</si>
  <si>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</si>
  <si>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</si>
  <si>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</si>
  <si>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</si>
  <si>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</si>
  <si>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</si>
  <si>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</si>
  <si>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</si>
  <si>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</si>
  <si>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</si>
  <si>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</si>
  <si>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</si>
  <si>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</si>
  <si>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</si>
  <si>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</si>
  <si>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</si>
  <si>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</si>
  <si>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</si>
  <si>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</si>
  <si>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</si>
  <si>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</si>
  <si>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</si>
  <si>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</si>
  <si>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Capacity &amp; Construction</t>
  </si>
  <si>
    <t xml:space="preserve">Facility Capacity</t>
  </si>
  <si>
    <t xml:space="preserve">MW</t>
  </si>
  <si>
    <t xml:space="preserve">Total IT capacity</t>
  </si>
  <si>
    <t xml:space="preserve">Construction Period</t>
  </si>
  <si>
    <t xml:space="preserve">Years</t>
  </si>
  <si>
    <t xml:space="preserve">Years before operations</t>
  </si>
  <si>
    <t xml:space="preserve">Shell Cost per MW</t>
  </si>
  <si>
    <t xml:space="preserve">$/MW</t>
  </si>
  <si>
    <t xml:space="preserve">Land, structure, site works</t>
  </si>
  <si>
    <t xml:space="preserve">MEP Cost per MW</t>
  </si>
  <si>
    <t xml:space="preserve">Generators, UPS, chillers</t>
  </si>
  <si>
    <t xml:space="preserve">Phase 1 Fit-Out</t>
  </si>
  <si>
    <t xml:space="preserve">%</t>
  </si>
  <si>
    <t xml:space="preserve">% of capacity fitted in Phase 1</t>
  </si>
  <si>
    <t xml:space="preserve">Leasing &amp; Revenue</t>
  </si>
  <si>
    <t xml:space="preserve">Stabilised Occupancy</t>
  </si>
  <si>
    <t xml:space="preserve">Target after lease-up</t>
  </si>
  <si>
    <t xml:space="preserve">Lease-Up Period</t>
  </si>
  <si>
    <t xml:space="preserve">Months</t>
  </si>
  <si>
    <t xml:space="preserve">Time to reach stabilised</t>
  </si>
  <si>
    <t xml:space="preserve">Rent per kW</t>
  </si>
  <si>
    <t xml:space="preserve">$/kW/mo</t>
  </si>
  <si>
    <t xml:space="preserve">Blended colocation rate</t>
  </si>
  <si>
    <t xml:space="preserve">Rent Escalator</t>
  </si>
  <si>
    <t xml:space="preserve">%/yr</t>
  </si>
  <si>
    <t xml:space="preserve">Annual contractual bump</t>
  </si>
  <si>
    <t xml:space="preserve">PUE</t>
  </si>
  <si>
    <t xml:space="preserve">Ratio</t>
  </si>
  <si>
    <t xml:space="preserve">Power usage effectiveness</t>
  </si>
  <si>
    <t xml:space="preserve">Electricity Rate</t>
  </si>
  <si>
    <t xml:space="preserve">$/kWh</t>
  </si>
  <si>
    <t xml:space="preserve">Avg commercial rate</t>
  </si>
  <si>
    <t xml:space="preserve">Power Markup</t>
  </si>
  <si>
    <t xml:space="preserve">Margin on pass-through</t>
  </si>
  <si>
    <t xml:space="preserve">Cross-Connects per MW</t>
  </si>
  <si>
    <t xml:space="preserve">Count</t>
  </si>
  <si>
    <t xml:space="preserve">Moderate density mix</t>
  </si>
  <si>
    <t xml:space="preserve">Cross-Connect Fee</t>
  </si>
  <si>
    <t xml:space="preserve">$/mo</t>
  </si>
  <si>
    <t xml:space="preserve">Per cross-connect</t>
  </si>
  <si>
    <t xml:space="preserve">Operating Costs</t>
  </si>
  <si>
    <t xml:space="preserve">Facility Opex per MW</t>
  </si>
  <si>
    <t xml:space="preserve">$/MW/yr</t>
  </si>
  <si>
    <t xml:space="preserve">Maintenance, security, staff</t>
  </si>
  <si>
    <t xml:space="preserve">Property Tax &amp; Insurance</t>
  </si>
  <si>
    <t xml:space="preserve">% of Capex</t>
  </si>
  <si>
    <t xml:space="preserve">Annual recurring</t>
  </si>
  <si>
    <t xml:space="preserve">SG&amp;A</t>
  </si>
  <si>
    <t xml:space="preserve">% of Rev</t>
  </si>
  <si>
    <t xml:space="preserve">Corporate overhead</t>
  </si>
  <si>
    <t xml:space="preserve">Maintenance Capex</t>
  </si>
  <si>
    <t xml:space="preserve">Component replacement</t>
  </si>
  <si>
    <t xml:space="preserve">Debt / Total Cost</t>
  </si>
  <si>
    <t xml:space="preserve">Loan-to-cost ratio</t>
  </si>
  <si>
    <t xml:space="preserve">Interest Rate</t>
  </si>
  <si>
    <t xml:space="preserve">Annual rate on term loan</t>
  </si>
  <si>
    <t xml:space="preserve">Amortisation Term</t>
  </si>
  <si>
    <t xml:space="preserve">Long-term infrastructure</t>
  </si>
  <si>
    <t xml:space="preserve">Construction Int Rate</t>
  </si>
  <si>
    <t xml:space="preserve">Higher rate during build</t>
  </si>
  <si>
    <t xml:space="preserve">Valuation &amp; Tax</t>
  </si>
  <si>
    <t xml:space="preserve">Tax Rate</t>
  </si>
  <si>
    <t xml:space="preserve">Corporate income tax</t>
  </si>
  <si>
    <t xml:space="preserve">Exit Cap Rate</t>
  </si>
  <si>
    <t xml:space="preserve">Terminal valuation</t>
  </si>
  <si>
    <t xml:space="preserve">Discount Rate (WACC)</t>
  </si>
  <si>
    <t xml:space="preserve">For NPV calculation</t>
  </si>
  <si>
    <t xml:space="preserve">Shell Useful Life</t>
  </si>
  <si>
    <t xml:space="preserve">Building structure</t>
  </si>
  <si>
    <t xml:space="preserve">MEP Useful Life</t>
  </si>
  <si>
    <t xml:space="preserve">Mechanical/electrical</t>
  </si>
  <si>
    <t xml:space="preserve">Construction &amp; Capex</t>
  </si>
  <si>
    <t xml:space="preserve">Constr Y1</t>
  </si>
  <si>
    <t xml:space="preserve">Constr Y2</t>
  </si>
  <si>
    <t xml:space="preserve">Ops Y1</t>
  </si>
  <si>
    <t xml:space="preserve">Ops Y2</t>
  </si>
  <si>
    <t xml:space="preserve">Ops Y3</t>
  </si>
  <si>
    <t xml:space="preserve">Ops Y4</t>
  </si>
  <si>
    <t xml:space="preserve">Ops Y5</t>
  </si>
  <si>
    <t xml:space="preserve">Capital Expenditure</t>
  </si>
  <si>
    <t xml:space="preserve">Shell &amp; Site</t>
  </si>
  <si>
    <t xml:space="preserve">MEP Fit-Out</t>
  </si>
  <si>
    <t xml:space="preserve">TOTAL CAPEX</t>
  </si>
  <si>
    <t xml:space="preserve">Cumulative Capex</t>
  </si>
  <si>
    <t xml:space="preserve">Phase Status</t>
  </si>
  <si>
    <t xml:space="preserve">Capacity &amp; Ramp-Up</t>
  </si>
  <si>
    <t xml:space="preserve">Occupancy schedule</t>
  </si>
  <si>
    <t xml:space="preserve">Capacity</t>
  </si>
  <si>
    <t xml:space="preserve">Total MW Online</t>
  </si>
  <si>
    <t xml:space="preserve">Total IT Capacity (kW)</t>
  </si>
  <si>
    <t xml:space="preserve">Leasing</t>
  </si>
  <si>
    <t xml:space="preserve">Occupancy Rate</t>
  </si>
  <si>
    <t xml:space="preserve">Billed IT Load (kW)</t>
  </si>
  <si>
    <t xml:space="preserve">Power Consumption</t>
  </si>
  <si>
    <t xml:space="preserve">Hours per Year</t>
  </si>
  <si>
    <t xml:space="preserve">IT Power (kWh)</t>
  </si>
  <si>
    <t xml:space="preserve">Total Power (kWh)</t>
  </si>
  <si>
    <t xml:space="preserve">Revenue Build</t>
  </si>
  <si>
    <t xml:space="preserve">By revenue stream</t>
  </si>
  <si>
    <t xml:space="preserve">Space Rent Revenue</t>
  </si>
  <si>
    <t xml:space="preserve">Eff. Rent/kW/Month</t>
  </si>
  <si>
    <t xml:space="preserve">Power Pass-Through</t>
  </si>
  <si>
    <t xml:space="preserve">Power Cost (Base)</t>
  </si>
  <si>
    <t xml:space="preserve">Power Revenue</t>
  </si>
  <si>
    <t xml:space="preserve">Interconnection</t>
  </si>
  <si>
    <t xml:space="preserve">Cross-Connects</t>
  </si>
  <si>
    <t xml:space="preserve">Interconnection Rev</t>
  </si>
  <si>
    <t xml:space="preserve">TOTAL REVENUE</t>
  </si>
  <si>
    <t xml:space="preserve">Cost schedule</t>
  </si>
  <si>
    <t xml:space="preserve">Power Cost</t>
  </si>
  <si>
    <t xml:space="preserve">Electricity Cost</t>
  </si>
  <si>
    <t xml:space="preserve">Facility &amp; Overhead</t>
  </si>
  <si>
    <t xml:space="preserve">Facility Opex</t>
  </si>
  <si>
    <t xml:space="preserve">Property Tax &amp; Ins</t>
  </si>
  <si>
    <t xml:space="preserve">TOTAL OPEX</t>
  </si>
  <si>
    <t xml:space="preserve">Debt Schedule</t>
  </si>
  <si>
    <t xml:space="preserve">Financing structure</t>
  </si>
  <si>
    <t xml:space="preserve">Construction Finance</t>
  </si>
  <si>
    <t xml:space="preserve">Construction Draws</t>
  </si>
  <si>
    <t xml:space="preserve">Construction Interest</t>
  </si>
  <si>
    <t xml:space="preserve">Capitalised Interest</t>
  </si>
  <si>
    <t xml:space="preserve">Debt Balance Walk</t>
  </si>
  <si>
    <t xml:space="preserve">Opening Balance</t>
  </si>
  <si>
    <t xml:space="preserve">Drawdowns</t>
  </si>
  <si>
    <t xml:space="preserve">Repayment</t>
  </si>
  <si>
    <t xml:space="preserve">Closing Balance</t>
  </si>
  <si>
    <t xml:space="preserve">Interest &amp; Service</t>
  </si>
  <si>
    <t xml:space="preserve">Interest Expense</t>
  </si>
  <si>
    <t xml:space="preserve">Total Debt Service</t>
  </si>
  <si>
    <t xml:space="preserve">DSCR</t>
  </si>
  <si>
    <t xml:space="preserve">Income Statement</t>
  </si>
  <si>
    <t xml:space="preserve">Profit and loss</t>
  </si>
  <si>
    <t xml:space="preserve">Space Rent</t>
  </si>
  <si>
    <t xml:space="preserve">Power Recovery</t>
  </si>
  <si>
    <t xml:space="preserve">Total Revenue</t>
  </si>
  <si>
    <t xml:space="preserve">Cost of Revenue</t>
  </si>
  <si>
    <t xml:space="preserve">Gross Profit</t>
  </si>
  <si>
    <t xml:space="preserve">Operating Expenses</t>
  </si>
  <si>
    <t xml:space="preserve">Total Opex</t>
  </si>
  <si>
    <t xml:space="preserve">EBITDA</t>
  </si>
  <si>
    <t xml:space="preserve">Depreciation</t>
  </si>
  <si>
    <t xml:space="preserve">EBIT</t>
  </si>
  <si>
    <t xml:space="preserve">EBT</t>
  </si>
  <si>
    <t xml:space="preserve">Income Tax</t>
  </si>
  <si>
    <t xml:space="preserve">NET INCOME</t>
  </si>
  <si>
    <t xml:space="preserve">Margins</t>
  </si>
  <si>
    <t xml:space="preserve">Gross Margin</t>
  </si>
  <si>
    <t xml:space="preserve">EBITDA Margin</t>
  </si>
  <si>
    <t xml:space="preserve">Net Margin</t>
  </si>
  <si>
    <t xml:space="preserve">Balance Sheet</t>
  </si>
  <si>
    <t xml:space="preserve">Assets</t>
  </si>
  <si>
    <t xml:space="preserve">Cash</t>
  </si>
  <si>
    <t xml:space="preserve">Receivables</t>
  </si>
  <si>
    <t xml:space="preserve">Gross PP&amp;E</t>
  </si>
  <si>
    <t xml:space="preserve">Accum Depreciation</t>
  </si>
  <si>
    <t xml:space="preserve">Net PP&amp;E</t>
  </si>
  <si>
    <t xml:space="preserve">TOTAL ASSETS</t>
  </si>
  <si>
    <t xml:space="preserve">Liabilities</t>
  </si>
  <si>
    <t xml:space="preserve">Payables</t>
  </si>
  <si>
    <t xml:space="preserve">Debt</t>
  </si>
  <si>
    <t xml:space="preserve">Total Liabilities</t>
  </si>
  <si>
    <t xml:space="preserve">Equity</t>
  </si>
  <si>
    <t xml:space="preserve">Share Capital</t>
  </si>
  <si>
    <t xml:space="preserve">Retained Earnings</t>
  </si>
  <si>
    <t xml:space="preserve">Total Equity</t>
  </si>
  <si>
    <t xml:space="preserve">TOTAL L&amp;E</t>
  </si>
  <si>
    <t xml:space="preserve">Balance Check</t>
  </si>
  <si>
    <t xml:space="preserve">Cash Flow Statement</t>
  </si>
  <si>
    <t xml:space="preserve">Indirect method</t>
  </si>
  <si>
    <t xml:space="preserve">Cash from Operations</t>
  </si>
  <si>
    <t xml:space="preserve">Net Income</t>
  </si>
  <si>
    <t xml:space="preserve">Chg in Receivables</t>
  </si>
  <si>
    <t xml:space="preserve">Chg in Payables</t>
  </si>
  <si>
    <t xml:space="preserve">Cash from Investing</t>
  </si>
  <si>
    <t xml:space="preserve">Cash from Financing</t>
  </si>
  <si>
    <t xml:space="preserve">Equity Injection</t>
  </si>
  <si>
    <t xml:space="preserve">Debt Drawdowns</t>
  </si>
  <si>
    <t xml:space="preserve">Debt Repayment</t>
  </si>
  <si>
    <t xml:space="preserve">NET CASH FLOW</t>
  </si>
  <si>
    <t xml:space="preserve">Opening Cash</t>
  </si>
  <si>
    <t xml:space="preserve">Closing Cash</t>
  </si>
  <si>
    <t xml:space="preserve">Valuation &amp; Returns</t>
  </si>
  <si>
    <t xml:space="preserve">Exit analysis</t>
  </si>
  <si>
    <t xml:space="preserve">Exit Valuation (Year 7)</t>
  </si>
  <si>
    <t xml:space="preserve">Forward NOI</t>
  </si>
  <si>
    <t xml:space="preserve">Exit Value</t>
  </si>
  <si>
    <t xml:space="preserve">Less: Debt Payoff</t>
  </si>
  <si>
    <t xml:space="preserve">Net Proceeds</t>
  </si>
  <si>
    <t xml:space="preserve">Cash Flow Streams</t>
  </si>
  <si>
    <t xml:space="preserve">Unlevered CF</t>
  </si>
  <si>
    <t xml:space="preserve">Levered CF</t>
  </si>
  <si>
    <t xml:space="preserve">Returns</t>
  </si>
  <si>
    <t xml:space="preserve">Unlevered IRR</t>
  </si>
  <si>
    <t xml:space="preserve">Levered IRR</t>
  </si>
  <si>
    <t xml:space="preserve">Equity Multiple</t>
  </si>
  <si>
    <t xml:space="preserve">Unlevered NPV</t>
  </si>
  <si>
    <t xml:space="preserve">Validation Checks</t>
  </si>
  <si>
    <t xml:space="preserve">Model integrity</t>
  </si>
  <si>
    <t xml:space="preserve">BS Balance</t>
  </si>
  <si>
    <t xml:space="preserve">Capacity Check</t>
  </si>
  <si>
    <t xml:space="preserve">PUE Check</t>
  </si>
  <si>
    <t xml:space="preserve">DSCR Check</t>
  </si>
  <si>
    <t xml:space="preserve">Cash &gt;= 0</t>
  </si>
  <si>
    <t xml:space="preserve">MASTER CHECK</t>
  </si>
</sst>
</file>

<file path=xl/styles.xml><?xml version="1.0" encoding="utf-8"?>
<styleSheet xmlns="http://schemas.openxmlformats.org/spreadsheetml/2006/main">
  <numFmts count="8">
    <numFmt numFmtId="164" formatCode="General"/>
    <numFmt numFmtId="165" formatCode="#,##0.00"/>
    <numFmt numFmtId="166" formatCode="0.00%"/>
    <numFmt numFmtId="167" formatCode="0.00"/>
    <numFmt numFmtId="168" formatCode="\$#,##0.00"/>
    <numFmt numFmtId="169" formatCode="@"/>
    <numFmt numFmtId="170" formatCode="#,##0.0"/>
    <numFmt numFmtId="171" formatCode="0.00\x"/>
  </numFmts>
  <fonts count="24">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sz val="11"/>
      <color rgb="FF000000"/>
      <name val="Arial"/>
      <family val="0"/>
      <charset val="1"/>
    </font>
    <font>
      <b val="true"/>
      <sz val="11"/>
      <color rgb="FF00B05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ED7D31"/>
        <bgColor rgb="FFFF8080"/>
      </patternFill>
    </fill>
    <fill>
      <patternFill patternType="solid">
        <fgColor rgb="FF70AD47"/>
        <bgColor rgb="FF80808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double"/>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7" fontId="21" fillId="11"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8" fontId="22"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8" fontId="9" fillId="0" borderId="2" xfId="0" applyFont="true" applyBorder="true" applyAlignment="true" applyProtection="false">
      <alignment horizontal="right" vertical="center" textRotation="0" wrapText="false" indent="0" shrinkToFit="false"/>
      <protection locked="true" hidden="false"/>
    </xf>
    <xf numFmtId="169" fontId="22" fillId="0" borderId="0" xfId="0" applyFont="true" applyBorder="false" applyAlignment="true" applyProtection="false">
      <alignment horizontal="right" vertical="center" textRotation="0" wrapText="false" indent="0" shrinkToFit="false"/>
      <protection locked="true" hidden="false"/>
    </xf>
    <xf numFmtId="170" fontId="22" fillId="0" borderId="0" xfId="0" applyFont="true" applyBorder="false" applyAlignment="true" applyProtection="false">
      <alignment horizontal="right" vertical="center"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1"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8" fontId="9" fillId="0" borderId="3"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71" fontId="9" fillId="0" borderId="0" xfId="0" applyFont="true" applyBorder="fals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8" fontId="23"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1"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9" fontId="9" fillId="0" borderId="2"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70AD47"/>
      <rgbColor rgb="FFFFCC00"/>
      <rgbColor rgb="FFFF9900"/>
      <rgbColor rgb="FFED7D31"/>
      <rgbColor rgb="FF595959"/>
      <rgbColor rgb="FFA5A5A5"/>
      <rgbColor rgb="FF1F4E79"/>
      <rgbColor rgb="FF00B050"/>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30"/>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1"/>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3"/>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4"/>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4"/>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26</v>
      </c>
      <c r="C18" s="8" t="s">
        <v>27</v>
      </c>
      <c r="D18" s="13"/>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6" t="s">
        <v>28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29</v>
      </c>
      <c r="C22" s="8" t="s">
        <v>4</v>
      </c>
      <c r="D22" s="9"/>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0"/>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32</v>
      </c>
      <c r="C24" s="8" t="s">
        <v>33</v>
      </c>
      <c r="D24" s="12"/>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34</v>
      </c>
      <c r="C25" s="8" t="s">
        <v>35</v>
      </c>
      <c r="D25" s="11"/>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36</v>
      </c>
      <c r="C26" s="8" t="s">
        <v>37</v>
      </c>
      <c r="D26" s="13"/>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38</v>
      </c>
      <c r="C27" s="8" t="s">
        <v>39</v>
      </c>
      <c r="D27" s="14"/>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5" t="s">
        <v>40</v>
      </c>
      <c r="C30" s="16"/>
      <c r="D30" s="16"/>
      <c r="E30" s="16"/>
      <c r="F30" s="16"/>
      <c r="G30" s="16"/>
      <c r="H30" s="5"/>
      <c r="I30" s="5"/>
      <c r="J30" s="5"/>
      <c r="K30" s="5"/>
      <c r="L30" s="5"/>
      <c r="M30" s="5"/>
      <c r="N30" s="5"/>
      <c r="O30" s="5"/>
      <c r="P30" s="5"/>
      <c r="Q30" s="5"/>
      <c r="R30" s="5"/>
      <c r="S30" s="5"/>
      <c r="T30" s="5"/>
      <c r="U30" s="5"/>
      <c r="V30" s="5"/>
      <c r="W30" s="5"/>
      <c r="X30" s="5"/>
      <c r="Y30" s="5"/>
      <c r="Z30" s="5"/>
      <c r="AA30" s="5"/>
      <c r="AB30" s="5"/>
      <c r="AC30" s="5"/>
      <c r="AD30" s="5"/>
    </row>
    <row r="31" customFormat="false" ht="258.75" hidden="false" customHeight="true" outlineLevel="0" collapsed="false">
      <c r="A31" s="5"/>
      <c r="B31" s="17" t="s">
        <v>41</v>
      </c>
      <c r="C31" s="17"/>
      <c r="D31" s="17"/>
      <c r="E31" s="17"/>
      <c r="F31" s="17"/>
      <c r="G31" s="17"/>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9.5" hidden="false" customHeight="true" outlineLevel="0" collapsed="false">
      <c r="A33" s="5"/>
      <c r="B33" s="15" t="s">
        <v>42</v>
      </c>
      <c r="C33" s="16"/>
      <c r="D33" s="16"/>
      <c r="E33" s="16"/>
      <c r="F33" s="16"/>
      <c r="G33" s="16"/>
      <c r="H33" s="5"/>
      <c r="I33" s="5"/>
      <c r="J33" s="5"/>
      <c r="K33" s="5"/>
      <c r="L33" s="5"/>
      <c r="M33" s="5"/>
      <c r="N33" s="5"/>
      <c r="O33" s="5"/>
      <c r="P33" s="5"/>
      <c r="Q33" s="5"/>
      <c r="R33" s="5"/>
      <c r="S33" s="5"/>
      <c r="T33" s="5"/>
      <c r="U33" s="5"/>
      <c r="V33" s="5"/>
      <c r="W33" s="5"/>
      <c r="X33" s="5"/>
      <c r="Y33" s="5"/>
      <c r="Z33" s="5"/>
      <c r="AA33" s="5"/>
      <c r="AB33" s="5"/>
      <c r="AC33" s="5"/>
      <c r="AD33" s="5"/>
    </row>
    <row r="34" customFormat="false" ht="57" hidden="false" customHeight="true" outlineLevel="0" collapsed="false">
      <c r="A34" s="5"/>
      <c r="B34" s="17" t="s">
        <v>43</v>
      </c>
      <c r="C34" s="17"/>
      <c r="D34" s="17"/>
      <c r="E34" s="17"/>
      <c r="F34" s="17"/>
      <c r="G34" s="17"/>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8" t="s">
        <v>44</v>
      </c>
      <c r="C35" s="18"/>
      <c r="D35" s="18"/>
      <c r="E35" s="18"/>
      <c r="F35" s="18"/>
      <c r="G35" s="18"/>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19" t="s">
        <v>45</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218</v>
      </c>
      <c r="C2" s="5"/>
      <c r="D2" s="5"/>
      <c r="E2" s="5"/>
      <c r="F2" s="5"/>
      <c r="G2" s="5"/>
      <c r="H2" s="5"/>
      <c r="I2" s="5"/>
    </row>
    <row r="3" customFormat="false" ht="15" hidden="false" customHeight="false" outlineLevel="0" collapsed="false">
      <c r="A3" s="5"/>
      <c r="B3" s="29" t="s">
        <v>21</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219</v>
      </c>
      <c r="C8" s="16"/>
      <c r="D8" s="16"/>
      <c r="E8" s="16"/>
      <c r="F8" s="16"/>
      <c r="G8" s="16"/>
      <c r="H8" s="16"/>
      <c r="I8" s="16"/>
    </row>
    <row r="9" customFormat="false" ht="15" hidden="false" customHeight="false" outlineLevel="0" collapsed="false">
      <c r="A9" s="5"/>
      <c r="B9" s="37" t="s">
        <v>220</v>
      </c>
      <c r="C9" s="38" t="n">
        <f aca="false">Cash_Flow!C$28</f>
        <v>120821.91780822</v>
      </c>
      <c r="D9" s="38" t="n">
        <f aca="false">Cash_Flow!D$28</f>
        <v>-423018.493150681</v>
      </c>
      <c r="E9" s="38" t="n">
        <f aca="false">Cash_Flow!E$28</f>
        <v>-1059384.03968046</v>
      </c>
      <c r="F9" s="38" t="n">
        <f aca="false">Cash_Flow!F$28</f>
        <v>4766429.71433448</v>
      </c>
      <c r="G9" s="38" t="n">
        <f aca="false">Cash_Flow!G$28</f>
        <v>11362666.3068885</v>
      </c>
      <c r="H9" s="38" t="n">
        <f aca="false">Cash_Flow!H$28</f>
        <v>18280640.3801693</v>
      </c>
      <c r="I9" s="38" t="n">
        <f aca="false">Cash_Flow!I$28</f>
        <v>25525906.3272256</v>
      </c>
    </row>
    <row r="10" customFormat="false" ht="15" hidden="false" customHeight="false" outlineLevel="0" collapsed="false">
      <c r="A10" s="5"/>
      <c r="B10" s="37" t="s">
        <v>221</v>
      </c>
      <c r="C10" s="38" t="n">
        <f aca="false">Revenue!C$20*35/365</f>
        <v>0</v>
      </c>
      <c r="D10" s="38" t="n">
        <f aca="false">Revenue!D$20*35/365</f>
        <v>0</v>
      </c>
      <c r="E10" s="38" t="n">
        <f aca="false">Revenue!E$20*35/365</f>
        <v>1274067.12328767</v>
      </c>
      <c r="F10" s="38" t="n">
        <f aca="false">Revenue!F$20*35/365</f>
        <v>2583086.30136986</v>
      </c>
      <c r="G10" s="38" t="n">
        <f aca="false">Revenue!G$20*35/365</f>
        <v>2618912.15753425</v>
      </c>
      <c r="H10" s="38" t="n">
        <f aca="false">Revenue!H$20*35/365</f>
        <v>2655633.66010274</v>
      </c>
      <c r="I10" s="38" t="n">
        <f aca="false">Revenue!I$20*35/365</f>
        <v>2693273.20023544</v>
      </c>
    </row>
    <row r="11" customFormat="false" ht="15" hidden="false" customHeight="false" outlineLevel="0" collapsed="false">
      <c r="A11" s="5"/>
      <c r="B11" s="37" t="s">
        <v>222</v>
      </c>
      <c r="C11" s="38" t="n">
        <f aca="false">Construction_Capex!C$12+Operating_Costs!C$19</f>
        <v>15000000</v>
      </c>
      <c r="D11" s="38" t="n">
        <f aca="false">C11+Construction_Capex!D$11+Operating_Costs!D$19</f>
        <v>90000000</v>
      </c>
      <c r="E11" s="38" t="n">
        <f aca="false">D11+Construction_Capex!E$11+Operating_Costs!E$19</f>
        <v>90332167.5</v>
      </c>
      <c r="F11" s="38" t="n">
        <f aca="false">E11+Construction_Capex!F$11+Operating_Costs!F$19</f>
        <v>91005615</v>
      </c>
      <c r="G11" s="38" t="n">
        <f aca="false">F11+Construction_Capex!G$11+Operating_Costs!G$19</f>
        <v>91688402.8125</v>
      </c>
      <c r="H11" s="38" t="n">
        <f aca="false">G11+Construction_Capex!H$11+Operating_Costs!H$19</f>
        <v>92380764.4453125</v>
      </c>
      <c r="I11" s="38" t="n">
        <f aca="false">H11+Construction_Capex!I$11+Operating_Costs!I$19</f>
        <v>93082939.2439453</v>
      </c>
    </row>
    <row r="12" customFormat="false" ht="15" hidden="false" customHeight="false" outlineLevel="0" collapsed="false">
      <c r="A12" s="5"/>
      <c r="B12" s="37" t="s">
        <v>223</v>
      </c>
      <c r="C12" s="38" t="n">
        <f aca="false">Income_Statement!C$25</f>
        <v>0</v>
      </c>
      <c r="D12" s="38" t="n">
        <f aca="false">C12+Income_Statement!D$25</f>
        <v>0</v>
      </c>
      <c r="E12" s="38" t="n">
        <f aca="false">D12+Income_Statement!E$25</f>
        <v>5857142.85714286</v>
      </c>
      <c r="F12" s="38" t="n">
        <f aca="false">E12+Income_Statement!F$25</f>
        <v>11714285.7142857</v>
      </c>
      <c r="G12" s="38" t="n">
        <f aca="false">F12+Income_Statement!G$25</f>
        <v>17571428.5714286</v>
      </c>
      <c r="H12" s="38" t="n">
        <f aca="false">G12+Income_Statement!H$25</f>
        <v>23428571.4285714</v>
      </c>
      <c r="I12" s="38" t="n">
        <f aca="false">H12+Income_Statement!I$25</f>
        <v>29285714.2857143</v>
      </c>
    </row>
    <row r="13" customFormat="false" ht="15" hidden="false" customHeight="false" outlineLevel="0" collapsed="false">
      <c r="A13" s="5"/>
      <c r="B13" s="37" t="s">
        <v>224</v>
      </c>
      <c r="C13" s="38" t="n">
        <f aca="false">C11-C12</f>
        <v>15000000</v>
      </c>
      <c r="D13" s="38" t="n">
        <f aca="false">D11-D12</f>
        <v>90000000</v>
      </c>
      <c r="E13" s="38" t="n">
        <f aca="false">E11-E12</f>
        <v>84475024.6428572</v>
      </c>
      <c r="F13" s="38" t="n">
        <f aca="false">F11-F12</f>
        <v>79291329.2857143</v>
      </c>
      <c r="G13" s="38" t="n">
        <f aca="false">G11-G12</f>
        <v>74116974.2410714</v>
      </c>
      <c r="H13" s="38" t="n">
        <f aca="false">H11-H12</f>
        <v>68952193.0167411</v>
      </c>
      <c r="I13" s="38" t="n">
        <f aca="false">I11-I12</f>
        <v>63797224.958231</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39" t="s">
        <v>225</v>
      </c>
      <c r="C15" s="40" t="n">
        <f aca="false">C9+C10+C13</f>
        <v>15120821.9178082</v>
      </c>
      <c r="D15" s="40" t="n">
        <f aca="false">D9+D10+D13</f>
        <v>89576981.5068493</v>
      </c>
      <c r="E15" s="40" t="n">
        <f aca="false">E9+E10+E13</f>
        <v>84689707.7264644</v>
      </c>
      <c r="F15" s="40" t="n">
        <f aca="false">F9+F10+F13</f>
        <v>86640845.3014186</v>
      </c>
      <c r="G15" s="40" t="n">
        <f aca="false">G9+G10+G13</f>
        <v>88098552.7054942</v>
      </c>
      <c r="H15" s="40" t="n">
        <f aca="false">H9+H10+H13</f>
        <v>89888467.0570131</v>
      </c>
      <c r="I15" s="40" t="n">
        <f aca="false">I9+I10+I13</f>
        <v>92016404.4856921</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32" t="s">
        <v>226</v>
      </c>
      <c r="C17" s="16"/>
      <c r="D17" s="16"/>
      <c r="E17" s="16"/>
      <c r="F17" s="16"/>
      <c r="G17" s="16"/>
      <c r="H17" s="16"/>
      <c r="I17" s="16"/>
    </row>
    <row r="18" customFormat="false" ht="15" hidden="false" customHeight="false" outlineLevel="0" collapsed="false">
      <c r="A18" s="5"/>
      <c r="B18" s="37" t="s">
        <v>227</v>
      </c>
      <c r="C18" s="38" t="n">
        <f aca="false">Operating_Costs!C$16*50/365</f>
        <v>30821.9178082192</v>
      </c>
      <c r="D18" s="38" t="n">
        <f aca="false">Operating_Costs!D$16*50/365</f>
        <v>184931.506849315</v>
      </c>
      <c r="E18" s="38" t="n">
        <f aca="false">Operating_Costs!E$16*50/365</f>
        <v>1210415.75342466</v>
      </c>
      <c r="F18" s="38" t="n">
        <f aca="false">Operating_Costs!F$16*50/365</f>
        <v>2032917.12328767</v>
      </c>
      <c r="G18" s="38" t="n">
        <f aca="false">Operating_Costs!G$16*50/365</f>
        <v>2035476.1130137</v>
      </c>
      <c r="H18" s="38" t="n">
        <f aca="false">Operating_Costs!H$16*50/365</f>
        <v>2038099.07748288</v>
      </c>
      <c r="I18" s="38" t="n">
        <f aca="false">Operating_Costs!I$16*50/365</f>
        <v>2040787.61606378</v>
      </c>
    </row>
    <row r="19" customFormat="false" ht="15" hidden="false" customHeight="false" outlineLevel="0" collapsed="false">
      <c r="A19" s="5"/>
      <c r="B19" s="37" t="s">
        <v>228</v>
      </c>
      <c r="C19" s="38" t="n">
        <f aca="false">Debt_Schedule!C$17</f>
        <v>9315000</v>
      </c>
      <c r="D19" s="38" t="n">
        <f aca="false">Debt_Schedule!D$17</f>
        <v>54967050</v>
      </c>
      <c r="E19" s="38" t="n">
        <f aca="false">Debt_Schedule!E$17</f>
        <v>54033628.0801825</v>
      </c>
      <c r="F19" s="38" t="n">
        <f aca="false">Debt_Schedule!F$17</f>
        <v>53116057.0470398</v>
      </c>
      <c r="G19" s="38" t="n">
        <f aca="false">Debt_Schedule!G$17</f>
        <v>52214067.7290397</v>
      </c>
      <c r="H19" s="38" t="n">
        <f aca="false">Debt_Schedule!H$17</f>
        <v>51327395.5255811</v>
      </c>
      <c r="I19" s="38" t="n">
        <f aca="false">Debt_Schedule!I$17</f>
        <v>50455780.3293732</v>
      </c>
    </row>
    <row r="20" customFormat="false" ht="15" hidden="false" customHeight="false" outlineLevel="0" collapsed="false">
      <c r="A20" s="5"/>
      <c r="B20" s="50" t="s">
        <v>229</v>
      </c>
      <c r="C20" s="47" t="n">
        <f aca="false">C18+C19</f>
        <v>9345821.91780822</v>
      </c>
      <c r="D20" s="47" t="n">
        <f aca="false">D18+D19</f>
        <v>55151981.5068493</v>
      </c>
      <c r="E20" s="47" t="n">
        <f aca="false">E18+E19</f>
        <v>55244043.8336072</v>
      </c>
      <c r="F20" s="47" t="n">
        <f aca="false">F18+F19</f>
        <v>55148974.1703275</v>
      </c>
      <c r="G20" s="47" t="n">
        <f aca="false">G18+G19</f>
        <v>54249543.8420534</v>
      </c>
      <c r="H20" s="47" t="n">
        <f aca="false">H18+H19</f>
        <v>53365494.603064</v>
      </c>
      <c r="I20" s="47" t="n">
        <f aca="false">I18+I19</f>
        <v>52496567.945437</v>
      </c>
    </row>
    <row r="21" customFormat="false" ht="15" hidden="false" customHeight="false" outlineLevel="0" collapsed="false">
      <c r="A21" s="5"/>
      <c r="B21" s="5"/>
      <c r="C21" s="5"/>
      <c r="D21" s="5"/>
      <c r="E21" s="5"/>
      <c r="F21" s="5"/>
      <c r="G21" s="5"/>
      <c r="H21" s="5"/>
      <c r="I21" s="5"/>
    </row>
    <row r="22" customFormat="false" ht="15" hidden="false" customHeight="false" outlineLevel="0" collapsed="false">
      <c r="A22" s="5"/>
      <c r="B22" s="32" t="s">
        <v>230</v>
      </c>
      <c r="C22" s="16"/>
      <c r="D22" s="16"/>
      <c r="E22" s="16"/>
      <c r="F22" s="16"/>
      <c r="G22" s="16"/>
      <c r="H22" s="16"/>
      <c r="I22" s="16"/>
    </row>
    <row r="23" customFormat="false" ht="15" hidden="false" customHeight="false" outlineLevel="0" collapsed="false">
      <c r="A23" s="5"/>
      <c r="B23" s="37" t="s">
        <v>231</v>
      </c>
      <c r="C23" s="38" t="n">
        <f aca="false">(1-Debt_LTC)*Construction_Capex!C$12</f>
        <v>6000000</v>
      </c>
      <c r="D23" s="38" t="n">
        <f aca="false">(1-Debt_LTC)*Construction_Capex!D$12</f>
        <v>36000000</v>
      </c>
      <c r="E23" s="38" t="n">
        <f aca="false">(1-Debt_LTC)*Construction_Capex!E$12</f>
        <v>36000000</v>
      </c>
      <c r="F23" s="38" t="n">
        <f aca="false">(1-Debt_LTC)*Construction_Capex!F$12</f>
        <v>36000000</v>
      </c>
      <c r="G23" s="38" t="n">
        <f aca="false">(1-Debt_LTC)*Construction_Capex!G$12</f>
        <v>36000000</v>
      </c>
      <c r="H23" s="38" t="n">
        <f aca="false">(1-Debt_LTC)*Construction_Capex!H$12</f>
        <v>36000000</v>
      </c>
      <c r="I23" s="38" t="n">
        <f aca="false">(1-Debt_LTC)*Construction_Capex!I$12</f>
        <v>36000000</v>
      </c>
    </row>
    <row r="24" customFormat="false" ht="15" hidden="false" customHeight="false" outlineLevel="0" collapsed="false">
      <c r="A24" s="5"/>
      <c r="B24" s="37" t="s">
        <v>232</v>
      </c>
      <c r="C24" s="38" t="n">
        <f aca="false">Income_Statement!C$30</f>
        <v>-225000</v>
      </c>
      <c r="D24" s="38" t="n">
        <f aca="false">C24+Income_Statement!D$30</f>
        <v>-1575000</v>
      </c>
      <c r="E24" s="38" t="n">
        <f aca="false">D24+Income_Statement!E$30</f>
        <v>-6554336.10714286</v>
      </c>
      <c r="F24" s="38" t="n">
        <f aca="false">E24+Income_Statement!F$30</f>
        <v>-4508128.8689089</v>
      </c>
      <c r="G24" s="38" t="n">
        <f aca="false">F24+Income_Statement!G$30</f>
        <v>-2150991.13655923</v>
      </c>
      <c r="H24" s="38" t="n">
        <f aca="false">G24+Income_Statement!H$30</f>
        <v>522972.453949184</v>
      </c>
      <c r="I24" s="38" t="n">
        <f aca="false">H24+Income_Statement!I$30</f>
        <v>3519836.54025512</v>
      </c>
    </row>
    <row r="25" customFormat="false" ht="15" hidden="false" customHeight="false" outlineLevel="0" collapsed="false">
      <c r="A25" s="5"/>
      <c r="B25" s="50" t="s">
        <v>233</v>
      </c>
      <c r="C25" s="47" t="n">
        <f aca="false">C23+C24</f>
        <v>5775000</v>
      </c>
      <c r="D25" s="47" t="n">
        <f aca="false">D23+D24</f>
        <v>34425000</v>
      </c>
      <c r="E25" s="47" t="n">
        <f aca="false">E23+E24</f>
        <v>29445663.8928571</v>
      </c>
      <c r="F25" s="47" t="n">
        <f aca="false">F23+F24</f>
        <v>31491871.1310911</v>
      </c>
      <c r="G25" s="47" t="n">
        <f aca="false">G23+G24</f>
        <v>33849008.8634408</v>
      </c>
      <c r="H25" s="47" t="n">
        <f aca="false">H23+H24</f>
        <v>36522972.4539492</v>
      </c>
      <c r="I25" s="47" t="n">
        <f aca="false">I23+I24</f>
        <v>39519836.5402551</v>
      </c>
    </row>
    <row r="26" customFormat="false" ht="15" hidden="false" customHeight="false" outlineLevel="0" collapsed="false">
      <c r="A26" s="5"/>
      <c r="B26" s="5"/>
      <c r="C26" s="5"/>
      <c r="D26" s="5"/>
      <c r="E26" s="5"/>
      <c r="F26" s="5"/>
      <c r="G26" s="5"/>
      <c r="H26" s="5"/>
      <c r="I26" s="5"/>
    </row>
    <row r="27" customFormat="false" ht="15" hidden="false" customHeight="false" outlineLevel="0" collapsed="false">
      <c r="A27" s="5"/>
      <c r="B27" s="39" t="s">
        <v>234</v>
      </c>
      <c r="C27" s="40" t="n">
        <f aca="false">C20+C25</f>
        <v>15120821.9178082</v>
      </c>
      <c r="D27" s="40" t="n">
        <f aca="false">D20+D25</f>
        <v>89576981.5068493</v>
      </c>
      <c r="E27" s="40" t="n">
        <f aca="false">E20+E25</f>
        <v>84689707.7264644</v>
      </c>
      <c r="F27" s="40" t="n">
        <f aca="false">F20+F25</f>
        <v>86640845.3014186</v>
      </c>
      <c r="G27" s="40" t="n">
        <f aca="false">G20+G25</f>
        <v>88098552.7054941</v>
      </c>
      <c r="H27" s="40" t="n">
        <f aca="false">H20+H25</f>
        <v>89888467.0570131</v>
      </c>
      <c r="I27" s="40" t="n">
        <f aca="false">I20+I25</f>
        <v>92016404.4856921</v>
      </c>
    </row>
    <row r="28" customFormat="false" ht="15" hidden="false" customHeight="false" outlineLevel="0" collapsed="false">
      <c r="A28" s="5"/>
      <c r="B28" s="48" t="s">
        <v>235</v>
      </c>
      <c r="C28" s="51" t="n">
        <f aca="false">C15-C27</f>
        <v>0</v>
      </c>
      <c r="D28" s="51" t="n">
        <f aca="false">D15-D27</f>
        <v>0</v>
      </c>
      <c r="E28" s="51" t="n">
        <f aca="false">E15-E27</f>
        <v>0</v>
      </c>
      <c r="F28" s="51" t="n">
        <f aca="false">F15-F27</f>
        <v>0</v>
      </c>
      <c r="G28" s="51" t="n">
        <f aca="false">G15-G27</f>
        <v>0</v>
      </c>
      <c r="H28" s="51" t="n">
        <f aca="false">H15-H27</f>
        <v>0</v>
      </c>
      <c r="I28" s="51" t="n">
        <f aca="false">I15-I27</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236</v>
      </c>
      <c r="C2" s="5"/>
      <c r="D2" s="5"/>
      <c r="E2" s="5"/>
      <c r="F2" s="5"/>
      <c r="G2" s="5"/>
      <c r="H2" s="5"/>
      <c r="I2" s="5"/>
    </row>
    <row r="3" customFormat="false" ht="15" hidden="false" customHeight="false" outlineLevel="0" collapsed="false">
      <c r="A3" s="5"/>
      <c r="B3" s="29" t="s">
        <v>237</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238</v>
      </c>
      <c r="C8" s="16"/>
      <c r="D8" s="16"/>
      <c r="E8" s="16"/>
      <c r="F8" s="16"/>
      <c r="G8" s="16"/>
      <c r="H8" s="16"/>
      <c r="I8" s="16"/>
    </row>
    <row r="9" customFormat="false" ht="15" hidden="false" customHeight="false" outlineLevel="0" collapsed="false">
      <c r="A9" s="5"/>
      <c r="B9" s="37" t="s">
        <v>239</v>
      </c>
      <c r="C9" s="38" t="n">
        <f aca="false">Income_Statement!C$30</f>
        <v>-225000</v>
      </c>
      <c r="D9" s="38" t="n">
        <f aca="false">Income_Statement!D$30</f>
        <v>-1350000</v>
      </c>
      <c r="E9" s="38" t="n">
        <f aca="false">Income_Statement!E$30</f>
        <v>-4979336.10714286</v>
      </c>
      <c r="F9" s="38" t="n">
        <f aca="false">Income_Statement!F$30</f>
        <v>2046207.23823396</v>
      </c>
      <c r="G9" s="38" t="n">
        <f aca="false">Income_Statement!G$30</f>
        <v>2357137.73234967</v>
      </c>
      <c r="H9" s="38" t="n">
        <f aca="false">Income_Statement!H$30</f>
        <v>2673963.59050842</v>
      </c>
      <c r="I9" s="38" t="n">
        <f aca="false">Income_Statement!I$30</f>
        <v>2996864.08630593</v>
      </c>
    </row>
    <row r="10" customFormat="false" ht="15" hidden="false" customHeight="false" outlineLevel="0" collapsed="false">
      <c r="A10" s="5"/>
      <c r="B10" s="37" t="s">
        <v>209</v>
      </c>
      <c r="C10" s="38" t="n">
        <f aca="false">Income_Statement!C$25</f>
        <v>0</v>
      </c>
      <c r="D10" s="38" t="n">
        <f aca="false">Income_Statement!D$25</f>
        <v>0</v>
      </c>
      <c r="E10" s="38" t="n">
        <f aca="false">Income_Statement!E$25</f>
        <v>5857142.85714286</v>
      </c>
      <c r="F10" s="38" t="n">
        <f aca="false">Income_Statement!F$25</f>
        <v>5857142.85714286</v>
      </c>
      <c r="G10" s="38" t="n">
        <f aca="false">Income_Statement!G$25</f>
        <v>5857142.85714286</v>
      </c>
      <c r="H10" s="38" t="n">
        <f aca="false">Income_Statement!H$25</f>
        <v>5857142.85714286</v>
      </c>
      <c r="I10" s="38" t="n">
        <f aca="false">Income_Statement!I$25</f>
        <v>5857142.85714286</v>
      </c>
    </row>
    <row r="11" customFormat="false" ht="15" hidden="false" customHeight="false" outlineLevel="0" collapsed="false">
      <c r="A11" s="5"/>
      <c r="B11" s="37" t="s">
        <v>240</v>
      </c>
      <c r="C11" s="38" t="n">
        <f aca="false">-Balance_Sheet!C10</f>
        <v>-0</v>
      </c>
      <c r="D11" s="38" t="n">
        <f aca="false">-(Balance_Sheet!D10-Balance_Sheet!C10)</f>
        <v>-0</v>
      </c>
      <c r="E11" s="38" t="n">
        <f aca="false">-(Balance_Sheet!E10-Balance_Sheet!D10)</f>
        <v>-1274067.12328767</v>
      </c>
      <c r="F11" s="38" t="n">
        <f aca="false">-(Balance_Sheet!F10-Balance_Sheet!E10)</f>
        <v>-1309019.17808219</v>
      </c>
      <c r="G11" s="38" t="n">
        <f aca="false">-(Balance_Sheet!G10-Balance_Sheet!F10)</f>
        <v>-35825.8561643837</v>
      </c>
      <c r="H11" s="38" t="n">
        <f aca="false">-(Balance_Sheet!H10-Balance_Sheet!G10)</f>
        <v>-36721.5025684922</v>
      </c>
      <c r="I11" s="38" t="n">
        <f aca="false">-(Balance_Sheet!I10-Balance_Sheet!H10)</f>
        <v>-37639.5401327056</v>
      </c>
    </row>
    <row r="12" customFormat="false" ht="15" hidden="false" customHeight="false" outlineLevel="0" collapsed="false">
      <c r="A12" s="5"/>
      <c r="B12" s="37" t="s">
        <v>241</v>
      </c>
      <c r="C12" s="38" t="n">
        <f aca="false">Balance_Sheet!C18</f>
        <v>30821.9178082192</v>
      </c>
      <c r="D12" s="38" t="n">
        <f aca="false">Balance_Sheet!D18-Balance_Sheet!C18</f>
        <v>154109.589041096</v>
      </c>
      <c r="E12" s="38" t="n">
        <f aca="false">Balance_Sheet!E18-Balance_Sheet!D18</f>
        <v>1025484.24657534</v>
      </c>
      <c r="F12" s="38" t="n">
        <f aca="false">Balance_Sheet!F18-Balance_Sheet!E18</f>
        <v>822501.369863014</v>
      </c>
      <c r="G12" s="38" t="n">
        <f aca="false">Balance_Sheet!G18-Balance_Sheet!F18</f>
        <v>2558.98972602747</v>
      </c>
      <c r="H12" s="38" t="n">
        <f aca="false">Balance_Sheet!H18-Balance_Sheet!G18</f>
        <v>2622.96446917788</v>
      </c>
      <c r="I12" s="38" t="n">
        <f aca="false">Balance_Sheet!I18-Balance_Sheet!H18</f>
        <v>2688.53858090774</v>
      </c>
    </row>
    <row r="13" customFormat="false" ht="15" hidden="false" customHeight="false" outlineLevel="0" collapsed="false">
      <c r="A13" s="5"/>
      <c r="B13" s="50" t="s">
        <v>238</v>
      </c>
      <c r="C13" s="47" t="n">
        <f aca="false">C9+C10+C11+C12</f>
        <v>-194178.082191781</v>
      </c>
      <c r="D13" s="47" t="n">
        <f aca="false">D9+D10+D11+D12</f>
        <v>-1195890.4109589</v>
      </c>
      <c r="E13" s="47" t="n">
        <f aca="false">E9+E10+E11+E12</f>
        <v>629223.873287671</v>
      </c>
      <c r="F13" s="47" t="n">
        <f aca="false">F9+F10+F11+F12</f>
        <v>7416832.28715764</v>
      </c>
      <c r="G13" s="47" t="n">
        <f aca="false">G9+G10+G11+G12</f>
        <v>8181013.72305417</v>
      </c>
      <c r="H13" s="47" t="n">
        <f aca="false">H9+H10+H11+H12</f>
        <v>8497007.90955196</v>
      </c>
      <c r="I13" s="47" t="n">
        <f aca="false">I9+I10+I11+I12</f>
        <v>8819055.94189699</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32" t="s">
        <v>242</v>
      </c>
      <c r="C15" s="16"/>
      <c r="D15" s="16"/>
      <c r="E15" s="16"/>
      <c r="F15" s="16"/>
      <c r="G15" s="16"/>
      <c r="H15" s="16"/>
      <c r="I15" s="16"/>
    </row>
    <row r="16" customFormat="false" ht="15" hidden="false" customHeight="false" outlineLevel="0" collapsed="false">
      <c r="A16" s="5"/>
      <c r="B16" s="37" t="s">
        <v>148</v>
      </c>
      <c r="C16" s="38" t="n">
        <f aca="false">-Construction_Capex!C$11</f>
        <v>-15000000</v>
      </c>
      <c r="D16" s="38" t="n">
        <f aca="false">-Construction_Capex!D$11</f>
        <v>-75000000</v>
      </c>
      <c r="E16" s="38" t="n">
        <f aca="false">-Construction_Capex!E$11</f>
        <v>-0</v>
      </c>
      <c r="F16" s="38" t="n">
        <f aca="false">-Construction_Capex!F$11</f>
        <v>-0</v>
      </c>
      <c r="G16" s="38" t="n">
        <f aca="false">-Construction_Capex!G$11</f>
        <v>-0</v>
      </c>
      <c r="H16" s="38" t="n">
        <f aca="false">-Construction_Capex!H$11</f>
        <v>-0</v>
      </c>
      <c r="I16" s="38" t="n">
        <f aca="false">-Construction_Capex!I$11</f>
        <v>-0</v>
      </c>
    </row>
    <row r="17" customFormat="false" ht="15" hidden="false" customHeight="false" outlineLevel="0" collapsed="false">
      <c r="A17" s="5"/>
      <c r="B17" s="37" t="s">
        <v>119</v>
      </c>
      <c r="C17" s="38" t="n">
        <f aca="false">-Operating_Costs!C$19</f>
        <v>-0</v>
      </c>
      <c r="D17" s="38" t="n">
        <f aca="false">-Operating_Costs!D$19</f>
        <v>-0</v>
      </c>
      <c r="E17" s="38" t="n">
        <f aca="false">-Operating_Costs!E$19</f>
        <v>-332167.5</v>
      </c>
      <c r="F17" s="38" t="n">
        <f aca="false">-Operating_Costs!F$19</f>
        <v>-673447.5</v>
      </c>
      <c r="G17" s="38" t="n">
        <f aca="false">-Operating_Costs!G$19</f>
        <v>-682787.8125</v>
      </c>
      <c r="H17" s="38" t="n">
        <f aca="false">-Operating_Costs!H$19</f>
        <v>-692361.6328125</v>
      </c>
      <c r="I17" s="38" t="n">
        <f aca="false">-Operating_Costs!I$19</f>
        <v>-702174.798632812</v>
      </c>
    </row>
    <row r="18" customFormat="false" ht="15" hidden="false" customHeight="false" outlineLevel="0" collapsed="false">
      <c r="A18" s="5"/>
      <c r="B18" s="50" t="s">
        <v>242</v>
      </c>
      <c r="C18" s="47" t="n">
        <f aca="false">C16+C17</f>
        <v>-15000000</v>
      </c>
      <c r="D18" s="47" t="n">
        <f aca="false">D16+D17</f>
        <v>-75000000</v>
      </c>
      <c r="E18" s="47" t="n">
        <f aca="false">E16+E17</f>
        <v>-332167.5</v>
      </c>
      <c r="F18" s="47" t="n">
        <f aca="false">F16+F17</f>
        <v>-673447.5</v>
      </c>
      <c r="G18" s="47" t="n">
        <f aca="false">G16+G17</f>
        <v>-682787.8125</v>
      </c>
      <c r="H18" s="47" t="n">
        <f aca="false">H16+H17</f>
        <v>-692361.6328125</v>
      </c>
      <c r="I18" s="47" t="n">
        <f aca="false">I16+I17</f>
        <v>-702174.798632812</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32" t="s">
        <v>243</v>
      </c>
      <c r="C20" s="16"/>
      <c r="D20" s="16"/>
      <c r="E20" s="16"/>
      <c r="F20" s="16"/>
      <c r="G20" s="16"/>
      <c r="H20" s="16"/>
      <c r="I20" s="16"/>
    </row>
    <row r="21" customFormat="false" ht="15" hidden="false" customHeight="false" outlineLevel="0" collapsed="false">
      <c r="A21" s="5"/>
      <c r="B21" s="37" t="s">
        <v>244</v>
      </c>
      <c r="C21" s="38" t="n">
        <f aca="false">IF(C5&lt;2025+Construction_Yrs,(1-Debt_LTC)*Construction_Capex!C$11,0)</f>
        <v>6000000</v>
      </c>
      <c r="D21" s="38" t="n">
        <f aca="false">IF(D5&lt;2025+Construction_Yrs,(1-Debt_LTC)*Construction_Capex!D$11,0)</f>
        <v>30000000</v>
      </c>
      <c r="E21" s="38" t="n">
        <f aca="false">IF(E5&lt;2025+Construction_Yrs,(1-Debt_LTC)*Construction_Capex!E$11,0)</f>
        <v>0</v>
      </c>
      <c r="F21" s="38" t="n">
        <f aca="false">IF(F5&lt;2025+Construction_Yrs,(1-Debt_LTC)*Construction_Capex!F$11,0)</f>
        <v>0</v>
      </c>
      <c r="G21" s="38" t="n">
        <f aca="false">IF(G5&lt;2025+Construction_Yrs,(1-Debt_LTC)*Construction_Capex!G$11,0)</f>
        <v>0</v>
      </c>
      <c r="H21" s="38" t="n">
        <f aca="false">IF(H5&lt;2025+Construction_Yrs,(1-Debt_LTC)*Construction_Capex!H$11,0)</f>
        <v>0</v>
      </c>
      <c r="I21" s="38" t="n">
        <f aca="false">IF(I5&lt;2025+Construction_Yrs,(1-Debt_LTC)*Construction_Capex!I$11,0)</f>
        <v>0</v>
      </c>
    </row>
    <row r="22" customFormat="false" ht="15" hidden="false" customHeight="false" outlineLevel="0" collapsed="false">
      <c r="A22" s="5"/>
      <c r="B22" s="37" t="s">
        <v>245</v>
      </c>
      <c r="C22" s="38" t="n">
        <f aca="false">Debt_Schedule!C$15</f>
        <v>9315000</v>
      </c>
      <c r="D22" s="38" t="n">
        <f aca="false">Debt_Schedule!D$15</f>
        <v>45652050</v>
      </c>
      <c r="E22" s="38" t="n">
        <f aca="false">Debt_Schedule!E$15</f>
        <v>0</v>
      </c>
      <c r="F22" s="38" t="n">
        <f aca="false">Debt_Schedule!F$15</f>
        <v>0</v>
      </c>
      <c r="G22" s="38" t="n">
        <f aca="false">Debt_Schedule!G$15</f>
        <v>0</v>
      </c>
      <c r="H22" s="38" t="n">
        <f aca="false">Debt_Schedule!H$15</f>
        <v>0</v>
      </c>
      <c r="I22" s="38" t="n">
        <f aca="false">Debt_Schedule!I$15</f>
        <v>0</v>
      </c>
    </row>
    <row r="23" customFormat="false" ht="15" hidden="false" customHeight="false" outlineLevel="0" collapsed="false">
      <c r="A23" s="5"/>
      <c r="B23" s="37" t="s">
        <v>246</v>
      </c>
      <c r="C23" s="38" t="n">
        <f aca="false">-Debt_Schedule!C$16</f>
        <v>-0</v>
      </c>
      <c r="D23" s="38" t="n">
        <f aca="false">-Debt_Schedule!D$16</f>
        <v>-0</v>
      </c>
      <c r="E23" s="38" t="n">
        <f aca="false">-Debt_Schedule!E$16</f>
        <v>-933421.919817454</v>
      </c>
      <c r="F23" s="38" t="n">
        <f aca="false">-Debt_Schedule!F$16</f>
        <v>-917571.033142698</v>
      </c>
      <c r="G23" s="38" t="n">
        <f aca="false">-Debt_Schedule!G$16</f>
        <v>-901989.318000172</v>
      </c>
      <c r="H23" s="38" t="n">
        <f aca="false">-Debt_Schedule!H$16</f>
        <v>-886672.203458596</v>
      </c>
      <c r="I23" s="38" t="n">
        <f aca="false">-Debt_Schedule!I$16</f>
        <v>-871615.196207868</v>
      </c>
    </row>
    <row r="24" customFormat="false" ht="15" hidden="false" customHeight="false" outlineLevel="0" collapsed="false">
      <c r="A24" s="5"/>
      <c r="B24" s="50" t="s">
        <v>243</v>
      </c>
      <c r="C24" s="47" t="n">
        <f aca="false">C21+C22+C23</f>
        <v>15315000</v>
      </c>
      <c r="D24" s="47" t="n">
        <f aca="false">D21+D22+D23</f>
        <v>75652050</v>
      </c>
      <c r="E24" s="47" t="n">
        <f aca="false">E21+E22+E23</f>
        <v>-933421.919817454</v>
      </c>
      <c r="F24" s="47" t="n">
        <f aca="false">F21+F22+F23</f>
        <v>-917571.033142698</v>
      </c>
      <c r="G24" s="47" t="n">
        <f aca="false">G21+G22+G23</f>
        <v>-901989.318000172</v>
      </c>
      <c r="H24" s="47" t="n">
        <f aca="false">H21+H22+H23</f>
        <v>-886672.203458596</v>
      </c>
      <c r="I24" s="47" t="n">
        <f aca="false">I21+I22+I23</f>
        <v>-871615.196207868</v>
      </c>
    </row>
    <row r="25" customFormat="false" ht="15" hidden="false" customHeight="false" outlineLevel="0" collapsed="false">
      <c r="A25" s="5"/>
      <c r="B25" s="5"/>
      <c r="C25" s="5"/>
      <c r="D25" s="5"/>
      <c r="E25" s="5"/>
      <c r="F25" s="5"/>
      <c r="G25" s="5"/>
      <c r="H25" s="5"/>
      <c r="I25" s="5"/>
    </row>
    <row r="26" customFormat="false" ht="15" hidden="false" customHeight="false" outlineLevel="0" collapsed="false">
      <c r="A26" s="5"/>
      <c r="B26" s="39" t="s">
        <v>247</v>
      </c>
      <c r="C26" s="40" t="n">
        <f aca="false">C13+C18+C24</f>
        <v>120821.91780822</v>
      </c>
      <c r="D26" s="40" t="n">
        <f aca="false">D13+D18+D24</f>
        <v>-543840.410958901</v>
      </c>
      <c r="E26" s="40" t="n">
        <f aca="false">E13+E18+E24</f>
        <v>-636365.546529783</v>
      </c>
      <c r="F26" s="40" t="n">
        <f aca="false">F13+F18+F24</f>
        <v>5825813.75401494</v>
      </c>
      <c r="G26" s="40" t="n">
        <f aca="false">G13+G18+G24</f>
        <v>6596236.59255399</v>
      </c>
      <c r="H26" s="40" t="n">
        <f aca="false">H13+H18+H24</f>
        <v>6917974.07328086</v>
      </c>
      <c r="I26" s="40" t="n">
        <f aca="false">I13+I18+I24</f>
        <v>7245265.94705631</v>
      </c>
    </row>
    <row r="27" customFormat="false" ht="15" hidden="false" customHeight="false" outlineLevel="0" collapsed="false">
      <c r="A27" s="5"/>
      <c r="B27" s="7" t="s">
        <v>248</v>
      </c>
      <c r="C27" s="38" t="n">
        <f aca="false">0</f>
        <v>0</v>
      </c>
      <c r="D27" s="38" t="n">
        <f aca="false">C28</f>
        <v>120821.91780822</v>
      </c>
      <c r="E27" s="38" t="n">
        <f aca="false">D28</f>
        <v>-423018.493150681</v>
      </c>
      <c r="F27" s="38" t="n">
        <f aca="false">E28</f>
        <v>-1059384.03968046</v>
      </c>
      <c r="G27" s="38" t="n">
        <f aca="false">F28</f>
        <v>4766429.71433448</v>
      </c>
      <c r="H27" s="38" t="n">
        <f aca="false">G28</f>
        <v>11362666.3068885</v>
      </c>
      <c r="I27" s="38" t="n">
        <f aca="false">H28</f>
        <v>18280640.3801693</v>
      </c>
    </row>
    <row r="28" customFormat="false" ht="15" hidden="false" customHeight="false" outlineLevel="0" collapsed="false">
      <c r="A28" s="5"/>
      <c r="B28" s="50" t="s">
        <v>249</v>
      </c>
      <c r="C28" s="47" t="n">
        <f aca="false">C27+C26</f>
        <v>120821.91780822</v>
      </c>
      <c r="D28" s="47" t="n">
        <f aca="false">D27+D26</f>
        <v>-423018.493150681</v>
      </c>
      <c r="E28" s="47" t="n">
        <f aca="false">E27+E26</f>
        <v>-1059384.03968046</v>
      </c>
      <c r="F28" s="47" t="n">
        <f aca="false">F27+F26</f>
        <v>4766429.71433448</v>
      </c>
      <c r="G28" s="47" t="n">
        <f aca="false">G27+G26</f>
        <v>11362666.3068885</v>
      </c>
      <c r="H28" s="47" t="n">
        <f aca="false">H27+H26</f>
        <v>18280640.3801693</v>
      </c>
      <c r="I28" s="47" t="n">
        <f aca="false">I27+I26</f>
        <v>25525906.3272256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250</v>
      </c>
      <c r="C2" s="5"/>
      <c r="D2" s="5"/>
      <c r="E2" s="5"/>
      <c r="F2" s="5"/>
      <c r="G2" s="5"/>
      <c r="H2" s="5"/>
      <c r="I2" s="5"/>
    </row>
    <row r="3" customFormat="false" ht="15" hidden="false" customHeight="false" outlineLevel="0" collapsed="false">
      <c r="A3" s="5"/>
      <c r="B3" s="29" t="s">
        <v>251</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252</v>
      </c>
      <c r="C8" s="16"/>
      <c r="D8" s="16"/>
      <c r="E8" s="16"/>
      <c r="F8" s="16"/>
      <c r="G8" s="16"/>
      <c r="H8" s="16"/>
      <c r="I8" s="16"/>
    </row>
    <row r="9" customFormat="false" ht="15" hidden="false" customHeight="false" outlineLevel="0" collapsed="false">
      <c r="A9" s="5"/>
      <c r="B9" s="37" t="s">
        <v>253</v>
      </c>
      <c r="C9" s="38"/>
      <c r="D9" s="38"/>
      <c r="E9" s="38"/>
      <c r="F9" s="38"/>
      <c r="G9" s="38"/>
      <c r="H9" s="38"/>
      <c r="I9" s="38" t="n">
        <f aca="false">Income_Statement!I24</f>
        <v>13189242.3480469</v>
      </c>
    </row>
    <row r="10" customFormat="false" ht="15" hidden="false" customHeight="false" outlineLevel="0" collapsed="false">
      <c r="A10" s="5"/>
      <c r="B10" s="37" t="s">
        <v>254</v>
      </c>
      <c r="C10" s="38"/>
      <c r="D10" s="38"/>
      <c r="E10" s="38"/>
      <c r="F10" s="38"/>
      <c r="G10" s="38"/>
      <c r="H10" s="38"/>
      <c r="I10" s="38" t="n">
        <f aca="false">I9/Exit_Cap_Rate</f>
        <v>219820705.800781</v>
      </c>
    </row>
    <row r="11" customFormat="false" ht="15" hidden="false" customHeight="false" outlineLevel="0" collapsed="false">
      <c r="A11" s="5"/>
      <c r="B11" s="37" t="s">
        <v>255</v>
      </c>
      <c r="C11" s="38"/>
      <c r="D11" s="38"/>
      <c r="E11" s="38"/>
      <c r="F11" s="38"/>
      <c r="G11" s="38"/>
      <c r="H11" s="38"/>
      <c r="I11" s="38" t="n">
        <f aca="false">-Debt_Schedule!I17</f>
        <v>-50455780.3293732</v>
      </c>
    </row>
    <row r="12" customFormat="false" ht="15" hidden="false" customHeight="false" outlineLevel="0" collapsed="false">
      <c r="A12" s="5"/>
      <c r="B12" s="52" t="s">
        <v>256</v>
      </c>
      <c r="C12" s="47"/>
      <c r="D12" s="47"/>
      <c r="E12" s="47"/>
      <c r="F12" s="47"/>
      <c r="G12" s="47"/>
      <c r="H12" s="47"/>
      <c r="I12" s="47" t="n">
        <f aca="false">I10+I11</f>
        <v>169364925.471408</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2" t="s">
        <v>257</v>
      </c>
      <c r="C14" s="16"/>
      <c r="D14" s="16"/>
      <c r="E14" s="16"/>
      <c r="F14" s="16"/>
      <c r="G14" s="16"/>
      <c r="H14" s="16"/>
      <c r="I14" s="16"/>
    </row>
    <row r="15" customFormat="false" ht="15" hidden="false" customHeight="false" outlineLevel="0" collapsed="false">
      <c r="A15" s="5"/>
      <c r="B15" s="37" t="s">
        <v>258</v>
      </c>
      <c r="C15" s="38" t="n">
        <f aca="false">IF(C5&lt;2025+Construction_Yrs,-Construction_Capex!C$11,Income_Statement!C24-Operating_Costs!C$19)</f>
        <v>-15000000</v>
      </c>
      <c r="D15" s="38" t="n">
        <f aca="false">IF(D5&lt;2025+Construction_Yrs,-Construction_Capex!D$11,Income_Statement!D24-Operating_Costs!D$19)</f>
        <v>-75000000</v>
      </c>
      <c r="E15" s="38" t="n">
        <f aca="false">IF(E5&lt;2025+Construction_Yrs,-Construction_Capex!E$11,Income_Statement!E24-Operating_Costs!E$19)</f>
        <v>4118497.5</v>
      </c>
      <c r="F15" s="38" t="n">
        <f aca="false">IF(F5&lt;2025+Construction_Yrs,-Construction_Capex!F$11,Income_Statement!F24-Operating_Costs!F$19)</f>
        <v>11424157.5</v>
      </c>
      <c r="G15" s="38" t="n">
        <f aca="false">IF(G5&lt;2025+Construction_Yrs,-Construction_Capex!G$11,Income_Statement!G24-Operating_Costs!G$19)</f>
        <v>11769749.0625</v>
      </c>
      <c r="H15" s="38" t="n">
        <f aca="false">IF(H5&lt;2025+Construction_Yrs,-Construction_Capex!H$11,Income_Statement!H24-Operating_Costs!H$19)</f>
        <v>12123980.4140625</v>
      </c>
      <c r="I15" s="38" t="n">
        <f aca="false">IF(I5&lt;2025+Construction_Yrs,-Construction_Capex!I$11,Income_Statement!I24-Operating_Costs!I$19)+I10</f>
        <v>232307773.350195</v>
      </c>
    </row>
    <row r="16" customFormat="false" ht="15" hidden="false" customHeight="false" outlineLevel="0" collapsed="false">
      <c r="A16" s="5"/>
      <c r="B16" s="37" t="s">
        <v>259</v>
      </c>
      <c r="C16" s="38" t="n">
        <f aca="false">IF(C5&lt;2025+Construction_Yrs,-(1-Debt_LTC)*Construction_Capex!C$11,Cash_Flow!C13-Operating_Costs!C$19-Debt_Schedule!C$21)</f>
        <v>-6000000</v>
      </c>
      <c r="D16" s="38" t="n">
        <f aca="false">IF(D5&lt;2025+Construction_Yrs,-(1-Debt_LTC)*Construction_Capex!D$11,Cash_Flow!D13-Operating_Costs!D$19-Debt_Schedule!D$21)</f>
        <v>-30000000</v>
      </c>
      <c r="E16" s="38" t="n">
        <f aca="false">IF(E5&lt;2025+Construction_Yrs,-(1-Debt_LTC)*Construction_Capex!E$11,Cash_Flow!E13-Operating_Costs!E$19-Debt_Schedule!E$21)</f>
        <v>-4209223.79652978</v>
      </c>
      <c r="F16" s="38" t="n">
        <f aca="false">IF(F5&lt;2025+Construction_Yrs,-(1-Debt_LTC)*Construction_Capex!F$11,Cash_Flow!F13-Operating_Costs!F$19-Debt_Schedule!F$21)</f>
        <v>2313627.92880307</v>
      </c>
      <c r="G16" s="38" t="n">
        <f aca="false">IF(G5&lt;2025+Construction_Yrs,-(1-Debt_LTC)*Construction_Capex!G$11,Cash_Flow!G13-Operating_Costs!G$19-Debt_Schedule!G$21)</f>
        <v>3143692.8844964</v>
      </c>
      <c r="H16" s="38" t="n">
        <f aca="false">IF(H5&lt;2025+Construction_Yrs,-(1-Debt_LTC)*Construction_Capex!H$11,Cash_Flow!H13-Operating_Costs!H$19-Debt_Schedule!H$21)</f>
        <v>3524059.67089329</v>
      </c>
      <c r="I16" s="38" t="n">
        <f aca="false">IF(I5&lt;2025+Construction_Yrs,-(1-Debt_LTC)*Construction_Capex!I$11,Cash_Flow!I13-Operating_Costs!I$19-Debt_Schedule!I$21)+I12</f>
        <v>173273910.709302</v>
      </c>
    </row>
    <row r="17" customFormat="false" ht="15" hidden="false" customHeight="false" outlineLevel="0" collapsed="false">
      <c r="A17" s="5"/>
      <c r="B17" s="5"/>
      <c r="C17" s="5"/>
      <c r="D17" s="5"/>
      <c r="E17" s="5"/>
      <c r="F17" s="5"/>
      <c r="G17" s="5"/>
      <c r="H17" s="5"/>
      <c r="I17" s="5"/>
    </row>
    <row r="18" customFormat="false" ht="15" hidden="false" customHeight="false" outlineLevel="0" collapsed="false">
      <c r="A18" s="5"/>
      <c r="B18" s="32" t="s">
        <v>260</v>
      </c>
      <c r="C18" s="16"/>
      <c r="D18" s="16"/>
      <c r="E18" s="16"/>
      <c r="F18" s="16"/>
      <c r="G18" s="16"/>
      <c r="H18" s="16"/>
      <c r="I18" s="16"/>
    </row>
    <row r="19" customFormat="false" ht="15" hidden="false" customHeight="false" outlineLevel="0" collapsed="false">
      <c r="A19" s="5"/>
      <c r="B19" s="48" t="s">
        <v>261</v>
      </c>
      <c r="C19" s="53" t="n">
        <f aca="false">IRR(C15:I15)</f>
        <v>0.261173268198086</v>
      </c>
      <c r="D19" s="5"/>
      <c r="E19" s="5"/>
      <c r="F19" s="5"/>
      <c r="G19" s="5"/>
      <c r="H19" s="5"/>
      <c r="I19" s="5"/>
    </row>
    <row r="20" customFormat="false" ht="15" hidden="false" customHeight="false" outlineLevel="0" collapsed="false">
      <c r="A20" s="5"/>
      <c r="B20" s="48" t="s">
        <v>262</v>
      </c>
      <c r="C20" s="53" t="n">
        <f aca="false">IRR(C16:I16)</f>
        <v>0.35677269993637</v>
      </c>
      <c r="D20" s="5"/>
      <c r="E20" s="5"/>
      <c r="F20" s="5"/>
      <c r="G20" s="5"/>
      <c r="H20" s="5"/>
      <c r="I20" s="5"/>
    </row>
    <row r="21" customFormat="false" ht="15" hidden="false" customHeight="false" outlineLevel="0" collapsed="false">
      <c r="A21" s="5"/>
      <c r="B21" s="48" t="s">
        <v>263</v>
      </c>
      <c r="C21" s="49" t="n">
        <f aca="false">IFERROR(-SUMIF(C16:I16,"&gt;0")/SUMIF(C16:I16,"&lt;0"),0)</f>
        <v>4.53267369983958</v>
      </c>
      <c r="D21" s="5"/>
      <c r="E21" s="5"/>
      <c r="F21" s="5"/>
      <c r="G21" s="5"/>
      <c r="H21" s="5"/>
      <c r="I21" s="5"/>
    </row>
    <row r="22" customFormat="false" ht="15" hidden="false" customHeight="false" outlineLevel="0" collapsed="false">
      <c r="A22" s="5"/>
      <c r="B22" s="48" t="s">
        <v>264</v>
      </c>
      <c r="C22" s="54" t="n">
        <f aca="false">NPV(Discount_Rate,D15:I15)+C15</f>
        <v>87265776.0591286</v>
      </c>
      <c r="D22" s="5"/>
      <c r="E22" s="5"/>
      <c r="F22" s="5"/>
      <c r="G22" s="5"/>
      <c r="H22" s="5"/>
      <c r="I2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265</v>
      </c>
      <c r="C2" s="5"/>
      <c r="D2" s="5"/>
      <c r="E2" s="5"/>
      <c r="F2" s="5"/>
      <c r="G2" s="5"/>
      <c r="H2" s="5"/>
      <c r="I2" s="5"/>
    </row>
    <row r="3" customFormat="false" ht="15" hidden="false" customHeight="false" outlineLevel="0" collapsed="false">
      <c r="A3" s="5"/>
      <c r="B3" s="29" t="s">
        <v>266</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7" t="s">
        <v>267</v>
      </c>
      <c r="C8" s="41" t="str">
        <f aca="false">IF(ABS(Balance_Sheet!C$15-Balance_Sheet!C$27)&lt;1,"PASS","FAIL")</f>
        <v>PASS</v>
      </c>
      <c r="D8" s="41" t="str">
        <f aca="false">IF(ABS(Balance_Sheet!D$15-Balance_Sheet!D$27)&lt;1,"PASS","FAIL")</f>
        <v>PASS</v>
      </c>
      <c r="E8" s="41" t="str">
        <f aca="false">IF(ABS(Balance_Sheet!E$15-Balance_Sheet!E$27)&lt;1,"PASS","FAIL")</f>
        <v>PASS</v>
      </c>
      <c r="F8" s="41" t="str">
        <f aca="false">IF(ABS(Balance_Sheet!F$15-Balance_Sheet!F$27)&lt;1,"PASS","FAIL")</f>
        <v>PASS</v>
      </c>
      <c r="G8" s="41" t="str">
        <f aca="false">IF(ABS(Balance_Sheet!G$15-Balance_Sheet!G$27)&lt;1,"PASS","FAIL")</f>
        <v>PASS</v>
      </c>
      <c r="H8" s="41" t="str">
        <f aca="false">IF(ABS(Balance_Sheet!H$15-Balance_Sheet!H$27)&lt;1,"PASS","FAIL")</f>
        <v>PASS</v>
      </c>
      <c r="I8" s="41" t="str">
        <f aca="false">IF(ABS(Balance_Sheet!I$15-Balance_Sheet!I$27)&lt;1,"PASS","FAIL")</f>
        <v>PASS</v>
      </c>
    </row>
    <row r="9" customFormat="false" ht="15" hidden="false" customHeight="false" outlineLevel="0" collapsed="false">
      <c r="A9" s="5"/>
      <c r="B9" s="7" t="s">
        <v>268</v>
      </c>
      <c r="C9" s="41" t="str">
        <f aca="false">IF(Capacity_Ramp!C$14&lt;=Capacity_Ramp!C$10+1,"PASS","FAIL")</f>
        <v>PASS</v>
      </c>
      <c r="D9" s="41" t="str">
        <f aca="false">IF(Capacity_Ramp!D$14&lt;=Capacity_Ramp!D$10+1,"PASS","FAIL")</f>
        <v>PASS</v>
      </c>
      <c r="E9" s="41" t="str">
        <f aca="false">IF(Capacity_Ramp!E$14&lt;=Capacity_Ramp!E$10+1,"PASS","FAIL")</f>
        <v>PASS</v>
      </c>
      <c r="F9" s="41" t="str">
        <f aca="false">IF(Capacity_Ramp!F$14&lt;=Capacity_Ramp!F$10+1,"PASS","FAIL")</f>
        <v>PASS</v>
      </c>
      <c r="G9" s="41" t="str">
        <f aca="false">IF(Capacity_Ramp!G$14&lt;=Capacity_Ramp!G$10+1,"PASS","FAIL")</f>
        <v>PASS</v>
      </c>
      <c r="H9" s="41" t="str">
        <f aca="false">IF(Capacity_Ramp!H$14&lt;=Capacity_Ramp!H$10+1,"PASS","FAIL")</f>
        <v>PASS</v>
      </c>
      <c r="I9" s="41" t="str">
        <f aca="false">IF(Capacity_Ramp!I$14&lt;=Capacity_Ramp!I$10+1,"PASS","FAIL")</f>
        <v>PASS</v>
      </c>
    </row>
    <row r="10" customFormat="false" ht="15" hidden="false" customHeight="false" outlineLevel="0" collapsed="false">
      <c r="A10" s="5"/>
      <c r="B10" s="7" t="s">
        <v>269</v>
      </c>
      <c r="C10" s="41" t="str">
        <f aca="false">IF(PUE_Ratio&gt;=1,"PASS","FAIL")</f>
        <v>PASS</v>
      </c>
      <c r="D10" s="41" t="str">
        <f aca="false">IF(PUE_Ratio&gt;=1,"PASS","FAIL")</f>
        <v>PASS</v>
      </c>
      <c r="E10" s="41" t="str">
        <f aca="false">IF(PUE_Ratio&gt;=1,"PASS","FAIL")</f>
        <v>PASS</v>
      </c>
      <c r="F10" s="41" t="str">
        <f aca="false">IF(PUE_Ratio&gt;=1,"PASS","FAIL")</f>
        <v>PASS</v>
      </c>
      <c r="G10" s="41" t="str">
        <f aca="false">IF(PUE_Ratio&gt;=1,"PASS","FAIL")</f>
        <v>PASS</v>
      </c>
      <c r="H10" s="41" t="str">
        <f aca="false">IF(PUE_Ratio&gt;=1,"PASS","FAIL")</f>
        <v>PASS</v>
      </c>
      <c r="I10" s="41" t="str">
        <f aca="false">IF(PUE_Ratio&gt;=1,"PASS","FAIL")</f>
        <v>PASS</v>
      </c>
    </row>
    <row r="11" customFormat="false" ht="15" hidden="false" customHeight="false" outlineLevel="0" collapsed="false">
      <c r="A11" s="5"/>
      <c r="B11" s="7" t="s">
        <v>270</v>
      </c>
      <c r="C11" s="41" t="str">
        <f aca="false">IF(Debt_Schedule!C$21=0,"N/A",IF(Debt_Schedule!C23&gt;=1.25,"PASS","FAIL"))</f>
        <v>N/A</v>
      </c>
      <c r="D11" s="41" t="str">
        <f aca="false">IF(Debt_Schedule!D$21=0,"N/A",IF(Debt_Schedule!D23&gt;=1.25,"PASS","FAIL"))</f>
        <v>N/A</v>
      </c>
      <c r="E11" s="41" t="str">
        <f aca="false">IF(Debt_Schedule!E$21=0,"N/A",IF(Debt_Schedule!E23&gt;=1.25,"PASS","FAIL"))</f>
        <v>FAIL</v>
      </c>
      <c r="F11" s="41" t="str">
        <f aca="false">IF(Debt_Schedule!F$21=0,"N/A",IF(Debt_Schedule!F23&gt;=1.25,"PASS","FAIL"))</f>
        <v>PASS</v>
      </c>
      <c r="G11" s="41" t="str">
        <f aca="false">IF(Debt_Schedule!G$21=0,"N/A",IF(Debt_Schedule!G23&gt;=1.25,"PASS","FAIL"))</f>
        <v>PASS</v>
      </c>
      <c r="H11" s="41" t="str">
        <f aca="false">IF(Debt_Schedule!H$21=0,"N/A",IF(Debt_Schedule!H23&gt;=1.25,"PASS","FAIL"))</f>
        <v>PASS</v>
      </c>
      <c r="I11" s="41" t="str">
        <f aca="false">IF(Debt_Schedule!I$21=0,"N/A",IF(Debt_Schedule!I23&gt;=1.25,"PASS","FAIL"))</f>
        <v>PASS</v>
      </c>
    </row>
    <row r="12" customFormat="false" ht="15" hidden="false" customHeight="false" outlineLevel="0" collapsed="false">
      <c r="A12" s="5"/>
      <c r="B12" s="7" t="s">
        <v>216</v>
      </c>
      <c r="C12" s="41" t="str">
        <f aca="false">IF(Income_Statement!C$12=0,"N/A",IF(AND(Income_Statement!C$24/Income_Statement!C$12&gt;=0.4,Income_Statement!C$24/Income_Statement!C$12&lt;=0.75),"PASS","WARN"))</f>
        <v>N/A</v>
      </c>
      <c r="D12" s="41" t="str">
        <f aca="false">IF(Income_Statement!D$12=0,"N/A",IF(AND(Income_Statement!D$24/Income_Statement!D$12&gt;=0.4,Income_Statement!D$24/Income_Statement!D$12&lt;=0.75),"PASS","WARN"))</f>
        <v>N/A</v>
      </c>
      <c r="E12" s="41" t="str">
        <f aca="false">IF(Income_Statement!E$12=0,"N/A",IF(AND(Income_Statement!E$24/Income_Statement!E$12&gt;=0.4,Income_Statement!E$24/Income_Statement!E$12&lt;=0.75),"PASS","WARN"))</f>
        <v>WARN</v>
      </c>
      <c r="F12" s="41" t="str">
        <f aca="false">IF(Income_Statement!F$12=0,"N/A",IF(AND(Income_Statement!F$24/Income_Statement!F$12&gt;=0.4,Income_Statement!F$24/Income_Statement!F$12&lt;=0.75),"PASS","WARN"))</f>
        <v>PASS</v>
      </c>
      <c r="G12" s="41" t="str">
        <f aca="false">IF(Income_Statement!G$12=0,"N/A",IF(AND(Income_Statement!G$24/Income_Statement!G$12&gt;=0.4,Income_Statement!G$24/Income_Statement!G$12&lt;=0.75),"PASS","WARN"))</f>
        <v>PASS</v>
      </c>
      <c r="H12" s="41" t="str">
        <f aca="false">IF(Income_Statement!H$12=0,"N/A",IF(AND(Income_Statement!H$24/Income_Statement!H$12&gt;=0.4,Income_Statement!H$24/Income_Statement!H$12&lt;=0.75),"PASS","WARN"))</f>
        <v>PASS</v>
      </c>
      <c r="I12" s="41" t="str">
        <f aca="false">IF(Income_Statement!I$12=0,"N/A",IF(AND(Income_Statement!I$24/Income_Statement!I$12&gt;=0.4,Income_Statement!I$24/Income_Statement!I$12&lt;=0.75),"PASS","WARN"))</f>
        <v>PASS</v>
      </c>
    </row>
    <row r="13" customFormat="false" ht="15" hidden="false" customHeight="false" outlineLevel="0" collapsed="false">
      <c r="A13" s="5"/>
      <c r="B13" s="7" t="s">
        <v>271</v>
      </c>
      <c r="C13" s="41" t="str">
        <f aca="false">IF(Cash_Flow!C$28&gt;=0,"PASS","FAIL")</f>
        <v>PASS</v>
      </c>
      <c r="D13" s="41" t="str">
        <f aca="false">IF(Cash_Flow!D$28&gt;=0,"PASS","FAIL")</f>
        <v>FAIL</v>
      </c>
      <c r="E13" s="41" t="str">
        <f aca="false">IF(Cash_Flow!E$28&gt;=0,"PASS","FAIL")</f>
        <v>FAIL</v>
      </c>
      <c r="F13" s="41" t="str">
        <f aca="false">IF(Cash_Flow!F$28&gt;=0,"PASS","FAIL")</f>
        <v>PASS</v>
      </c>
      <c r="G13" s="41" t="str">
        <f aca="false">IF(Cash_Flow!G$28&gt;=0,"PASS","FAIL")</f>
        <v>PASS</v>
      </c>
      <c r="H13" s="41" t="str">
        <f aca="false">IF(Cash_Flow!H$28&gt;=0,"PASS","FAIL")</f>
        <v>PASS</v>
      </c>
      <c r="I13" s="41" t="str">
        <f aca="false">IF(Cash_Flow!I$28&gt;=0,"PASS","FAIL")</f>
        <v>PASS</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39" t="s">
        <v>272</v>
      </c>
      <c r="C15" s="55" t="str">
        <f aca="false">IF(AND(C8="PASS",C9="PASS",C13="PASS"),"PASS","FAIL")</f>
        <v>PASS</v>
      </c>
      <c r="D15" s="55" t="str">
        <f aca="false">IF(AND(D8="PASS",D9="PASS",D13="PASS"),"PASS","FAIL")</f>
        <v>FAIL</v>
      </c>
      <c r="E15" s="55" t="str">
        <f aca="false">IF(AND(E8="PASS",E9="PASS",E13="PASS"),"PASS","FAIL")</f>
        <v>FAIL</v>
      </c>
      <c r="F15" s="55" t="str">
        <f aca="false">IF(AND(F8="PASS",F9="PASS",F13="PASS"),"PASS","FAIL")</f>
        <v>PASS</v>
      </c>
      <c r="G15" s="55" t="str">
        <f aca="false">IF(AND(G8="PASS",G9="PASS",G13="PASS"),"PASS","FAIL")</f>
        <v>PASS</v>
      </c>
      <c r="H15" s="55" t="str">
        <f aca="false">IF(AND(H8="PASS",H9="PASS",H13="PASS"),"PASS","FAIL")</f>
        <v>PASS</v>
      </c>
      <c r="I15" s="55" t="str">
        <f aca="false">IF(AND(I8="PASS",I9="PASS",I13="PASS"),"PASS","FAIL")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46</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47</v>
      </c>
    </row>
    <row r="6" customFormat="false" ht="48" hidden="false" customHeight="true" outlineLevel="0" collapsed="false">
      <c r="A6" s="5"/>
      <c r="B6" s="23" t="s">
        <v>48</v>
      </c>
    </row>
    <row r="7" customFormat="false" ht="15" hidden="false" customHeight="false" outlineLevel="0" collapsed="false">
      <c r="A7" s="5"/>
      <c r="B7" s="5"/>
    </row>
    <row r="8" customFormat="false" ht="19.5" hidden="false" customHeight="true" outlineLevel="0" collapsed="false">
      <c r="A8" s="5"/>
      <c r="B8" s="22" t="s">
        <v>49</v>
      </c>
    </row>
    <row r="9" customFormat="false" ht="61.5" hidden="false" customHeight="true" outlineLevel="0" collapsed="false">
      <c r="A9" s="5"/>
      <c r="B9" s="23" t="s">
        <v>50</v>
      </c>
    </row>
    <row r="10" customFormat="false" ht="15" hidden="false" customHeight="false" outlineLevel="0" collapsed="false">
      <c r="A10" s="5"/>
      <c r="B10" s="5"/>
    </row>
    <row r="11" customFormat="false" ht="19.5" hidden="false" customHeight="true" outlineLevel="0" collapsed="false">
      <c r="A11" s="5"/>
      <c r="B11" s="22" t="s">
        <v>51</v>
      </c>
    </row>
    <row r="12" customFormat="false" ht="75.75" hidden="false" customHeight="true" outlineLevel="0" collapsed="false">
      <c r="A12" s="5"/>
      <c r="B12" s="23" t="s">
        <v>52</v>
      </c>
    </row>
    <row r="13" customFormat="false" ht="15" hidden="false" customHeight="false" outlineLevel="0" collapsed="false">
      <c r="A13" s="5"/>
      <c r="B13" s="5"/>
    </row>
    <row r="14" customFormat="false" ht="19.5" hidden="false" customHeight="true" outlineLevel="0" collapsed="false">
      <c r="A14" s="5"/>
      <c r="B14" s="22" t="s">
        <v>53</v>
      </c>
    </row>
    <row r="15" customFormat="false" ht="61.5" hidden="false" customHeight="true" outlineLevel="0" collapsed="false">
      <c r="A15" s="5"/>
      <c r="B15" s="23" t="s">
        <v>54</v>
      </c>
    </row>
    <row r="16" customFormat="false" ht="15" hidden="false" customHeight="false" outlineLevel="0" collapsed="false">
      <c r="A16" s="5"/>
      <c r="B16" s="5"/>
    </row>
    <row r="17" customFormat="false" ht="19.5" hidden="false" customHeight="true" outlineLevel="0" collapsed="false">
      <c r="A17" s="5"/>
      <c r="B17" s="22" t="s">
        <v>55</v>
      </c>
    </row>
    <row r="18" customFormat="false" ht="33.75" hidden="false" customHeight="true" outlineLevel="0" collapsed="false">
      <c r="A18" s="5"/>
      <c r="B18" s="23" t="s">
        <v>56</v>
      </c>
    </row>
    <row r="19" customFormat="false" ht="15" hidden="false" customHeight="false" outlineLevel="0" collapsed="false">
      <c r="A19" s="5"/>
      <c r="B19" s="5"/>
    </row>
    <row r="20" customFormat="false" ht="19.5" hidden="false" customHeight="true" outlineLevel="0" collapsed="false">
      <c r="A20" s="5"/>
      <c r="B20" s="22" t="s">
        <v>57</v>
      </c>
    </row>
    <row r="21" customFormat="false" ht="33.75" hidden="false" customHeight="true" outlineLevel="0" collapsed="false">
      <c r="A21" s="5"/>
      <c r="B21" s="23" t="s">
        <v>58</v>
      </c>
    </row>
    <row r="22" customFormat="false" ht="15" hidden="false" customHeight="false" outlineLevel="0" collapsed="false">
      <c r="A22" s="5"/>
      <c r="B22" s="5"/>
    </row>
    <row r="23" customFormat="false" ht="21.75" hidden="false" customHeight="true" outlineLevel="0" collapsed="false">
      <c r="A23" s="5"/>
      <c r="B23" s="24" t="s">
        <v>59</v>
      </c>
    </row>
    <row r="24" customFormat="false" ht="15" hidden="false" customHeight="false" outlineLevel="0" collapsed="false">
      <c r="A24" s="5"/>
      <c r="B24" s="5"/>
    </row>
    <row r="25" customFormat="false" ht="18" hidden="false" customHeight="true" outlineLevel="0" collapsed="false">
      <c r="A25" s="5"/>
      <c r="B25" s="25" t="s">
        <v>60</v>
      </c>
    </row>
    <row r="26" customFormat="false" ht="201.75" hidden="false" customHeight="true" outlineLevel="0" collapsed="false">
      <c r="A26" s="5"/>
      <c r="B26" s="26" t="s">
        <v>61</v>
      </c>
    </row>
    <row r="27" customFormat="false" ht="15" hidden="false" customHeight="false" outlineLevel="0" collapsed="false">
      <c r="A27" s="5"/>
      <c r="B27" s="5"/>
    </row>
    <row r="28" customFormat="false" ht="18" hidden="false" customHeight="true" outlineLevel="0" collapsed="false">
      <c r="A28" s="5"/>
      <c r="B28" s="27" t="s">
        <v>62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29" t="s">
        <v>63</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64</v>
      </c>
      <c r="C5" s="31" t="s">
        <v>65</v>
      </c>
      <c r="D5" s="31" t="s">
        <v>66</v>
      </c>
      <c r="E5" s="31" t="s">
        <v>67</v>
      </c>
    </row>
    <row r="6" customFormat="false" ht="15" hidden="false" customHeight="false" outlineLevel="0" collapsed="false">
      <c r="A6" s="5"/>
      <c r="B6" s="32" t="s">
        <v>68</v>
      </c>
      <c r="C6" s="16"/>
      <c r="D6" s="16"/>
      <c r="E6" s="16"/>
    </row>
    <row r="7" customFormat="false" ht="15" hidden="false" customHeight="false" outlineLevel="0" collapsed="false">
      <c r="A7" s="5"/>
      <c r="B7" s="7" t="s">
        <v>69</v>
      </c>
      <c r="C7" s="33" t="n">
        <v>20</v>
      </c>
      <c r="D7" s="34" t="s">
        <v>70</v>
      </c>
      <c r="E7" s="8" t="s">
        <v>71</v>
      </c>
    </row>
    <row r="8" customFormat="false" ht="15" hidden="false" customHeight="false" outlineLevel="0" collapsed="false">
      <c r="A8" s="5"/>
      <c r="B8" s="7" t="s">
        <v>72</v>
      </c>
      <c r="C8" s="33" t="n">
        <v>2</v>
      </c>
      <c r="D8" s="34" t="s">
        <v>73</v>
      </c>
      <c r="E8" s="8" t="s">
        <v>74</v>
      </c>
    </row>
    <row r="9" customFormat="false" ht="15" hidden="false" customHeight="false" outlineLevel="0" collapsed="false">
      <c r="A9" s="5"/>
      <c r="B9" s="7" t="s">
        <v>75</v>
      </c>
      <c r="C9" s="33" t="n">
        <v>3000000</v>
      </c>
      <c r="D9" s="34" t="s">
        <v>76</v>
      </c>
      <c r="E9" s="8" t="s">
        <v>77</v>
      </c>
    </row>
    <row r="10" customFormat="false" ht="15" hidden="false" customHeight="false" outlineLevel="0" collapsed="false">
      <c r="A10" s="5"/>
      <c r="B10" s="7" t="s">
        <v>78</v>
      </c>
      <c r="C10" s="33" t="n">
        <v>6000000</v>
      </c>
      <c r="D10" s="34" t="s">
        <v>76</v>
      </c>
      <c r="E10" s="8" t="s">
        <v>79</v>
      </c>
    </row>
    <row r="11" customFormat="false" ht="15" hidden="false" customHeight="false" outlineLevel="0" collapsed="false">
      <c r="A11" s="5"/>
      <c r="B11" s="7" t="s">
        <v>80</v>
      </c>
      <c r="C11" s="35" t="n">
        <v>0.5</v>
      </c>
      <c r="D11" s="34" t="s">
        <v>81</v>
      </c>
      <c r="E11" s="8" t="s">
        <v>82</v>
      </c>
    </row>
    <row r="12" customFormat="false" ht="15" hidden="false" customHeight="false" outlineLevel="0" collapsed="false">
      <c r="A12" s="5"/>
      <c r="B12" s="32" t="s">
        <v>83</v>
      </c>
      <c r="C12" s="16"/>
      <c r="D12" s="16"/>
      <c r="E12" s="16"/>
    </row>
    <row r="13" customFormat="false" ht="15" hidden="false" customHeight="false" outlineLevel="0" collapsed="false">
      <c r="A13" s="5"/>
      <c r="B13" s="7" t="s">
        <v>84</v>
      </c>
      <c r="C13" s="35" t="n">
        <v>0.9</v>
      </c>
      <c r="D13" s="34" t="s">
        <v>81</v>
      </c>
      <c r="E13" s="8" t="s">
        <v>85</v>
      </c>
    </row>
    <row r="14" customFormat="false" ht="15" hidden="false" customHeight="false" outlineLevel="0" collapsed="false">
      <c r="A14" s="5"/>
      <c r="B14" s="7" t="s">
        <v>86</v>
      </c>
      <c r="C14" s="33" t="n">
        <v>24</v>
      </c>
      <c r="D14" s="34" t="s">
        <v>87</v>
      </c>
      <c r="E14" s="8" t="s">
        <v>88</v>
      </c>
    </row>
    <row r="15" customFormat="false" ht="15" hidden="false" customHeight="false" outlineLevel="0" collapsed="false">
      <c r="A15" s="5"/>
      <c r="B15" s="7" t="s">
        <v>89</v>
      </c>
      <c r="C15" s="33" t="n">
        <v>135</v>
      </c>
      <c r="D15" s="34" t="s">
        <v>90</v>
      </c>
      <c r="E15" s="8" t="s">
        <v>91</v>
      </c>
    </row>
    <row r="16" customFormat="false" ht="15" hidden="false" customHeight="false" outlineLevel="0" collapsed="false">
      <c r="A16" s="5"/>
      <c r="B16" s="7" t="s">
        <v>92</v>
      </c>
      <c r="C16" s="35" t="n">
        <v>0.025</v>
      </c>
      <c r="D16" s="34" t="s">
        <v>93</v>
      </c>
      <c r="E16" s="8" t="s">
        <v>94</v>
      </c>
    </row>
    <row r="17" customFormat="false" ht="15" hidden="false" customHeight="false" outlineLevel="0" collapsed="false">
      <c r="A17" s="5"/>
      <c r="B17" s="7" t="s">
        <v>95</v>
      </c>
      <c r="C17" s="36" t="n">
        <v>1.35</v>
      </c>
      <c r="D17" s="34" t="s">
        <v>96</v>
      </c>
      <c r="E17" s="8" t="s">
        <v>97</v>
      </c>
    </row>
    <row r="18" customFormat="false" ht="15" hidden="false" customHeight="false" outlineLevel="0" collapsed="false">
      <c r="A18" s="5"/>
      <c r="B18" s="7" t="s">
        <v>98</v>
      </c>
      <c r="C18" s="35" t="n">
        <v>0.1</v>
      </c>
      <c r="D18" s="34" t="s">
        <v>99</v>
      </c>
      <c r="E18" s="8" t="s">
        <v>100</v>
      </c>
    </row>
    <row r="19" customFormat="false" ht="15" hidden="false" customHeight="false" outlineLevel="0" collapsed="false">
      <c r="A19" s="5"/>
      <c r="B19" s="7" t="s">
        <v>101</v>
      </c>
      <c r="C19" s="35" t="n">
        <v>0</v>
      </c>
      <c r="D19" s="34" t="s">
        <v>81</v>
      </c>
      <c r="E19" s="8" t="s">
        <v>102</v>
      </c>
    </row>
    <row r="20" customFormat="false" ht="15" hidden="false" customHeight="false" outlineLevel="0" collapsed="false">
      <c r="A20" s="5"/>
      <c r="B20" s="7" t="s">
        <v>103</v>
      </c>
      <c r="C20" s="33" t="n">
        <v>50</v>
      </c>
      <c r="D20" s="34" t="s">
        <v>104</v>
      </c>
      <c r="E20" s="8" t="s">
        <v>105</v>
      </c>
    </row>
    <row r="21" customFormat="false" ht="15" hidden="false" customHeight="false" outlineLevel="0" collapsed="false">
      <c r="A21" s="5"/>
      <c r="B21" s="7" t="s">
        <v>106</v>
      </c>
      <c r="C21" s="33" t="n">
        <v>250</v>
      </c>
      <c r="D21" s="34" t="s">
        <v>107</v>
      </c>
      <c r="E21" s="8" t="s">
        <v>108</v>
      </c>
    </row>
    <row r="22" customFormat="false" ht="15" hidden="false" customHeight="false" outlineLevel="0" collapsed="false">
      <c r="A22" s="5"/>
      <c r="B22" s="32" t="s">
        <v>109</v>
      </c>
      <c r="C22" s="16"/>
      <c r="D22" s="16"/>
      <c r="E22" s="16"/>
    </row>
    <row r="23" customFormat="false" ht="15" hidden="false" customHeight="false" outlineLevel="0" collapsed="false">
      <c r="A23" s="5"/>
      <c r="B23" s="7" t="s">
        <v>110</v>
      </c>
      <c r="C23" s="33" t="n">
        <v>150000</v>
      </c>
      <c r="D23" s="34" t="s">
        <v>111</v>
      </c>
      <c r="E23" s="8" t="s">
        <v>112</v>
      </c>
    </row>
    <row r="24" customFormat="false" ht="15" hidden="false" customHeight="false" outlineLevel="0" collapsed="false">
      <c r="A24" s="5"/>
      <c r="B24" s="7" t="s">
        <v>113</v>
      </c>
      <c r="C24" s="35" t="n">
        <v>0.015</v>
      </c>
      <c r="D24" s="34" t="s">
        <v>114</v>
      </c>
      <c r="E24" s="8" t="s">
        <v>115</v>
      </c>
    </row>
    <row r="25" customFormat="false" ht="15" hidden="false" customHeight="false" outlineLevel="0" collapsed="false">
      <c r="A25" s="5"/>
      <c r="B25" s="7" t="s">
        <v>116</v>
      </c>
      <c r="C25" s="35" t="n">
        <v>0.05</v>
      </c>
      <c r="D25" s="34" t="s">
        <v>117</v>
      </c>
      <c r="E25" s="8" t="s">
        <v>118</v>
      </c>
    </row>
    <row r="26" customFormat="false" ht="15" hidden="false" customHeight="false" outlineLevel="0" collapsed="false">
      <c r="A26" s="5"/>
      <c r="B26" s="7" t="s">
        <v>119</v>
      </c>
      <c r="C26" s="35" t="n">
        <v>0.025</v>
      </c>
      <c r="D26" s="34" t="s">
        <v>117</v>
      </c>
      <c r="E26" s="8" t="s">
        <v>120</v>
      </c>
    </row>
    <row r="27" customFormat="false" ht="15" hidden="false" customHeight="false" outlineLevel="0" collapsed="false">
      <c r="A27" s="5"/>
      <c r="B27" s="32" t="s">
        <v>17</v>
      </c>
      <c r="C27" s="16"/>
      <c r="D27" s="16"/>
      <c r="E27" s="16"/>
    </row>
    <row r="28" customFormat="false" ht="15" hidden="false" customHeight="false" outlineLevel="0" collapsed="false">
      <c r="A28" s="5"/>
      <c r="B28" s="7" t="s">
        <v>121</v>
      </c>
      <c r="C28" s="35" t="n">
        <v>0.6</v>
      </c>
      <c r="D28" s="34" t="s">
        <v>81</v>
      </c>
      <c r="E28" s="8" t="s">
        <v>122</v>
      </c>
    </row>
    <row r="29" customFormat="false" ht="15" hidden="false" customHeight="false" outlineLevel="0" collapsed="false">
      <c r="A29" s="5"/>
      <c r="B29" s="7" t="s">
        <v>123</v>
      </c>
      <c r="C29" s="35" t="n">
        <v>0.065</v>
      </c>
      <c r="D29" s="34" t="s">
        <v>81</v>
      </c>
      <c r="E29" s="8" t="s">
        <v>124</v>
      </c>
    </row>
    <row r="30" customFormat="false" ht="15" hidden="false" customHeight="false" outlineLevel="0" collapsed="false">
      <c r="A30" s="5"/>
      <c r="B30" s="7" t="s">
        <v>125</v>
      </c>
      <c r="C30" s="33" t="n">
        <v>25</v>
      </c>
      <c r="D30" s="34" t="s">
        <v>73</v>
      </c>
      <c r="E30" s="8" t="s">
        <v>126</v>
      </c>
    </row>
    <row r="31" customFormat="false" ht="15" hidden="false" customHeight="false" outlineLevel="0" collapsed="false">
      <c r="A31" s="5"/>
      <c r="B31" s="7" t="s">
        <v>127</v>
      </c>
      <c r="C31" s="35" t="n">
        <v>0.07</v>
      </c>
      <c r="D31" s="34" t="s">
        <v>81</v>
      </c>
      <c r="E31" s="8" t="s">
        <v>128</v>
      </c>
    </row>
    <row r="32" customFormat="false" ht="15" hidden="false" customHeight="false" outlineLevel="0" collapsed="false">
      <c r="A32" s="5"/>
      <c r="B32" s="32" t="s">
        <v>129</v>
      </c>
      <c r="C32" s="16"/>
      <c r="D32" s="16"/>
      <c r="E32" s="16"/>
    </row>
    <row r="33" customFormat="false" ht="15" hidden="false" customHeight="false" outlineLevel="0" collapsed="false">
      <c r="A33" s="5"/>
      <c r="B33" s="7" t="s">
        <v>130</v>
      </c>
      <c r="C33" s="35" t="n">
        <v>0.25</v>
      </c>
      <c r="D33" s="34" t="s">
        <v>81</v>
      </c>
      <c r="E33" s="8" t="s">
        <v>131</v>
      </c>
    </row>
    <row r="34" customFormat="false" ht="15" hidden="false" customHeight="false" outlineLevel="0" collapsed="false">
      <c r="A34" s="5"/>
      <c r="B34" s="7" t="s">
        <v>132</v>
      </c>
      <c r="C34" s="35" t="n">
        <v>0.06</v>
      </c>
      <c r="D34" s="34" t="s">
        <v>81</v>
      </c>
      <c r="E34" s="8" t="s">
        <v>133</v>
      </c>
    </row>
    <row r="35" customFormat="false" ht="15" hidden="false" customHeight="false" outlineLevel="0" collapsed="false">
      <c r="A35" s="5"/>
      <c r="B35" s="7" t="s">
        <v>134</v>
      </c>
      <c r="C35" s="35" t="n">
        <v>0.085</v>
      </c>
      <c r="D35" s="34" t="s">
        <v>81</v>
      </c>
      <c r="E35" s="8" t="s">
        <v>135</v>
      </c>
    </row>
    <row r="36" customFormat="false" ht="15" hidden="false" customHeight="false" outlineLevel="0" collapsed="false">
      <c r="A36" s="5"/>
      <c r="B36" s="7" t="s">
        <v>136</v>
      </c>
      <c r="C36" s="33" t="n">
        <v>35</v>
      </c>
      <c r="D36" s="34" t="s">
        <v>73</v>
      </c>
      <c r="E36" s="8" t="s">
        <v>137</v>
      </c>
    </row>
    <row r="37" customFormat="false" ht="15" hidden="false" customHeight="false" outlineLevel="0" collapsed="false">
      <c r="A37" s="5"/>
      <c r="B37" s="7" t="s">
        <v>138</v>
      </c>
      <c r="C37" s="33" t="n">
        <v>12</v>
      </c>
      <c r="D37" s="34" t="s">
        <v>73</v>
      </c>
      <c r="E37" s="8" t="s">
        <v>139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140</v>
      </c>
      <c r="C2" s="5"/>
      <c r="D2" s="5"/>
      <c r="E2" s="5"/>
      <c r="F2" s="5"/>
      <c r="G2" s="5"/>
      <c r="H2" s="5"/>
      <c r="I2" s="5"/>
    </row>
    <row r="3" customFormat="false" ht="15" hidden="false" customHeight="false" outlineLevel="0" collapsed="false">
      <c r="A3" s="5"/>
      <c r="B3" s="29" t="s">
        <v>9</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34" t="s">
        <v>141</v>
      </c>
      <c r="D6" s="34" t="s">
        <v>142</v>
      </c>
      <c r="E6" s="34" t="s">
        <v>143</v>
      </c>
      <c r="F6" s="34" t="s">
        <v>144</v>
      </c>
      <c r="G6" s="34" t="s">
        <v>145</v>
      </c>
      <c r="H6" s="34" t="s">
        <v>146</v>
      </c>
      <c r="I6" s="34" t="s">
        <v>147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148</v>
      </c>
      <c r="C8" s="16"/>
      <c r="D8" s="16"/>
      <c r="E8" s="16"/>
      <c r="F8" s="16"/>
      <c r="G8" s="16"/>
      <c r="H8" s="16"/>
      <c r="I8" s="16"/>
    </row>
    <row r="9" customFormat="false" ht="15" hidden="false" customHeight="false" outlineLevel="0" collapsed="false">
      <c r="A9" s="5"/>
      <c r="B9" s="37" t="s">
        <v>149</v>
      </c>
      <c r="C9" s="38" t="n">
        <f aca="false">IF(C5&lt;2025+Construction_Yrs,Shell_Cost_Per_MW*Facility_Capacity_MW*Phase1_Pct/2,0)</f>
        <v>15000000</v>
      </c>
      <c r="D9" s="38" t="n">
        <f aca="false">IF(D5&lt;2025+Construction_Yrs,Shell_Cost_Per_MW*Facility_Capacity_MW*Phase1_Pct/2,0)</f>
        <v>15000000</v>
      </c>
      <c r="E9" s="38" t="n">
        <f aca="false">IF(E5&lt;2025+Construction_Yrs,Shell_Cost_Per_MW*Facility_Capacity_MW*Phase1_Pct/2,0)</f>
        <v>0</v>
      </c>
      <c r="F9" s="38" t="n">
        <f aca="false">IF(F5&lt;2025+Construction_Yrs,Shell_Cost_Per_MW*Facility_Capacity_MW*Phase1_Pct/2,0)</f>
        <v>0</v>
      </c>
      <c r="G9" s="38" t="n">
        <f aca="false">IF(G5&lt;2025+Construction_Yrs,Shell_Cost_Per_MW*Facility_Capacity_MW*Phase1_Pct/2,0)</f>
        <v>0</v>
      </c>
      <c r="H9" s="38" t="n">
        <f aca="false">IF(H5&lt;2025+Construction_Yrs,Shell_Cost_Per_MW*Facility_Capacity_MW*Phase1_Pct/2,0)</f>
        <v>0</v>
      </c>
      <c r="I9" s="38" t="n">
        <f aca="false">IF(I5&lt;2025+Construction_Yrs,Shell_Cost_Per_MW*Facility_Capacity_MW*Phase1_Pct/2,0)</f>
        <v>0</v>
      </c>
    </row>
    <row r="10" customFormat="false" ht="15" hidden="false" customHeight="false" outlineLevel="0" collapsed="false">
      <c r="A10" s="5"/>
      <c r="B10" s="37" t="s">
        <v>150</v>
      </c>
      <c r="C10" s="38" t="n">
        <f aca="false">IF(C5=2025+Construction_Yrs-1,MEP_Cost_Per_MW*Facility_Capacity_MW*Phase1_Pct,0)</f>
        <v>0</v>
      </c>
      <c r="D10" s="38" t="n">
        <f aca="false">IF(D5=2025+Construction_Yrs-1,MEP_Cost_Per_MW*Facility_Capacity_MW*Phase1_Pct,0)</f>
        <v>60000000</v>
      </c>
      <c r="E10" s="38" t="n">
        <f aca="false">IF(E5=2025+Construction_Yrs-1,MEP_Cost_Per_MW*Facility_Capacity_MW*Phase1_Pct,0)</f>
        <v>0</v>
      </c>
      <c r="F10" s="38" t="n">
        <f aca="false">IF(F5=2025+Construction_Yrs-1,MEP_Cost_Per_MW*Facility_Capacity_MW*Phase1_Pct,0)</f>
        <v>0</v>
      </c>
      <c r="G10" s="38" t="n">
        <f aca="false">IF(G5=2025+Construction_Yrs-1,MEP_Cost_Per_MW*Facility_Capacity_MW*Phase1_Pct,0)</f>
        <v>0</v>
      </c>
      <c r="H10" s="38" t="n">
        <f aca="false">IF(H5=2025+Construction_Yrs-1,MEP_Cost_Per_MW*Facility_Capacity_MW*Phase1_Pct,0)</f>
        <v>0</v>
      </c>
      <c r="I10" s="38" t="n">
        <f aca="false">IF(I5=2025+Construction_Yrs-1,MEP_Cost_Per_MW*Facility_Capacity_MW*Phase1_Pct,0)</f>
        <v>0</v>
      </c>
    </row>
    <row r="11" customFormat="false" ht="15" hidden="false" customHeight="false" outlineLevel="0" collapsed="false">
      <c r="A11" s="5"/>
      <c r="B11" s="39" t="s">
        <v>151</v>
      </c>
      <c r="C11" s="40" t="n">
        <f aca="false">C9+C10</f>
        <v>15000000</v>
      </c>
      <c r="D11" s="40" t="n">
        <f aca="false">D9+D10</f>
        <v>75000000</v>
      </c>
      <c r="E11" s="40" t="n">
        <f aca="false">E9+E10</f>
        <v>0</v>
      </c>
      <c r="F11" s="40" t="n">
        <f aca="false">F9+F10</f>
        <v>0</v>
      </c>
      <c r="G11" s="40" t="n">
        <f aca="false">G9+G10</f>
        <v>0</v>
      </c>
      <c r="H11" s="40" t="n">
        <f aca="false">H9+H10</f>
        <v>0</v>
      </c>
      <c r="I11" s="40" t="n">
        <f aca="false">I9+I10</f>
        <v>0</v>
      </c>
    </row>
    <row r="12" customFormat="false" ht="15" hidden="false" customHeight="false" outlineLevel="0" collapsed="false">
      <c r="A12" s="5"/>
      <c r="B12" s="7" t="s">
        <v>152</v>
      </c>
      <c r="C12" s="38" t="n">
        <f aca="false">C11</f>
        <v>15000000</v>
      </c>
      <c r="D12" s="38" t="n">
        <f aca="false">C12+D11</f>
        <v>90000000</v>
      </c>
      <c r="E12" s="38" t="n">
        <f aca="false">D12+E11</f>
        <v>90000000</v>
      </c>
      <c r="F12" s="38" t="n">
        <f aca="false">E12+F11</f>
        <v>90000000</v>
      </c>
      <c r="G12" s="38" t="n">
        <f aca="false">F12+G11</f>
        <v>90000000</v>
      </c>
      <c r="H12" s="38" t="n">
        <f aca="false">G12+H11</f>
        <v>90000000</v>
      </c>
      <c r="I12" s="38" t="n">
        <f aca="false">H12+I11</f>
        <v>90000000</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7" t="s">
        <v>153</v>
      </c>
      <c r="C14" s="41" t="str">
        <f aca="false">IF(C5&lt;2025+Construction_Yrs,"Construction","Operations")</f>
        <v>Construction</v>
      </c>
      <c r="D14" s="41" t="str">
        <f aca="false">IF(D5&lt;2025+Construction_Yrs,"Construction","Operations")</f>
        <v>Construction</v>
      </c>
      <c r="E14" s="41" t="str">
        <f aca="false">IF(E5&lt;2025+Construction_Yrs,"Construction","Operations")</f>
        <v>Operations</v>
      </c>
      <c r="F14" s="41" t="str">
        <f aca="false">IF(F5&lt;2025+Construction_Yrs,"Construction","Operations")</f>
        <v>Operations</v>
      </c>
      <c r="G14" s="41" t="str">
        <f aca="false">IF(G5&lt;2025+Construction_Yrs,"Construction","Operations")</f>
        <v>Operations</v>
      </c>
      <c r="H14" s="41" t="str">
        <f aca="false">IF(H5&lt;2025+Construction_Yrs,"Construction","Operations")</f>
        <v>Operations</v>
      </c>
      <c r="I14" s="41" t="str">
        <f aca="false">IF(I5&lt;2025+Construction_Yrs,"Construction","Operations")</f>
        <v>Operations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154</v>
      </c>
      <c r="C2" s="5"/>
      <c r="D2" s="5"/>
      <c r="E2" s="5"/>
      <c r="F2" s="5"/>
      <c r="G2" s="5"/>
      <c r="H2" s="5"/>
      <c r="I2" s="5"/>
    </row>
    <row r="3" customFormat="false" ht="15" hidden="false" customHeight="false" outlineLevel="0" collapsed="false">
      <c r="A3" s="5"/>
      <c r="B3" s="29" t="s">
        <v>155</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34" t="n">
        <v>1</v>
      </c>
      <c r="D6" s="34" t="n">
        <v>2</v>
      </c>
      <c r="E6" s="34" t="n">
        <v>3</v>
      </c>
      <c r="F6" s="34" t="n">
        <v>4</v>
      </c>
      <c r="G6" s="34" t="n">
        <v>5</v>
      </c>
      <c r="H6" s="34" t="n">
        <v>6</v>
      </c>
      <c r="I6" s="34" t="n">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156</v>
      </c>
      <c r="C8" s="16"/>
      <c r="D8" s="16"/>
      <c r="E8" s="16"/>
      <c r="F8" s="16"/>
      <c r="G8" s="16"/>
      <c r="H8" s="16"/>
      <c r="I8" s="16"/>
    </row>
    <row r="9" customFormat="false" ht="15" hidden="false" customHeight="false" outlineLevel="0" collapsed="false">
      <c r="A9" s="5"/>
      <c r="B9" s="37" t="s">
        <v>157</v>
      </c>
      <c r="C9" s="42" t="n">
        <f aca="false">IF(C5&gt;=2025+Construction_Yrs,Facility_Capacity_MW*Phase1_Pct,0)</f>
        <v>0</v>
      </c>
      <c r="D9" s="42" t="n">
        <f aca="false">IF(D5&gt;=2025+Construction_Yrs,Facility_Capacity_MW*Phase1_Pct,0)</f>
        <v>0</v>
      </c>
      <c r="E9" s="42" t="n">
        <f aca="false">IF(E5&gt;=2025+Construction_Yrs,Facility_Capacity_MW*Phase1_Pct,0)</f>
        <v>10</v>
      </c>
      <c r="F9" s="42" t="n">
        <f aca="false">IF(F5&gt;=2025+Construction_Yrs,Facility_Capacity_MW*Phase1_Pct,0)</f>
        <v>10</v>
      </c>
      <c r="G9" s="42" t="n">
        <f aca="false">IF(G5&gt;=2025+Construction_Yrs,Facility_Capacity_MW*Phase1_Pct,0)</f>
        <v>10</v>
      </c>
      <c r="H9" s="42" t="n">
        <f aca="false">IF(H5&gt;=2025+Construction_Yrs,Facility_Capacity_MW*Phase1_Pct,0)</f>
        <v>10</v>
      </c>
      <c r="I9" s="42" t="n">
        <f aca="false">IF(I5&gt;=2025+Construction_Yrs,Facility_Capacity_MW*Phase1_Pct,0)</f>
        <v>10</v>
      </c>
    </row>
    <row r="10" customFormat="false" ht="15" hidden="false" customHeight="false" outlineLevel="0" collapsed="false">
      <c r="A10" s="5"/>
      <c r="B10" s="37" t="s">
        <v>158</v>
      </c>
      <c r="C10" s="43" t="n">
        <f aca="false">C9*1000</f>
        <v>0</v>
      </c>
      <c r="D10" s="43" t="n">
        <f aca="false">D9*1000</f>
        <v>0</v>
      </c>
      <c r="E10" s="43" t="n">
        <f aca="false">E9*1000</f>
        <v>10000</v>
      </c>
      <c r="F10" s="43" t="n">
        <f aca="false">F9*1000</f>
        <v>10000</v>
      </c>
      <c r="G10" s="43" t="n">
        <f aca="false">G9*1000</f>
        <v>10000</v>
      </c>
      <c r="H10" s="43" t="n">
        <f aca="false">H9*1000</f>
        <v>10000</v>
      </c>
      <c r="I10" s="43" t="n">
        <f aca="false">I9*1000</f>
        <v>10000</v>
      </c>
    </row>
    <row r="11" customFormat="false" ht="15" hidden="false" customHeight="false" outlineLevel="0" collapsed="false">
      <c r="A11" s="5"/>
      <c r="B11" s="5"/>
      <c r="C11" s="5"/>
      <c r="D11" s="5"/>
      <c r="E11" s="5"/>
      <c r="F11" s="5"/>
      <c r="G11" s="5"/>
      <c r="H11" s="5"/>
      <c r="I11" s="5"/>
    </row>
    <row r="12" customFormat="false" ht="15" hidden="false" customHeight="false" outlineLevel="0" collapsed="false">
      <c r="A12" s="5"/>
      <c r="B12" s="32" t="s">
        <v>159</v>
      </c>
      <c r="C12" s="16"/>
      <c r="D12" s="16"/>
      <c r="E12" s="16"/>
      <c r="F12" s="16"/>
      <c r="G12" s="16"/>
      <c r="H12" s="16"/>
      <c r="I12" s="16"/>
    </row>
    <row r="13" customFormat="false" ht="15" hidden="false" customHeight="false" outlineLevel="0" collapsed="false">
      <c r="A13" s="5"/>
      <c r="B13" s="37" t="s">
        <v>160</v>
      </c>
      <c r="C13" s="44" t="n">
        <f aca="false">IF(C5&lt;2025+Construction_Yrs,0,MIN(Stabilised_Occupancy,Stabilised_Occupancy*(C5-2025+1-Construction_Yrs)/(Leaseup_Months/12)))</f>
        <v>0</v>
      </c>
      <c r="D13" s="44" t="n">
        <f aca="false">IF(D5&lt;2025+Construction_Yrs,0,MIN(Stabilised_Occupancy,Stabilised_Occupancy*(D5-2025+1-Construction_Yrs)/(Leaseup_Months/12)))</f>
        <v>0</v>
      </c>
      <c r="E13" s="44" t="n">
        <f aca="false">IF(E5&lt;2025+Construction_Yrs,0,MIN(Stabilised_Occupancy,Stabilised_Occupancy*(E5-2025+1-Construction_Yrs)/(Leaseup_Months/12)))</f>
        <v>0.45</v>
      </c>
      <c r="F13" s="44" t="n">
        <f aca="false">IF(F5&lt;2025+Construction_Yrs,0,MIN(Stabilised_Occupancy,Stabilised_Occupancy*(F5-2025+1-Construction_Yrs)/(Leaseup_Months/12)))</f>
        <v>0.9</v>
      </c>
      <c r="G13" s="44" t="n">
        <f aca="false">IF(G5&lt;2025+Construction_Yrs,0,MIN(Stabilised_Occupancy,Stabilised_Occupancy*(G5-2025+1-Construction_Yrs)/(Leaseup_Months/12)))</f>
        <v>0.9</v>
      </c>
      <c r="H13" s="44" t="n">
        <f aca="false">IF(H5&lt;2025+Construction_Yrs,0,MIN(Stabilised_Occupancy,Stabilised_Occupancy*(H5-2025+1-Construction_Yrs)/(Leaseup_Months/12)))</f>
        <v>0.9</v>
      </c>
      <c r="I13" s="44" t="n">
        <f aca="false">IF(I5&lt;2025+Construction_Yrs,0,MIN(Stabilised_Occupancy,Stabilised_Occupancy*(I5-2025+1-Construction_Yrs)/(Leaseup_Months/12)))</f>
        <v>0.9</v>
      </c>
    </row>
    <row r="14" customFormat="false" ht="15" hidden="false" customHeight="false" outlineLevel="0" collapsed="false">
      <c r="A14" s="5"/>
      <c r="B14" s="45" t="s">
        <v>161</v>
      </c>
      <c r="C14" s="46" t="n">
        <f aca="false">C10*C13</f>
        <v>0</v>
      </c>
      <c r="D14" s="46" t="n">
        <f aca="false">D10*D13</f>
        <v>0</v>
      </c>
      <c r="E14" s="46" t="n">
        <f aca="false">E10*E13</f>
        <v>4500</v>
      </c>
      <c r="F14" s="46" t="n">
        <f aca="false">F10*F13</f>
        <v>9000</v>
      </c>
      <c r="G14" s="46" t="n">
        <f aca="false">G10*G13</f>
        <v>9000</v>
      </c>
      <c r="H14" s="46" t="n">
        <f aca="false">H10*H13</f>
        <v>9000</v>
      </c>
      <c r="I14" s="46" t="n">
        <f aca="false">I10*I13</f>
        <v>9000</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2" t="s">
        <v>162</v>
      </c>
      <c r="C16" s="16"/>
      <c r="D16" s="16"/>
      <c r="E16" s="16"/>
      <c r="F16" s="16"/>
      <c r="G16" s="16"/>
      <c r="H16" s="16"/>
      <c r="I16" s="16"/>
    </row>
    <row r="17" customFormat="false" ht="15" hidden="false" customHeight="false" outlineLevel="0" collapsed="false">
      <c r="A17" s="5"/>
      <c r="B17" s="37" t="s">
        <v>163</v>
      </c>
      <c r="C17" s="43" t="n">
        <f aca="false">8760</f>
        <v>8760</v>
      </c>
      <c r="D17" s="43" t="n">
        <f aca="false">8760</f>
        <v>8760</v>
      </c>
      <c r="E17" s="43" t="n">
        <f aca="false">8760</f>
        <v>8760</v>
      </c>
      <c r="F17" s="43" t="n">
        <f aca="false">8760</f>
        <v>8760</v>
      </c>
      <c r="G17" s="43" t="n">
        <f aca="false">8760</f>
        <v>8760</v>
      </c>
      <c r="H17" s="43" t="n">
        <f aca="false">8760</f>
        <v>8760</v>
      </c>
      <c r="I17" s="43" t="n">
        <f aca="false">8760</f>
        <v>8760</v>
      </c>
    </row>
    <row r="18" customFormat="false" ht="15" hidden="false" customHeight="false" outlineLevel="0" collapsed="false">
      <c r="A18" s="5"/>
      <c r="B18" s="37" t="s">
        <v>164</v>
      </c>
      <c r="C18" s="43" t="n">
        <f aca="false">C14*C17</f>
        <v>0</v>
      </c>
      <c r="D18" s="43" t="n">
        <f aca="false">D14*D17</f>
        <v>0</v>
      </c>
      <c r="E18" s="43" t="n">
        <f aca="false">E14*E17</f>
        <v>39420000</v>
      </c>
      <c r="F18" s="43" t="n">
        <f aca="false">F14*F17</f>
        <v>78840000</v>
      </c>
      <c r="G18" s="43" t="n">
        <f aca="false">G14*G17</f>
        <v>78840000</v>
      </c>
      <c r="H18" s="43" t="n">
        <f aca="false">H14*H17</f>
        <v>78840000</v>
      </c>
      <c r="I18" s="43" t="n">
        <f aca="false">I14*I17</f>
        <v>78840000</v>
      </c>
    </row>
    <row r="19" customFormat="false" ht="15" hidden="false" customHeight="false" outlineLevel="0" collapsed="false">
      <c r="A19" s="5"/>
      <c r="B19" s="45" t="s">
        <v>165</v>
      </c>
      <c r="C19" s="46" t="n">
        <f aca="false">C18*PUE_Ratio</f>
        <v>0</v>
      </c>
      <c r="D19" s="46" t="n">
        <f aca="false">D18*PUE_Ratio</f>
        <v>0</v>
      </c>
      <c r="E19" s="46" t="n">
        <f aca="false">E18*PUE_Ratio</f>
        <v>53217000</v>
      </c>
      <c r="F19" s="46" t="n">
        <f aca="false">F18*PUE_Ratio</f>
        <v>106434000</v>
      </c>
      <c r="G19" s="46" t="n">
        <f aca="false">G18*PUE_Ratio</f>
        <v>106434000</v>
      </c>
      <c r="H19" s="46" t="n">
        <f aca="false">H18*PUE_Ratio</f>
        <v>106434000</v>
      </c>
      <c r="I19" s="46" t="n">
        <f aca="false">I18*PUE_Ratio</f>
        <v>106434000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166</v>
      </c>
      <c r="C2" s="5"/>
      <c r="D2" s="5"/>
      <c r="E2" s="5"/>
      <c r="F2" s="5"/>
      <c r="G2" s="5"/>
      <c r="H2" s="5"/>
      <c r="I2" s="5"/>
    </row>
    <row r="3" customFormat="false" ht="15" hidden="false" customHeight="false" outlineLevel="0" collapsed="false">
      <c r="A3" s="5"/>
      <c r="B3" s="29" t="s">
        <v>167</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168</v>
      </c>
      <c r="C8" s="16"/>
      <c r="D8" s="16"/>
      <c r="E8" s="16"/>
      <c r="F8" s="16"/>
      <c r="G8" s="16"/>
      <c r="H8" s="16"/>
      <c r="I8" s="16"/>
    </row>
    <row r="9" customFormat="false" ht="15" hidden="false" customHeight="false" outlineLevel="0" collapsed="false">
      <c r="A9" s="5"/>
      <c r="B9" s="37" t="s">
        <v>169</v>
      </c>
      <c r="C9" s="38" t="n">
        <f aca="false">IF(C5&lt;2025+Construction_Yrs,0,Rent_Per_KW*(1+Rent_Escalator)^(C5-2025-Construction_Yrs))</f>
        <v>0</v>
      </c>
      <c r="D9" s="38" t="n">
        <f aca="false">IF(D5&lt;2025+Construction_Yrs,0,Rent_Per_KW*(1+Rent_Escalator)^(D5-2025-Construction_Yrs))</f>
        <v>0</v>
      </c>
      <c r="E9" s="38" t="n">
        <f aca="false">IF(E5&lt;2025+Construction_Yrs,0,Rent_Per_KW*(1+Rent_Escalator)^(E5-2025-Construction_Yrs))</f>
        <v>135</v>
      </c>
      <c r="F9" s="38" t="n">
        <f aca="false">IF(F5&lt;2025+Construction_Yrs,0,Rent_Per_KW*(1+Rent_Escalator)^(F5-2025-Construction_Yrs))</f>
        <v>138.375</v>
      </c>
      <c r="G9" s="38" t="n">
        <f aca="false">IF(G5&lt;2025+Construction_Yrs,0,Rent_Per_KW*(1+Rent_Escalator)^(G5-2025-Construction_Yrs))</f>
        <v>141.834375</v>
      </c>
      <c r="H9" s="38" t="n">
        <f aca="false">IF(H5&lt;2025+Construction_Yrs,0,Rent_Per_KW*(1+Rent_Escalator)^(H5-2025-Construction_Yrs))</f>
        <v>145.380234375</v>
      </c>
      <c r="I9" s="38" t="n">
        <f aca="false">IF(I5&lt;2025+Construction_Yrs,0,Rent_Per_KW*(1+Rent_Escalator)^(I5-2025-Construction_Yrs))</f>
        <v>149.014740234375</v>
      </c>
    </row>
    <row r="10" customFormat="false" ht="15" hidden="false" customHeight="false" outlineLevel="0" collapsed="false">
      <c r="A10" s="5"/>
      <c r="B10" s="45" t="s">
        <v>168</v>
      </c>
      <c r="C10" s="47" t="n">
        <f aca="false">Capacity_Ramp!C$14*C9*12</f>
        <v>0</v>
      </c>
      <c r="D10" s="47" t="n">
        <f aca="false">Capacity_Ramp!D$14*D9*12</f>
        <v>0</v>
      </c>
      <c r="E10" s="47" t="n">
        <f aca="false">Capacity_Ramp!E$14*E9*12</f>
        <v>7290000</v>
      </c>
      <c r="F10" s="47" t="n">
        <f aca="false">Capacity_Ramp!F$14*F9*12</f>
        <v>14944500</v>
      </c>
      <c r="G10" s="47" t="n">
        <f aca="false">Capacity_Ramp!G$14*G9*12</f>
        <v>15318112.5</v>
      </c>
      <c r="H10" s="47" t="n">
        <f aca="false">Capacity_Ramp!H$14*H9*12</f>
        <v>15701065.3125</v>
      </c>
      <c r="I10" s="47" t="n">
        <f aca="false">Capacity_Ramp!I$14*I9*12</f>
        <v>16093591.9453125</v>
      </c>
    </row>
    <row r="11" customFormat="false" ht="15" hidden="false" customHeight="false" outlineLevel="0" collapsed="false">
      <c r="A11" s="5"/>
      <c r="B11" s="5"/>
      <c r="C11" s="5"/>
      <c r="D11" s="5"/>
      <c r="E11" s="5"/>
      <c r="F11" s="5"/>
      <c r="G11" s="5"/>
      <c r="H11" s="5"/>
      <c r="I11" s="5"/>
    </row>
    <row r="12" customFormat="false" ht="15" hidden="false" customHeight="false" outlineLevel="0" collapsed="false">
      <c r="A12" s="5"/>
      <c r="B12" s="32" t="s">
        <v>170</v>
      </c>
      <c r="C12" s="16"/>
      <c r="D12" s="16"/>
      <c r="E12" s="16"/>
      <c r="F12" s="16"/>
      <c r="G12" s="16"/>
      <c r="H12" s="16"/>
      <c r="I12" s="16"/>
    </row>
    <row r="13" customFormat="false" ht="15" hidden="false" customHeight="false" outlineLevel="0" collapsed="false">
      <c r="A13" s="5"/>
      <c r="B13" s="37" t="s">
        <v>171</v>
      </c>
      <c r="C13" s="38" t="n">
        <f aca="false">Capacity_Ramp!C$19*Electricity_Rate</f>
        <v>0</v>
      </c>
      <c r="D13" s="38" t="n">
        <f aca="false">Capacity_Ramp!D$19*Electricity_Rate</f>
        <v>0</v>
      </c>
      <c r="E13" s="38" t="n">
        <f aca="false">Capacity_Ramp!E$19*Electricity_Rate</f>
        <v>5321700</v>
      </c>
      <c r="F13" s="38" t="n">
        <f aca="false">Capacity_Ramp!F$19*Electricity_Rate</f>
        <v>10643400</v>
      </c>
      <c r="G13" s="38" t="n">
        <f aca="false">Capacity_Ramp!G$19*Electricity_Rate</f>
        <v>10643400</v>
      </c>
      <c r="H13" s="38" t="n">
        <f aca="false">Capacity_Ramp!H$19*Electricity_Rate</f>
        <v>10643400</v>
      </c>
      <c r="I13" s="38" t="n">
        <f aca="false">Capacity_Ramp!I$19*Electricity_Rate</f>
        <v>10643400</v>
      </c>
    </row>
    <row r="14" customFormat="false" ht="15" hidden="false" customHeight="false" outlineLevel="0" collapsed="false">
      <c r="A14" s="5"/>
      <c r="B14" s="45" t="s">
        <v>172</v>
      </c>
      <c r="C14" s="47" t="n">
        <f aca="false">C13*(1+Power_Markup)</f>
        <v>0</v>
      </c>
      <c r="D14" s="47" t="n">
        <f aca="false">D13*(1+Power_Markup)</f>
        <v>0</v>
      </c>
      <c r="E14" s="47" t="n">
        <f aca="false">E13*(1+Power_Markup)</f>
        <v>5321700</v>
      </c>
      <c r="F14" s="47" t="n">
        <f aca="false">F13*(1+Power_Markup)</f>
        <v>10643400</v>
      </c>
      <c r="G14" s="47" t="n">
        <f aca="false">G13*(1+Power_Markup)</f>
        <v>10643400</v>
      </c>
      <c r="H14" s="47" t="n">
        <f aca="false">H13*(1+Power_Markup)</f>
        <v>10643400</v>
      </c>
      <c r="I14" s="47" t="n">
        <f aca="false">I13*(1+Power_Markup)</f>
        <v>10643400</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2" t="s">
        <v>173</v>
      </c>
      <c r="C16" s="16"/>
      <c r="D16" s="16"/>
      <c r="E16" s="16"/>
      <c r="F16" s="16"/>
      <c r="G16" s="16"/>
      <c r="H16" s="16"/>
      <c r="I16" s="16"/>
    </row>
    <row r="17" customFormat="false" ht="15" hidden="false" customHeight="false" outlineLevel="0" collapsed="false">
      <c r="A17" s="5"/>
      <c r="B17" s="37" t="s">
        <v>174</v>
      </c>
      <c r="C17" s="43" t="n">
        <f aca="false">XC_Per_MW*Capacity_Ramp!C$9*Capacity_Ramp!C$13</f>
        <v>0</v>
      </c>
      <c r="D17" s="43" t="n">
        <f aca="false">XC_Per_MW*Capacity_Ramp!D$9*Capacity_Ramp!D$13</f>
        <v>0</v>
      </c>
      <c r="E17" s="43" t="n">
        <f aca="false">XC_Per_MW*Capacity_Ramp!E$9*Capacity_Ramp!E$13</f>
        <v>225</v>
      </c>
      <c r="F17" s="43" t="n">
        <f aca="false">XC_Per_MW*Capacity_Ramp!F$9*Capacity_Ramp!F$13</f>
        <v>450</v>
      </c>
      <c r="G17" s="43" t="n">
        <f aca="false">XC_Per_MW*Capacity_Ramp!G$9*Capacity_Ramp!G$13</f>
        <v>450</v>
      </c>
      <c r="H17" s="43" t="n">
        <f aca="false">XC_Per_MW*Capacity_Ramp!H$9*Capacity_Ramp!H$13</f>
        <v>450</v>
      </c>
      <c r="I17" s="43" t="n">
        <f aca="false">XC_Per_MW*Capacity_Ramp!I$9*Capacity_Ramp!I$13</f>
        <v>450</v>
      </c>
    </row>
    <row r="18" customFormat="false" ht="15" hidden="false" customHeight="false" outlineLevel="0" collapsed="false">
      <c r="A18" s="5"/>
      <c r="B18" s="45" t="s">
        <v>175</v>
      </c>
      <c r="C18" s="47" t="n">
        <f aca="false">C17*XC_Fee*12</f>
        <v>0</v>
      </c>
      <c r="D18" s="47" t="n">
        <f aca="false">D17*XC_Fee*12</f>
        <v>0</v>
      </c>
      <c r="E18" s="47" t="n">
        <f aca="false">E17*XC_Fee*12</f>
        <v>675000</v>
      </c>
      <c r="F18" s="47" t="n">
        <f aca="false">F17*XC_Fee*12</f>
        <v>1350000</v>
      </c>
      <c r="G18" s="47" t="n">
        <f aca="false">G17*XC_Fee*12</f>
        <v>1350000</v>
      </c>
      <c r="H18" s="47" t="n">
        <f aca="false">H17*XC_Fee*12</f>
        <v>1350000</v>
      </c>
      <c r="I18" s="47" t="n">
        <f aca="false">I17*XC_Fee*12</f>
        <v>1350000</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39" t="s">
        <v>176</v>
      </c>
      <c r="C20" s="40" t="n">
        <f aca="false">C10+C14+C18</f>
        <v>0</v>
      </c>
      <c r="D20" s="40" t="n">
        <f aca="false">D10+D14+D18</f>
        <v>0</v>
      </c>
      <c r="E20" s="40" t="n">
        <f aca="false">E10+E14+E18</f>
        <v>13286700</v>
      </c>
      <c r="F20" s="40" t="n">
        <f aca="false">F10+F14+F18</f>
        <v>26937900</v>
      </c>
      <c r="G20" s="40" t="n">
        <f aca="false">G10+G14+G18</f>
        <v>27311512.5</v>
      </c>
      <c r="H20" s="40" t="n">
        <f aca="false">H10+H14+H18</f>
        <v>27694465.3125</v>
      </c>
      <c r="I20" s="40" t="n">
        <f aca="false">I10+I14+I18</f>
        <v>28086991.9453125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109</v>
      </c>
      <c r="C2" s="5"/>
      <c r="D2" s="5"/>
      <c r="E2" s="5"/>
      <c r="F2" s="5"/>
      <c r="G2" s="5"/>
      <c r="H2" s="5"/>
      <c r="I2" s="5"/>
    </row>
    <row r="3" customFormat="false" ht="15" hidden="false" customHeight="false" outlineLevel="0" collapsed="false">
      <c r="A3" s="5"/>
      <c r="B3" s="29" t="s">
        <v>177</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178</v>
      </c>
      <c r="C8" s="16"/>
      <c r="D8" s="16"/>
      <c r="E8" s="16"/>
      <c r="F8" s="16"/>
      <c r="G8" s="16"/>
      <c r="H8" s="16"/>
      <c r="I8" s="16"/>
    </row>
    <row r="9" customFormat="false" ht="15" hidden="false" customHeight="false" outlineLevel="0" collapsed="false">
      <c r="A9" s="5"/>
      <c r="B9" s="37" t="s">
        <v>179</v>
      </c>
      <c r="C9" s="38" t="n">
        <f aca="false">Capacity_Ramp!C$19*Electricity_Rate</f>
        <v>0</v>
      </c>
      <c r="D9" s="38" t="n">
        <f aca="false">Capacity_Ramp!D$19*Electricity_Rate</f>
        <v>0</v>
      </c>
      <c r="E9" s="38" t="n">
        <f aca="false">Capacity_Ramp!E$19*Electricity_Rate</f>
        <v>5321700</v>
      </c>
      <c r="F9" s="38" t="n">
        <f aca="false">Capacity_Ramp!F$19*Electricity_Rate</f>
        <v>10643400</v>
      </c>
      <c r="G9" s="38" t="n">
        <f aca="false">Capacity_Ramp!G$19*Electricity_Rate</f>
        <v>10643400</v>
      </c>
      <c r="H9" s="38" t="n">
        <f aca="false">Capacity_Ramp!H$19*Electricity_Rate</f>
        <v>10643400</v>
      </c>
      <c r="I9" s="38" t="n">
        <f aca="false">Capacity_Ramp!I$19*Electricity_Rate</f>
        <v>10643400</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32" t="s">
        <v>180</v>
      </c>
      <c r="C11" s="16"/>
      <c r="D11" s="16"/>
      <c r="E11" s="16"/>
      <c r="F11" s="16"/>
      <c r="G11" s="16"/>
      <c r="H11" s="16"/>
      <c r="I11" s="16"/>
    </row>
    <row r="12" customFormat="false" ht="15" hidden="false" customHeight="false" outlineLevel="0" collapsed="false">
      <c r="A12" s="5"/>
      <c r="B12" s="37" t="s">
        <v>181</v>
      </c>
      <c r="C12" s="38" t="n">
        <f aca="false">Facility_Opex_MW*Capacity_Ramp!C$9</f>
        <v>0</v>
      </c>
      <c r="D12" s="38" t="n">
        <f aca="false">Facility_Opex_MW*Capacity_Ramp!D$9</f>
        <v>0</v>
      </c>
      <c r="E12" s="38" t="n">
        <f aca="false">Facility_Opex_MW*Capacity_Ramp!E$9</f>
        <v>1500000</v>
      </c>
      <c r="F12" s="38" t="n">
        <f aca="false">Facility_Opex_MW*Capacity_Ramp!F$9</f>
        <v>1500000</v>
      </c>
      <c r="G12" s="38" t="n">
        <f aca="false">Facility_Opex_MW*Capacity_Ramp!G$9</f>
        <v>1500000</v>
      </c>
      <c r="H12" s="38" t="n">
        <f aca="false">Facility_Opex_MW*Capacity_Ramp!H$9</f>
        <v>1500000</v>
      </c>
      <c r="I12" s="38" t="n">
        <f aca="false">Facility_Opex_MW*Capacity_Ramp!I$9</f>
        <v>1500000</v>
      </c>
    </row>
    <row r="13" customFormat="false" ht="15" hidden="false" customHeight="false" outlineLevel="0" collapsed="false">
      <c r="A13" s="5"/>
      <c r="B13" s="37" t="s">
        <v>182</v>
      </c>
      <c r="C13" s="38" t="n">
        <f aca="false">Prop_Tax_Ins_Pct*Construction_Capex!C$12</f>
        <v>225000</v>
      </c>
      <c r="D13" s="38" t="n">
        <f aca="false">Prop_Tax_Ins_Pct*Construction_Capex!D$12</f>
        <v>1350000</v>
      </c>
      <c r="E13" s="38" t="n">
        <f aca="false">Prop_Tax_Ins_Pct*Construction_Capex!E$12</f>
        <v>1350000</v>
      </c>
      <c r="F13" s="38" t="n">
        <f aca="false">Prop_Tax_Ins_Pct*Construction_Capex!F$12</f>
        <v>1350000</v>
      </c>
      <c r="G13" s="38" t="n">
        <f aca="false">Prop_Tax_Ins_Pct*Construction_Capex!G$12</f>
        <v>1350000</v>
      </c>
      <c r="H13" s="38" t="n">
        <f aca="false">Prop_Tax_Ins_Pct*Construction_Capex!H$12</f>
        <v>1350000</v>
      </c>
      <c r="I13" s="38" t="n">
        <f aca="false">Prop_Tax_Ins_Pct*Construction_Capex!I$12</f>
        <v>1350000</v>
      </c>
    </row>
    <row r="14" customFormat="false" ht="15" hidden="false" customHeight="false" outlineLevel="0" collapsed="false">
      <c r="A14" s="5"/>
      <c r="B14" s="37" t="s">
        <v>116</v>
      </c>
      <c r="C14" s="38" t="n">
        <f aca="false">SGA_Pct*Revenue!C$20</f>
        <v>0</v>
      </c>
      <c r="D14" s="38" t="n">
        <f aca="false">SGA_Pct*Revenue!D$20</f>
        <v>0</v>
      </c>
      <c r="E14" s="38" t="n">
        <f aca="false">SGA_Pct*Revenue!E$20</f>
        <v>664335</v>
      </c>
      <c r="F14" s="38" t="n">
        <f aca="false">SGA_Pct*Revenue!F$20</f>
        <v>1346895</v>
      </c>
      <c r="G14" s="38" t="n">
        <f aca="false">SGA_Pct*Revenue!G$20</f>
        <v>1365575.625</v>
      </c>
      <c r="H14" s="38" t="n">
        <f aca="false">SGA_Pct*Revenue!H$20</f>
        <v>1384723.265625</v>
      </c>
      <c r="I14" s="38" t="n">
        <f aca="false">SGA_Pct*Revenue!I$20</f>
        <v>1404349.59726562</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9" t="s">
        <v>183</v>
      </c>
      <c r="C16" s="40" t="n">
        <f aca="false">C9+C12+C13+C14</f>
        <v>225000</v>
      </c>
      <c r="D16" s="40" t="n">
        <f aca="false">D9+D12+D13+D14</f>
        <v>1350000</v>
      </c>
      <c r="E16" s="40" t="n">
        <f aca="false">E9+E12+E13+E14</f>
        <v>8836035</v>
      </c>
      <c r="F16" s="40" t="n">
        <f aca="false">F9+F12+F13+F14</f>
        <v>14840295</v>
      </c>
      <c r="G16" s="40" t="n">
        <f aca="false">G9+G12+G13+G14</f>
        <v>14858975.625</v>
      </c>
      <c r="H16" s="40" t="n">
        <f aca="false">H9+H12+H13+H14</f>
        <v>14878123.265625</v>
      </c>
      <c r="I16" s="40" t="n">
        <f aca="false">I9+I12+I13+I14</f>
        <v>14897749.5972656</v>
      </c>
    </row>
    <row r="17" customFormat="false" ht="15" hidden="false" customHeight="false" outlineLevel="0" collapsed="false">
      <c r="A17" s="5"/>
      <c r="B17" s="5"/>
      <c r="C17" s="5"/>
      <c r="D17" s="5"/>
      <c r="E17" s="5"/>
      <c r="F17" s="5"/>
      <c r="G17" s="5"/>
      <c r="H17" s="5"/>
      <c r="I17" s="5"/>
    </row>
    <row r="18" customFormat="false" ht="15" hidden="false" customHeight="false" outlineLevel="0" collapsed="false">
      <c r="A18" s="5"/>
      <c r="B18" s="32" t="s">
        <v>119</v>
      </c>
      <c r="C18" s="16"/>
      <c r="D18" s="16"/>
      <c r="E18" s="16"/>
      <c r="F18" s="16"/>
      <c r="G18" s="16"/>
      <c r="H18" s="16"/>
      <c r="I18" s="16"/>
    </row>
    <row r="19" customFormat="false" ht="15" hidden="false" customHeight="false" outlineLevel="0" collapsed="false">
      <c r="A19" s="5"/>
      <c r="B19" s="37" t="s">
        <v>119</v>
      </c>
      <c r="C19" s="38" t="n">
        <f aca="false">Maint_Capex_Pct*Revenue!C$20</f>
        <v>0</v>
      </c>
      <c r="D19" s="38" t="n">
        <f aca="false">Maint_Capex_Pct*Revenue!D$20</f>
        <v>0</v>
      </c>
      <c r="E19" s="38" t="n">
        <f aca="false">Maint_Capex_Pct*Revenue!E$20</f>
        <v>332167.5</v>
      </c>
      <c r="F19" s="38" t="n">
        <f aca="false">Maint_Capex_Pct*Revenue!F$20</f>
        <v>673447.5</v>
      </c>
      <c r="G19" s="38" t="n">
        <f aca="false">Maint_Capex_Pct*Revenue!G$20</f>
        <v>682787.8125</v>
      </c>
      <c r="H19" s="38" t="n">
        <f aca="false">Maint_Capex_Pct*Revenue!H$20</f>
        <v>692361.6328125</v>
      </c>
      <c r="I19" s="38" t="n">
        <f aca="false">Maint_Capex_Pct*Revenue!I$20</f>
        <v>702174.798632812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184</v>
      </c>
      <c r="C2" s="5"/>
      <c r="D2" s="5"/>
      <c r="E2" s="5"/>
      <c r="F2" s="5"/>
      <c r="G2" s="5"/>
      <c r="H2" s="5"/>
      <c r="I2" s="5"/>
    </row>
    <row r="3" customFormat="false" ht="15" hidden="false" customHeight="false" outlineLevel="0" collapsed="false">
      <c r="A3" s="5"/>
      <c r="B3" s="29" t="s">
        <v>185</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186</v>
      </c>
      <c r="C8" s="16"/>
      <c r="D8" s="16"/>
      <c r="E8" s="16"/>
      <c r="F8" s="16"/>
      <c r="G8" s="16"/>
      <c r="H8" s="16"/>
      <c r="I8" s="16"/>
    </row>
    <row r="9" customFormat="false" ht="15" hidden="false" customHeight="false" outlineLevel="0" collapsed="false">
      <c r="A9" s="5"/>
      <c r="B9" s="37" t="s">
        <v>187</v>
      </c>
      <c r="C9" s="38" t="n">
        <f aca="false">IF(C5&lt;2025+Construction_Yrs,Debt_LTC*Construction_Capex!C$11,0)</f>
        <v>9000000</v>
      </c>
      <c r="D9" s="38" t="n">
        <f aca="false">IF(D5&lt;2025+Construction_Yrs,Debt_LTC*Construction_Capex!D$11,0)</f>
        <v>45000000</v>
      </c>
      <c r="E9" s="38" t="n">
        <f aca="false">IF(E5&lt;2025+Construction_Yrs,Debt_LTC*Construction_Capex!E$11,0)</f>
        <v>0</v>
      </c>
      <c r="F9" s="38" t="n">
        <f aca="false">IF(F5&lt;2025+Construction_Yrs,Debt_LTC*Construction_Capex!F$11,0)</f>
        <v>0</v>
      </c>
      <c r="G9" s="38" t="n">
        <f aca="false">IF(G5&lt;2025+Construction_Yrs,Debt_LTC*Construction_Capex!G$11,0)</f>
        <v>0</v>
      </c>
      <c r="H9" s="38" t="n">
        <f aca="false">IF(H5&lt;2025+Construction_Yrs,Debt_LTC*Construction_Capex!H$11,0)</f>
        <v>0</v>
      </c>
      <c r="I9" s="38" t="n">
        <f aca="false">IF(I5&lt;2025+Construction_Yrs,Debt_LTC*Construction_Capex!I$11,0)</f>
        <v>0</v>
      </c>
    </row>
    <row r="10" customFormat="false" ht="15" hidden="false" customHeight="false" outlineLevel="0" collapsed="false">
      <c r="A10" s="5"/>
      <c r="B10" s="37" t="s">
        <v>188</v>
      </c>
      <c r="C10" s="38" t="n">
        <f aca="false">C9/2*Const_Int_Rate</f>
        <v>315000</v>
      </c>
      <c r="D10" s="38" t="n">
        <f aca="false">IF(D5&lt;2025+Construction_Yrs,C17*Const_Int_Rate,0)</f>
        <v>652050</v>
      </c>
      <c r="E10" s="38" t="n">
        <f aca="false">IF(E5&lt;2025+Construction_Yrs,D17*Const_Int_Rate,0)</f>
        <v>0</v>
      </c>
      <c r="F10" s="38" t="n">
        <f aca="false">IF(F5&lt;2025+Construction_Yrs,E17*Const_Int_Rate,0)</f>
        <v>0</v>
      </c>
      <c r="G10" s="38" t="n">
        <f aca="false">IF(G5&lt;2025+Construction_Yrs,F17*Const_Int_Rate,0)</f>
        <v>0</v>
      </c>
      <c r="H10" s="38" t="n">
        <f aca="false">IF(H5&lt;2025+Construction_Yrs,G17*Const_Int_Rate,0)</f>
        <v>0</v>
      </c>
      <c r="I10" s="38" t="n">
        <f aca="false">IF(I5&lt;2025+Construction_Yrs,H17*Const_Int_Rate,0)</f>
        <v>0</v>
      </c>
    </row>
    <row r="11" customFormat="false" ht="15" hidden="false" customHeight="false" outlineLevel="0" collapsed="false">
      <c r="A11" s="5"/>
      <c r="B11" s="37" t="s">
        <v>189</v>
      </c>
      <c r="C11" s="38" t="n">
        <f aca="false">IF(C5&lt;2025+Construction_Yrs,C10,0)</f>
        <v>315000</v>
      </c>
      <c r="D11" s="38" t="n">
        <f aca="false">IF(D5&lt;2025+Construction_Yrs,D10,0)</f>
        <v>652050</v>
      </c>
      <c r="E11" s="38" t="n">
        <f aca="false">IF(E5&lt;2025+Construction_Yrs,E10,0)</f>
        <v>0</v>
      </c>
      <c r="F11" s="38" t="n">
        <f aca="false">IF(F5&lt;2025+Construction_Yrs,F10,0)</f>
        <v>0</v>
      </c>
      <c r="G11" s="38" t="n">
        <f aca="false">IF(G5&lt;2025+Construction_Yrs,G10,0)</f>
        <v>0</v>
      </c>
      <c r="H11" s="38" t="n">
        <f aca="false">IF(H5&lt;2025+Construction_Yrs,H10,0)</f>
        <v>0</v>
      </c>
      <c r="I11" s="38" t="n">
        <f aca="false">IF(I5&lt;2025+Construction_Yrs,I10,0)</f>
        <v>0</v>
      </c>
    </row>
    <row r="12" customFormat="false" ht="15" hidden="false" customHeight="false" outlineLevel="0" collapsed="false">
      <c r="A12" s="5"/>
      <c r="B12" s="5"/>
      <c r="C12" s="5"/>
      <c r="D12" s="5"/>
      <c r="E12" s="5"/>
      <c r="F12" s="5"/>
      <c r="G12" s="5"/>
      <c r="H12" s="5"/>
      <c r="I12" s="5"/>
    </row>
    <row r="13" customFormat="false" ht="15" hidden="false" customHeight="false" outlineLevel="0" collapsed="false">
      <c r="A13" s="5"/>
      <c r="B13" s="32" t="s">
        <v>190</v>
      </c>
      <c r="C13" s="16"/>
      <c r="D13" s="16"/>
      <c r="E13" s="16"/>
      <c r="F13" s="16"/>
      <c r="G13" s="16"/>
      <c r="H13" s="16"/>
      <c r="I13" s="16"/>
    </row>
    <row r="14" customFormat="false" ht="15" hidden="false" customHeight="false" outlineLevel="0" collapsed="false">
      <c r="A14" s="5"/>
      <c r="B14" s="37" t="s">
        <v>191</v>
      </c>
      <c r="C14" s="38" t="n">
        <f aca="false">0</f>
        <v>0</v>
      </c>
      <c r="D14" s="38" t="n">
        <f aca="false">C17</f>
        <v>9315000</v>
      </c>
      <c r="E14" s="38" t="n">
        <f aca="false">D17</f>
        <v>54967050</v>
      </c>
      <c r="F14" s="38" t="n">
        <f aca="false">E17</f>
        <v>54033628.0801825</v>
      </c>
      <c r="G14" s="38" t="n">
        <f aca="false">F17</f>
        <v>53116057.0470398</v>
      </c>
      <c r="H14" s="38" t="n">
        <f aca="false">G17</f>
        <v>52214067.7290397</v>
      </c>
      <c r="I14" s="38" t="n">
        <f aca="false">H17</f>
        <v>51327395.5255811</v>
      </c>
    </row>
    <row r="15" customFormat="false" ht="15" hidden="false" customHeight="false" outlineLevel="0" collapsed="false">
      <c r="A15" s="5"/>
      <c r="B15" s="37" t="s">
        <v>192</v>
      </c>
      <c r="C15" s="38" t="n">
        <f aca="false">C9+C11</f>
        <v>9315000</v>
      </c>
      <c r="D15" s="38" t="n">
        <f aca="false">D9+D11</f>
        <v>45652050</v>
      </c>
      <c r="E15" s="38" t="n">
        <f aca="false">E9+E11</f>
        <v>0</v>
      </c>
      <c r="F15" s="38" t="n">
        <f aca="false">F9+F11</f>
        <v>0</v>
      </c>
      <c r="G15" s="38" t="n">
        <f aca="false">G9+G11</f>
        <v>0</v>
      </c>
      <c r="H15" s="38" t="n">
        <f aca="false">H9+H11</f>
        <v>0</v>
      </c>
      <c r="I15" s="38" t="n">
        <f aca="false">I9+I11</f>
        <v>0</v>
      </c>
    </row>
    <row r="16" customFormat="false" ht="15" hidden="false" customHeight="false" outlineLevel="0" collapsed="false">
      <c r="A16" s="5"/>
      <c r="B16" s="37" t="s">
        <v>193</v>
      </c>
      <c r="C16" s="38" t="n">
        <f aca="false">IF(C5&lt;2025+Construction_Yrs,0,-PPMT(Interest_Rate,1,Amort_Term,C14))</f>
        <v>0</v>
      </c>
      <c r="D16" s="38" t="n">
        <f aca="false">IF(D5&lt;2025+Construction_Yrs,0,-PPMT(Interest_Rate,1,Amort_Term,D14))</f>
        <v>0</v>
      </c>
      <c r="E16" s="38" t="n">
        <f aca="false">IF(E5&lt;2025+Construction_Yrs,0,-PPMT(Interest_Rate,1,Amort_Term,E14))</f>
        <v>933421.919817454</v>
      </c>
      <c r="F16" s="38" t="n">
        <f aca="false">IF(F5&lt;2025+Construction_Yrs,0,-PPMT(Interest_Rate,1,Amort_Term,F14))</f>
        <v>917571.033142698</v>
      </c>
      <c r="G16" s="38" t="n">
        <f aca="false">IF(G5&lt;2025+Construction_Yrs,0,-PPMT(Interest_Rate,1,Amort_Term,G14))</f>
        <v>901989.318000172</v>
      </c>
      <c r="H16" s="38" t="n">
        <f aca="false">IF(H5&lt;2025+Construction_Yrs,0,-PPMT(Interest_Rate,1,Amort_Term,H14))</f>
        <v>886672.203458596</v>
      </c>
      <c r="I16" s="38" t="n">
        <f aca="false">IF(I5&lt;2025+Construction_Yrs,0,-PPMT(Interest_Rate,1,Amort_Term,I14))</f>
        <v>871615.196207868</v>
      </c>
    </row>
    <row r="17" customFormat="false" ht="15" hidden="false" customHeight="false" outlineLevel="0" collapsed="false">
      <c r="A17" s="5"/>
      <c r="B17" s="45" t="s">
        <v>194</v>
      </c>
      <c r="C17" s="47" t="n">
        <f aca="false">C14+C15-C16</f>
        <v>9315000</v>
      </c>
      <c r="D17" s="47" t="n">
        <f aca="false">D14+D15-D16</f>
        <v>54967050</v>
      </c>
      <c r="E17" s="47" t="n">
        <f aca="false">E14+E15-E16</f>
        <v>54033628.0801825</v>
      </c>
      <c r="F17" s="47" t="n">
        <f aca="false">F14+F15-F16</f>
        <v>53116057.0470398</v>
      </c>
      <c r="G17" s="47" t="n">
        <f aca="false">G14+G15-G16</f>
        <v>52214067.7290397</v>
      </c>
      <c r="H17" s="47" t="n">
        <f aca="false">H14+H15-H16</f>
        <v>51327395.5255811</v>
      </c>
      <c r="I17" s="47" t="n">
        <f aca="false">I14+I15-I16</f>
        <v>50455780.3293732</v>
      </c>
    </row>
    <row r="18" customFormat="false" ht="15" hidden="false" customHeight="false" outlineLevel="0" collapsed="false">
      <c r="A18" s="5"/>
      <c r="B18" s="5"/>
      <c r="C18" s="5"/>
      <c r="D18" s="5"/>
      <c r="E18" s="5"/>
      <c r="F18" s="5"/>
      <c r="G18" s="5"/>
      <c r="H18" s="5"/>
      <c r="I18" s="5"/>
    </row>
    <row r="19" customFormat="false" ht="15" hidden="false" customHeight="false" outlineLevel="0" collapsed="false">
      <c r="A19" s="5"/>
      <c r="B19" s="32" t="s">
        <v>195</v>
      </c>
      <c r="C19" s="16"/>
      <c r="D19" s="16"/>
      <c r="E19" s="16"/>
      <c r="F19" s="16"/>
      <c r="G19" s="16"/>
      <c r="H19" s="16"/>
      <c r="I19" s="16"/>
    </row>
    <row r="20" customFormat="false" ht="15" hidden="false" customHeight="false" outlineLevel="0" collapsed="false">
      <c r="A20" s="5"/>
      <c r="B20" s="37" t="s">
        <v>196</v>
      </c>
      <c r="C20" s="38" t="n">
        <f aca="false">IF(C5&lt;2025+Construction_Yrs,0,C14*Interest_Rate)</f>
        <v>0</v>
      </c>
      <c r="D20" s="38" t="n">
        <f aca="false">IF(D5&lt;2025+Construction_Yrs,0,D14*Interest_Rate)</f>
        <v>0</v>
      </c>
      <c r="E20" s="38" t="n">
        <f aca="false">IF(E5&lt;2025+Construction_Yrs,0,E14*Interest_Rate)</f>
        <v>3572858.25</v>
      </c>
      <c r="F20" s="38" t="n">
        <f aca="false">IF(F5&lt;2025+Construction_Yrs,0,F14*Interest_Rate)</f>
        <v>3512185.82521187</v>
      </c>
      <c r="G20" s="38" t="n">
        <f aca="false">IF(G5&lt;2025+Construction_Yrs,0,G14*Interest_Rate)</f>
        <v>3452543.70805759</v>
      </c>
      <c r="H20" s="38" t="n">
        <f aca="false">IF(H5&lt;2025+Construction_Yrs,0,H14*Interest_Rate)</f>
        <v>3393914.40238758</v>
      </c>
      <c r="I20" s="38" t="n">
        <f aca="false">IF(I5&lt;2025+Construction_Yrs,0,I14*Interest_Rate)</f>
        <v>3336280.70916277</v>
      </c>
    </row>
    <row r="21" customFormat="false" ht="15" hidden="false" customHeight="false" outlineLevel="0" collapsed="false">
      <c r="A21" s="5"/>
      <c r="B21" s="45" t="s">
        <v>197</v>
      </c>
      <c r="C21" s="47" t="n">
        <f aca="false">C20+C16</f>
        <v>0</v>
      </c>
      <c r="D21" s="47" t="n">
        <f aca="false">D20+D16</f>
        <v>0</v>
      </c>
      <c r="E21" s="47" t="n">
        <f aca="false">E20+E16</f>
        <v>4506280.16981745</v>
      </c>
      <c r="F21" s="47" t="n">
        <f aca="false">F20+F16</f>
        <v>4429756.85835456</v>
      </c>
      <c r="G21" s="47" t="n">
        <f aca="false">G20+G16</f>
        <v>4354533.02605776</v>
      </c>
      <c r="H21" s="47" t="n">
        <f aca="false">H20+H16</f>
        <v>4280586.60584617</v>
      </c>
      <c r="I21" s="47" t="n">
        <f aca="false">I20+I16</f>
        <v>4207895.90537064</v>
      </c>
    </row>
    <row r="22" customFormat="false" ht="15" hidden="false" customHeight="false" outlineLevel="0" collapsed="false">
      <c r="A22" s="5"/>
      <c r="B22" s="5"/>
      <c r="C22" s="5"/>
      <c r="D22" s="5"/>
      <c r="E22" s="5"/>
      <c r="F22" s="5"/>
      <c r="G22" s="5"/>
      <c r="H22" s="5"/>
      <c r="I22" s="5"/>
    </row>
    <row r="23" customFormat="false" ht="15" hidden="false" customHeight="false" outlineLevel="0" collapsed="false">
      <c r="A23" s="5"/>
      <c r="B23" s="48" t="s">
        <v>198</v>
      </c>
      <c r="C23" s="49" t="n">
        <f aca="false">IF(C21=0,0,(Revenue!C$20-Operating_Costs!C$16)/C21)</f>
        <v>0</v>
      </c>
      <c r="D23" s="49" t="n">
        <f aca="false">IF(D21=0,0,(Revenue!D$20-Operating_Costs!D$16)/D21)</f>
        <v>0</v>
      </c>
      <c r="E23" s="49" t="n">
        <f aca="false">IF(E21=0,0,(Revenue!E$20-Operating_Costs!E$16)/E21)</f>
        <v>0.987658297371309</v>
      </c>
      <c r="F23" s="49" t="n">
        <f aca="false">IF(F21=0,0,(Revenue!F$20-Operating_Costs!F$16)/F21)</f>
        <v>2.73098623396989</v>
      </c>
      <c r="G23" s="49" t="n">
        <f aca="false">IF(G21=0,0,(Revenue!G$20-Operating_Costs!G$16)/G21)</f>
        <v>2.85967216243013</v>
      </c>
      <c r="H23" s="49" t="n">
        <f aca="false">IF(H21=0,0,(Revenue!H$20-Operating_Costs!H$16)/H21)</f>
        <v>2.99406208237235</v>
      </c>
      <c r="I23" s="49" t="n">
        <f aca="false">IF(I21=0,0,(Revenue!I$20-Operating_Costs!I$16)/I21)</f>
        <v>3.13440318977785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199</v>
      </c>
      <c r="C2" s="5"/>
      <c r="D2" s="5"/>
      <c r="E2" s="5"/>
      <c r="F2" s="5"/>
      <c r="G2" s="5"/>
      <c r="H2" s="5"/>
      <c r="I2" s="5"/>
    </row>
    <row r="3" customFormat="false" ht="15" hidden="false" customHeight="false" outlineLevel="0" collapsed="false">
      <c r="A3" s="5"/>
      <c r="B3" s="29" t="s">
        <v>200</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1" t="n">
        <v>2025</v>
      </c>
      <c r="D5" s="31" t="n">
        <v>2026</v>
      </c>
      <c r="E5" s="31" t="n">
        <v>2027</v>
      </c>
      <c r="F5" s="31" t="n">
        <v>2028</v>
      </c>
      <c r="G5" s="31" t="n">
        <v>2029</v>
      </c>
      <c r="H5" s="31" t="n">
        <v>2030</v>
      </c>
      <c r="I5" s="31" t="n">
        <v>2031</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2" t="s">
        <v>12</v>
      </c>
      <c r="C8" s="16"/>
      <c r="D8" s="16"/>
      <c r="E8" s="16"/>
      <c r="F8" s="16"/>
      <c r="G8" s="16"/>
      <c r="H8" s="16"/>
      <c r="I8" s="16"/>
    </row>
    <row r="9" customFormat="false" ht="15" hidden="false" customHeight="false" outlineLevel="0" collapsed="false">
      <c r="A9" s="5"/>
      <c r="B9" s="37" t="s">
        <v>201</v>
      </c>
      <c r="C9" s="38" t="n">
        <f aca="false">Revenue!C$10</f>
        <v>0</v>
      </c>
      <c r="D9" s="38" t="n">
        <f aca="false">Revenue!D$10</f>
        <v>0</v>
      </c>
      <c r="E9" s="38" t="n">
        <f aca="false">Revenue!E$10</f>
        <v>7290000</v>
      </c>
      <c r="F9" s="38" t="n">
        <f aca="false">Revenue!F$10</f>
        <v>14944500</v>
      </c>
      <c r="G9" s="38" t="n">
        <f aca="false">Revenue!G$10</f>
        <v>15318112.5</v>
      </c>
      <c r="H9" s="38" t="n">
        <f aca="false">Revenue!H$10</f>
        <v>15701065.3125</v>
      </c>
      <c r="I9" s="38" t="n">
        <f aca="false">Revenue!I$10</f>
        <v>16093591.9453125</v>
      </c>
    </row>
    <row r="10" customFormat="false" ht="15" hidden="false" customHeight="false" outlineLevel="0" collapsed="false">
      <c r="A10" s="5"/>
      <c r="B10" s="37" t="s">
        <v>202</v>
      </c>
      <c r="C10" s="38" t="n">
        <f aca="false">Revenue!C$14</f>
        <v>0</v>
      </c>
      <c r="D10" s="38" t="n">
        <f aca="false">Revenue!D$14</f>
        <v>0</v>
      </c>
      <c r="E10" s="38" t="n">
        <f aca="false">Revenue!E$14</f>
        <v>5321700</v>
      </c>
      <c r="F10" s="38" t="n">
        <f aca="false">Revenue!F$14</f>
        <v>10643400</v>
      </c>
      <c r="G10" s="38" t="n">
        <f aca="false">Revenue!G$14</f>
        <v>10643400</v>
      </c>
      <c r="H10" s="38" t="n">
        <f aca="false">Revenue!H$14</f>
        <v>10643400</v>
      </c>
      <c r="I10" s="38" t="n">
        <f aca="false">Revenue!I$14</f>
        <v>10643400</v>
      </c>
    </row>
    <row r="11" customFormat="false" ht="15" hidden="false" customHeight="false" outlineLevel="0" collapsed="false">
      <c r="A11" s="5"/>
      <c r="B11" s="37" t="s">
        <v>173</v>
      </c>
      <c r="C11" s="38" t="n">
        <f aca="false">Revenue!C$18</f>
        <v>0</v>
      </c>
      <c r="D11" s="38" t="n">
        <f aca="false">Revenue!D$18</f>
        <v>0</v>
      </c>
      <c r="E11" s="38" t="n">
        <f aca="false">Revenue!E$18</f>
        <v>675000</v>
      </c>
      <c r="F11" s="38" t="n">
        <f aca="false">Revenue!F$18</f>
        <v>1350000</v>
      </c>
      <c r="G11" s="38" t="n">
        <f aca="false">Revenue!G$18</f>
        <v>1350000</v>
      </c>
      <c r="H11" s="38" t="n">
        <f aca="false">Revenue!H$18</f>
        <v>1350000</v>
      </c>
      <c r="I11" s="38" t="n">
        <f aca="false">Revenue!I$18</f>
        <v>1350000</v>
      </c>
    </row>
    <row r="12" customFormat="false" ht="15" hidden="false" customHeight="false" outlineLevel="0" collapsed="false">
      <c r="A12" s="5"/>
      <c r="B12" s="50" t="s">
        <v>203</v>
      </c>
      <c r="C12" s="47" t="n">
        <f aca="false">C9+C10+C11</f>
        <v>0</v>
      </c>
      <c r="D12" s="47" t="n">
        <f aca="false">D9+D10+D11</f>
        <v>0</v>
      </c>
      <c r="E12" s="47" t="n">
        <f aca="false">E9+E10+E11</f>
        <v>13286700</v>
      </c>
      <c r="F12" s="47" t="n">
        <f aca="false">F9+F10+F11</f>
        <v>26937900</v>
      </c>
      <c r="G12" s="47" t="n">
        <f aca="false">G9+G10+G11</f>
        <v>27311512.5</v>
      </c>
      <c r="H12" s="47" t="n">
        <f aca="false">H9+H10+H11</f>
        <v>27694465.3125</v>
      </c>
      <c r="I12" s="47" t="n">
        <f aca="false">I9+I10+I11</f>
        <v>28086991.9453125</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2" t="s">
        <v>204</v>
      </c>
      <c r="C14" s="16"/>
      <c r="D14" s="16"/>
      <c r="E14" s="16"/>
      <c r="F14" s="16"/>
      <c r="G14" s="16"/>
      <c r="H14" s="16"/>
      <c r="I14" s="16"/>
    </row>
    <row r="15" customFormat="false" ht="15" hidden="false" customHeight="false" outlineLevel="0" collapsed="false">
      <c r="A15" s="5"/>
      <c r="B15" s="37" t="s">
        <v>178</v>
      </c>
      <c r="C15" s="38" t="n">
        <f aca="false">Operating_Costs!C$9</f>
        <v>0</v>
      </c>
      <c r="D15" s="38" t="n">
        <f aca="false">Operating_Costs!D$9</f>
        <v>0</v>
      </c>
      <c r="E15" s="38" t="n">
        <f aca="false">Operating_Costs!E$9</f>
        <v>5321700</v>
      </c>
      <c r="F15" s="38" t="n">
        <f aca="false">Operating_Costs!F$9</f>
        <v>10643400</v>
      </c>
      <c r="G15" s="38" t="n">
        <f aca="false">Operating_Costs!G$9</f>
        <v>10643400</v>
      </c>
      <c r="H15" s="38" t="n">
        <f aca="false">Operating_Costs!H$9</f>
        <v>10643400</v>
      </c>
      <c r="I15" s="38" t="n">
        <f aca="false">Operating_Costs!I$9</f>
        <v>10643400</v>
      </c>
    </row>
    <row r="16" customFormat="false" ht="15" hidden="false" customHeight="false" outlineLevel="0" collapsed="false">
      <c r="A16" s="5"/>
      <c r="B16" s="50" t="s">
        <v>205</v>
      </c>
      <c r="C16" s="47" t="n">
        <f aca="false">C12-C15</f>
        <v>0</v>
      </c>
      <c r="D16" s="47" t="n">
        <f aca="false">D12-D15</f>
        <v>0</v>
      </c>
      <c r="E16" s="47" t="n">
        <f aca="false">E12-E15</f>
        <v>7965000</v>
      </c>
      <c r="F16" s="47" t="n">
        <f aca="false">F12-F15</f>
        <v>16294500</v>
      </c>
      <c r="G16" s="47" t="n">
        <f aca="false">G12-G15</f>
        <v>16668112.5</v>
      </c>
      <c r="H16" s="47" t="n">
        <f aca="false">H12-H15</f>
        <v>17051065.3125</v>
      </c>
      <c r="I16" s="47" t="n">
        <f aca="false">I12-I15</f>
        <v>17443591.9453125</v>
      </c>
    </row>
    <row r="17" customFormat="false" ht="15" hidden="false" customHeight="false" outlineLevel="0" collapsed="false">
      <c r="A17" s="5"/>
      <c r="B17" s="5"/>
      <c r="C17" s="5"/>
      <c r="D17" s="5"/>
      <c r="E17" s="5"/>
      <c r="F17" s="5"/>
      <c r="G17" s="5"/>
      <c r="H17" s="5"/>
      <c r="I17" s="5"/>
    </row>
    <row r="18" customFormat="false" ht="15" hidden="false" customHeight="false" outlineLevel="0" collapsed="false">
      <c r="A18" s="5"/>
      <c r="B18" s="32" t="s">
        <v>206</v>
      </c>
      <c r="C18" s="16"/>
      <c r="D18" s="16"/>
      <c r="E18" s="16"/>
      <c r="F18" s="16"/>
      <c r="G18" s="16"/>
      <c r="H18" s="16"/>
      <c r="I18" s="16"/>
    </row>
    <row r="19" customFormat="false" ht="15" hidden="false" customHeight="false" outlineLevel="0" collapsed="false">
      <c r="A19" s="5"/>
      <c r="B19" s="37" t="s">
        <v>181</v>
      </c>
      <c r="C19" s="38" t="n">
        <f aca="false">Operating_Costs!C$12</f>
        <v>0</v>
      </c>
      <c r="D19" s="38" t="n">
        <f aca="false">Operating_Costs!D$12</f>
        <v>0</v>
      </c>
      <c r="E19" s="38" t="n">
        <f aca="false">Operating_Costs!E$12</f>
        <v>1500000</v>
      </c>
      <c r="F19" s="38" t="n">
        <f aca="false">Operating_Costs!F$12</f>
        <v>1500000</v>
      </c>
      <c r="G19" s="38" t="n">
        <f aca="false">Operating_Costs!G$12</f>
        <v>1500000</v>
      </c>
      <c r="H19" s="38" t="n">
        <f aca="false">Operating_Costs!H$12</f>
        <v>1500000</v>
      </c>
      <c r="I19" s="38" t="n">
        <f aca="false">Operating_Costs!I$12</f>
        <v>1500000</v>
      </c>
    </row>
    <row r="20" customFormat="false" ht="15" hidden="false" customHeight="false" outlineLevel="0" collapsed="false">
      <c r="A20" s="5"/>
      <c r="B20" s="37" t="s">
        <v>182</v>
      </c>
      <c r="C20" s="38" t="n">
        <f aca="false">Operating_Costs!C$13</f>
        <v>225000</v>
      </c>
      <c r="D20" s="38" t="n">
        <f aca="false">Operating_Costs!D$13</f>
        <v>1350000</v>
      </c>
      <c r="E20" s="38" t="n">
        <f aca="false">Operating_Costs!E$13</f>
        <v>1350000</v>
      </c>
      <c r="F20" s="38" t="n">
        <f aca="false">Operating_Costs!F$13</f>
        <v>1350000</v>
      </c>
      <c r="G20" s="38" t="n">
        <f aca="false">Operating_Costs!G$13</f>
        <v>1350000</v>
      </c>
      <c r="H20" s="38" t="n">
        <f aca="false">Operating_Costs!H$13</f>
        <v>1350000</v>
      </c>
      <c r="I20" s="38" t="n">
        <f aca="false">Operating_Costs!I$13</f>
        <v>1350000</v>
      </c>
    </row>
    <row r="21" customFormat="false" ht="15" hidden="false" customHeight="false" outlineLevel="0" collapsed="false">
      <c r="A21" s="5"/>
      <c r="B21" s="37" t="s">
        <v>116</v>
      </c>
      <c r="C21" s="38" t="n">
        <f aca="false">Operating_Costs!C$14</f>
        <v>0</v>
      </c>
      <c r="D21" s="38" t="n">
        <f aca="false">Operating_Costs!D$14</f>
        <v>0</v>
      </c>
      <c r="E21" s="38" t="n">
        <f aca="false">Operating_Costs!E$14</f>
        <v>664335</v>
      </c>
      <c r="F21" s="38" t="n">
        <f aca="false">Operating_Costs!F$14</f>
        <v>1346895</v>
      </c>
      <c r="G21" s="38" t="n">
        <f aca="false">Operating_Costs!G$14</f>
        <v>1365575.625</v>
      </c>
      <c r="H21" s="38" t="n">
        <f aca="false">Operating_Costs!H$14</f>
        <v>1384723.265625</v>
      </c>
      <c r="I21" s="38" t="n">
        <f aca="false">Operating_Costs!I$14</f>
        <v>1404349.59726562</v>
      </c>
    </row>
    <row r="22" customFormat="false" ht="15" hidden="false" customHeight="false" outlineLevel="0" collapsed="false">
      <c r="A22" s="5"/>
      <c r="B22" s="50" t="s">
        <v>207</v>
      </c>
      <c r="C22" s="47" t="n">
        <f aca="false">C19+C20+C21</f>
        <v>225000</v>
      </c>
      <c r="D22" s="47" t="n">
        <f aca="false">D19+D20+D21</f>
        <v>1350000</v>
      </c>
      <c r="E22" s="47" t="n">
        <f aca="false">E19+E20+E21</f>
        <v>3514335</v>
      </c>
      <c r="F22" s="47" t="n">
        <f aca="false">F19+F20+F21</f>
        <v>4196895</v>
      </c>
      <c r="G22" s="47" t="n">
        <f aca="false">G19+G20+G21</f>
        <v>4215575.625</v>
      </c>
      <c r="H22" s="47" t="n">
        <f aca="false">H19+H20+H21</f>
        <v>4234723.265625</v>
      </c>
      <c r="I22" s="47" t="n">
        <f aca="false">I19+I20+I21</f>
        <v>4254349.59726562</v>
      </c>
    </row>
    <row r="23" customFormat="false" ht="15" hidden="false" customHeight="false" outlineLevel="0" collapsed="false">
      <c r="A23" s="5"/>
      <c r="B23" s="5"/>
      <c r="C23" s="5"/>
      <c r="D23" s="5"/>
      <c r="E23" s="5"/>
      <c r="F23" s="5"/>
      <c r="G23" s="5"/>
      <c r="H23" s="5"/>
      <c r="I23" s="5"/>
    </row>
    <row r="24" customFormat="false" ht="15" hidden="false" customHeight="false" outlineLevel="0" collapsed="false">
      <c r="A24" s="5"/>
      <c r="B24" s="39" t="s">
        <v>208</v>
      </c>
      <c r="C24" s="40" t="n">
        <f aca="false">C16-C22</f>
        <v>-225000</v>
      </c>
      <c r="D24" s="40" t="n">
        <f aca="false">D16-D22</f>
        <v>-1350000</v>
      </c>
      <c r="E24" s="40" t="n">
        <f aca="false">E16-E22</f>
        <v>4450665</v>
      </c>
      <c r="F24" s="40" t="n">
        <f aca="false">F16-F22</f>
        <v>12097605</v>
      </c>
      <c r="G24" s="40" t="n">
        <f aca="false">G16-G22</f>
        <v>12452536.875</v>
      </c>
      <c r="H24" s="40" t="n">
        <f aca="false">H16-H22</f>
        <v>12816342.046875</v>
      </c>
      <c r="I24" s="40" t="n">
        <f aca="false">I16-I22</f>
        <v>13189242.3480469</v>
      </c>
    </row>
    <row r="25" customFormat="false" ht="15" hidden="false" customHeight="false" outlineLevel="0" collapsed="false">
      <c r="A25" s="5"/>
      <c r="B25" s="37" t="s">
        <v>209</v>
      </c>
      <c r="C25" s="38" t="n">
        <f aca="false">IF(C5&lt;2025+Construction_Yrs,0,(Shell_Cost_Per_MW*Facility_Capacity_MW*Phase1_Pct)/Shell_Life+(MEP_Cost_Per_MW*Facility_Capacity_MW*Phase1_Pct)/MEP_Life)</f>
        <v>0</v>
      </c>
      <c r="D25" s="38" t="n">
        <f aca="false">IF(D5&lt;2025+Construction_Yrs,0,(Shell_Cost_Per_MW*Facility_Capacity_MW*Phase1_Pct)/Shell_Life+(MEP_Cost_Per_MW*Facility_Capacity_MW*Phase1_Pct)/MEP_Life)</f>
        <v>0</v>
      </c>
      <c r="E25" s="38" t="n">
        <f aca="false">IF(E5&lt;2025+Construction_Yrs,0,(Shell_Cost_Per_MW*Facility_Capacity_MW*Phase1_Pct)/Shell_Life+(MEP_Cost_Per_MW*Facility_Capacity_MW*Phase1_Pct)/MEP_Life)</f>
        <v>5857142.85714286</v>
      </c>
      <c r="F25" s="38" t="n">
        <f aca="false">IF(F5&lt;2025+Construction_Yrs,0,(Shell_Cost_Per_MW*Facility_Capacity_MW*Phase1_Pct)/Shell_Life+(MEP_Cost_Per_MW*Facility_Capacity_MW*Phase1_Pct)/MEP_Life)</f>
        <v>5857142.85714286</v>
      </c>
      <c r="G25" s="38" t="n">
        <f aca="false">IF(G5&lt;2025+Construction_Yrs,0,(Shell_Cost_Per_MW*Facility_Capacity_MW*Phase1_Pct)/Shell_Life+(MEP_Cost_Per_MW*Facility_Capacity_MW*Phase1_Pct)/MEP_Life)</f>
        <v>5857142.85714286</v>
      </c>
      <c r="H25" s="38" t="n">
        <f aca="false">IF(H5&lt;2025+Construction_Yrs,0,(Shell_Cost_Per_MW*Facility_Capacity_MW*Phase1_Pct)/Shell_Life+(MEP_Cost_Per_MW*Facility_Capacity_MW*Phase1_Pct)/MEP_Life)</f>
        <v>5857142.85714286</v>
      </c>
      <c r="I25" s="38" t="n">
        <f aca="false">IF(I5&lt;2025+Construction_Yrs,0,(Shell_Cost_Per_MW*Facility_Capacity_MW*Phase1_Pct)/Shell_Life+(MEP_Cost_Per_MW*Facility_Capacity_MW*Phase1_Pct)/MEP_Life)</f>
        <v>5857142.85714286</v>
      </c>
    </row>
    <row r="26" customFormat="false" ht="15" hidden="false" customHeight="false" outlineLevel="0" collapsed="false">
      <c r="A26" s="5"/>
      <c r="B26" s="50" t="s">
        <v>210</v>
      </c>
      <c r="C26" s="47" t="n">
        <f aca="false">C24-C25</f>
        <v>-225000</v>
      </c>
      <c r="D26" s="47" t="n">
        <f aca="false">D24-D25</f>
        <v>-1350000</v>
      </c>
      <c r="E26" s="47" t="n">
        <f aca="false">E24-E25</f>
        <v>-1406477.85714286</v>
      </c>
      <c r="F26" s="47" t="n">
        <f aca="false">F24-F25</f>
        <v>6240462.14285714</v>
      </c>
      <c r="G26" s="47" t="n">
        <f aca="false">G24-G25</f>
        <v>6595394.01785714</v>
      </c>
      <c r="H26" s="47" t="n">
        <f aca="false">H24-H25</f>
        <v>6959199.18973214</v>
      </c>
      <c r="I26" s="47" t="n">
        <f aca="false">I24-I25</f>
        <v>7332099.49090401</v>
      </c>
    </row>
    <row r="27" customFormat="false" ht="15" hidden="false" customHeight="false" outlineLevel="0" collapsed="false">
      <c r="A27" s="5"/>
      <c r="B27" s="37" t="s">
        <v>196</v>
      </c>
      <c r="C27" s="38" t="n">
        <f aca="false">Debt_Schedule!C$20</f>
        <v>0</v>
      </c>
      <c r="D27" s="38" t="n">
        <f aca="false">Debt_Schedule!D$20</f>
        <v>0</v>
      </c>
      <c r="E27" s="38" t="n">
        <f aca="false">Debt_Schedule!E$20</f>
        <v>3572858.25</v>
      </c>
      <c r="F27" s="38" t="n">
        <f aca="false">Debt_Schedule!F$20</f>
        <v>3512185.82521187</v>
      </c>
      <c r="G27" s="38" t="n">
        <f aca="false">Debt_Schedule!G$20</f>
        <v>3452543.70805759</v>
      </c>
      <c r="H27" s="38" t="n">
        <f aca="false">Debt_Schedule!H$20</f>
        <v>3393914.40238758</v>
      </c>
      <c r="I27" s="38" t="n">
        <f aca="false">Debt_Schedule!I$20</f>
        <v>3336280.70916277</v>
      </c>
    </row>
    <row r="28" customFormat="false" ht="15" hidden="false" customHeight="false" outlineLevel="0" collapsed="false">
      <c r="A28" s="5"/>
      <c r="B28" s="50" t="s">
        <v>211</v>
      </c>
      <c r="C28" s="47" t="n">
        <f aca="false">C26-C27</f>
        <v>-225000</v>
      </c>
      <c r="D28" s="47" t="n">
        <f aca="false">D26-D27</f>
        <v>-1350000</v>
      </c>
      <c r="E28" s="47" t="n">
        <f aca="false">E26-E27</f>
        <v>-4979336.10714286</v>
      </c>
      <c r="F28" s="47" t="n">
        <f aca="false">F26-F27</f>
        <v>2728276.31764528</v>
      </c>
      <c r="G28" s="47" t="n">
        <f aca="false">G26-G27</f>
        <v>3142850.30979955</v>
      </c>
      <c r="H28" s="47" t="n">
        <f aca="false">H26-H27</f>
        <v>3565284.78734456</v>
      </c>
      <c r="I28" s="47" t="n">
        <f aca="false">I26-I27</f>
        <v>3995818.78174124</v>
      </c>
    </row>
    <row r="29" customFormat="false" ht="15" hidden="false" customHeight="false" outlineLevel="0" collapsed="false">
      <c r="A29" s="5"/>
      <c r="B29" s="37" t="s">
        <v>212</v>
      </c>
      <c r="C29" s="38" t="n">
        <f aca="false">MAX(0,C28*Tax_Rate)</f>
        <v>0</v>
      </c>
      <c r="D29" s="38" t="n">
        <f aca="false">MAX(0,D28*Tax_Rate)</f>
        <v>0</v>
      </c>
      <c r="E29" s="38" t="n">
        <f aca="false">MAX(0,E28*Tax_Rate)</f>
        <v>0</v>
      </c>
      <c r="F29" s="38" t="n">
        <f aca="false">MAX(0,F28*Tax_Rate)</f>
        <v>682069.079411319</v>
      </c>
      <c r="G29" s="38" t="n">
        <f aca="false">MAX(0,G28*Tax_Rate)</f>
        <v>785712.577449888</v>
      </c>
      <c r="H29" s="38" t="n">
        <f aca="false">MAX(0,H28*Tax_Rate)</f>
        <v>891321.196836139</v>
      </c>
      <c r="I29" s="38" t="n">
        <f aca="false">MAX(0,I28*Tax_Rate)</f>
        <v>998954.69543531</v>
      </c>
    </row>
    <row r="30" customFormat="false" ht="15" hidden="false" customHeight="false" outlineLevel="0" collapsed="false">
      <c r="A30" s="5"/>
      <c r="B30" s="39" t="s">
        <v>213</v>
      </c>
      <c r="C30" s="40" t="n">
        <f aca="false">C28-C29</f>
        <v>-225000</v>
      </c>
      <c r="D30" s="40" t="n">
        <f aca="false">D28-D29</f>
        <v>-1350000</v>
      </c>
      <c r="E30" s="40" t="n">
        <f aca="false">E28-E29</f>
        <v>-4979336.10714286</v>
      </c>
      <c r="F30" s="40" t="n">
        <f aca="false">F28-F29</f>
        <v>2046207.23823396</v>
      </c>
      <c r="G30" s="40" t="n">
        <f aca="false">G28-G29</f>
        <v>2357137.73234967</v>
      </c>
      <c r="H30" s="40" t="n">
        <f aca="false">H28-H29</f>
        <v>2673963.59050842</v>
      </c>
      <c r="I30" s="40" t="n">
        <f aca="false">I28-I29</f>
        <v>2996864.08630593</v>
      </c>
    </row>
    <row r="31" customFormat="false" ht="15" hidden="false" customHeight="false" outlineLevel="0" collapsed="false">
      <c r="A31" s="5"/>
      <c r="B31" s="5"/>
      <c r="C31" s="5"/>
      <c r="D31" s="5"/>
      <c r="E31" s="5"/>
      <c r="F31" s="5"/>
      <c r="G31" s="5"/>
      <c r="H31" s="5"/>
      <c r="I31" s="5"/>
    </row>
    <row r="32" customFormat="false" ht="15" hidden="false" customHeight="false" outlineLevel="0" collapsed="false">
      <c r="A32" s="5"/>
      <c r="B32" s="32" t="s">
        <v>214</v>
      </c>
      <c r="C32" s="16"/>
      <c r="D32" s="16"/>
      <c r="E32" s="16"/>
      <c r="F32" s="16"/>
      <c r="G32" s="16"/>
      <c r="H32" s="16"/>
      <c r="I32" s="16"/>
    </row>
    <row r="33" customFormat="false" ht="15" hidden="false" customHeight="false" outlineLevel="0" collapsed="false">
      <c r="A33" s="5"/>
      <c r="B33" s="37" t="s">
        <v>215</v>
      </c>
      <c r="C33" s="44" t="n">
        <f aca="false">IFERROR(C16/C12,0)</f>
        <v>0</v>
      </c>
      <c r="D33" s="44" t="n">
        <f aca="false">IFERROR(D16/D12,0)</f>
        <v>0</v>
      </c>
      <c r="E33" s="44" t="n">
        <f aca="false">IFERROR(E16/E12,0)</f>
        <v>0.599471652103231</v>
      </c>
      <c r="F33" s="44" t="n">
        <f aca="false">IFERROR(F16/F12,0)</f>
        <v>0.604891249874712</v>
      </c>
      <c r="G33" s="44" t="n">
        <f aca="false">IFERROR(G16/G12,0)</f>
        <v>0.610296207505901</v>
      </c>
      <c r="H33" s="44" t="n">
        <f aca="false">IFERROR(H16/H12,0)</f>
        <v>0.615684943547328</v>
      </c>
      <c r="I33" s="44" t="n">
        <f aca="false">IFERROR(I16/I12,0)</f>
        <v>0.621055895885059</v>
      </c>
    </row>
    <row r="34" customFormat="false" ht="15" hidden="false" customHeight="false" outlineLevel="0" collapsed="false">
      <c r="A34" s="5"/>
      <c r="B34" s="37" t="s">
        <v>216</v>
      </c>
      <c r="C34" s="44" t="n">
        <f aca="false">IFERROR(C24/C12,0)</f>
        <v>0</v>
      </c>
      <c r="D34" s="44" t="n">
        <f aca="false">IFERROR(D24/D12,0)</f>
        <v>0</v>
      </c>
      <c r="E34" s="44" t="n">
        <f aca="false">IFERROR(E24/E12,0)</f>
        <v>0.334971437603017</v>
      </c>
      <c r="F34" s="44" t="n">
        <f aca="false">IFERROR(F24/F12,0)</f>
        <v>0.449092356865234</v>
      </c>
      <c r="G34" s="44" t="n">
        <f aca="false">IFERROR(G24/G12,0)</f>
        <v>0.455944608523603</v>
      </c>
      <c r="H34" s="44" t="n">
        <f aca="false">IFERROR(H24/H12,0)</f>
        <v>0.462776294911543</v>
      </c>
      <c r="I34" s="44" t="n">
        <f aca="false">IFERROR(I24/I12,0)</f>
        <v>0.469585435625407</v>
      </c>
    </row>
    <row r="35" customFormat="false" ht="15" hidden="false" customHeight="false" outlineLevel="0" collapsed="false">
      <c r="A35" s="5"/>
      <c r="B35" s="37" t="s">
        <v>217</v>
      </c>
      <c r="C35" s="44" t="n">
        <f aca="false">IFERROR(C30/C12,0)</f>
        <v>0</v>
      </c>
      <c r="D35" s="44" t="n">
        <f aca="false">IFERROR(D30/D12,0)</f>
        <v>0</v>
      </c>
      <c r="E35" s="44" t="n">
        <f aca="false">IFERROR(E30/E12,0)</f>
        <v>-0.374760934403792</v>
      </c>
      <c r="F35" s="44" t="n">
        <f aca="false">IFERROR(F30/F12,0)</f>
        <v>0.0759601616396957</v>
      </c>
      <c r="G35" s="44" t="n">
        <f aca="false">IFERROR(G30/G12,0)</f>
        <v>0.0863056461025242</v>
      </c>
      <c r="H35" s="44" t="n">
        <f aca="false">IFERROR(H30/H12,0)</f>
        <v>0.0965522735440397</v>
      </c>
      <c r="I35" s="44" t="n">
        <f aca="false">IFERROR(I30/I12,0)</f>
        <v>0.106699360762486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2026-05-15T18:53:00Z</dcterms:created>
  <dc:creator>openpyxl</dc:creator>
  <dc:description/>
  <dc:language>en-GB</dc:language>
  <cp:lastModifiedBy/>
  <dcterms:modified xsi:type="dcterms:W3CDTF">2026-05-15T18:53:00Z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