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Construction_Capex" sheetId="4" state="visible" r:id="rId6"/>
    <sheet name="Capacity_Ramp" sheetId="5" state="visible" r:id="rId7"/>
    <sheet name="Revenue" sheetId="6" state="visible" r:id="rId8"/>
    <sheet name="Opex" sheetId="7" state="visible" r:id="rId9"/>
    <sheet name="Debt_Schedule" sheetId="8" state="visible" r:id="rId10"/>
    <sheet name="Income_Statement" sheetId="9" state="visible" r:id="rId11"/>
    <sheet name="Cash_Flow" sheetId="10" state="visible" r:id="rId12"/>
    <sheet name="Balance_Sheet" sheetId="11" state="visible" r:id="rId13"/>
    <sheet name="Returns" sheetId="12" state="visible" r:id="rId14"/>
    <sheet name="Checks" sheetId="13" state="visible" r:id="rId15"/>
  </sheets>
  <definedNames>
    <definedName function="false" hidden="false" name="Amort_Term" vbProcedure="false">Assumptions!$C$36</definedName>
    <definedName function="false" hidden="false" name="BS_AR" vbProcedure="false">Balance_Sheet!$C$10:$L$10</definedName>
    <definedName function="false" hidden="false" name="BS_Cash" vbProcedure="false">Balance_Sheet!$C$9:$L$9</definedName>
    <definedName function="false" hidden="false" name="BS_Check" vbProcedure="false">Balance_Sheet!$C$27:$L$27</definedName>
    <definedName function="false" hidden="false" name="BS_Debt" vbProcedure="false">Balance_Sheet!$C$18:$L$18</definedName>
    <definedName function="false" hidden="false" name="BS_Net_PPE" vbProcedure="false">Balance_Sheet!$C$13:$L$13</definedName>
    <definedName function="false" hidden="false" name="BS_Ret_Earn" vbProcedure="false">Balance_Sheet!$C$23:$L$23</definedName>
    <definedName function="false" hidden="false" name="BS_Share_Cap" vbProcedure="false">Balance_Sheet!$C$22:$L$22</definedName>
    <definedName function="false" hidden="false" name="BS_Total_Asset" vbProcedure="false">Balance_Sheet!$C$14:$L$14</definedName>
    <definedName function="false" hidden="false" name="BS_Total_Eq" vbProcedure="false">Balance_Sheet!$C$24:$L$24</definedName>
    <definedName function="false" hidden="false" name="BS_Total_LE" vbProcedure="false">Balance_Sheet!$C$25:$L$25</definedName>
    <definedName function="false" hidden="false" name="BS_Total_Liab" vbProcedure="false">Balance_Sheet!$C$19:$L$19</definedName>
    <definedName function="false" hidden="false" name="Capacity_MW" vbProcedure="false">Assumptions!$C$7</definedName>
    <definedName function="false" hidden="false" name="CC_Cum_Capex" vbProcedure="false">Construction_Capex!$C$20:$L$20</definedName>
    <definedName function="false" hidden="false" name="CC_Cum_Dep" vbProcedure="false">Construction_Capex!$C$26:$L$26</definedName>
    <definedName function="false" hidden="false" name="CC_MEP_Dep" vbProcedure="false">Construction_Capex!$C$24:$L$24</definedName>
    <definedName function="false" hidden="false" name="CC_Net_PPE" vbProcedure="false">Construction_Capex!$C$27:$L$27</definedName>
    <definedName function="false" hidden="false" name="CC_P1_MEP_MW" vbProcedure="false">Construction_Capex!$C$12:$L$12</definedName>
    <definedName function="false" hidden="false" name="CC_P2_MEP_MW" vbProcedure="false">Construction_Capex!$C$15:$L$15</definedName>
    <definedName function="false" hidden="false" name="CC_Shell_Cost" vbProcedure="false">Construction_Capex!$C$10:$L$10</definedName>
    <definedName function="false" hidden="false" name="CC_Shell_Dep" vbProcedure="false">Construction_Capex!$C$23:$L$23</definedName>
    <definedName function="false" hidden="false" name="CC_Total_Capex" vbProcedure="false">Construction_Capex!$C$19:$L$19</definedName>
    <definedName function="false" hidden="false" name="CC_Total_Dep" vbProcedure="false">Construction_Capex!$C$25:$L$25</definedName>
    <definedName function="false" hidden="false" name="CF_Close_Cash" vbProcedure="false">Cash_Flow!$C$30:$L$30</definedName>
    <definedName function="false" hidden="false" name="CF_Debt_Draw" vbProcedure="false">Cash_Flow!$C$24:$L$24</definedName>
    <definedName function="false" hidden="false" name="CF_Equity_Inj" vbProcedure="false">Cash_Flow!$C$23:$L$23</definedName>
    <definedName function="false" hidden="false" name="CF_Growth_Cap" vbProcedure="false">Cash_Flow!$C$18:$L$18</definedName>
    <definedName function="false" hidden="false" name="CF_Maint_Cap" vbProcedure="false">Cash_Flow!$C$19:$L$19</definedName>
    <definedName function="false" hidden="false" name="CF_Net_Change" vbProcedure="false">Cash_Flow!$C$28:$L$28</definedName>
    <definedName function="false" hidden="false" name="CF_Open_Cash" vbProcedure="false">Cash_Flow!$C$29:$L$29</definedName>
    <definedName function="false" hidden="false" name="CF_Total_CFF" vbProcedure="false">Cash_Flow!$C$26:$L$26</definedName>
    <definedName function="false" hidden="false" name="CF_Total_CFI" vbProcedure="false">Cash_Flow!$C$20:$L$20</definedName>
    <definedName function="false" hidden="false" name="CF_Total_CFO" vbProcedure="false">Cash_Flow!$C$15:$L$15</definedName>
    <definedName function="false" hidden="false" name="Compliance_Pct" vbProcedure="false">Assumptions!$C$53</definedName>
    <definedName function="false" hidden="false" name="Construction_Yrs" vbProcedure="false">Assumptions!$C$10</definedName>
    <definedName function="false" hidden="false" name="CR_Billed_KW" vbProcedure="false">Capacity_Ramp!$C$17:$L$17</definedName>
    <definedName function="false" hidden="false" name="CR_OCC_Pct" vbProcedure="false">Capacity_Ramp!$C$18:$L$18</definedName>
    <definedName function="false" hidden="false" name="CR_P1_MW" vbProcedure="false">Capacity_Ramp!$C$9:$L$9</definedName>
    <definedName function="false" hidden="false" name="CR_P1_Occ" vbProcedure="false">Capacity_Ramp!$C$15:$L$15</definedName>
    <definedName function="false" hidden="false" name="CR_P2_MW" vbProcedure="false">Capacity_Ramp!$C$10:$L$10</definedName>
    <definedName function="false" hidden="false" name="CR_P2_Occ" vbProcedure="false">Capacity_Ramp!$C$16:$L$16</definedName>
    <definedName function="false" hidden="false" name="CR_Total_KW" vbProcedure="false">Capacity_Ramp!$C$12:$L$12</definedName>
    <definedName function="false" hidden="false" name="CR_Total_MW" vbProcedure="false">Capacity_Ramp!$C$11:$L$11</definedName>
    <definedName function="false" hidden="false" name="Debt_LTC" vbProcedure="false">Assumptions!$C$34</definedName>
    <definedName function="false" hidden="false" name="DPO_Days" vbProcedure="false">Assumptions!$C$45</definedName>
    <definedName function="false" hidden="false" name="DSO_Days" vbProcedure="false">Assumptions!$C$44</definedName>
    <definedName function="false" hidden="false" name="DS_Closing" vbProcedure="false">Debt_Schedule!$C$17:$L$17</definedName>
    <definedName function="false" hidden="false" name="DS_Drawdown" vbProcedure="false">Debt_Schedule!$C$14:$L$14</definedName>
    <definedName function="false" hidden="false" name="DS_DSCR" vbProcedure="false">Debt_Schedule!$C$25:$L$25</definedName>
    <definedName function="false" hidden="false" name="DS_IDC_Cap" vbProcedure="false">Debt_Schedule!$C$15:$L$15</definedName>
    <definedName function="false" hidden="false" name="DS_Interest" vbProcedure="false">Debt_Schedule!$C$20:$L$20</definedName>
    <definedName function="false" hidden="false" name="DS_Opening" vbProcedure="false">Debt_Schedule!$C$13:$L$13</definedName>
    <definedName function="false" hidden="false" name="DS_PNL_Int" vbProcedure="false">Debt_Schedule!$C$22:$L$22</definedName>
    <definedName function="false" hidden="false" name="DS_Principal" vbProcedure="false">Debt_Schedule!$C$16:$L$16</definedName>
    <definedName function="false" hidden="false" name="Elec_Rate" vbProcedure="false">Assumptions!$C$21</definedName>
    <definedName function="false" hidden="false" name="Exit_Cap_Rate" vbProcedure="false">Assumptions!$C$40</definedName>
    <definedName function="false" hidden="false" name="Facility_Opex_MW" vbProcedure="false">Assumptions!$C$28</definedName>
    <definedName function="false" hidden="false" name="Interest_Rate" vbProcedure="false">Assumptions!$C$35</definedName>
    <definedName function="false" hidden="false" name="IO_Period" vbProcedure="false">Assumptions!$C$37</definedName>
    <definedName function="false" hidden="false" name="IS_EBIT" vbProcedure="false">Income_Statement!$C$37:$L$37</definedName>
    <definedName function="false" hidden="false" name="IS_EBITDA" vbProcedure="false">Income_Statement!$C$30:$L$30</definedName>
    <definedName function="false" hidden="false" name="IS_Gross_Profit" vbProcedure="false">Income_Statement!$C$18:$L$18</definedName>
    <definedName function="false" hidden="false" name="IS_Interest" vbProcedure="false">Income_Statement!$C$38:$L$38</definedName>
    <definedName function="false" hidden="false" name="IS_Net_Income" vbProcedure="false">Income_Statement!$C$41:$L$41</definedName>
    <definedName function="false" hidden="false" name="IS_Tax" vbProcedure="false">Income_Statement!$C$40:$L$40</definedName>
    <definedName function="false" hidden="false" name="IS_Total_Dep" vbProcedure="false">Income_Statement!$C$35:$L$35</definedName>
    <definedName function="false" hidden="false" name="IS_Total_Opex" vbProcedure="false">Income_Statement!$C$28:$L$28</definedName>
    <definedName function="false" hidden="false" name="IS_Total_Rev" vbProcedure="false">Income_Statement!$C$13:$L$13</definedName>
    <definedName function="false" hidden="false" name="Leaseup_Yrs" vbProcedure="false">Assumptions!$C$16</definedName>
    <definedName function="false" hidden="false" name="Maint_Capex_Pct" vbProcedure="false">Assumptions!$C$31</definedName>
    <definedName function="false" hidden="false" name="Marketing_Pct" vbProcedure="false">Assumptions!$C$52</definedName>
    <definedName function="false" hidden="false" name="MEP_Cost_MW" vbProcedure="false">Assumptions!$C$9</definedName>
    <definedName function="false" hidden="false" name="MEP_Life" vbProcedure="false">Assumptions!$C$48</definedName>
    <definedName function="false" hidden="false" name="NRC_Per_MW" vbProcedure="false">Assumptions!$C$26</definedName>
    <definedName function="false" hidden="false" name="Opex_Escalation" vbProcedure="false">Assumptions!$C$32</definedName>
    <definedName function="false" hidden="false" name="OX_Compliance" vbProcedure="false">Opex!$C$21:$L$21</definedName>
    <definedName function="false" hidden="false" name="OX_Fac_Maint" vbProcedure="false">Opex!$C$13:$L$13</definedName>
    <definedName function="false" hidden="false" name="OX_Insurance" vbProcedure="false">Opex!$C$15:$L$15</definedName>
    <definedName function="false" hidden="false" name="OX_Marketing" vbProcedure="false">Opex!$C$20:$L$20</definedName>
    <definedName function="false" hidden="false" name="OX_Power_Cost" vbProcedure="false">Opex!$C$9:$L$9</definedName>
    <definedName function="false" hidden="false" name="OX_Prop_Tax" vbProcedure="false">Opex!$C$14:$L$14</definedName>
    <definedName function="false" hidden="false" name="OX_SGA" vbProcedure="false">Opex!$C$19:$L$19</definedName>
    <definedName function="false" hidden="false" name="OX_Staff" vbProcedure="false">Opex!$C$16:$L$16</definedName>
    <definedName function="false" hidden="false" name="OX_Total_Opex" vbProcedure="false">Opex!$C$23:$L$23</definedName>
    <definedName function="false" hidden="false" name="OX_Water" vbProcedure="false">Opex!$C$10:$L$10</definedName>
    <definedName function="false" hidden="false" name="P1_MEP_MW" vbProcedure="false">Assumptions!$C$11</definedName>
    <definedName function="false" hidden="false" name="P2_MEP_MW" vbProcedure="false">Assumptions!$C$12</definedName>
    <definedName function="false" hidden="false" name="P2_Start_Yr" vbProcedure="false">Assumptions!$C$13</definedName>
    <definedName function="false" hidden="false" name="Power_Markup" vbProcedure="false">Assumptions!$C$22</definedName>
    <definedName function="false" hidden="false" name="Prop_Tax_Ins_Pct" vbProcedure="false">Assumptions!$C$29</definedName>
    <definedName function="false" hidden="false" name="PUE_Ratio" vbProcedure="false">Assumptions!$C$20</definedName>
    <definedName function="false" hidden="false" name="Rent_Escalator" vbProcedure="false">Assumptions!$C$18</definedName>
    <definedName function="false" hidden="false" name="Rent_Per_KW" vbProcedure="false">Assumptions!$C$17</definedName>
    <definedName function="false" hidden="false" name="RT_Eq_Proc" vbProcedure="false">Returns!$C$14:$L$14</definedName>
    <definedName function="false" hidden="false" name="RT_Exit_Val" vbProcedure="false">Returns!$C$10:$L$10</definedName>
    <definedName function="false" hidden="false" name="RT_FWD_NOI" vbProcedure="false">Returns!$C$9:$L$9</definedName>
    <definedName function="false" hidden="false" name="RT_Lev_CF" vbProcedure="false">Returns!$C$22:$L$22</definedName>
    <definedName function="false" hidden="false" name="RT_Net_Proc" vbProcedure="false">Returns!$C$12:$L$12</definedName>
    <definedName function="false" hidden="false" name="RT_Unlev_CF" vbProcedure="false">Returns!$C$17:$L$17</definedName>
    <definedName function="false" hidden="false" name="RV_Billed_KW" vbProcedure="false">Revenue!$C$9:$L$9</definedName>
    <definedName function="false" hidden="false" name="RV_New_MW" vbProcedure="false">Revenue!$C$23:$L$23</definedName>
    <definedName function="false" hidden="false" name="RV_NRC_Rev" vbProcedure="false">Revenue!$C$24:$L$24</definedName>
    <definedName function="false" hidden="false" name="RV_Power_Cost" vbProcedure="false">Revenue!$C$15:$L$15</definedName>
    <definedName function="false" hidden="false" name="RV_Power_KWH" vbProcedure="false">Revenue!$C$14:$L$14</definedName>
    <definedName function="false" hidden="false" name="RV_Power_Rev" vbProcedure="false">Revenue!$C$16:$L$16</definedName>
    <definedName function="false" hidden="false" name="RV_Space_Rev" vbProcedure="false">Revenue!$C$11:$L$11</definedName>
    <definedName function="false" hidden="false" name="RV_Total_Rev" vbProcedure="false">Revenue!$C$26:$L$26</definedName>
    <definedName function="false" hidden="false" name="RV_XConn_Rev" vbProcedure="false">Revenue!$C$20:$L$20</definedName>
    <definedName function="false" hidden="false" name="Sell_Cost_Pct" vbProcedure="false">Assumptions!$C$41</definedName>
    <definedName function="false" hidden="false" name="SGA_Pct" vbProcedure="false">Assumptions!$C$30</definedName>
    <definedName function="false" hidden="false" name="Shell_Cost_MW" vbProcedure="false">Assumptions!$C$8</definedName>
    <definedName function="false" hidden="false" name="Shell_Life" vbProcedure="false">Assumptions!$C$47</definedName>
    <definedName function="false" hidden="false" name="Staff_Cost_MW" vbProcedure="false">Assumptions!$C$54</definedName>
    <definedName function="false" hidden="false" name="Target_Occ" vbProcedure="false">Assumptions!$C$15</definedName>
    <definedName function="false" hidden="false" name="Tax_Rate" vbProcedure="false">Assumptions!$C$39</definedName>
    <definedName function="false" hidden="false" name="Tech_Pct" vbProcedure="false">Assumptions!$C$51</definedName>
    <definedName function="false" hidden="false" name="WACC" vbProcedure="false">Assumptions!$C$42</definedName>
    <definedName function="false" hidden="false" name="Water_Pct" vbProcedure="false">Assumptions!$C$50</definedName>
    <definedName function="false" hidden="false" name="XConn_Fee" vbProcedure="false">Assumptions!$C$25</definedName>
    <definedName function="false" hidden="false" name="XConn_Per_MW" vbProcedure="false">Assumptions!$C$24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<sst xmlns="http://schemas.openxmlformats.org/spreadsheetml/2006/main" count="400" uniqueCount="325">
  <si>
    <t xml:space="preserve">Data Centre Investment Model</t>
  </si>
  <si>
    <t xml:space="preserve">FINAMODEL.com</t>
  </si>
  <si>
    <t xml:space="preserve">Development analysis</t>
  </si>
  <si>
    <t xml:space="preserve">Model Structure</t>
  </si>
  <si>
    <t xml:space="preserve">Cover</t>
  </si>
  <si>
    <t xml:space="preserve">Title and navigation</t>
  </si>
  <si>
    <t xml:space="preserve">Assumptions</t>
  </si>
  <si>
    <t xml:space="preserve">Model parameters</t>
  </si>
  <si>
    <t xml:space="preserve">Construction_Capex</t>
  </si>
  <si>
    <t xml:space="preserve">Build-out &amp; depreciation</t>
  </si>
  <si>
    <t xml:space="preserve">Capacity_Ramp</t>
  </si>
  <si>
    <t xml:space="preserve">Occupancy schedule</t>
  </si>
  <si>
    <t xml:space="preserve">Revenue</t>
  </si>
  <si>
    <t xml:space="preserve">Revenue build</t>
  </si>
  <si>
    <t xml:space="preserve">Opex</t>
  </si>
  <si>
    <t xml:space="preserve">Operating costs</t>
  </si>
  <si>
    <t xml:space="preserve">Debt_Schedule</t>
  </si>
  <si>
    <t xml:space="preserve">Financing &amp; debt service</t>
  </si>
  <si>
    <t xml:space="preserve">Income_Statement</t>
  </si>
  <si>
    <t xml:space="preserve">Profit and loss</t>
  </si>
  <si>
    <t xml:space="preserve">Cash_Flow</t>
  </si>
  <si>
    <t xml:space="preserve">Cash flow statement</t>
  </si>
  <si>
    <t xml:space="preserve">Balance_Sheet</t>
  </si>
  <si>
    <t xml:space="preserve">Financial position</t>
  </si>
  <si>
    <t xml:space="preserve">Returns</t>
  </si>
  <si>
    <t xml:space="preserve">IRR &amp; valuation</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</si>
  <si>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</si>
  <si>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</si>
  <si>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</si>
  <si>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</si>
  <si>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</si>
  <si>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</si>
  <si>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</si>
  <si>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&amp; capacity</t>
  </si>
  <si>
    <t xml:space="preserve">Orange</t>
  </si>
  <si>
    <t xml:space="preserve">Cost &amp; capex</t>
  </si>
  <si>
    <t xml:space="preserve">Red</t>
  </si>
  <si>
    <t xml:space="preserve">Debt / Risk / Checks</t>
  </si>
  <si>
    <t xml:space="preserve">Grey</t>
  </si>
  <si>
    <t xml:space="preserve">Summary / Output</t>
  </si>
  <si>
    <t xml:space="preserve">About this model</t>
  </si>
  <si>
    <t xml:space="preserve">This data centre investment model evaluates the acquisition and development of a data centre facility as a core/core+ infrastructure investment. It models facility acquisition at a purchase price, lease-up from opening occupancy through stabilised occupancy across wholesale and retail customer segments, annual revenue ramps with pricing escalation, and capex phasing for power expansion tied to utilisation triggers. The model projects stabilised net operating income (NOI) and applies an exit cap rate to calculate terminal value. It includes permanent debt financing (agency or institutional lender), debt service coverage ratio (DSCR) covenants, and levered cash flow to equity including distributions and exit proceeds.
The model includes a construction and lease-up phase showing acquisition capex, power infrastructure additions during ramp, and partial-year revenue recognition. Operating phase shows annual revenue (space, power, interconnection), operating expenses (facility staff, property taxes, insurance, maintenance capex), and NOI. A debt schedule shows acquisition financing, ongoing debt service, and DSCR testing. A waterfall distributes operating cash flow and exit proceeds to investors after debt service. Returns sheets calculate unlevered IRR (project IRR), levered IRR (equity IRR), equity multiple, yield on cost, and going-in/exit cap rate spreads.
This model is used by large infrastructure funds (Equinix, Digital Realty, Blackstone Infrastructure, etc.) evaluating data centre portfolio acquisitions and expansions; lenders financing core+ and value-add data centre investments; and equity sponsors assessing return potential and downside scenarios. It is essential for any institutional investor in the data centre space where long-term leases, capital intensity, and ESG considerations (power, water, cooling) shape investment decisions.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</si>
  <si>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</si>
  <si>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</si>
  <si>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</si>
  <si>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</si>
  <si>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</si>
  <si>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</si>
  <si>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</si>
  <si>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</si>
  <si>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</si>
  <si>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</si>
  <si>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</si>
  <si>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</si>
  <si>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</si>
  <si>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</si>
  <si>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</si>
  <si>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</si>
  <si>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</si>
  <si>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</si>
  <si>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</si>
  <si>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</si>
  <si>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</si>
  <si>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</si>
  <si>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</si>
  <si>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</si>
  <si>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</si>
  <si>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</si>
  <si>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Facility &amp; Construction</t>
  </si>
  <si>
    <t xml:space="preserve">Total Capacity</t>
  </si>
  <si>
    <t xml:space="preserve">MW</t>
  </si>
  <si>
    <t xml:space="preserve">Full build-out capacity</t>
  </si>
  <si>
    <t xml:space="preserve">Shell Cost per MW</t>
  </si>
  <si>
    <t xml:space="preserve">$/MW</t>
  </si>
  <si>
    <t xml:space="preserve">Land, structure, site works</t>
  </si>
  <si>
    <t xml:space="preserve">MEP Cost per MW</t>
  </si>
  <si>
    <t xml:space="preserve">Generators, UPS, cooling</t>
  </si>
  <si>
    <t xml:space="preserve">Construction Period</t>
  </si>
  <si>
    <t xml:space="preserve">Years</t>
  </si>
  <si>
    <t xml:space="preserve">Shell build duration</t>
  </si>
  <si>
    <t xml:space="preserve">Phase 1 MEP</t>
  </si>
  <si>
    <t xml:space="preserve">First MEP fit-out</t>
  </si>
  <si>
    <t xml:space="preserve">Phase 2 MEP</t>
  </si>
  <si>
    <t xml:space="preserve">Second MEP fit-out</t>
  </si>
  <si>
    <t xml:space="preserve">Phase 2 Start Year</t>
  </si>
  <si>
    <t xml:space="preserve">Year</t>
  </si>
  <si>
    <t xml:space="preserve">Year phase 2 MEP begins</t>
  </si>
  <si>
    <t xml:space="preserve">Leasing</t>
  </si>
  <si>
    <t xml:space="preserve">Target Occupancy</t>
  </si>
  <si>
    <t xml:space="preserve">%</t>
  </si>
  <si>
    <t xml:space="preserve">Stabilised occupancy</t>
  </si>
  <si>
    <t xml:space="preserve">Lease-Up Period</t>
  </si>
  <si>
    <t xml:space="preserve">Ramp to target occupancy</t>
  </si>
  <si>
    <t xml:space="preserve">Rent per kW</t>
  </si>
  <si>
    <t xml:space="preserve">$/kW/mo</t>
  </si>
  <si>
    <t xml:space="preserve">Blended colocation rate</t>
  </si>
  <si>
    <t xml:space="preserve">Rent Escalator</t>
  </si>
  <si>
    <t xml:space="preserve">%/yr</t>
  </si>
  <si>
    <t xml:space="preserve">Annual contractual bump</t>
  </si>
  <si>
    <t xml:space="preserve">Power</t>
  </si>
  <si>
    <t xml:space="preserve">PUE</t>
  </si>
  <si>
    <t xml:space="preserve">Ratio</t>
  </si>
  <si>
    <t xml:space="preserve">Power Usage Effectiveness</t>
  </si>
  <si>
    <t xml:space="preserve">Electricity Rate</t>
  </si>
  <si>
    <t xml:space="preserve">$/kWh</t>
  </si>
  <si>
    <t xml:space="preserve">Utility rate</t>
  </si>
  <si>
    <t xml:space="preserve">Power Markup</t>
  </si>
  <si>
    <t xml:space="preserve">Margin on pass-through</t>
  </si>
  <si>
    <t xml:space="preserve">Interconnection</t>
  </si>
  <si>
    <t xml:space="preserve">Cross-Connects / MW</t>
  </si>
  <si>
    <t xml:space="preserve">Count</t>
  </si>
  <si>
    <t xml:space="preserve">Per MW of leased capacity</t>
  </si>
  <si>
    <t xml:space="preserve">Cross-Connect Fee</t>
  </si>
  <si>
    <t xml:space="preserve">$/mo</t>
  </si>
  <si>
    <t xml:space="preserve">Per cross-connect</t>
  </si>
  <si>
    <t xml:space="preserve">NRC per MW Leased</t>
  </si>
  <si>
    <t xml:space="preserve">One-time setup per MW</t>
  </si>
  <si>
    <t xml:space="preserve">Operating Expenses</t>
  </si>
  <si>
    <t xml:space="preserve">Facility Opex / MW</t>
  </si>
  <si>
    <t xml:space="preserve">$/MW/yr</t>
  </si>
  <si>
    <t xml:space="preserve">Maintenance, security, staff</t>
  </si>
  <si>
    <t xml:space="preserve">Property Tax &amp; Ins</t>
  </si>
  <si>
    <t xml:space="preserve">% Capex</t>
  </si>
  <si>
    <t xml:space="preserve">Annual property costs</t>
  </si>
  <si>
    <t xml:space="preserve">SG&amp;A</t>
  </si>
  <si>
    <t xml:space="preserve">% Rev</t>
  </si>
  <si>
    <t xml:space="preserve">Corporate overhead</t>
  </si>
  <si>
    <t xml:space="preserve">Maintenance Capex</t>
  </si>
  <si>
    <t xml:space="preserve">Ongoing replacement</t>
  </si>
  <si>
    <t xml:space="preserve">Opex Escalation</t>
  </si>
  <si>
    <t xml:space="preserve">Annual cost inflation</t>
  </si>
  <si>
    <t xml:space="preserve">Financing</t>
  </si>
  <si>
    <t xml:space="preserve">Debt / Capital</t>
  </si>
  <si>
    <t xml:space="preserve">Loan to cost ratio</t>
  </si>
  <si>
    <t xml:space="preserve">Interest Rate</t>
  </si>
  <si>
    <t xml:space="preserve">Annual rate</t>
  </si>
  <si>
    <t xml:space="preserve">Amort Term</t>
  </si>
  <si>
    <t xml:space="preserve">Amortisation period</t>
  </si>
  <si>
    <t xml:space="preserve">IO Period</t>
  </si>
  <si>
    <t xml:space="preserve">Interest-only years</t>
  </si>
  <si>
    <t xml:space="preserve">Tax &amp; Valuation</t>
  </si>
  <si>
    <t xml:space="preserve">Tax Rate</t>
  </si>
  <si>
    <t xml:space="preserve">Corporate tax</t>
  </si>
  <si>
    <t xml:space="preserve">Exit Cap Rate</t>
  </si>
  <si>
    <t xml:space="preserve">Terminal valuation</t>
  </si>
  <si>
    <t xml:space="preserve">Selling Costs</t>
  </si>
  <si>
    <t xml:space="preserve">Broker, legal at exit</t>
  </si>
  <si>
    <t xml:space="preserve">Discount Rate</t>
  </si>
  <si>
    <t xml:space="preserve">WACC for NPV</t>
  </si>
  <si>
    <t xml:space="preserve">Working Capital</t>
  </si>
  <si>
    <t xml:space="preserve">DSO</t>
  </si>
  <si>
    <t xml:space="preserve">Days</t>
  </si>
  <si>
    <t xml:space="preserve">Days sales outstanding</t>
  </si>
  <si>
    <t xml:space="preserve">DPO</t>
  </si>
  <si>
    <t xml:space="preserve">Days payable outstanding</t>
  </si>
  <si>
    <t xml:space="preserve">Depreciation</t>
  </si>
  <si>
    <t xml:space="preserve">Shell Useful Life</t>
  </si>
  <si>
    <t xml:space="preserve">Core &amp; shell depreciation</t>
  </si>
  <si>
    <t xml:space="preserve">MEP Useful Life</t>
  </si>
  <si>
    <t xml:space="preserve">Mechanical/electrical</t>
  </si>
  <si>
    <t xml:space="preserve">Additional Opex Drivers</t>
  </si>
  <si>
    <t xml:space="preserve">Water % of Power</t>
  </si>
  <si>
    <t xml:space="preserve">Cooling water cost</t>
  </si>
  <si>
    <t xml:space="preserve">Technology % Rev</t>
  </si>
  <si>
    <t xml:space="preserve">DCIM &amp; systems</t>
  </si>
  <si>
    <t xml:space="preserve">Marketing % Rev</t>
  </si>
  <si>
    <t xml:space="preserve">Sales &amp; marketing</t>
  </si>
  <si>
    <t xml:space="preserve">Compliance % Rev</t>
  </si>
  <si>
    <t xml:space="preserve">SOC, ISO, PCI audits</t>
  </si>
  <si>
    <t xml:space="preserve">Staff Cost / MW</t>
  </si>
  <si>
    <t xml:space="preserve">Site engineers &amp; security</t>
  </si>
  <si>
    <t xml:space="preserve">Construction &amp; Capex</t>
  </si>
  <si>
    <t xml:space="preserve">Build-out schedule</t>
  </si>
  <si>
    <t xml:space="preserve">Year Number</t>
  </si>
  <si>
    <t xml:space="preserve">Shell Build</t>
  </si>
  <si>
    <t xml:space="preserve">Shell MW Built</t>
  </si>
  <si>
    <t xml:space="preserve">Shell Cost</t>
  </si>
  <si>
    <t xml:space="preserve">Phase 1 MEP Fit-Out</t>
  </si>
  <si>
    <t xml:space="preserve">P1 MEP MW</t>
  </si>
  <si>
    <t xml:space="preserve">P1 MEP Cost</t>
  </si>
  <si>
    <t xml:space="preserve">Phase 2 MEP Fit-Out</t>
  </si>
  <si>
    <t xml:space="preserve">P2 MEP MW</t>
  </si>
  <si>
    <t xml:space="preserve">P2 MEP Cost</t>
  </si>
  <si>
    <t xml:space="preserve">Totals</t>
  </si>
  <si>
    <t xml:space="preserve">Total MEP Cost</t>
  </si>
  <si>
    <t xml:space="preserve">TOTAL CAPEX</t>
  </si>
  <si>
    <t xml:space="preserve">Cumulative Capex</t>
  </si>
  <si>
    <t xml:space="preserve">Shell Depreciation</t>
  </si>
  <si>
    <t xml:space="preserve">MEP Depreciation</t>
  </si>
  <si>
    <t xml:space="preserve">Total Depreciation</t>
  </si>
  <si>
    <t xml:space="preserve">Cumulative Depr</t>
  </si>
  <si>
    <t xml:space="preserve">Net PP&amp;E</t>
  </si>
  <si>
    <t xml:space="preserve">Capacity &amp; Ramp</t>
  </si>
  <si>
    <t xml:space="preserve">Available Capacity</t>
  </si>
  <si>
    <t xml:space="preserve">Phase 1 MW</t>
  </si>
  <si>
    <t xml:space="preserve">Phase 2 MW</t>
  </si>
  <si>
    <t xml:space="preserve">Total MW Online</t>
  </si>
  <si>
    <t xml:space="preserve">Total kW Online</t>
  </si>
  <si>
    <t xml:space="preserve">Occupancy</t>
  </si>
  <si>
    <t xml:space="preserve">P1 Occupancy %</t>
  </si>
  <si>
    <t xml:space="preserve">P2 Occupancy %</t>
  </si>
  <si>
    <t xml:space="preserve">Billed IT Load (kW)</t>
  </si>
  <si>
    <t xml:space="preserve">Overall Occupancy</t>
  </si>
  <si>
    <t xml:space="preserve">Revenue Build</t>
  </si>
  <si>
    <t xml:space="preserve">Revenue projections</t>
  </si>
  <si>
    <t xml:space="preserve">Space Rent</t>
  </si>
  <si>
    <t xml:space="preserve">Billed kW</t>
  </si>
  <si>
    <t xml:space="preserve">Rent per kW/mo</t>
  </si>
  <si>
    <t xml:space="preserve">Space Rent Revenue</t>
  </si>
  <si>
    <t xml:space="preserve">Power Revenue</t>
  </si>
  <si>
    <t xml:space="preserve">Power (kWh)</t>
  </si>
  <si>
    <t xml:space="preserve">Power Cost</t>
  </si>
  <si>
    <t xml:space="preserve">Cross-Connects</t>
  </si>
  <si>
    <t xml:space="preserve">Interconnect Revenue</t>
  </si>
  <si>
    <t xml:space="preserve">Non-Recurring</t>
  </si>
  <si>
    <t xml:space="preserve">New MW Leased</t>
  </si>
  <si>
    <t xml:space="preserve">NRC Revenue</t>
  </si>
  <si>
    <t xml:space="preserve">TOTAL REVENUE</t>
  </si>
  <si>
    <t xml:space="preserve">Cost schedule</t>
  </si>
  <si>
    <t xml:space="preserve">Direct Costs</t>
  </si>
  <si>
    <t xml:space="preserve">Electricity Cost</t>
  </si>
  <si>
    <t xml:space="preserve">Water / Cooling</t>
  </si>
  <si>
    <t xml:space="preserve">Facility Costs</t>
  </si>
  <si>
    <t xml:space="preserve">Facility Maintenance</t>
  </si>
  <si>
    <t xml:space="preserve">DCIM &amp; Technology</t>
  </si>
  <si>
    <t xml:space="preserve">Site Staff</t>
  </si>
  <si>
    <t xml:space="preserve">Corporate Costs</t>
  </si>
  <si>
    <t xml:space="preserve">Marketing</t>
  </si>
  <si>
    <t xml:space="preserve">Compliance</t>
  </si>
  <si>
    <t xml:space="preserve">TOTAL OPEX</t>
  </si>
  <si>
    <t xml:space="preserve">Debt Schedule</t>
  </si>
  <si>
    <t xml:space="preserve">Financing terms</t>
  </si>
  <si>
    <t xml:space="preserve">Loan Sizing</t>
  </si>
  <si>
    <t xml:space="preserve">Total Project Cost</t>
  </si>
  <si>
    <t xml:space="preserve">Total Debt Facility</t>
  </si>
  <si>
    <t xml:space="preserve">Debt Walk</t>
  </si>
  <si>
    <t xml:space="preserve">Opening Balance</t>
  </si>
  <si>
    <t xml:space="preserve">Drawdowns</t>
  </si>
  <si>
    <t xml:space="preserve">IDC Capitalised</t>
  </si>
  <si>
    <t xml:space="preserve">Principal Repaid</t>
  </si>
  <si>
    <t xml:space="preserve">Closing Balance</t>
  </si>
  <si>
    <t xml:space="preserve">Interest</t>
  </si>
  <si>
    <t xml:space="preserve">Gross Interest</t>
  </si>
  <si>
    <t xml:space="preserve">Less: IDC</t>
  </si>
  <si>
    <t xml:space="preserve">P&amp;L Interest</t>
  </si>
  <si>
    <t xml:space="preserve">Covenants</t>
  </si>
  <si>
    <t xml:space="preserve">DSCR</t>
  </si>
  <si>
    <t xml:space="preserve">LTV</t>
  </si>
  <si>
    <t xml:space="preserve">Income Statement</t>
  </si>
  <si>
    <t xml:space="preserve">Total Revenue</t>
  </si>
  <si>
    <t xml:space="preserve">Cost of Revenue</t>
  </si>
  <si>
    <t xml:space="preserve">Gross Profit</t>
  </si>
  <si>
    <t xml:space="preserve">Gross Margin</t>
  </si>
  <si>
    <t xml:space="preserve">Technology &amp; Marketing</t>
  </si>
  <si>
    <t xml:space="preserve">Total Opex</t>
  </si>
  <si>
    <t xml:space="preserve">EBITDA</t>
  </si>
  <si>
    <t xml:space="preserve">EBITDA Margin</t>
  </si>
  <si>
    <t xml:space="preserve">EBIT</t>
  </si>
  <si>
    <t xml:space="preserve">Interest Expense</t>
  </si>
  <si>
    <t xml:space="preserve">EBT</t>
  </si>
  <si>
    <t xml:space="preserve">Tax</t>
  </si>
  <si>
    <t xml:space="preserve">NET INCOME</t>
  </si>
  <si>
    <t xml:space="preserve">Net Margin</t>
  </si>
  <si>
    <t xml:space="preserve">Cash Flow Statement</t>
  </si>
  <si>
    <t xml:space="preserve">Indirect method</t>
  </si>
  <si>
    <t xml:space="preserve">Cash from Operations</t>
  </si>
  <si>
    <t xml:space="preserve">Net Income</t>
  </si>
  <si>
    <t xml:space="preserve">Add: Depreciation</t>
  </si>
  <si>
    <t xml:space="preserve">AR Level</t>
  </si>
  <si>
    <t xml:space="preserve">Change in AR</t>
  </si>
  <si>
    <t xml:space="preserve">AP Level</t>
  </si>
  <si>
    <t xml:space="preserve">Change in AP</t>
  </si>
  <si>
    <t xml:space="preserve">Total CFO</t>
  </si>
  <si>
    <t xml:space="preserve">Cash from Investing</t>
  </si>
  <si>
    <t xml:space="preserve">Growth Capex</t>
  </si>
  <si>
    <t xml:space="preserve">Total CFI</t>
  </si>
  <si>
    <t xml:space="preserve">Cash from Financing</t>
  </si>
  <si>
    <t xml:space="preserve">Equity Injection</t>
  </si>
  <si>
    <t xml:space="preserve">Debt Drawdowns</t>
  </si>
  <si>
    <t xml:space="preserve">Debt Repayment</t>
  </si>
  <si>
    <t xml:space="preserve">Total CFF</t>
  </si>
  <si>
    <t xml:space="preserve">Net Cash Change</t>
  </si>
  <si>
    <t xml:space="preserve">Opening Cash</t>
  </si>
  <si>
    <t xml:space="preserve">CLOSING CASH</t>
  </si>
  <si>
    <t xml:space="preserve">Balance Sheet</t>
  </si>
  <si>
    <t xml:space="preserve">Assets</t>
  </si>
  <si>
    <t xml:space="preserve">Cash</t>
  </si>
  <si>
    <t xml:space="preserve">Accounts Receivable</t>
  </si>
  <si>
    <t xml:space="preserve">Gross PP&amp;E</t>
  </si>
  <si>
    <t xml:space="preserve">Accum Depreciation</t>
  </si>
  <si>
    <t xml:space="preserve">TOTAL ASSETS</t>
  </si>
  <si>
    <t xml:space="preserve">Liabilities</t>
  </si>
  <si>
    <t xml:space="preserve">Accounts Payable</t>
  </si>
  <si>
    <t xml:space="preserve">Debt</t>
  </si>
  <si>
    <t xml:space="preserve">Total Liabilities</t>
  </si>
  <si>
    <t xml:space="preserve">Equity</t>
  </si>
  <si>
    <t xml:space="preserve">Share Capital</t>
  </si>
  <si>
    <t xml:space="preserve">Retained Earnings</t>
  </si>
  <si>
    <t xml:space="preserve">Total Equity</t>
  </si>
  <si>
    <t xml:space="preserve">TOTAL L&amp;E</t>
  </si>
  <si>
    <t xml:space="preserve">BS CHECK</t>
  </si>
  <si>
    <t xml:space="preserve">Returns &amp; Valuation</t>
  </si>
  <si>
    <t xml:space="preserve">IRR and NPV</t>
  </si>
  <si>
    <t xml:space="preserve">Exit Valuation</t>
  </si>
  <si>
    <t xml:space="preserve">NOI</t>
  </si>
  <si>
    <t xml:space="preserve">Exit Value</t>
  </si>
  <si>
    <t xml:space="preserve">Net Proceeds</t>
  </si>
  <si>
    <t xml:space="preserve">Less: Debt Payoff</t>
  </si>
  <si>
    <t xml:space="preserve">Equity Proceeds</t>
  </si>
  <si>
    <t xml:space="preserve">Unlevered Returns</t>
  </si>
  <si>
    <t xml:space="preserve">Unlevered FCF</t>
  </si>
  <si>
    <t xml:space="preserve">Unlevered IRR</t>
  </si>
  <si>
    <t xml:space="preserve">Unlevered NPV</t>
  </si>
  <si>
    <t xml:space="preserve">Levered Returns</t>
  </si>
  <si>
    <t xml:space="preserve">Levered CF</t>
  </si>
  <si>
    <t xml:space="preserve">Levered IRR</t>
  </si>
  <si>
    <t xml:space="preserve">Equity Multiple</t>
  </si>
  <si>
    <t xml:space="preserve">Validation Checks</t>
  </si>
  <si>
    <t xml:space="preserve">Model integrity</t>
  </si>
  <si>
    <t xml:space="preserve">BS Balance</t>
  </si>
  <si>
    <t xml:space="preserve">Capacity</t>
  </si>
  <si>
    <t xml:space="preserve">PUE &gt; 1.0</t>
  </si>
  <si>
    <t xml:space="preserve">DSCR &gt;= 1.25x</t>
  </si>
  <si>
    <t xml:space="preserve">Capex / MW</t>
  </si>
  <si>
    <t xml:space="preserve">Cash &gt;= 0</t>
  </si>
</sst>
</file>

<file path=xl/styles.xml><?xml version="1.0" encoding="utf-8"?>
<styleSheet xmlns="http://schemas.openxmlformats.org/spreadsheetml/2006/main">
  <numFmts count="8">
    <numFmt numFmtId="164" formatCode="General"/>
    <numFmt numFmtId="165" formatCode="#,##0.00"/>
    <numFmt numFmtId="166" formatCode="0.00%"/>
    <numFmt numFmtId="167" formatCode="0.00"/>
    <numFmt numFmtId="168" formatCode="0"/>
    <numFmt numFmtId="169" formatCode="\$#,##0.00"/>
    <numFmt numFmtId="170" formatCode="0.00\x"/>
    <numFmt numFmtId="171" formatCode="@"/>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
      <b val="true"/>
      <sz val="11"/>
      <color rgb="FF0061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ED7D31"/>
        <bgColor rgb="FFFF8080"/>
      </patternFill>
    </fill>
    <fill>
      <patternFill patternType="solid">
        <fgColor rgb="FF70AD47"/>
        <bgColor rgb="FF99CC0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8" fontId="16" fillId="9" borderId="0" xfId="0" applyFont="true" applyBorder="false" applyAlignment="true" applyProtection="false">
      <alignment horizontal="center" vertical="center" textRotation="0" wrapText="false" indent="0" shrinkToFit="false"/>
      <protection locked="true" hidden="false"/>
    </xf>
    <xf numFmtId="168" fontId="1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71" fontId="22"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1"/>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26</v>
      </c>
      <c r="C18" s="8" t="s">
        <v>27</v>
      </c>
      <c r="D18" s="13"/>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29</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2"/>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34</v>
      </c>
      <c r="C25" s="8" t="s">
        <v>35</v>
      </c>
      <c r="D25" s="11"/>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36</v>
      </c>
      <c r="C26" s="8" t="s">
        <v>37</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38</v>
      </c>
      <c r="C27" s="8" t="s">
        <v>39</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40</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258.75" hidden="false" customHeight="true" outlineLevel="0" collapsed="false">
      <c r="A31" s="5"/>
      <c r="B31" s="17" t="s">
        <v>41</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42</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43</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44</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45</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263</v>
      </c>
      <c r="C2" s="5"/>
      <c r="D2" s="5"/>
      <c r="E2" s="5"/>
      <c r="F2" s="5"/>
      <c r="G2" s="5"/>
      <c r="H2" s="5"/>
      <c r="I2" s="5"/>
      <c r="J2" s="5"/>
      <c r="K2" s="5"/>
      <c r="L2" s="5"/>
    </row>
    <row r="3" customFormat="false" ht="15" hidden="false" customHeight="false" outlineLevel="0" collapsed="false">
      <c r="A3" s="5"/>
      <c r="B3" s="8" t="s">
        <v>264</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265</v>
      </c>
      <c r="C8" s="16"/>
      <c r="D8" s="16"/>
      <c r="E8" s="16"/>
      <c r="F8" s="16"/>
      <c r="G8" s="16"/>
      <c r="H8" s="16"/>
      <c r="I8" s="16"/>
      <c r="J8" s="16"/>
      <c r="K8" s="16"/>
      <c r="L8" s="16"/>
    </row>
    <row r="9" customFormat="false" ht="15" hidden="false" customHeight="false" outlineLevel="0" collapsed="false">
      <c r="A9" s="5"/>
      <c r="B9" s="39" t="s">
        <v>266</v>
      </c>
      <c r="C9" s="41" t="n">
        <f aca="false">IS_Net_Income</f>
        <v>-1900000</v>
      </c>
      <c r="D9" s="41" t="n">
        <f aca="false">IS_Net_Income</f>
        <v>-3850000</v>
      </c>
      <c r="E9" s="41" t="n">
        <f aca="false">IS_Net_Income</f>
        <v>-7713934.81971154</v>
      </c>
      <c r="F9" s="41" t="n">
        <f aca="false">IS_Net_Income</f>
        <v>-2597271.26502405</v>
      </c>
      <c r="G9" s="41" t="n">
        <f aca="false">IS_Net_Income</f>
        <v>-4003208.93406718</v>
      </c>
      <c r="H9" s="41" t="n">
        <f aca="false">IS_Net_Income</f>
        <v>-595300.051179704</v>
      </c>
      <c r="I9" s="41" t="n">
        <f aca="false">IS_Net_Income</f>
        <v>5246240.80156027</v>
      </c>
      <c r="J9" s="41" t="n">
        <f aca="false">IS_Net_Income</f>
        <v>5655856.30298499</v>
      </c>
      <c r="K9" s="41" t="n">
        <f aca="false">IS_Net_Income</f>
        <v>6236361.6349796</v>
      </c>
      <c r="L9" s="41" t="n">
        <f aca="false">IS_Net_Income</f>
        <v>6841615.85652514</v>
      </c>
    </row>
    <row r="10" customFormat="false" ht="15" hidden="false" customHeight="false" outlineLevel="0" collapsed="false">
      <c r="A10" s="5"/>
      <c r="B10" s="39" t="s">
        <v>267</v>
      </c>
      <c r="C10" s="41" t="n">
        <f aca="false">IS_Total_Dep</f>
        <v>0</v>
      </c>
      <c r="D10" s="41" t="n">
        <f aca="false">IS_Total_Dep</f>
        <v>0</v>
      </c>
      <c r="E10" s="41" t="n">
        <f aca="false">IS_Total_Dep</f>
        <v>5538461.53846154</v>
      </c>
      <c r="F10" s="41" t="n">
        <f aca="false">IS_Total_Dep</f>
        <v>5538461.53846154</v>
      </c>
      <c r="G10" s="41" t="n">
        <f aca="false">IS_Total_Dep</f>
        <v>5538461.53846154</v>
      </c>
      <c r="H10" s="41" t="n">
        <f aca="false">IS_Total_Dep</f>
        <v>9538461.53846154</v>
      </c>
      <c r="I10" s="41" t="n">
        <f aca="false">IS_Total_Dep</f>
        <v>9538461.53846154</v>
      </c>
      <c r="J10" s="41" t="n">
        <f aca="false">IS_Total_Dep</f>
        <v>9538461.53846154</v>
      </c>
      <c r="K10" s="41" t="n">
        <f aca="false">IS_Total_Dep</f>
        <v>9538461.53846154</v>
      </c>
      <c r="L10" s="41" t="n">
        <f aca="false">IS_Total_Dep</f>
        <v>9538461.53846154</v>
      </c>
    </row>
    <row r="11" customFormat="false" ht="15" hidden="false" customHeight="false" outlineLevel="0" collapsed="false">
      <c r="A11" s="5"/>
      <c r="B11" s="49" t="s">
        <v>268</v>
      </c>
      <c r="C11" s="50" t="n">
        <f aca="false">RV_Total_Rev*DSO_Days/365</f>
        <v>0</v>
      </c>
      <c r="D11" s="50" t="n">
        <f aca="false">RV_Total_Rev*DSO_Days/365</f>
        <v>0</v>
      </c>
      <c r="E11" s="50" t="n">
        <f aca="false">RV_Total_Rev*DSO_Days/365</f>
        <v>1331031.42123288</v>
      </c>
      <c r="F11" s="50" t="n">
        <f aca="false">RV_Total_Rev*DSO_Days/365</f>
        <v>2677209.00256849</v>
      </c>
      <c r="G11" s="50" t="n">
        <f aca="false">RV_Total_Rev*DSO_Days/365</f>
        <v>2693273.20023544</v>
      </c>
      <c r="H11" s="50" t="n">
        <f aca="false">RV_Total_Rev*DSO_Days/365</f>
        <v>4119355.93577295</v>
      </c>
      <c r="I11" s="50" t="n">
        <f aca="false">RV_Total_Rev*DSO_Days/365</f>
        <v>5564372.88391254</v>
      </c>
      <c r="J11" s="50" t="n">
        <f aca="false">RV_Total_Rev*DSO_Days/365</f>
        <v>5623864.87724323</v>
      </c>
      <c r="K11" s="50" t="n">
        <f aca="false">RV_Total_Rev*DSO_Days/365</f>
        <v>5706958.89643458</v>
      </c>
      <c r="L11" s="50" t="n">
        <f aca="false">RV_Total_Rev*DSO_Days/365</f>
        <v>5792130.26610572</v>
      </c>
    </row>
    <row r="12" customFormat="false" ht="15" hidden="false" customHeight="false" outlineLevel="0" collapsed="false">
      <c r="A12" s="5"/>
      <c r="B12" s="39" t="s">
        <v>269</v>
      </c>
      <c r="C12" s="41" t="n">
        <f aca="false">-C11</f>
        <v>-0</v>
      </c>
      <c r="D12" s="41" t="n">
        <f aca="false">-(D11-C11)</f>
        <v>-0</v>
      </c>
      <c r="E12" s="41" t="n">
        <f aca="false">-(E11-D11)</f>
        <v>-1331031.42123288</v>
      </c>
      <c r="F12" s="41" t="n">
        <f aca="false">-(F11-E11)</f>
        <v>-1346177.58133562</v>
      </c>
      <c r="G12" s="41" t="n">
        <f aca="false">-(G11-F11)</f>
        <v>-16064.1976669519</v>
      </c>
      <c r="H12" s="41" t="n">
        <f aca="false">-(H11-G11)</f>
        <v>-1426082.73553751</v>
      </c>
      <c r="I12" s="41" t="n">
        <f aca="false">-(I11-H11)</f>
        <v>-1445016.94813958</v>
      </c>
      <c r="J12" s="41" t="n">
        <f aca="false">-(J11-I11)</f>
        <v>-59491.993330691</v>
      </c>
      <c r="K12" s="41" t="n">
        <f aca="false">-(K11-J11)</f>
        <v>-83094.0191913536</v>
      </c>
      <c r="L12" s="41" t="n">
        <f aca="false">-(L11-K11)</f>
        <v>-85171.369671138</v>
      </c>
    </row>
    <row r="13" customFormat="false" ht="15" hidden="false" customHeight="false" outlineLevel="0" collapsed="false">
      <c r="A13" s="5"/>
      <c r="B13" s="49" t="s">
        <v>270</v>
      </c>
      <c r="C13" s="50" t="n">
        <f aca="false">OX_Total_Opex*DPO_Days/365</f>
        <v>260273.97260274</v>
      </c>
      <c r="D13" s="50" t="n">
        <f aca="false">OX_Total_Opex*DPO_Days/365</f>
        <v>527397.260273973</v>
      </c>
      <c r="E13" s="50" t="n">
        <f aca="false">OX_Total_Opex*DPO_Days/365</f>
        <v>1537551.99058219</v>
      </c>
      <c r="F13" s="50" t="n">
        <f aca="false">OX_Total_Opex*DPO_Days/365</f>
        <v>2759750.00535103</v>
      </c>
      <c r="G13" s="50" t="n">
        <f aca="false">OX_Total_Opex*DPO_Days/365</f>
        <v>2986533.6377622</v>
      </c>
      <c r="H13" s="50" t="n">
        <f aca="false">OX_Total_Opex*DPO_Days/365</f>
        <v>4021761.99363729</v>
      </c>
      <c r="I13" s="50" t="n">
        <f aca="false">OX_Total_Opex*DPO_Days/365</f>
        <v>5060749.47701884</v>
      </c>
      <c r="J13" s="50" t="n">
        <f aca="false">OX_Total_Opex*DPO_Days/365</f>
        <v>5087259.25846486</v>
      </c>
      <c r="K13" s="50" t="n">
        <f aca="false">OX_Total_Opex*DPO_Days/365</f>
        <v>5118380.84266621</v>
      </c>
      <c r="L13" s="50" t="n">
        <f aca="false">OX_Total_Opex*DPO_Days/365</f>
        <v>5150280.46647259</v>
      </c>
    </row>
    <row r="14" customFormat="false" ht="15" hidden="false" customHeight="false" outlineLevel="0" collapsed="false">
      <c r="A14" s="5"/>
      <c r="B14" s="39" t="s">
        <v>271</v>
      </c>
      <c r="C14" s="41" t="n">
        <f aca="false">C13</f>
        <v>260273.97260274</v>
      </c>
      <c r="D14" s="41" t="n">
        <f aca="false">D13-C13</f>
        <v>267123.287671233</v>
      </c>
      <c r="E14" s="41" t="n">
        <f aca="false">E13-D13</f>
        <v>1010154.73030822</v>
      </c>
      <c r="F14" s="41" t="n">
        <f aca="false">F13-E13</f>
        <v>1222198.01476884</v>
      </c>
      <c r="G14" s="41" t="n">
        <f aca="false">G13-F13</f>
        <v>226783.632411173</v>
      </c>
      <c r="H14" s="41" t="n">
        <f aca="false">H13-G13</f>
        <v>1035228.35587509</v>
      </c>
      <c r="I14" s="41" t="n">
        <f aca="false">I13-H13</f>
        <v>1038987.48338155</v>
      </c>
      <c r="J14" s="41" t="n">
        <f aca="false">J13-I13</f>
        <v>26509.7814460183</v>
      </c>
      <c r="K14" s="41" t="n">
        <f aca="false">K13-J13</f>
        <v>31121.5842013489</v>
      </c>
      <c r="L14" s="41" t="n">
        <f aca="false">L13-K13</f>
        <v>31899.6238063788</v>
      </c>
    </row>
    <row r="15" customFormat="false" ht="15" hidden="false" customHeight="false" outlineLevel="0" collapsed="false">
      <c r="A15" s="5"/>
      <c r="B15" s="42" t="s">
        <v>272</v>
      </c>
      <c r="C15" s="43" t="n">
        <f aca="false">C9+C10+C12+C14</f>
        <v>-1639726.02739726</v>
      </c>
      <c r="D15" s="43" t="n">
        <f aca="false">D9+D10+D12+D14</f>
        <v>-3582876.71232877</v>
      </c>
      <c r="E15" s="43" t="n">
        <f aca="false">E9+E10+E12+E14</f>
        <v>-2496349.97217466</v>
      </c>
      <c r="F15" s="43" t="n">
        <f aca="false">F9+F10+F12+F14</f>
        <v>2817210.70687071</v>
      </c>
      <c r="G15" s="43" t="n">
        <f aca="false">G9+G10+G12+G14</f>
        <v>1745972.03913858</v>
      </c>
      <c r="H15" s="43" t="n">
        <f aca="false">H9+H10+H12+H14</f>
        <v>8552307.10761942</v>
      </c>
      <c r="I15" s="43" t="n">
        <f aca="false">I9+I10+I12+I14</f>
        <v>14378672.8752638</v>
      </c>
      <c r="J15" s="43" t="n">
        <f aca="false">J9+J10+J12+J14</f>
        <v>15161335.6295618</v>
      </c>
      <c r="K15" s="43" t="n">
        <f aca="false">K9+K10+K12+K14</f>
        <v>15722850.7384511</v>
      </c>
      <c r="L15" s="43" t="n">
        <f aca="false">L9+L10+L12+L14</f>
        <v>16326805.6491219</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31" t="s">
        <v>273</v>
      </c>
      <c r="C17" s="16"/>
      <c r="D17" s="16"/>
      <c r="E17" s="16"/>
      <c r="F17" s="16"/>
      <c r="G17" s="16"/>
      <c r="H17" s="16"/>
      <c r="I17" s="16"/>
      <c r="J17" s="16"/>
      <c r="K17" s="16"/>
      <c r="L17" s="16"/>
    </row>
    <row r="18" customFormat="false" ht="15" hidden="false" customHeight="false" outlineLevel="0" collapsed="false">
      <c r="A18" s="5"/>
      <c r="B18" s="39" t="s">
        <v>274</v>
      </c>
      <c r="C18" s="41" t="n">
        <f aca="false">-CC_Total_Capex</f>
        <v>-60000000</v>
      </c>
      <c r="D18" s="41" t="n">
        <f aca="false">-CC_Total_Capex</f>
        <v>-60000000</v>
      </c>
      <c r="E18" s="41" t="n">
        <f aca="false">-CC_Total_Capex</f>
        <v>-0</v>
      </c>
      <c r="F18" s="41" t="n">
        <f aca="false">-CC_Total_Capex</f>
        <v>-30000000</v>
      </c>
      <c r="G18" s="41" t="n">
        <f aca="false">-CC_Total_Capex</f>
        <v>-30000000</v>
      </c>
      <c r="H18" s="41" t="n">
        <f aca="false">-CC_Total_Capex</f>
        <v>-0</v>
      </c>
      <c r="I18" s="41" t="n">
        <f aca="false">-CC_Total_Capex</f>
        <v>-0</v>
      </c>
      <c r="J18" s="41" t="n">
        <f aca="false">-CC_Total_Capex</f>
        <v>-0</v>
      </c>
      <c r="K18" s="41" t="n">
        <f aca="false">-CC_Total_Capex</f>
        <v>-0</v>
      </c>
      <c r="L18" s="41" t="n">
        <f aca="false">-CC_Total_Capex</f>
        <v>-0</v>
      </c>
    </row>
    <row r="19" customFormat="false" ht="15" hidden="false" customHeight="false" outlineLevel="0" collapsed="false">
      <c r="A19" s="5"/>
      <c r="B19" s="39" t="s">
        <v>127</v>
      </c>
      <c r="C19" s="41" t="n">
        <f aca="false">-RV_Total_Rev*Maint_Capex_Pct</f>
        <v>-0</v>
      </c>
      <c r="D19" s="41" t="n">
        <f aca="false">-RV_Total_Rev*Maint_Capex_Pct</f>
        <v>-0</v>
      </c>
      <c r="E19" s="41" t="n">
        <f aca="false">-RV_Total_Rev*Maint_Capex_Pct</f>
        <v>-347018.90625</v>
      </c>
      <c r="F19" s="41" t="n">
        <f aca="false">-RV_Total_Rev*Maint_Capex_Pct</f>
        <v>-697986.6328125</v>
      </c>
      <c r="G19" s="41" t="n">
        <f aca="false">-RV_Total_Rev*Maint_Capex_Pct</f>
        <v>-702174.798632812</v>
      </c>
      <c r="H19" s="41" t="n">
        <f aca="false">-RV_Total_Rev*Maint_Capex_Pct</f>
        <v>-1073974.94039795</v>
      </c>
      <c r="I19" s="41" t="n">
        <f aca="false">-RV_Total_Rev*Maint_Capex_Pct</f>
        <v>-1450711.5018772</v>
      </c>
      <c r="J19" s="41" t="n">
        <f aca="false">-RV_Total_Rev*Maint_Capex_Pct</f>
        <v>-1466221.91442413</v>
      </c>
      <c r="K19" s="41" t="n">
        <f aca="false">-RV_Total_Rev*Maint_Capex_Pct</f>
        <v>-1487885.71228473</v>
      </c>
      <c r="L19" s="41" t="n">
        <f aca="false">-RV_Total_Rev*Maint_Capex_Pct</f>
        <v>-1510091.10509185</v>
      </c>
    </row>
    <row r="20" customFormat="false" ht="15" hidden="false" customHeight="false" outlineLevel="0" collapsed="false">
      <c r="A20" s="5"/>
      <c r="B20" s="42" t="s">
        <v>275</v>
      </c>
      <c r="C20" s="43" t="n">
        <f aca="false">C18+C19</f>
        <v>-60000000</v>
      </c>
      <c r="D20" s="43" t="n">
        <f aca="false">D18+D19</f>
        <v>-60000000</v>
      </c>
      <c r="E20" s="43" t="n">
        <f aca="false">E18+E19</f>
        <v>-347018.90625</v>
      </c>
      <c r="F20" s="43" t="n">
        <f aca="false">F18+F19</f>
        <v>-30697986.6328125</v>
      </c>
      <c r="G20" s="43" t="n">
        <f aca="false">G18+G19</f>
        <v>-30702174.7986328</v>
      </c>
      <c r="H20" s="43" t="n">
        <f aca="false">H18+H19</f>
        <v>-1073974.94039795</v>
      </c>
      <c r="I20" s="43" t="n">
        <f aca="false">I18+I19</f>
        <v>-1450711.5018772</v>
      </c>
      <c r="J20" s="43" t="n">
        <f aca="false">J18+J19</f>
        <v>-1466221.91442413</v>
      </c>
      <c r="K20" s="43" t="n">
        <f aca="false">K18+K19</f>
        <v>-1487885.71228473</v>
      </c>
      <c r="L20" s="43" t="n">
        <f aca="false">L18+L19</f>
        <v>-1510091.10509185</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31" t="s">
        <v>276</v>
      </c>
      <c r="C22" s="16"/>
      <c r="D22" s="16"/>
      <c r="E22" s="16"/>
      <c r="F22" s="16"/>
      <c r="G22" s="16"/>
      <c r="H22" s="16"/>
      <c r="I22" s="16"/>
      <c r="J22" s="16"/>
      <c r="K22" s="16"/>
      <c r="L22" s="16"/>
    </row>
    <row r="23" customFormat="false" ht="15" hidden="false" customHeight="false" outlineLevel="0" collapsed="false">
      <c r="A23" s="5"/>
      <c r="B23" s="39" t="s">
        <v>277</v>
      </c>
      <c r="C23" s="41" t="n">
        <f aca="false">IF(C6&lt;=Construction_Yrs,CC_Total_Capex*(1-Debt_LTC),0)</f>
        <v>24000000</v>
      </c>
      <c r="D23" s="41" t="n">
        <f aca="false">IF(D6&lt;=Construction_Yrs,CC_Total_Capex*(1-Debt_LTC),0)</f>
        <v>24000000</v>
      </c>
      <c r="E23" s="41" t="n">
        <f aca="false">IF(E6&lt;=Construction_Yrs,CC_Total_Capex*(1-Debt_LTC),0)</f>
        <v>0</v>
      </c>
      <c r="F23" s="41" t="n">
        <f aca="false">IF(F6&lt;=Construction_Yrs,CC_Total_Capex*(1-Debt_LTC),0)</f>
        <v>0</v>
      </c>
      <c r="G23" s="41" t="n">
        <f aca="false">IF(G6&lt;=Construction_Yrs,CC_Total_Capex*(1-Debt_LTC),0)</f>
        <v>0</v>
      </c>
      <c r="H23" s="41" t="n">
        <f aca="false">IF(H6&lt;=Construction_Yrs,CC_Total_Capex*(1-Debt_LTC),0)</f>
        <v>0</v>
      </c>
      <c r="I23" s="41" t="n">
        <f aca="false">IF(I6&lt;=Construction_Yrs,CC_Total_Capex*(1-Debt_LTC),0)</f>
        <v>0</v>
      </c>
      <c r="J23" s="41" t="n">
        <f aca="false">IF(J6&lt;=Construction_Yrs,CC_Total_Capex*(1-Debt_LTC),0)</f>
        <v>0</v>
      </c>
      <c r="K23" s="41" t="n">
        <f aca="false">IF(K6&lt;=Construction_Yrs,CC_Total_Capex*(1-Debt_LTC),0)</f>
        <v>0</v>
      </c>
      <c r="L23" s="41" t="n">
        <f aca="false">IF(L6&lt;=Construction_Yrs,CC_Total_Capex*(1-Debt_LTC),0)</f>
        <v>0</v>
      </c>
    </row>
    <row r="24" customFormat="false" ht="15" hidden="false" customHeight="false" outlineLevel="0" collapsed="false">
      <c r="A24" s="5"/>
      <c r="B24" s="39" t="s">
        <v>278</v>
      </c>
      <c r="C24" s="41" t="n">
        <f aca="false">DS_Drawdown</f>
        <v>36000000</v>
      </c>
      <c r="D24" s="41" t="n">
        <f aca="false">DS_Drawdown</f>
        <v>36000000</v>
      </c>
      <c r="E24" s="41" t="n">
        <f aca="false">DS_Drawdown</f>
        <v>0</v>
      </c>
      <c r="F24" s="41" t="n">
        <f aca="false">DS_Drawdown</f>
        <v>0</v>
      </c>
      <c r="G24" s="41" t="n">
        <f aca="false">DS_Drawdown</f>
        <v>0</v>
      </c>
      <c r="H24" s="41" t="n">
        <f aca="false">DS_Drawdown</f>
        <v>0</v>
      </c>
      <c r="I24" s="41" t="n">
        <f aca="false">DS_Drawdown</f>
        <v>0</v>
      </c>
      <c r="J24" s="41" t="n">
        <f aca="false">DS_Drawdown</f>
        <v>0</v>
      </c>
      <c r="K24" s="41" t="n">
        <f aca="false">DS_Drawdown</f>
        <v>0</v>
      </c>
      <c r="L24" s="41" t="n">
        <f aca="false">DS_Drawdown</f>
        <v>0</v>
      </c>
    </row>
    <row r="25" customFormat="false" ht="15" hidden="false" customHeight="false" outlineLevel="0" collapsed="false">
      <c r="A25" s="5"/>
      <c r="B25" s="39" t="s">
        <v>279</v>
      </c>
      <c r="C25" s="41" t="n">
        <f aca="false">-DS_Principal</f>
        <v>-0</v>
      </c>
      <c r="D25" s="41" t="n">
        <f aca="false">-DS_Principal</f>
        <v>-0</v>
      </c>
      <c r="E25" s="41" t="n">
        <f aca="false">-DS_Principal</f>
        <v>-0</v>
      </c>
      <c r="F25" s="41" t="n">
        <f aca="false">-DS_Principal</f>
        <v>-1262403.30378344</v>
      </c>
      <c r="G25" s="41" t="n">
        <f aca="false">-DS_Principal</f>
        <v>-1431849.38723377</v>
      </c>
      <c r="H25" s="41" t="n">
        <f aca="false">-DS_Principal</f>
        <v>-1622060.8632122</v>
      </c>
      <c r="I25" s="41" t="n">
        <f aca="false">-DS_Principal</f>
        <v>-1834752.37812848</v>
      </c>
      <c r="J25" s="41" t="n">
        <f aca="false">-DS_Principal</f>
        <v>-2071427.07033638</v>
      </c>
      <c r="K25" s="41" t="n">
        <f aca="false">-DS_Principal</f>
        <v>-2333187.23429613</v>
      </c>
      <c r="L25" s="41" t="n">
        <f aca="false">-DS_Principal</f>
        <v>-2620467.04262413</v>
      </c>
    </row>
    <row r="26" customFormat="false" ht="15" hidden="false" customHeight="false" outlineLevel="0" collapsed="false">
      <c r="A26" s="5"/>
      <c r="B26" s="42" t="s">
        <v>280</v>
      </c>
      <c r="C26" s="43" t="n">
        <f aca="false">C23+C24+C25</f>
        <v>60000000</v>
      </c>
      <c r="D26" s="43" t="n">
        <f aca="false">D23+D24+D25</f>
        <v>60000000</v>
      </c>
      <c r="E26" s="43" t="n">
        <f aca="false">E23+E24+E25</f>
        <v>0</v>
      </c>
      <c r="F26" s="43" t="n">
        <f aca="false">F23+F24+F25</f>
        <v>-1262403.30378344</v>
      </c>
      <c r="G26" s="43" t="n">
        <f aca="false">G23+G24+G25</f>
        <v>-1431849.38723377</v>
      </c>
      <c r="H26" s="43" t="n">
        <f aca="false">H23+H24+H25</f>
        <v>-1622060.8632122</v>
      </c>
      <c r="I26" s="43" t="n">
        <f aca="false">I23+I24+I25</f>
        <v>-1834752.37812848</v>
      </c>
      <c r="J26" s="43" t="n">
        <f aca="false">J23+J24+J25</f>
        <v>-2071427.07033638</v>
      </c>
      <c r="K26" s="43" t="n">
        <f aca="false">K23+K24+K25</f>
        <v>-2333187.23429613</v>
      </c>
      <c r="L26" s="43" t="n">
        <f aca="false">L23+L24+L25</f>
        <v>-2620467.04262413</v>
      </c>
    </row>
    <row r="27" customFormat="false" ht="15" hidden="false" customHeight="false" outlineLevel="0" collapsed="false">
      <c r="A27" s="5"/>
      <c r="B27" s="5"/>
      <c r="C27" s="5"/>
      <c r="D27" s="5"/>
      <c r="E27" s="5"/>
      <c r="F27" s="5"/>
      <c r="G27" s="5"/>
      <c r="H27" s="5"/>
      <c r="I27" s="5"/>
      <c r="J27" s="5"/>
      <c r="K27" s="5"/>
      <c r="L27" s="5"/>
    </row>
    <row r="28" customFormat="false" ht="15" hidden="false" customHeight="false" outlineLevel="0" collapsed="false">
      <c r="A28" s="5"/>
      <c r="B28" s="42" t="s">
        <v>281</v>
      </c>
      <c r="C28" s="43" t="n">
        <f aca="false">C15+C20+C26</f>
        <v>-1639726.02739726</v>
      </c>
      <c r="D28" s="43" t="n">
        <f aca="false">D15+D20+D26</f>
        <v>-3582876.71232877</v>
      </c>
      <c r="E28" s="43" t="n">
        <f aca="false">E15+E20+E26</f>
        <v>-2843368.87842466</v>
      </c>
      <c r="F28" s="43" t="n">
        <f aca="false">F15+F20+F26</f>
        <v>-29143179.2297252</v>
      </c>
      <c r="G28" s="43" t="n">
        <f aca="false">G15+G20+G26</f>
        <v>-30388052.146728</v>
      </c>
      <c r="H28" s="43" t="n">
        <f aca="false">H15+H20+H26</f>
        <v>5856271.30400927</v>
      </c>
      <c r="I28" s="43" t="n">
        <f aca="false">I15+I20+I26</f>
        <v>11093208.9952581</v>
      </c>
      <c r="J28" s="43" t="n">
        <f aca="false">J15+J20+J26</f>
        <v>11623686.6448013</v>
      </c>
      <c r="K28" s="43" t="n">
        <f aca="false">K15+K20+K26</f>
        <v>11901777.7918703</v>
      </c>
      <c r="L28" s="43" t="n">
        <f aca="false">L15+L20+L26</f>
        <v>12196247.5014059</v>
      </c>
    </row>
    <row r="29" customFormat="false" ht="15" hidden="false" customHeight="false" outlineLevel="0" collapsed="false">
      <c r="A29" s="5"/>
      <c r="B29" s="39" t="s">
        <v>282</v>
      </c>
      <c r="C29" s="41" t="n">
        <f aca="false">0</f>
        <v>0</v>
      </c>
      <c r="D29" s="41" t="n">
        <f aca="false">C30</f>
        <v>-1639726.02739726</v>
      </c>
      <c r="E29" s="41" t="n">
        <f aca="false">D30</f>
        <v>-5222602.73972603</v>
      </c>
      <c r="F29" s="41" t="n">
        <f aca="false">E30</f>
        <v>-8065971.61815069</v>
      </c>
      <c r="G29" s="41" t="n">
        <f aca="false">F30</f>
        <v>-37209150.8478759</v>
      </c>
      <c r="H29" s="41" t="n">
        <f aca="false">G30</f>
        <v>-67597202.9946039</v>
      </c>
      <c r="I29" s="41" t="n">
        <f aca="false">H30</f>
        <v>-61740931.6905947</v>
      </c>
      <c r="J29" s="41" t="n">
        <f aca="false">I30</f>
        <v>-50647722.6953366</v>
      </c>
      <c r="K29" s="41" t="n">
        <f aca="false">J30</f>
        <v>-39024036.0505352</v>
      </c>
      <c r="L29" s="41" t="n">
        <f aca="false">K30</f>
        <v>-27122258.2586649</v>
      </c>
    </row>
    <row r="30" customFormat="false" ht="15" hidden="false" customHeight="false" outlineLevel="0" collapsed="false">
      <c r="A30" s="5"/>
      <c r="B30" s="44" t="s">
        <v>283</v>
      </c>
      <c r="C30" s="45" t="n">
        <f aca="false">C29+C28</f>
        <v>-1639726.02739726</v>
      </c>
      <c r="D30" s="45" t="n">
        <f aca="false">D29+D28</f>
        <v>-5222602.73972603</v>
      </c>
      <c r="E30" s="45" t="n">
        <f aca="false">E29+E28</f>
        <v>-8065971.61815069</v>
      </c>
      <c r="F30" s="45" t="n">
        <f aca="false">F29+F28</f>
        <v>-37209150.8478759</v>
      </c>
      <c r="G30" s="45" t="n">
        <f aca="false">G29+G28</f>
        <v>-67597202.9946039</v>
      </c>
      <c r="H30" s="45" t="n">
        <f aca="false">H29+H28</f>
        <v>-61740931.6905947</v>
      </c>
      <c r="I30" s="45" t="n">
        <f aca="false">I29+I28</f>
        <v>-50647722.6953366</v>
      </c>
      <c r="J30" s="45" t="n">
        <f aca="false">J29+J28</f>
        <v>-39024036.0505352</v>
      </c>
      <c r="K30" s="45" t="n">
        <f aca="false">K29+K28</f>
        <v>-27122258.2586649</v>
      </c>
      <c r="L30" s="45" t="n">
        <f aca="false">L29+L28</f>
        <v>-14926010.757259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284</v>
      </c>
      <c r="C2" s="5"/>
      <c r="D2" s="5"/>
      <c r="E2" s="5"/>
      <c r="F2" s="5"/>
      <c r="G2" s="5"/>
      <c r="H2" s="5"/>
      <c r="I2" s="5"/>
      <c r="J2" s="5"/>
      <c r="K2" s="5"/>
      <c r="L2" s="5"/>
    </row>
    <row r="3" customFormat="false" ht="15" hidden="false" customHeight="false" outlineLevel="0" collapsed="false">
      <c r="A3" s="5"/>
      <c r="B3" s="8" t="s">
        <v>23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285</v>
      </c>
      <c r="C8" s="16"/>
      <c r="D8" s="16"/>
      <c r="E8" s="16"/>
      <c r="F8" s="16"/>
      <c r="G8" s="16"/>
      <c r="H8" s="16"/>
      <c r="I8" s="16"/>
      <c r="J8" s="16"/>
      <c r="K8" s="16"/>
      <c r="L8" s="16"/>
    </row>
    <row r="9" customFormat="false" ht="15" hidden="false" customHeight="false" outlineLevel="0" collapsed="false">
      <c r="A9" s="5"/>
      <c r="B9" s="39" t="s">
        <v>286</v>
      </c>
      <c r="C9" s="41" t="n">
        <f aca="false">CF_Close_Cash</f>
        <v>-1639726.02739726</v>
      </c>
      <c r="D9" s="41" t="n">
        <f aca="false">CF_Close_Cash</f>
        <v>-5222602.73972603</v>
      </c>
      <c r="E9" s="41" t="n">
        <f aca="false">CF_Close_Cash</f>
        <v>-8065971.61815069</v>
      </c>
      <c r="F9" s="41" t="n">
        <f aca="false">CF_Close_Cash</f>
        <v>-37209150.8478759</v>
      </c>
      <c r="G9" s="41" t="n">
        <f aca="false">CF_Close_Cash</f>
        <v>-67597202.9946039</v>
      </c>
      <c r="H9" s="41" t="n">
        <f aca="false">CF_Close_Cash</f>
        <v>-61740931.6905947</v>
      </c>
      <c r="I9" s="41" t="n">
        <f aca="false">CF_Close_Cash</f>
        <v>-50647722.6953366</v>
      </c>
      <c r="J9" s="41" t="n">
        <f aca="false">CF_Close_Cash</f>
        <v>-39024036.0505352</v>
      </c>
      <c r="K9" s="41" t="n">
        <f aca="false">CF_Close_Cash</f>
        <v>-27122258.2586649</v>
      </c>
      <c r="L9" s="41" t="n">
        <f aca="false">CF_Close_Cash</f>
        <v>-14926010.757259</v>
      </c>
    </row>
    <row r="10" customFormat="false" ht="15" hidden="false" customHeight="false" outlineLevel="0" collapsed="false">
      <c r="A10" s="5"/>
      <c r="B10" s="39" t="s">
        <v>287</v>
      </c>
      <c r="C10" s="41" t="n">
        <f aca="false">RV_Total_Rev*DSO_Days/365</f>
        <v>0</v>
      </c>
      <c r="D10" s="41" t="n">
        <f aca="false">RV_Total_Rev*DSO_Days/365</f>
        <v>0</v>
      </c>
      <c r="E10" s="41" t="n">
        <f aca="false">RV_Total_Rev*DSO_Days/365</f>
        <v>1331031.42123288</v>
      </c>
      <c r="F10" s="41" t="n">
        <f aca="false">RV_Total_Rev*DSO_Days/365</f>
        <v>2677209.00256849</v>
      </c>
      <c r="G10" s="41" t="n">
        <f aca="false">RV_Total_Rev*DSO_Days/365</f>
        <v>2693273.20023544</v>
      </c>
      <c r="H10" s="41" t="n">
        <f aca="false">RV_Total_Rev*DSO_Days/365</f>
        <v>4119355.93577295</v>
      </c>
      <c r="I10" s="41" t="n">
        <f aca="false">RV_Total_Rev*DSO_Days/365</f>
        <v>5564372.88391254</v>
      </c>
      <c r="J10" s="41" t="n">
        <f aca="false">RV_Total_Rev*DSO_Days/365</f>
        <v>5623864.87724323</v>
      </c>
      <c r="K10" s="41" t="n">
        <f aca="false">RV_Total_Rev*DSO_Days/365</f>
        <v>5706958.89643458</v>
      </c>
      <c r="L10" s="41" t="n">
        <f aca="false">RV_Total_Rev*DSO_Days/365</f>
        <v>5792130.26610572</v>
      </c>
    </row>
    <row r="11" customFormat="false" ht="15" hidden="false" customHeight="false" outlineLevel="0" collapsed="false">
      <c r="A11" s="5"/>
      <c r="B11" s="39" t="s">
        <v>288</v>
      </c>
      <c r="C11" s="41" t="n">
        <f aca="false">CC_Total_Capex+RV_Total_Rev*Maint_Capex_Pct</f>
        <v>60000000</v>
      </c>
      <c r="D11" s="41" t="n">
        <f aca="false">C11+CC_Total_Capex+RV_Total_Rev*Maint_Capex_Pct</f>
        <v>120000000</v>
      </c>
      <c r="E11" s="41" t="n">
        <f aca="false">D11+CC_Total_Capex+RV_Total_Rev*Maint_Capex_Pct</f>
        <v>120347018.90625</v>
      </c>
      <c r="F11" s="41" t="n">
        <f aca="false">E11+CC_Total_Capex+RV_Total_Rev*Maint_Capex_Pct</f>
        <v>151045005.539063</v>
      </c>
      <c r="G11" s="41" t="n">
        <f aca="false">F11+CC_Total_Capex+RV_Total_Rev*Maint_Capex_Pct</f>
        <v>181747180.337695</v>
      </c>
      <c r="H11" s="41" t="n">
        <f aca="false">G11+CC_Total_Capex+RV_Total_Rev*Maint_Capex_Pct</f>
        <v>182821155.278093</v>
      </c>
      <c r="I11" s="41" t="n">
        <f aca="false">H11+CC_Total_Capex+RV_Total_Rev*Maint_Capex_Pct</f>
        <v>184271866.77997</v>
      </c>
      <c r="J11" s="41" t="n">
        <f aca="false">I11+CC_Total_Capex+RV_Total_Rev*Maint_Capex_Pct</f>
        <v>185738088.694395</v>
      </c>
      <c r="K11" s="41" t="n">
        <f aca="false">J11+CC_Total_Capex+RV_Total_Rev*Maint_Capex_Pct</f>
        <v>187225974.406679</v>
      </c>
      <c r="L11" s="41" t="n">
        <f aca="false">K11+CC_Total_Capex+RV_Total_Rev*Maint_Capex_Pct</f>
        <v>188736065.511771</v>
      </c>
    </row>
    <row r="12" customFormat="false" ht="15" hidden="false" customHeight="false" outlineLevel="0" collapsed="false">
      <c r="A12" s="5"/>
      <c r="B12" s="39" t="s">
        <v>289</v>
      </c>
      <c r="C12" s="41" t="n">
        <f aca="false">-CC_Total_Dep</f>
        <v>-0</v>
      </c>
      <c r="D12" s="41" t="n">
        <f aca="false">C12-CC_Total_Dep</f>
        <v>-0</v>
      </c>
      <c r="E12" s="41" t="n">
        <f aca="false">D12-CC_Total_Dep</f>
        <v>-5538461.53846154</v>
      </c>
      <c r="F12" s="41" t="n">
        <f aca="false">E12-CC_Total_Dep</f>
        <v>-11076923.0769231</v>
      </c>
      <c r="G12" s="41" t="n">
        <f aca="false">F12-CC_Total_Dep</f>
        <v>-16615384.6153846</v>
      </c>
      <c r="H12" s="41" t="n">
        <f aca="false">G12-CC_Total_Dep</f>
        <v>-26153846.1538462</v>
      </c>
      <c r="I12" s="41" t="n">
        <f aca="false">H12-CC_Total_Dep</f>
        <v>-35692307.6923077</v>
      </c>
      <c r="J12" s="41" t="n">
        <f aca="false">I12-CC_Total_Dep</f>
        <v>-45230769.2307692</v>
      </c>
      <c r="K12" s="41" t="n">
        <f aca="false">J12-CC_Total_Dep</f>
        <v>-54769230.7692308</v>
      </c>
      <c r="L12" s="41" t="n">
        <f aca="false">K12-CC_Total_Dep</f>
        <v>-64307692.3076923</v>
      </c>
    </row>
    <row r="13" customFormat="false" ht="15" hidden="false" customHeight="false" outlineLevel="0" collapsed="false">
      <c r="A13" s="5"/>
      <c r="B13" s="42" t="s">
        <v>191</v>
      </c>
      <c r="C13" s="43" t="n">
        <f aca="false">C11+C12</f>
        <v>60000000</v>
      </c>
      <c r="D13" s="43" t="n">
        <f aca="false">D11+D12</f>
        <v>120000000</v>
      </c>
      <c r="E13" s="43" t="n">
        <f aca="false">E11+E12</f>
        <v>114808557.367788</v>
      </c>
      <c r="F13" s="43" t="n">
        <f aca="false">F11+F12</f>
        <v>139968082.462139</v>
      </c>
      <c r="G13" s="43" t="n">
        <f aca="false">G11+G12</f>
        <v>165131795.722311</v>
      </c>
      <c r="H13" s="43" t="n">
        <f aca="false">H11+H12</f>
        <v>156667309.124247</v>
      </c>
      <c r="I13" s="43" t="n">
        <f aca="false">I11+I12</f>
        <v>148579559.087663</v>
      </c>
      <c r="J13" s="43" t="n">
        <f aca="false">J11+J12</f>
        <v>140507319.463625</v>
      </c>
      <c r="K13" s="43" t="n">
        <f aca="false">K11+K12</f>
        <v>132456743.637449</v>
      </c>
      <c r="L13" s="43" t="n">
        <f aca="false">L11+L12</f>
        <v>124428373.204079</v>
      </c>
    </row>
    <row r="14" customFormat="false" ht="15" hidden="false" customHeight="false" outlineLevel="0" collapsed="false">
      <c r="A14" s="5"/>
      <c r="B14" s="44" t="s">
        <v>290</v>
      </c>
      <c r="C14" s="45" t="n">
        <f aca="false">C9+C10+C13</f>
        <v>58360273.9726027</v>
      </c>
      <c r="D14" s="45" t="n">
        <f aca="false">D9+D10+D13</f>
        <v>114777397.260274</v>
      </c>
      <c r="E14" s="45" t="n">
        <f aca="false">E9+E10+E13</f>
        <v>108073617.170871</v>
      </c>
      <c r="F14" s="45" t="n">
        <f aca="false">F9+F10+F13</f>
        <v>105436140.616832</v>
      </c>
      <c r="G14" s="45" t="n">
        <f aca="false">G9+G10+G13</f>
        <v>100227865.927942</v>
      </c>
      <c r="H14" s="45" t="n">
        <f aca="false">H9+H10+H13</f>
        <v>99045733.3694254</v>
      </c>
      <c r="I14" s="45" t="n">
        <f aca="false">I9+I10+I13</f>
        <v>103496209.276239</v>
      </c>
      <c r="J14" s="45" t="n">
        <f aca="false">J9+J10+J13</f>
        <v>107107148.290333</v>
      </c>
      <c r="K14" s="45" t="n">
        <f aca="false">K9+K10+K13</f>
        <v>111041444.275218</v>
      </c>
      <c r="L14" s="45" t="n">
        <f aca="false">L9+L10+L13</f>
        <v>115294492.712926</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1" t="s">
        <v>291</v>
      </c>
      <c r="C16" s="16"/>
      <c r="D16" s="16"/>
      <c r="E16" s="16"/>
      <c r="F16" s="16"/>
      <c r="G16" s="16"/>
      <c r="H16" s="16"/>
      <c r="I16" s="16"/>
      <c r="J16" s="16"/>
      <c r="K16" s="16"/>
      <c r="L16" s="16"/>
    </row>
    <row r="17" customFormat="false" ht="15" hidden="false" customHeight="false" outlineLevel="0" collapsed="false">
      <c r="A17" s="5"/>
      <c r="B17" s="39" t="s">
        <v>292</v>
      </c>
      <c r="C17" s="41" t="n">
        <f aca="false">OX_Total_Opex*DPO_Days/365</f>
        <v>260273.97260274</v>
      </c>
      <c r="D17" s="41" t="n">
        <f aca="false">OX_Total_Opex*DPO_Days/365</f>
        <v>527397.260273973</v>
      </c>
      <c r="E17" s="41" t="n">
        <f aca="false">OX_Total_Opex*DPO_Days/365</f>
        <v>1537551.99058219</v>
      </c>
      <c r="F17" s="41" t="n">
        <f aca="false">OX_Total_Opex*DPO_Days/365</f>
        <v>2759750.00535103</v>
      </c>
      <c r="G17" s="41" t="n">
        <f aca="false">OX_Total_Opex*DPO_Days/365</f>
        <v>2986533.6377622</v>
      </c>
      <c r="H17" s="41" t="n">
        <f aca="false">OX_Total_Opex*DPO_Days/365</f>
        <v>4021761.99363729</v>
      </c>
      <c r="I17" s="41" t="n">
        <f aca="false">OX_Total_Opex*DPO_Days/365</f>
        <v>5060749.47701884</v>
      </c>
      <c r="J17" s="41" t="n">
        <f aca="false">OX_Total_Opex*DPO_Days/365</f>
        <v>5087259.25846486</v>
      </c>
      <c r="K17" s="41" t="n">
        <f aca="false">OX_Total_Opex*DPO_Days/365</f>
        <v>5118380.84266621</v>
      </c>
      <c r="L17" s="41" t="n">
        <f aca="false">OX_Total_Opex*DPO_Days/365</f>
        <v>5150280.46647259</v>
      </c>
    </row>
    <row r="18" customFormat="false" ht="15" hidden="false" customHeight="false" outlineLevel="0" collapsed="false">
      <c r="A18" s="5"/>
      <c r="B18" s="39" t="s">
        <v>293</v>
      </c>
      <c r="C18" s="41" t="n">
        <f aca="false">DS_Closing</f>
        <v>36000000</v>
      </c>
      <c r="D18" s="41" t="n">
        <f aca="false">DS_Closing</f>
        <v>74340000</v>
      </c>
      <c r="E18" s="41" t="n">
        <f aca="false">DS_Closing</f>
        <v>74340000</v>
      </c>
      <c r="F18" s="41" t="n">
        <f aca="false">DS_Closing</f>
        <v>73077596.6962166</v>
      </c>
      <c r="G18" s="41" t="n">
        <f aca="false">DS_Closing</f>
        <v>71645747.3089828</v>
      </c>
      <c r="H18" s="41" t="n">
        <f aca="false">DS_Closing</f>
        <v>70023686.4457706</v>
      </c>
      <c r="I18" s="41" t="n">
        <f aca="false">DS_Closing</f>
        <v>68188934.0676421</v>
      </c>
      <c r="J18" s="41" t="n">
        <f aca="false">DS_Closing</f>
        <v>66117506.9973057</v>
      </c>
      <c r="K18" s="41" t="n">
        <f aca="false">DS_Closing</f>
        <v>63784319.7630096</v>
      </c>
      <c r="L18" s="41" t="n">
        <f aca="false">DS_Closing</f>
        <v>61163852.7203855</v>
      </c>
    </row>
    <row r="19" customFormat="false" ht="15" hidden="false" customHeight="false" outlineLevel="0" collapsed="false">
      <c r="A19" s="5"/>
      <c r="B19" s="42" t="s">
        <v>294</v>
      </c>
      <c r="C19" s="43" t="n">
        <f aca="false">C17+C18</f>
        <v>36260273.9726027</v>
      </c>
      <c r="D19" s="43" t="n">
        <f aca="false">D17+D18</f>
        <v>74867397.260274</v>
      </c>
      <c r="E19" s="43" t="n">
        <f aca="false">E17+E18</f>
        <v>75877551.9905822</v>
      </c>
      <c r="F19" s="43" t="n">
        <f aca="false">F17+F18</f>
        <v>75837346.7015676</v>
      </c>
      <c r="G19" s="43" t="n">
        <f aca="false">G17+G18</f>
        <v>74632280.946745</v>
      </c>
      <c r="H19" s="43" t="n">
        <f aca="false">H17+H18</f>
        <v>74045448.4394079</v>
      </c>
      <c r="I19" s="43" t="n">
        <f aca="false">I17+I18</f>
        <v>73249683.544661</v>
      </c>
      <c r="J19" s="43" t="n">
        <f aca="false">J17+J18</f>
        <v>71204766.2557706</v>
      </c>
      <c r="K19" s="43" t="n">
        <f aca="false">K17+K18</f>
        <v>68902700.6056758</v>
      </c>
      <c r="L19" s="43" t="n">
        <f aca="false">L17+L18</f>
        <v>66314133.1868581</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31" t="s">
        <v>295</v>
      </c>
      <c r="C21" s="16"/>
      <c r="D21" s="16"/>
      <c r="E21" s="16"/>
      <c r="F21" s="16"/>
      <c r="G21" s="16"/>
      <c r="H21" s="16"/>
      <c r="I21" s="16"/>
      <c r="J21" s="16"/>
      <c r="K21" s="16"/>
      <c r="L21" s="16"/>
    </row>
    <row r="22" customFormat="false" ht="15" hidden="false" customHeight="false" outlineLevel="0" collapsed="false">
      <c r="A22" s="5"/>
      <c r="B22" s="39" t="s">
        <v>296</v>
      </c>
      <c r="C22" s="41" t="n">
        <f aca="false">CF_Equity_Inj</f>
        <v>24000000</v>
      </c>
      <c r="D22" s="41" t="n">
        <f aca="false">C22+CF_Equity_Inj</f>
        <v>48000000</v>
      </c>
      <c r="E22" s="41" t="n">
        <f aca="false">D22+CF_Equity_Inj</f>
        <v>48000000</v>
      </c>
      <c r="F22" s="41" t="n">
        <f aca="false">E22+CF_Equity_Inj</f>
        <v>48000000</v>
      </c>
      <c r="G22" s="41" t="n">
        <f aca="false">F22+CF_Equity_Inj</f>
        <v>48000000</v>
      </c>
      <c r="H22" s="41" t="n">
        <f aca="false">G22+CF_Equity_Inj</f>
        <v>48000000</v>
      </c>
      <c r="I22" s="41" t="n">
        <f aca="false">H22+CF_Equity_Inj</f>
        <v>48000000</v>
      </c>
      <c r="J22" s="41" t="n">
        <f aca="false">I22+CF_Equity_Inj</f>
        <v>48000000</v>
      </c>
      <c r="K22" s="41" t="n">
        <f aca="false">J22+CF_Equity_Inj</f>
        <v>48000000</v>
      </c>
      <c r="L22" s="41" t="n">
        <f aca="false">K22+CF_Equity_Inj</f>
        <v>48000000</v>
      </c>
    </row>
    <row r="23" customFormat="false" ht="15" hidden="false" customHeight="false" outlineLevel="0" collapsed="false">
      <c r="A23" s="5"/>
      <c r="B23" s="39" t="s">
        <v>297</v>
      </c>
      <c r="C23" s="41" t="n">
        <f aca="false">IS_Net_Income</f>
        <v>-1900000</v>
      </c>
      <c r="D23" s="41" t="n">
        <f aca="false">C23+IS_Net_Income</f>
        <v>-5750000</v>
      </c>
      <c r="E23" s="41" t="n">
        <f aca="false">D23+IS_Net_Income</f>
        <v>-13463934.8197115</v>
      </c>
      <c r="F23" s="41" t="n">
        <f aca="false">E23+IS_Net_Income</f>
        <v>-16061206.0847356</v>
      </c>
      <c r="G23" s="41" t="n">
        <f aca="false">F23+IS_Net_Income</f>
        <v>-20064415.0188028</v>
      </c>
      <c r="H23" s="41" t="n">
        <f aca="false">G23+IS_Net_Income</f>
        <v>-20659715.0699825</v>
      </c>
      <c r="I23" s="41" t="n">
        <f aca="false">H23+IS_Net_Income</f>
        <v>-15413474.2684222</v>
      </c>
      <c r="J23" s="41" t="n">
        <f aca="false">I23+IS_Net_Income</f>
        <v>-9757617.96543721</v>
      </c>
      <c r="K23" s="41" t="n">
        <f aca="false">J23+IS_Net_Income</f>
        <v>-3521256.33045761</v>
      </c>
      <c r="L23" s="41" t="n">
        <f aca="false">K23+IS_Net_Income</f>
        <v>3320359.52606753</v>
      </c>
    </row>
    <row r="24" customFormat="false" ht="15" hidden="false" customHeight="false" outlineLevel="0" collapsed="false">
      <c r="A24" s="5"/>
      <c r="B24" s="42" t="s">
        <v>298</v>
      </c>
      <c r="C24" s="43" t="n">
        <f aca="false">C22+C23</f>
        <v>22100000</v>
      </c>
      <c r="D24" s="43" t="n">
        <f aca="false">D22+D23</f>
        <v>42250000</v>
      </c>
      <c r="E24" s="43" t="n">
        <f aca="false">E22+E23</f>
        <v>34536065.1802885</v>
      </c>
      <c r="F24" s="43" t="n">
        <f aca="false">F22+F23</f>
        <v>31938793.9152644</v>
      </c>
      <c r="G24" s="43" t="n">
        <f aca="false">G22+G23</f>
        <v>27935584.9811972</v>
      </c>
      <c r="H24" s="43" t="n">
        <f aca="false">H22+H23</f>
        <v>27340284.9300175</v>
      </c>
      <c r="I24" s="43" t="n">
        <f aca="false">I22+I23</f>
        <v>32586525.7315778</v>
      </c>
      <c r="J24" s="43" t="n">
        <f aca="false">J22+J23</f>
        <v>38242382.0345628</v>
      </c>
      <c r="K24" s="43" t="n">
        <f aca="false">K22+K23</f>
        <v>44478743.6695424</v>
      </c>
      <c r="L24" s="43" t="n">
        <f aca="false">L22+L23</f>
        <v>51320359.5260675</v>
      </c>
    </row>
    <row r="25" customFormat="false" ht="15" hidden="false" customHeight="false" outlineLevel="0" collapsed="false">
      <c r="A25" s="5"/>
      <c r="B25" s="44" t="s">
        <v>299</v>
      </c>
      <c r="C25" s="45" t="n">
        <f aca="false">C19+C24</f>
        <v>58360273.9726027</v>
      </c>
      <c r="D25" s="45" t="n">
        <f aca="false">D19+D24</f>
        <v>117117397.260274</v>
      </c>
      <c r="E25" s="45" t="n">
        <f aca="false">E19+E24</f>
        <v>110413617.170871</v>
      </c>
      <c r="F25" s="45" t="n">
        <f aca="false">F19+F24</f>
        <v>107776140.616832</v>
      </c>
      <c r="G25" s="45" t="n">
        <f aca="false">G19+G24</f>
        <v>102567865.927942</v>
      </c>
      <c r="H25" s="45" t="n">
        <f aca="false">H19+H24</f>
        <v>101385733.369425</v>
      </c>
      <c r="I25" s="45" t="n">
        <f aca="false">I19+I24</f>
        <v>105836209.276239</v>
      </c>
      <c r="J25" s="45" t="n">
        <f aca="false">J19+J24</f>
        <v>109447148.290333</v>
      </c>
      <c r="K25" s="45" t="n">
        <f aca="false">K19+K24</f>
        <v>113381444.275218</v>
      </c>
      <c r="L25" s="45" t="n">
        <f aca="false">L19+L24</f>
        <v>117634492.712926</v>
      </c>
    </row>
    <row r="26" customFormat="false" ht="15" hidden="false" customHeight="false" outlineLevel="0" collapsed="false">
      <c r="A26" s="5"/>
      <c r="B26" s="5"/>
      <c r="C26" s="5"/>
      <c r="D26" s="5"/>
      <c r="E26" s="5"/>
      <c r="F26" s="5"/>
      <c r="G26" s="5"/>
      <c r="H26" s="5"/>
      <c r="I26" s="5"/>
      <c r="J26" s="5"/>
      <c r="K26" s="5"/>
      <c r="L26" s="5"/>
    </row>
    <row r="27" customFormat="false" ht="15" hidden="false" customHeight="false" outlineLevel="0" collapsed="false">
      <c r="A27" s="5"/>
      <c r="B27" s="51" t="s">
        <v>300</v>
      </c>
      <c r="C27" s="52" t="n">
        <f aca="false">ROUND(C14-C25,0)</f>
        <v>0</v>
      </c>
      <c r="D27" s="52" t="n">
        <f aca="false">ROUND(D14-D25,0)</f>
        <v>-2340000</v>
      </c>
      <c r="E27" s="52" t="n">
        <f aca="false">ROUND(E14-E25,0)</f>
        <v>-2340000</v>
      </c>
      <c r="F27" s="52" t="n">
        <f aca="false">ROUND(F14-F25,0)</f>
        <v>-2340000</v>
      </c>
      <c r="G27" s="52" t="n">
        <f aca="false">ROUND(G14-G25,0)</f>
        <v>-2340000</v>
      </c>
      <c r="H27" s="52" t="n">
        <f aca="false">ROUND(H14-H25,0)</f>
        <v>-2340000</v>
      </c>
      <c r="I27" s="52" t="n">
        <f aca="false">ROUND(I14-I25,0)</f>
        <v>-2340000</v>
      </c>
      <c r="J27" s="52" t="n">
        <f aca="false">ROUND(J14-J25,0)</f>
        <v>-2340000</v>
      </c>
      <c r="K27" s="52" t="n">
        <f aca="false">ROUND(K14-K25,0)</f>
        <v>-2340000</v>
      </c>
      <c r="L27" s="52" t="n">
        <f aca="false">ROUND(L14-L25,0)</f>
        <v>-2340000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301</v>
      </c>
      <c r="C2" s="5"/>
      <c r="D2" s="5"/>
      <c r="E2" s="5"/>
      <c r="F2" s="5"/>
      <c r="G2" s="5"/>
      <c r="H2" s="5"/>
      <c r="I2" s="5"/>
      <c r="J2" s="5"/>
      <c r="K2" s="5"/>
      <c r="L2" s="5"/>
    </row>
    <row r="3" customFormat="false" ht="15" hidden="false" customHeight="false" outlineLevel="0" collapsed="false">
      <c r="A3" s="5"/>
      <c r="B3" s="8" t="s">
        <v>302</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303</v>
      </c>
      <c r="C8" s="16"/>
      <c r="D8" s="16"/>
      <c r="E8" s="16"/>
      <c r="F8" s="16"/>
      <c r="G8" s="16"/>
      <c r="H8" s="16"/>
      <c r="I8" s="16"/>
      <c r="J8" s="16"/>
      <c r="K8" s="16"/>
      <c r="L8" s="16"/>
    </row>
    <row r="9" customFormat="false" ht="15" hidden="false" customHeight="false" outlineLevel="0" collapsed="false">
      <c r="A9" s="5"/>
      <c r="B9" s="39" t="s">
        <v>304</v>
      </c>
      <c r="C9" s="41" t="n">
        <f aca="false">RV_Total_Rev-OX_Total_Opex</f>
        <v>-1900000</v>
      </c>
      <c r="D9" s="41" t="n">
        <f aca="false">RV_Total_Rev-OX_Total_Opex</f>
        <v>-3850000</v>
      </c>
      <c r="E9" s="41" t="n">
        <f aca="false">RV_Total_Rev-OX_Total_Opex</f>
        <v>2656626.71875</v>
      </c>
      <c r="F9" s="41" t="n">
        <f aca="false">RV_Total_Rev-OX_Total_Opex</f>
        <v>7773290.27343749</v>
      </c>
      <c r="G9" s="41" t="n">
        <f aca="false">RV_Total_Rev-OX_Total_Opex</f>
        <v>6285296.38964843</v>
      </c>
      <c r="H9" s="41" t="n">
        <f aca="false">RV_Total_Rev-OX_Total_Opex</f>
        <v>13600135.0623657</v>
      </c>
      <c r="I9" s="41" t="n">
        <f aca="false">RV_Total_Rev-OX_Total_Opex</f>
        <v>21084988.8928503</v>
      </c>
      <c r="J9" s="41" t="n">
        <f aca="false">RV_Total_Rev-OX_Total_Opex</f>
        <v>21511883.9901716</v>
      </c>
      <c r="K9" s="41" t="n">
        <f aca="false">RV_Total_Rev-OX_Total_Opex</f>
        <v>22151248.3399259</v>
      </c>
      <c r="L9" s="41" t="n">
        <f aca="false">RV_Total_Rev-OX_Total_Opex</f>
        <v>22806596.798424</v>
      </c>
    </row>
    <row r="10" customFormat="false" ht="15" hidden="false" customHeight="false" outlineLevel="0" collapsed="false">
      <c r="A10" s="5"/>
      <c r="B10" s="39" t="s">
        <v>305</v>
      </c>
      <c r="C10" s="41" t="n">
        <f aca="false">IF(C6=10,C9/Exit_Cap_Rate,0)</f>
        <v>0</v>
      </c>
      <c r="D10" s="41" t="n">
        <f aca="false">IF(D6=10,D9/Exit_Cap_Rate,0)</f>
        <v>0</v>
      </c>
      <c r="E10" s="41" t="n">
        <f aca="false">IF(E6=10,E9/Exit_Cap_Rate,0)</f>
        <v>0</v>
      </c>
      <c r="F10" s="41" t="n">
        <f aca="false">IF(F6=10,F9/Exit_Cap_Rate,0)</f>
        <v>0</v>
      </c>
      <c r="G10" s="41" t="n">
        <f aca="false">IF(G6=10,G9/Exit_Cap_Rate,0)</f>
        <v>0</v>
      </c>
      <c r="H10" s="41" t="n">
        <f aca="false">IF(H6=10,H9/Exit_Cap_Rate,0)</f>
        <v>0</v>
      </c>
      <c r="I10" s="41" t="n">
        <f aca="false">IF(I6=10,I9/Exit_Cap_Rate,0)</f>
        <v>0</v>
      </c>
      <c r="J10" s="41" t="n">
        <f aca="false">IF(J6=10,J9/Exit_Cap_Rate,0)</f>
        <v>0</v>
      </c>
      <c r="K10" s="41" t="n">
        <f aca="false">IF(K6=10,K9/Exit_Cap_Rate,0)</f>
        <v>0</v>
      </c>
      <c r="L10" s="41" t="n">
        <f aca="false">IF(L6=10,L9/Exit_Cap_Rate,0)</f>
        <v>380109946.6404</v>
      </c>
    </row>
    <row r="11" customFormat="false" ht="15" hidden="false" customHeight="false" outlineLevel="0" collapsed="false">
      <c r="A11" s="5"/>
      <c r="B11" s="39" t="s">
        <v>145</v>
      </c>
      <c r="C11" s="41" t="n">
        <f aca="false">-C10*Sell_Cost_Pct</f>
        <v>-0</v>
      </c>
      <c r="D11" s="41" t="n">
        <f aca="false">-D10*Sell_Cost_Pct</f>
        <v>-0</v>
      </c>
      <c r="E11" s="41" t="n">
        <f aca="false">-E10*Sell_Cost_Pct</f>
        <v>-0</v>
      </c>
      <c r="F11" s="41" t="n">
        <f aca="false">-F10*Sell_Cost_Pct</f>
        <v>-0</v>
      </c>
      <c r="G11" s="41" t="n">
        <f aca="false">-G10*Sell_Cost_Pct</f>
        <v>-0</v>
      </c>
      <c r="H11" s="41" t="n">
        <f aca="false">-H10*Sell_Cost_Pct</f>
        <v>-0</v>
      </c>
      <c r="I11" s="41" t="n">
        <f aca="false">-I10*Sell_Cost_Pct</f>
        <v>-0</v>
      </c>
      <c r="J11" s="41" t="n">
        <f aca="false">-J10*Sell_Cost_Pct</f>
        <v>-0</v>
      </c>
      <c r="K11" s="41" t="n">
        <f aca="false">-K10*Sell_Cost_Pct</f>
        <v>-0</v>
      </c>
      <c r="L11" s="41" t="n">
        <f aca="false">-L10*Sell_Cost_Pct</f>
        <v>-7602198.93280801</v>
      </c>
    </row>
    <row r="12" customFormat="false" ht="15" hidden="false" customHeight="false" outlineLevel="0" collapsed="false">
      <c r="A12" s="5"/>
      <c r="B12" s="42" t="s">
        <v>306</v>
      </c>
      <c r="C12" s="43" t="n">
        <f aca="false">C10+C11</f>
        <v>0</v>
      </c>
      <c r="D12" s="43" t="n">
        <f aca="false">D10+D11</f>
        <v>0</v>
      </c>
      <c r="E12" s="43" t="n">
        <f aca="false">E10+E11</f>
        <v>0</v>
      </c>
      <c r="F12" s="43" t="n">
        <f aca="false">F10+F11</f>
        <v>0</v>
      </c>
      <c r="G12" s="43" t="n">
        <f aca="false">G10+G11</f>
        <v>0</v>
      </c>
      <c r="H12" s="43" t="n">
        <f aca="false">H10+H11</f>
        <v>0</v>
      </c>
      <c r="I12" s="43" t="n">
        <f aca="false">I10+I11</f>
        <v>0</v>
      </c>
      <c r="J12" s="43" t="n">
        <f aca="false">J10+J11</f>
        <v>0</v>
      </c>
      <c r="K12" s="43" t="n">
        <f aca="false">K10+K11</f>
        <v>0</v>
      </c>
      <c r="L12" s="43" t="n">
        <f aca="false">L10+L11</f>
        <v>372507747.707592</v>
      </c>
    </row>
    <row r="13" customFormat="false" ht="15" hidden="false" customHeight="false" outlineLevel="0" collapsed="false">
      <c r="A13" s="5"/>
      <c r="B13" s="39" t="s">
        <v>307</v>
      </c>
      <c r="C13" s="41" t="n">
        <f aca="false">IF(C10&gt;0,-DS_Closing,0)</f>
        <v>0</v>
      </c>
      <c r="D13" s="41" t="n">
        <f aca="false">IF(D10&gt;0,-DS_Closing,0)</f>
        <v>0</v>
      </c>
      <c r="E13" s="41" t="n">
        <f aca="false">IF(E10&gt;0,-DS_Closing,0)</f>
        <v>0</v>
      </c>
      <c r="F13" s="41" t="n">
        <f aca="false">IF(F10&gt;0,-DS_Closing,0)</f>
        <v>0</v>
      </c>
      <c r="G13" s="41" t="n">
        <f aca="false">IF(G10&gt;0,-DS_Closing,0)</f>
        <v>0</v>
      </c>
      <c r="H13" s="41" t="n">
        <f aca="false">IF(H10&gt;0,-DS_Closing,0)</f>
        <v>0</v>
      </c>
      <c r="I13" s="41" t="n">
        <f aca="false">IF(I10&gt;0,-DS_Closing,0)</f>
        <v>0</v>
      </c>
      <c r="J13" s="41" t="n">
        <f aca="false">IF(J10&gt;0,-DS_Closing,0)</f>
        <v>0</v>
      </c>
      <c r="K13" s="41" t="n">
        <f aca="false">IF(K10&gt;0,-DS_Closing,0)</f>
        <v>0</v>
      </c>
      <c r="L13" s="41" t="n">
        <f aca="false">IF(L10&gt;0,-DS_Closing,0)</f>
        <v>-61163852.7203855</v>
      </c>
    </row>
    <row r="14" customFormat="false" ht="15" hidden="false" customHeight="false" outlineLevel="0" collapsed="false">
      <c r="A14" s="5"/>
      <c r="B14" s="42" t="s">
        <v>308</v>
      </c>
      <c r="C14" s="43" t="n">
        <f aca="false">C12+C13</f>
        <v>0</v>
      </c>
      <c r="D14" s="43" t="n">
        <f aca="false">D12+D13</f>
        <v>0</v>
      </c>
      <c r="E14" s="43" t="n">
        <f aca="false">E12+E13</f>
        <v>0</v>
      </c>
      <c r="F14" s="43" t="n">
        <f aca="false">F12+F13</f>
        <v>0</v>
      </c>
      <c r="G14" s="43" t="n">
        <f aca="false">G12+G13</f>
        <v>0</v>
      </c>
      <c r="H14" s="43" t="n">
        <f aca="false">H12+H13</f>
        <v>0</v>
      </c>
      <c r="I14" s="43" t="n">
        <f aca="false">I12+I13</f>
        <v>0</v>
      </c>
      <c r="J14" s="43" t="n">
        <f aca="false">J12+J13</f>
        <v>0</v>
      </c>
      <c r="K14" s="43" t="n">
        <f aca="false">K12+K13</f>
        <v>0</v>
      </c>
      <c r="L14" s="43" t="n">
        <f aca="false">L12+L13</f>
        <v>311343894.987207</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1" t="s">
        <v>309</v>
      </c>
      <c r="C16" s="16"/>
      <c r="D16" s="16"/>
      <c r="E16" s="16"/>
      <c r="F16" s="16"/>
      <c r="G16" s="16"/>
      <c r="H16" s="16"/>
      <c r="I16" s="16"/>
      <c r="J16" s="16"/>
      <c r="K16" s="16"/>
      <c r="L16" s="16"/>
    </row>
    <row r="17" customFormat="false" ht="15" hidden="false" customHeight="false" outlineLevel="0" collapsed="false">
      <c r="A17" s="5"/>
      <c r="B17" s="39" t="s">
        <v>310</v>
      </c>
      <c r="C17" s="41" t="n">
        <f aca="false">IF(IS_EBIT&gt;0,IS_EBIT*(1-Tax_Rate),IS_EBIT)-CC_Total_Capex-RV_Total_Rev*Maint_Capex_Pct+C12</f>
        <v>-61900000</v>
      </c>
      <c r="D17" s="41" t="n">
        <f aca="false">IF(IS_EBIT&gt;0,IS_EBIT*(1-Tax_Rate),IS_EBIT)-CC_Total_Capex-RV_Total_Rev*Maint_Capex_Pct+D12</f>
        <v>-63850000</v>
      </c>
      <c r="E17" s="41" t="n">
        <f aca="false">IF(IS_EBIT&gt;0,IS_EBIT*(1-Tax_Rate),IS_EBIT)-CC_Total_Capex-RV_Total_Rev*Maint_Capex_Pct+E12</f>
        <v>-3228853.72596154</v>
      </c>
      <c r="F17" s="41" t="n">
        <f aca="false">IF(IS_EBIT&gt;0,IS_EBIT*(1-Tax_Rate),IS_EBIT)-CC_Total_Capex-RV_Total_Rev*Maint_Capex_Pct+F12</f>
        <v>-29021865.0815805</v>
      </c>
      <c r="G17" s="41" t="n">
        <f aca="false">IF(IS_EBIT&gt;0,IS_EBIT*(1-Tax_Rate),IS_EBIT)-CC_Total_Capex-RV_Total_Rev*Maint_Capex_Pct+G12</f>
        <v>-30142048.6602426</v>
      </c>
      <c r="H17" s="41" t="n">
        <f aca="false">IF(IS_EBIT&gt;0,IS_EBIT*(1-Tax_Rate),IS_EBIT)-CC_Total_Capex-RV_Total_Rev*Maint_Capex_Pct+H12</f>
        <v>1972280.20253018</v>
      </c>
      <c r="I17" s="41" t="n">
        <f aca="false">IF(IS_EBIT&gt;0,IS_EBIT*(1-Tax_Rate),IS_EBIT)-CC_Total_Capex-RV_Total_Rev*Maint_Capex_Pct+I12</f>
        <v>7209184.01391439</v>
      </c>
      <c r="J17" s="41" t="n">
        <f aca="false">IF(IS_EBIT&gt;0,IS_EBIT*(1-Tax_Rate),IS_EBIT)-CC_Total_Capex-RV_Total_Rev*Maint_Capex_Pct+J12</f>
        <v>7513844.92435841</v>
      </c>
      <c r="K17" s="41" t="n">
        <f aca="false">IF(IS_EBIT&gt;0,IS_EBIT*(1-Tax_Rate),IS_EBIT)-CC_Total_Capex-RV_Total_Rev*Maint_Capex_Pct+K12</f>
        <v>7971704.38881352</v>
      </c>
      <c r="L17" s="41" t="n">
        <f aca="false">IF(IS_EBIT&gt;0,IS_EBIT*(1-Tax_Rate),IS_EBIT)-CC_Total_Capex-RV_Total_Rev*Maint_Capex_Pct+L12</f>
        <v>380948758.047472</v>
      </c>
    </row>
    <row r="18" customFormat="false" ht="15" hidden="false" customHeight="false" outlineLevel="0" collapsed="false">
      <c r="A18" s="5"/>
      <c r="B18" s="53" t="s">
        <v>311</v>
      </c>
      <c r="C18" s="54" t="n">
        <f aca="false">IFERROR(IRR(C17:L17),0)</f>
        <v>0.108107082806622</v>
      </c>
      <c r="D18" s="5"/>
      <c r="E18" s="5"/>
      <c r="F18" s="5"/>
      <c r="G18" s="5"/>
      <c r="H18" s="5"/>
      <c r="I18" s="5"/>
      <c r="J18" s="5"/>
      <c r="K18" s="5"/>
      <c r="L18" s="5"/>
    </row>
    <row r="19" customFormat="false" ht="15" hidden="false" customHeight="false" outlineLevel="0" collapsed="false">
      <c r="A19" s="5"/>
      <c r="B19" s="53" t="s">
        <v>312</v>
      </c>
      <c r="C19" s="52" t="n">
        <f aca="false">C17+NPV(WACC,D17:L17)</f>
        <v>28973574.581561</v>
      </c>
      <c r="D19" s="5"/>
      <c r="E19" s="5"/>
      <c r="F19" s="5"/>
      <c r="G19" s="5"/>
      <c r="H19" s="5"/>
      <c r="I19" s="5"/>
      <c r="J19" s="5"/>
      <c r="K19" s="5"/>
      <c r="L19" s="5"/>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31" t="s">
        <v>313</v>
      </c>
      <c r="C21" s="16"/>
      <c r="D21" s="16"/>
      <c r="E21" s="16"/>
      <c r="F21" s="16"/>
      <c r="G21" s="16"/>
      <c r="H21" s="16"/>
      <c r="I21" s="16"/>
      <c r="J21" s="16"/>
      <c r="K21" s="16"/>
      <c r="L21" s="16"/>
    </row>
    <row r="22" customFormat="false" ht="15" hidden="false" customHeight="false" outlineLevel="0" collapsed="false">
      <c r="A22" s="5"/>
      <c r="B22" s="39" t="s">
        <v>314</v>
      </c>
      <c r="C22" s="41" t="n">
        <f aca="false">-CC_Total_Capex*(1-Debt_LTC)+IS_Net_Income-RV_Total_Rev*Maint_Capex_Pct-DS_Principal+C14</f>
        <v>-25900000</v>
      </c>
      <c r="D22" s="41" t="n">
        <f aca="false">-CC_Total_Capex*(1-Debt_LTC)+IS_Net_Income-RV_Total_Rev*Maint_Capex_Pct-DS_Principal+D14</f>
        <v>-27850000</v>
      </c>
      <c r="E22" s="41" t="n">
        <f aca="false">-CC_Total_Capex*(1-Debt_LTC)+IS_Net_Income-RV_Total_Rev*Maint_Capex_Pct-DS_Principal+E14</f>
        <v>-8060953.72596154</v>
      </c>
      <c r="F22" s="41" t="n">
        <f aca="false">-CC_Total_Capex*(1-Debt_LTC)+IS_Net_Income-RV_Total_Rev*Maint_Capex_Pct-DS_Principal+F14</f>
        <v>-16557661.20162</v>
      </c>
      <c r="G22" s="41" t="n">
        <f aca="false">-CC_Total_Capex*(1-Debt_LTC)+IS_Net_Income-RV_Total_Rev*Maint_Capex_Pct-DS_Principal+G14</f>
        <v>-18137233.1199338</v>
      </c>
      <c r="H22" s="41" t="n">
        <f aca="false">-CC_Total_Capex*(1-Debt_LTC)+IS_Net_Income-RV_Total_Rev*Maint_Capex_Pct-DS_Principal+H14</f>
        <v>-3291335.85478985</v>
      </c>
      <c r="I22" s="41" t="n">
        <f aca="false">-CC_Total_Capex*(1-Debt_LTC)+IS_Net_Income-RV_Total_Rev*Maint_Capex_Pct-DS_Principal+I14</f>
        <v>1960776.9215546</v>
      </c>
      <c r="J22" s="41" t="n">
        <f aca="false">-CC_Total_Capex*(1-Debt_LTC)+IS_Net_Income-RV_Total_Rev*Maint_Capex_Pct-DS_Principal+J14</f>
        <v>2118207.31822448</v>
      </c>
      <c r="K22" s="41" t="n">
        <f aca="false">-CC_Total_Capex*(1-Debt_LTC)+IS_Net_Income-RV_Total_Rev*Maint_Capex_Pct-DS_Principal+K14</f>
        <v>2415288.68839874</v>
      </c>
      <c r="L22" s="41" t="n">
        <f aca="false">-CC_Total_Capex*(1-Debt_LTC)+IS_Net_Income-RV_Total_Rev*Maint_Capex_Pct-DS_Principal+L14</f>
        <v>314054952.696016</v>
      </c>
    </row>
    <row r="23" customFormat="false" ht="15" hidden="false" customHeight="false" outlineLevel="0" collapsed="false">
      <c r="A23" s="5"/>
      <c r="B23" s="53" t="s">
        <v>315</v>
      </c>
      <c r="C23" s="54" t="n">
        <f aca="false">IFERROR(IRR(C22:L22),0)</f>
        <v>0.172995620615682</v>
      </c>
      <c r="D23" s="5"/>
      <c r="E23" s="5"/>
      <c r="F23" s="5"/>
      <c r="G23" s="5"/>
      <c r="H23" s="5"/>
      <c r="I23" s="5"/>
      <c r="J23" s="5"/>
      <c r="K23" s="5"/>
      <c r="L23" s="5"/>
    </row>
    <row r="24" customFormat="false" ht="15" hidden="false" customHeight="false" outlineLevel="0" collapsed="false">
      <c r="A24" s="5"/>
      <c r="B24" s="53" t="s">
        <v>316</v>
      </c>
      <c r="C24" s="55" t="n">
        <f aca="false">IFERROR(-SUMPRODUCT((C22:L22&gt;0)*C22:L22)/SUMPRODUCT((C22:L22&lt;0)*C22:L22),0)</f>
        <v>3.21200672293509</v>
      </c>
      <c r="D24" s="5"/>
      <c r="E24" s="5"/>
      <c r="F24" s="5"/>
      <c r="G24" s="5"/>
      <c r="H24" s="5"/>
      <c r="I24" s="5"/>
      <c r="J24" s="5"/>
      <c r="K24" s="5"/>
      <c r="L24"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317</v>
      </c>
      <c r="C2" s="5"/>
      <c r="D2" s="5"/>
      <c r="E2" s="5"/>
      <c r="F2" s="5"/>
      <c r="G2" s="5"/>
      <c r="H2" s="5"/>
      <c r="I2" s="5"/>
      <c r="J2" s="5"/>
      <c r="K2" s="5"/>
      <c r="L2" s="5"/>
    </row>
    <row r="3" customFormat="false" ht="15" hidden="false" customHeight="false" outlineLevel="0" collapsed="false">
      <c r="A3" s="5"/>
      <c r="B3" s="8" t="s">
        <v>318</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39" t="s">
        <v>319</v>
      </c>
      <c r="C7" s="56" t="str">
        <f aca="false">IF(BS_Check=0,"PASS","FAIL")</f>
        <v>PASS</v>
      </c>
      <c r="D7" s="56" t="str">
        <f aca="false">IF(BS_Check=0,"PASS","FAIL")</f>
        <v>FAIL</v>
      </c>
      <c r="E7" s="56" t="str">
        <f aca="false">IF(BS_Check=0,"PASS","FAIL")</f>
        <v>FAIL</v>
      </c>
      <c r="F7" s="56" t="str">
        <f aca="false">IF(BS_Check=0,"PASS","FAIL")</f>
        <v>FAIL</v>
      </c>
      <c r="G7" s="56" t="str">
        <f aca="false">IF(BS_Check=0,"PASS","FAIL")</f>
        <v>FAIL</v>
      </c>
      <c r="H7" s="56" t="str">
        <f aca="false">IF(BS_Check=0,"PASS","FAIL")</f>
        <v>FAIL</v>
      </c>
      <c r="I7" s="56" t="str">
        <f aca="false">IF(BS_Check=0,"PASS","FAIL")</f>
        <v>FAIL</v>
      </c>
      <c r="J7" s="56" t="str">
        <f aca="false">IF(BS_Check=0,"PASS","FAIL")</f>
        <v>FAIL</v>
      </c>
      <c r="K7" s="56" t="str">
        <f aca="false">IF(BS_Check=0,"PASS","FAIL")</f>
        <v>FAIL</v>
      </c>
      <c r="L7" s="56" t="str">
        <f aca="false">IF(BS_Check=0,"PASS","FAIL")</f>
        <v>FAIL</v>
      </c>
    </row>
    <row r="8" customFormat="false" ht="15" hidden="false" customHeight="false" outlineLevel="0" collapsed="false">
      <c r="A8" s="5"/>
      <c r="B8" s="39" t="s">
        <v>320</v>
      </c>
      <c r="C8" s="56" t="str">
        <f aca="false">IF(CR_Billed_KW&lt;=CR_Total_KW+1,"PASS","FAIL")</f>
        <v>PASS</v>
      </c>
      <c r="D8" s="56" t="str">
        <f aca="false">IF(CR_Billed_KW&lt;=CR_Total_KW+1,"PASS","FAIL")</f>
        <v>PASS</v>
      </c>
      <c r="E8" s="56" t="str">
        <f aca="false">IF(CR_Billed_KW&lt;=CR_Total_KW+1,"PASS","FAIL")</f>
        <v>PASS</v>
      </c>
      <c r="F8" s="56" t="str">
        <f aca="false">IF(CR_Billed_KW&lt;=CR_Total_KW+1,"PASS","FAIL")</f>
        <v>PASS</v>
      </c>
      <c r="G8" s="56" t="str">
        <f aca="false">IF(CR_Billed_KW&lt;=CR_Total_KW+1,"PASS","FAIL")</f>
        <v>PASS</v>
      </c>
      <c r="H8" s="56" t="str">
        <f aca="false">IF(CR_Billed_KW&lt;=CR_Total_KW+1,"PASS","FAIL")</f>
        <v>PASS</v>
      </c>
      <c r="I8" s="56" t="str">
        <f aca="false">IF(CR_Billed_KW&lt;=CR_Total_KW+1,"PASS","FAIL")</f>
        <v>PASS</v>
      </c>
      <c r="J8" s="56" t="str">
        <f aca="false">IF(CR_Billed_KW&lt;=CR_Total_KW+1,"PASS","FAIL")</f>
        <v>PASS</v>
      </c>
      <c r="K8" s="56" t="str">
        <f aca="false">IF(CR_Billed_KW&lt;=CR_Total_KW+1,"PASS","FAIL")</f>
        <v>PASS</v>
      </c>
      <c r="L8" s="56" t="str">
        <f aca="false">IF(CR_Billed_KW&lt;=CR_Total_KW+1,"PASS","FAIL")</f>
        <v>PASS</v>
      </c>
    </row>
    <row r="9" customFormat="false" ht="15" hidden="false" customHeight="false" outlineLevel="0" collapsed="false">
      <c r="A9" s="5"/>
      <c r="B9" s="39" t="s">
        <v>321</v>
      </c>
      <c r="C9" s="56" t="str">
        <f aca="false">IF(PUE_Ratio&gt;1,"PASS","FAIL")</f>
        <v>PASS</v>
      </c>
      <c r="D9" s="56" t="str">
        <f aca="false">IF(PUE_Ratio&gt;1,"PASS","FAIL")</f>
        <v>PASS</v>
      </c>
      <c r="E9" s="56" t="str">
        <f aca="false">IF(PUE_Ratio&gt;1,"PASS","FAIL")</f>
        <v>PASS</v>
      </c>
      <c r="F9" s="56" t="str">
        <f aca="false">IF(PUE_Ratio&gt;1,"PASS","FAIL")</f>
        <v>PASS</v>
      </c>
      <c r="G9" s="56" t="str">
        <f aca="false">IF(PUE_Ratio&gt;1,"PASS","FAIL")</f>
        <v>PASS</v>
      </c>
      <c r="H9" s="56" t="str">
        <f aca="false">IF(PUE_Ratio&gt;1,"PASS","FAIL")</f>
        <v>PASS</v>
      </c>
      <c r="I9" s="56" t="str">
        <f aca="false">IF(PUE_Ratio&gt;1,"PASS","FAIL")</f>
        <v>PASS</v>
      </c>
      <c r="J9" s="56" t="str">
        <f aca="false">IF(PUE_Ratio&gt;1,"PASS","FAIL")</f>
        <v>PASS</v>
      </c>
      <c r="K9" s="56" t="str">
        <f aca="false">IF(PUE_Ratio&gt;1,"PASS","FAIL")</f>
        <v>PASS</v>
      </c>
      <c r="L9" s="56" t="str">
        <f aca="false">IF(PUE_Ratio&gt;1,"PASS","FAIL")</f>
        <v>PASS</v>
      </c>
    </row>
    <row r="10" customFormat="false" ht="15" hidden="false" customHeight="false" outlineLevel="0" collapsed="false">
      <c r="A10" s="5"/>
      <c r="B10" s="39" t="s">
        <v>322</v>
      </c>
      <c r="C10" s="56" t="str">
        <f aca="false">IF(C6&lt;=IO_Period,"N/A",IF(ISNUMBER(DS_DSCR),IF(DS_DSCR&gt;=1.25,"PASS","FAIL"),"N/A"))</f>
        <v>N/A</v>
      </c>
      <c r="D10" s="56" t="str">
        <f aca="false">IF(D6&lt;=IO_Period,"N/A",IF(ISNUMBER(DS_DSCR),IF(DS_DSCR&gt;=1.25,"PASS","FAIL"),"N/A"))</f>
        <v>N/A</v>
      </c>
      <c r="E10" s="56" t="str">
        <f aca="false">IF(E6&lt;=IO_Period,"N/A",IF(ISNUMBER(DS_DSCR),IF(DS_DSCR&gt;=1.25,"PASS","FAIL"),"N/A"))</f>
        <v>N/A</v>
      </c>
      <c r="F10" s="56" t="str">
        <f aca="false">IF(F6&lt;=IO_Period,"N/A",IF(ISNUMBER(DS_DSCR),IF(DS_DSCR&gt;=1.25,"PASS","FAIL"),"N/A"))</f>
        <v>PASS</v>
      </c>
      <c r="G10" s="56" t="str">
        <f aca="false">IF(G6&lt;=IO_Period,"N/A",IF(ISNUMBER(DS_DSCR),IF(DS_DSCR&gt;=1.25,"PASS","FAIL"),"N/A"))</f>
        <v>FAIL</v>
      </c>
      <c r="H10" s="56" t="str">
        <f aca="false">IF(H6&lt;=IO_Period,"N/A",IF(ISNUMBER(DS_DSCR),IF(DS_DSCR&gt;=1.25,"PASS","FAIL"),"N/A"))</f>
        <v>PASS</v>
      </c>
      <c r="I10" s="56" t="str">
        <f aca="false">IF(I6&lt;=IO_Period,"N/A",IF(ISNUMBER(DS_DSCR),IF(DS_DSCR&gt;=1.25,"PASS","FAIL"),"N/A"))</f>
        <v>PASS</v>
      </c>
      <c r="J10" s="56" t="str">
        <f aca="false">IF(J6&lt;=IO_Period,"N/A",IF(ISNUMBER(DS_DSCR),IF(DS_DSCR&gt;=1.25,"PASS","FAIL"),"N/A"))</f>
        <v>PASS</v>
      </c>
      <c r="K10" s="56" t="str">
        <f aca="false">IF(K6&lt;=IO_Period,"N/A",IF(ISNUMBER(DS_DSCR),IF(DS_DSCR&gt;=1.25,"PASS","FAIL"),"N/A"))</f>
        <v>PASS</v>
      </c>
      <c r="L10" s="56" t="str">
        <f aca="false">IF(L6&lt;=IO_Period,"N/A",IF(ISNUMBER(DS_DSCR),IF(DS_DSCR&gt;=1.25,"PASS","FAIL"),"N/A"))</f>
        <v>PASS</v>
      </c>
    </row>
    <row r="11" customFormat="false" ht="15" hidden="false" customHeight="false" outlineLevel="0" collapsed="false">
      <c r="A11" s="5"/>
      <c r="B11" s="39" t="s">
        <v>256</v>
      </c>
      <c r="C11" s="56" t="str">
        <f aca="false">IF(IS_Total_Rev=0,"N/A",IF(AND(IS_EBITDA/IS_Total_Rev&gt;=0.45,IS_EBITDA/IS_Total_Rev&lt;=0.7),"PASS","WARN"))</f>
        <v>N/A</v>
      </c>
      <c r="D11" s="56" t="str">
        <f aca="false">IF(IS_Total_Rev=0,"N/A",IF(AND(IS_EBITDA/IS_Total_Rev&gt;=0.45,IS_EBITDA/IS_Total_Rev&lt;=0.7),"PASS","WARN"))</f>
        <v>N/A</v>
      </c>
      <c r="E11" s="56" t="str">
        <f aca="false">IF(IS_Total_Rev=0,"N/A",IF(AND(IS_EBITDA/IS_Total_Rev&gt;=0.45,IS_EBITDA/IS_Total_Rev&lt;=0.7),"PASS","WARN"))</f>
        <v>WARN</v>
      </c>
      <c r="F11" s="56" t="str">
        <f aca="false">IF(IS_Total_Rev=0,"N/A",IF(AND(IS_EBITDA/IS_Total_Rev&gt;=0.45,IS_EBITDA/IS_Total_Rev&lt;=0.7),"PASS","WARN"))</f>
        <v>WARN</v>
      </c>
      <c r="G11" s="56" t="str">
        <f aca="false">IF(IS_Total_Rev=0,"N/A",IF(AND(IS_EBITDA/IS_Total_Rev&gt;=0.45,IS_EBITDA/IS_Total_Rev&lt;=0.7),"PASS","WARN"))</f>
        <v>WARN</v>
      </c>
      <c r="H11" s="56" t="str">
        <f aca="false">IF(IS_Total_Rev=0,"N/A",IF(AND(IS_EBITDA/IS_Total_Rev&gt;=0.45,IS_EBITDA/IS_Total_Rev&lt;=0.7),"PASS","WARN"))</f>
        <v>WARN</v>
      </c>
      <c r="I11" s="56" t="str">
        <f aca="false">IF(IS_Total_Rev=0,"N/A",IF(AND(IS_EBITDA/IS_Total_Rev&gt;=0.45,IS_EBITDA/IS_Total_Rev&lt;=0.7),"PASS","WARN"))</f>
        <v>WARN</v>
      </c>
      <c r="J11" s="56" t="str">
        <f aca="false">IF(IS_Total_Rev=0,"N/A",IF(AND(IS_EBITDA/IS_Total_Rev&gt;=0.45,IS_EBITDA/IS_Total_Rev&lt;=0.7),"PASS","WARN"))</f>
        <v>WARN</v>
      </c>
      <c r="K11" s="56" t="str">
        <f aca="false">IF(IS_Total_Rev=0,"N/A",IF(AND(IS_EBITDA/IS_Total_Rev&gt;=0.45,IS_EBITDA/IS_Total_Rev&lt;=0.7),"PASS","WARN"))</f>
        <v>WARN</v>
      </c>
      <c r="L11" s="56" t="str">
        <f aca="false">IF(IS_Total_Rev=0,"N/A",IF(AND(IS_EBITDA/IS_Total_Rev&gt;=0.45,IS_EBITDA/IS_Total_Rev&lt;=0.7),"PASS","WARN"))</f>
        <v>WARN</v>
      </c>
    </row>
    <row r="12" customFormat="false" ht="15" hidden="false" customHeight="false" outlineLevel="0" collapsed="false">
      <c r="A12" s="5"/>
      <c r="B12" s="39" t="s">
        <v>323</v>
      </c>
      <c r="C12" s="56" t="str">
        <f aca="false">IF(Capacity_MW=0,"N/A",IF(AND((Shell_Cost_MW+MEP_Cost_MW)&gt;=7000000,(Shell_Cost_MW+MEP_Cost_MW)&lt;=12000000),"PASS","FAIL"))</f>
        <v>PASS</v>
      </c>
      <c r="D12" s="56" t="str">
        <f aca="false">IF(Capacity_MW=0,"N/A",IF(AND((Shell_Cost_MW+MEP_Cost_MW)&gt;=7000000,(Shell_Cost_MW+MEP_Cost_MW)&lt;=12000000),"PASS","FAIL"))</f>
        <v>PASS</v>
      </c>
      <c r="E12" s="56" t="str">
        <f aca="false">IF(Capacity_MW=0,"N/A",IF(AND((Shell_Cost_MW+MEP_Cost_MW)&gt;=7000000,(Shell_Cost_MW+MEP_Cost_MW)&lt;=12000000),"PASS","FAIL"))</f>
        <v>PASS</v>
      </c>
      <c r="F12" s="56" t="str">
        <f aca="false">IF(Capacity_MW=0,"N/A",IF(AND((Shell_Cost_MW+MEP_Cost_MW)&gt;=7000000,(Shell_Cost_MW+MEP_Cost_MW)&lt;=12000000),"PASS","FAIL"))</f>
        <v>PASS</v>
      </c>
      <c r="G12" s="56" t="str">
        <f aca="false">IF(Capacity_MW=0,"N/A",IF(AND((Shell_Cost_MW+MEP_Cost_MW)&gt;=7000000,(Shell_Cost_MW+MEP_Cost_MW)&lt;=12000000),"PASS","FAIL"))</f>
        <v>PASS</v>
      </c>
      <c r="H12" s="56" t="str">
        <f aca="false">IF(Capacity_MW=0,"N/A",IF(AND((Shell_Cost_MW+MEP_Cost_MW)&gt;=7000000,(Shell_Cost_MW+MEP_Cost_MW)&lt;=12000000),"PASS","FAIL"))</f>
        <v>PASS</v>
      </c>
      <c r="I12" s="56" t="str">
        <f aca="false">IF(Capacity_MW=0,"N/A",IF(AND((Shell_Cost_MW+MEP_Cost_MW)&gt;=7000000,(Shell_Cost_MW+MEP_Cost_MW)&lt;=12000000),"PASS","FAIL"))</f>
        <v>PASS</v>
      </c>
      <c r="J12" s="56" t="str">
        <f aca="false">IF(Capacity_MW=0,"N/A",IF(AND((Shell_Cost_MW+MEP_Cost_MW)&gt;=7000000,(Shell_Cost_MW+MEP_Cost_MW)&lt;=12000000),"PASS","FAIL"))</f>
        <v>PASS</v>
      </c>
      <c r="K12" s="56" t="str">
        <f aca="false">IF(Capacity_MW=0,"N/A",IF(AND((Shell_Cost_MW+MEP_Cost_MW)&gt;=7000000,(Shell_Cost_MW+MEP_Cost_MW)&lt;=12000000),"PASS","FAIL"))</f>
        <v>PASS</v>
      </c>
      <c r="L12" s="56" t="str">
        <f aca="false">IF(Capacity_MW=0,"N/A",IF(AND((Shell_Cost_MW+MEP_Cost_MW)&gt;=7000000,(Shell_Cost_MW+MEP_Cost_MW)&lt;=12000000),"PASS","FAIL"))</f>
        <v>PASS</v>
      </c>
    </row>
    <row r="13" customFormat="false" ht="15" hidden="false" customHeight="false" outlineLevel="0" collapsed="false">
      <c r="A13" s="5"/>
      <c r="B13" s="39" t="s">
        <v>324</v>
      </c>
      <c r="C13" s="56" t="str">
        <f aca="false">IF(CF_Close_Cash&gt;=0,"PASS","FAIL")</f>
        <v>FAIL</v>
      </c>
      <c r="D13" s="56" t="str">
        <f aca="false">IF(CF_Close_Cash&gt;=0,"PASS","FAIL")</f>
        <v>FAIL</v>
      </c>
      <c r="E13" s="56" t="str">
        <f aca="false">IF(CF_Close_Cash&gt;=0,"PASS","FAIL")</f>
        <v>FAIL</v>
      </c>
      <c r="F13" s="56" t="str">
        <f aca="false">IF(CF_Close_Cash&gt;=0,"PASS","FAIL")</f>
        <v>FAIL</v>
      </c>
      <c r="G13" s="56" t="str">
        <f aca="false">IF(CF_Close_Cash&gt;=0,"PASS","FAIL")</f>
        <v>FAIL</v>
      </c>
      <c r="H13" s="56" t="str">
        <f aca="false">IF(CF_Close_Cash&gt;=0,"PASS","FAIL")</f>
        <v>FAIL</v>
      </c>
      <c r="I13" s="56" t="str">
        <f aca="false">IF(CF_Close_Cash&gt;=0,"PASS","FAIL")</f>
        <v>FAIL</v>
      </c>
      <c r="J13" s="56" t="str">
        <f aca="false">IF(CF_Close_Cash&gt;=0,"PASS","FAIL")</f>
        <v>FAIL</v>
      </c>
      <c r="K13" s="56" t="str">
        <f aca="false">IF(CF_Close_Cash&gt;=0,"PASS","FAIL")</f>
        <v>FAIL</v>
      </c>
      <c r="L13" s="56" t="str">
        <f aca="false">IF(CF_Close_Cash&gt;=0,"PASS","FAIL")</f>
        <v>FAIL</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46</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47</v>
      </c>
    </row>
    <row r="6" customFormat="false" ht="48" hidden="false" customHeight="true" outlineLevel="0" collapsed="false">
      <c r="A6" s="5"/>
      <c r="B6" s="23" t="s">
        <v>48</v>
      </c>
    </row>
    <row r="7" customFormat="false" ht="15" hidden="false" customHeight="false" outlineLevel="0" collapsed="false">
      <c r="A7" s="5"/>
      <c r="B7" s="5"/>
    </row>
    <row r="8" customFormat="false" ht="19.5" hidden="false" customHeight="true" outlineLevel="0" collapsed="false">
      <c r="A8" s="5"/>
      <c r="B8" s="22" t="s">
        <v>49</v>
      </c>
    </row>
    <row r="9" customFormat="false" ht="61.5" hidden="false" customHeight="true" outlineLevel="0" collapsed="false">
      <c r="A9" s="5"/>
      <c r="B9" s="23" t="s">
        <v>50</v>
      </c>
    </row>
    <row r="10" customFormat="false" ht="15" hidden="false" customHeight="false" outlineLevel="0" collapsed="false">
      <c r="A10" s="5"/>
      <c r="B10" s="5"/>
    </row>
    <row r="11" customFormat="false" ht="19.5" hidden="false" customHeight="true" outlineLevel="0" collapsed="false">
      <c r="A11" s="5"/>
      <c r="B11" s="22" t="s">
        <v>51</v>
      </c>
    </row>
    <row r="12" customFormat="false" ht="75.75" hidden="false" customHeight="true" outlineLevel="0" collapsed="false">
      <c r="A12" s="5"/>
      <c r="B12" s="23" t="s">
        <v>52</v>
      </c>
    </row>
    <row r="13" customFormat="false" ht="15" hidden="false" customHeight="false" outlineLevel="0" collapsed="false">
      <c r="A13" s="5"/>
      <c r="B13" s="5"/>
    </row>
    <row r="14" customFormat="false" ht="19.5" hidden="false" customHeight="true" outlineLevel="0" collapsed="false">
      <c r="A14" s="5"/>
      <c r="B14" s="22" t="s">
        <v>53</v>
      </c>
    </row>
    <row r="15" customFormat="false" ht="61.5" hidden="false" customHeight="true" outlineLevel="0" collapsed="false">
      <c r="A15" s="5"/>
      <c r="B15" s="23" t="s">
        <v>54</v>
      </c>
    </row>
    <row r="16" customFormat="false" ht="15" hidden="false" customHeight="false" outlineLevel="0" collapsed="false">
      <c r="A16" s="5"/>
      <c r="B16" s="5"/>
    </row>
    <row r="17" customFormat="false" ht="19.5" hidden="false" customHeight="true" outlineLevel="0" collapsed="false">
      <c r="A17" s="5"/>
      <c r="B17" s="22" t="s">
        <v>55</v>
      </c>
    </row>
    <row r="18" customFormat="false" ht="33.75" hidden="false" customHeight="true" outlineLevel="0" collapsed="false">
      <c r="A18" s="5"/>
      <c r="B18" s="23" t="s">
        <v>56</v>
      </c>
    </row>
    <row r="19" customFormat="false" ht="15" hidden="false" customHeight="false" outlineLevel="0" collapsed="false">
      <c r="A19" s="5"/>
      <c r="B19" s="5"/>
    </row>
    <row r="20" customFormat="false" ht="19.5" hidden="false" customHeight="true" outlineLevel="0" collapsed="false">
      <c r="A20" s="5"/>
      <c r="B20" s="22" t="s">
        <v>57</v>
      </c>
    </row>
    <row r="21" customFormat="false" ht="33.75" hidden="false" customHeight="true" outlineLevel="0" collapsed="false">
      <c r="A21" s="5"/>
      <c r="B21" s="23" t="s">
        <v>58</v>
      </c>
    </row>
    <row r="22" customFormat="false" ht="15" hidden="false" customHeight="false" outlineLevel="0" collapsed="false">
      <c r="A22" s="5"/>
      <c r="B22" s="5"/>
    </row>
    <row r="23" customFormat="false" ht="21.75" hidden="false" customHeight="true" outlineLevel="0" collapsed="false">
      <c r="A23" s="5"/>
      <c r="B23" s="24" t="s">
        <v>59</v>
      </c>
    </row>
    <row r="24" customFormat="false" ht="15" hidden="false" customHeight="false" outlineLevel="0" collapsed="false">
      <c r="A24" s="5"/>
      <c r="B24" s="5"/>
    </row>
    <row r="25" customFormat="false" ht="18" hidden="false" customHeight="true" outlineLevel="0" collapsed="false">
      <c r="A25" s="5"/>
      <c r="B25" s="25" t="s">
        <v>60</v>
      </c>
    </row>
    <row r="26" customFormat="false" ht="201.75" hidden="false" customHeight="true" outlineLevel="0" collapsed="false">
      <c r="A26" s="5"/>
      <c r="B26" s="26" t="s">
        <v>61</v>
      </c>
    </row>
    <row r="27" customFormat="false" ht="15" hidden="false" customHeight="false" outlineLevel="0" collapsed="false">
      <c r="A27" s="5"/>
      <c r="B27" s="5"/>
    </row>
    <row r="28" customFormat="false" ht="18" hidden="false" customHeight="true" outlineLevel="0" collapsed="false">
      <c r="A28" s="5"/>
      <c r="B28" s="27" t="s">
        <v>62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4"/>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8" t="s">
        <v>63</v>
      </c>
      <c r="C3" s="5"/>
      <c r="D3" s="5"/>
      <c r="E3" s="5"/>
    </row>
    <row r="4" customFormat="false" ht="15" hidden="false" customHeight="false" outlineLevel="0" collapsed="false">
      <c r="A4" s="5"/>
      <c r="B4" s="5"/>
      <c r="C4" s="5"/>
      <c r="D4" s="5"/>
      <c r="E4" s="5"/>
    </row>
    <row r="5" customFormat="false" ht="15" hidden="false" customHeight="false" outlineLevel="0" collapsed="false">
      <c r="A5" s="5"/>
      <c r="B5" s="29" t="s">
        <v>64</v>
      </c>
      <c r="C5" s="30" t="s">
        <v>65</v>
      </c>
      <c r="D5" s="30" t="s">
        <v>66</v>
      </c>
      <c r="E5" s="30" t="s">
        <v>67</v>
      </c>
    </row>
    <row r="6" customFormat="false" ht="15" hidden="false" customHeight="false" outlineLevel="0" collapsed="false">
      <c r="A6" s="5"/>
      <c r="B6" s="31" t="s">
        <v>68</v>
      </c>
      <c r="C6" s="16"/>
      <c r="D6" s="16"/>
      <c r="E6" s="16"/>
    </row>
    <row r="7" customFormat="false" ht="15" hidden="false" customHeight="false" outlineLevel="0" collapsed="false">
      <c r="A7" s="5"/>
      <c r="B7" s="7" t="s">
        <v>69</v>
      </c>
      <c r="C7" s="32" t="n">
        <v>20</v>
      </c>
      <c r="D7" s="33" t="s">
        <v>70</v>
      </c>
      <c r="E7" s="8" t="s">
        <v>71</v>
      </c>
    </row>
    <row r="8" customFormat="false" ht="15" hidden="false" customHeight="false" outlineLevel="0" collapsed="false">
      <c r="A8" s="5"/>
      <c r="B8" s="7" t="s">
        <v>72</v>
      </c>
      <c r="C8" s="32" t="n">
        <v>3000000</v>
      </c>
      <c r="D8" s="33" t="s">
        <v>73</v>
      </c>
      <c r="E8" s="8" t="s">
        <v>74</v>
      </c>
    </row>
    <row r="9" customFormat="false" ht="15" hidden="false" customHeight="false" outlineLevel="0" collapsed="false">
      <c r="A9" s="5"/>
      <c r="B9" s="7" t="s">
        <v>75</v>
      </c>
      <c r="C9" s="32" t="n">
        <v>6000000</v>
      </c>
      <c r="D9" s="33" t="s">
        <v>73</v>
      </c>
      <c r="E9" s="8" t="s">
        <v>76</v>
      </c>
    </row>
    <row r="10" customFormat="false" ht="15" hidden="false" customHeight="false" outlineLevel="0" collapsed="false">
      <c r="A10" s="5"/>
      <c r="B10" s="7" t="s">
        <v>77</v>
      </c>
      <c r="C10" s="32" t="n">
        <v>2</v>
      </c>
      <c r="D10" s="33" t="s">
        <v>78</v>
      </c>
      <c r="E10" s="8" t="s">
        <v>79</v>
      </c>
    </row>
    <row r="11" customFormat="false" ht="15" hidden="false" customHeight="false" outlineLevel="0" collapsed="false">
      <c r="A11" s="5"/>
      <c r="B11" s="7" t="s">
        <v>80</v>
      </c>
      <c r="C11" s="32" t="n">
        <v>10</v>
      </c>
      <c r="D11" s="33" t="s">
        <v>70</v>
      </c>
      <c r="E11" s="8" t="s">
        <v>81</v>
      </c>
    </row>
    <row r="12" customFormat="false" ht="15" hidden="false" customHeight="false" outlineLevel="0" collapsed="false">
      <c r="A12" s="5"/>
      <c r="B12" s="7" t="s">
        <v>82</v>
      </c>
      <c r="C12" s="32" t="n">
        <v>10</v>
      </c>
      <c r="D12" s="33" t="s">
        <v>70</v>
      </c>
      <c r="E12" s="8" t="s">
        <v>83</v>
      </c>
    </row>
    <row r="13" customFormat="false" ht="15" hidden="false" customHeight="false" outlineLevel="0" collapsed="false">
      <c r="A13" s="5"/>
      <c r="B13" s="7" t="s">
        <v>84</v>
      </c>
      <c r="C13" s="32" t="n">
        <v>4</v>
      </c>
      <c r="D13" s="33" t="s">
        <v>85</v>
      </c>
      <c r="E13" s="8" t="s">
        <v>86</v>
      </c>
    </row>
    <row r="14" customFormat="false" ht="15" hidden="false" customHeight="false" outlineLevel="0" collapsed="false">
      <c r="A14" s="5"/>
      <c r="B14" s="31" t="s">
        <v>87</v>
      </c>
      <c r="C14" s="16"/>
      <c r="D14" s="16"/>
      <c r="E14" s="16"/>
    </row>
    <row r="15" customFormat="false" ht="15" hidden="false" customHeight="false" outlineLevel="0" collapsed="false">
      <c r="A15" s="5"/>
      <c r="B15" s="7" t="s">
        <v>88</v>
      </c>
      <c r="C15" s="34" t="n">
        <v>0.9</v>
      </c>
      <c r="D15" s="33" t="s">
        <v>89</v>
      </c>
      <c r="E15" s="8" t="s">
        <v>90</v>
      </c>
    </row>
    <row r="16" customFormat="false" ht="15" hidden="false" customHeight="false" outlineLevel="0" collapsed="false">
      <c r="A16" s="5"/>
      <c r="B16" s="7" t="s">
        <v>91</v>
      </c>
      <c r="C16" s="32" t="n">
        <v>2</v>
      </c>
      <c r="D16" s="33" t="s">
        <v>78</v>
      </c>
      <c r="E16" s="8" t="s">
        <v>92</v>
      </c>
    </row>
    <row r="17" customFormat="false" ht="15" hidden="false" customHeight="false" outlineLevel="0" collapsed="false">
      <c r="A17" s="5"/>
      <c r="B17" s="7" t="s">
        <v>93</v>
      </c>
      <c r="C17" s="32" t="n">
        <v>135</v>
      </c>
      <c r="D17" s="33" t="s">
        <v>94</v>
      </c>
      <c r="E17" s="8" t="s">
        <v>95</v>
      </c>
    </row>
    <row r="18" customFormat="false" ht="15" hidden="false" customHeight="false" outlineLevel="0" collapsed="false">
      <c r="A18" s="5"/>
      <c r="B18" s="7" t="s">
        <v>96</v>
      </c>
      <c r="C18" s="34" t="n">
        <v>0.025</v>
      </c>
      <c r="D18" s="33" t="s">
        <v>97</v>
      </c>
      <c r="E18" s="8" t="s">
        <v>98</v>
      </c>
    </row>
    <row r="19" customFormat="false" ht="15" hidden="false" customHeight="false" outlineLevel="0" collapsed="false">
      <c r="A19" s="5"/>
      <c r="B19" s="31" t="s">
        <v>99</v>
      </c>
      <c r="C19" s="16"/>
      <c r="D19" s="16"/>
      <c r="E19" s="16"/>
    </row>
    <row r="20" customFormat="false" ht="15" hidden="false" customHeight="false" outlineLevel="0" collapsed="false">
      <c r="A20" s="5"/>
      <c r="B20" s="7" t="s">
        <v>100</v>
      </c>
      <c r="C20" s="35" t="n">
        <v>1.35</v>
      </c>
      <c r="D20" s="33" t="s">
        <v>101</v>
      </c>
      <c r="E20" s="8" t="s">
        <v>102</v>
      </c>
    </row>
    <row r="21" customFormat="false" ht="15" hidden="false" customHeight="false" outlineLevel="0" collapsed="false">
      <c r="A21" s="5"/>
      <c r="B21" s="7" t="s">
        <v>103</v>
      </c>
      <c r="C21" s="34" t="n">
        <v>0.1</v>
      </c>
      <c r="D21" s="33" t="s">
        <v>104</v>
      </c>
      <c r="E21" s="8" t="s">
        <v>105</v>
      </c>
    </row>
    <row r="22" customFormat="false" ht="15" hidden="false" customHeight="false" outlineLevel="0" collapsed="false">
      <c r="A22" s="5"/>
      <c r="B22" s="7" t="s">
        <v>106</v>
      </c>
      <c r="C22" s="34" t="n">
        <v>0</v>
      </c>
      <c r="D22" s="33" t="s">
        <v>89</v>
      </c>
      <c r="E22" s="8" t="s">
        <v>107</v>
      </c>
    </row>
    <row r="23" customFormat="false" ht="15" hidden="false" customHeight="false" outlineLevel="0" collapsed="false">
      <c r="A23" s="5"/>
      <c r="B23" s="31" t="s">
        <v>108</v>
      </c>
      <c r="C23" s="16"/>
      <c r="D23" s="16"/>
      <c r="E23" s="16"/>
    </row>
    <row r="24" customFormat="false" ht="15" hidden="false" customHeight="false" outlineLevel="0" collapsed="false">
      <c r="A24" s="5"/>
      <c r="B24" s="7" t="s">
        <v>109</v>
      </c>
      <c r="C24" s="32" t="n">
        <v>50</v>
      </c>
      <c r="D24" s="33" t="s">
        <v>110</v>
      </c>
      <c r="E24" s="8" t="s">
        <v>111</v>
      </c>
    </row>
    <row r="25" customFormat="false" ht="15" hidden="false" customHeight="false" outlineLevel="0" collapsed="false">
      <c r="A25" s="5"/>
      <c r="B25" s="7" t="s">
        <v>112</v>
      </c>
      <c r="C25" s="32" t="n">
        <v>250</v>
      </c>
      <c r="D25" s="33" t="s">
        <v>113</v>
      </c>
      <c r="E25" s="8" t="s">
        <v>114</v>
      </c>
    </row>
    <row r="26" customFormat="false" ht="15" hidden="false" customHeight="false" outlineLevel="0" collapsed="false">
      <c r="A26" s="5"/>
      <c r="B26" s="7" t="s">
        <v>115</v>
      </c>
      <c r="C26" s="32" t="n">
        <v>50000</v>
      </c>
      <c r="D26" s="33" t="s">
        <v>73</v>
      </c>
      <c r="E26" s="8" t="s">
        <v>116</v>
      </c>
    </row>
    <row r="27" customFormat="false" ht="15" hidden="false" customHeight="false" outlineLevel="0" collapsed="false">
      <c r="A27" s="5"/>
      <c r="B27" s="31" t="s">
        <v>117</v>
      </c>
      <c r="C27" s="16"/>
      <c r="D27" s="16"/>
      <c r="E27" s="16"/>
    </row>
    <row r="28" customFormat="false" ht="15" hidden="false" customHeight="false" outlineLevel="0" collapsed="false">
      <c r="A28" s="5"/>
      <c r="B28" s="7" t="s">
        <v>118</v>
      </c>
      <c r="C28" s="32" t="n">
        <v>150000</v>
      </c>
      <c r="D28" s="33" t="s">
        <v>119</v>
      </c>
      <c r="E28" s="8" t="s">
        <v>120</v>
      </c>
    </row>
    <row r="29" customFormat="false" ht="15" hidden="false" customHeight="false" outlineLevel="0" collapsed="false">
      <c r="A29" s="5"/>
      <c r="B29" s="7" t="s">
        <v>121</v>
      </c>
      <c r="C29" s="34" t="n">
        <v>0.015</v>
      </c>
      <c r="D29" s="33" t="s">
        <v>122</v>
      </c>
      <c r="E29" s="8" t="s">
        <v>123</v>
      </c>
    </row>
    <row r="30" customFormat="false" ht="15" hidden="false" customHeight="false" outlineLevel="0" collapsed="false">
      <c r="A30" s="5"/>
      <c r="B30" s="7" t="s">
        <v>124</v>
      </c>
      <c r="C30" s="34" t="n">
        <v>0.05</v>
      </c>
      <c r="D30" s="33" t="s">
        <v>125</v>
      </c>
      <c r="E30" s="8" t="s">
        <v>126</v>
      </c>
    </row>
    <row r="31" customFormat="false" ht="15" hidden="false" customHeight="false" outlineLevel="0" collapsed="false">
      <c r="A31" s="5"/>
      <c r="B31" s="7" t="s">
        <v>127</v>
      </c>
      <c r="C31" s="34" t="n">
        <v>0.025</v>
      </c>
      <c r="D31" s="33" t="s">
        <v>125</v>
      </c>
      <c r="E31" s="8" t="s">
        <v>128</v>
      </c>
    </row>
    <row r="32" customFormat="false" ht="15" hidden="false" customHeight="false" outlineLevel="0" collapsed="false">
      <c r="A32" s="5"/>
      <c r="B32" s="7" t="s">
        <v>129</v>
      </c>
      <c r="C32" s="34" t="n">
        <v>0.025</v>
      </c>
      <c r="D32" s="33" t="s">
        <v>97</v>
      </c>
      <c r="E32" s="8" t="s">
        <v>130</v>
      </c>
    </row>
    <row r="33" customFormat="false" ht="15" hidden="false" customHeight="false" outlineLevel="0" collapsed="false">
      <c r="A33" s="5"/>
      <c r="B33" s="31" t="s">
        <v>131</v>
      </c>
      <c r="C33" s="16"/>
      <c r="D33" s="16"/>
      <c r="E33" s="16"/>
    </row>
    <row r="34" customFormat="false" ht="15" hidden="false" customHeight="false" outlineLevel="0" collapsed="false">
      <c r="A34" s="5"/>
      <c r="B34" s="7" t="s">
        <v>132</v>
      </c>
      <c r="C34" s="34" t="n">
        <v>0.6</v>
      </c>
      <c r="D34" s="33" t="s">
        <v>89</v>
      </c>
      <c r="E34" s="8" t="s">
        <v>133</v>
      </c>
    </row>
    <row r="35" customFormat="false" ht="15" hidden="false" customHeight="false" outlineLevel="0" collapsed="false">
      <c r="A35" s="5"/>
      <c r="B35" s="7" t="s">
        <v>134</v>
      </c>
      <c r="C35" s="34" t="n">
        <v>0.065</v>
      </c>
      <c r="D35" s="33" t="s">
        <v>89</v>
      </c>
      <c r="E35" s="8" t="s">
        <v>135</v>
      </c>
    </row>
    <row r="36" customFormat="false" ht="15" hidden="false" customHeight="false" outlineLevel="0" collapsed="false">
      <c r="A36" s="5"/>
      <c r="B36" s="7" t="s">
        <v>136</v>
      </c>
      <c r="C36" s="32" t="n">
        <v>25</v>
      </c>
      <c r="D36" s="33" t="s">
        <v>78</v>
      </c>
      <c r="E36" s="8" t="s">
        <v>137</v>
      </c>
    </row>
    <row r="37" customFormat="false" ht="15" hidden="false" customHeight="false" outlineLevel="0" collapsed="false">
      <c r="A37" s="5"/>
      <c r="B37" s="7" t="s">
        <v>138</v>
      </c>
      <c r="C37" s="32" t="n">
        <v>3</v>
      </c>
      <c r="D37" s="33" t="s">
        <v>78</v>
      </c>
      <c r="E37" s="8" t="s">
        <v>139</v>
      </c>
    </row>
    <row r="38" customFormat="false" ht="15" hidden="false" customHeight="false" outlineLevel="0" collapsed="false">
      <c r="A38" s="5"/>
      <c r="B38" s="31" t="s">
        <v>140</v>
      </c>
      <c r="C38" s="16"/>
      <c r="D38" s="16"/>
      <c r="E38" s="16"/>
    </row>
    <row r="39" customFormat="false" ht="15" hidden="false" customHeight="false" outlineLevel="0" collapsed="false">
      <c r="A39" s="5"/>
      <c r="B39" s="7" t="s">
        <v>141</v>
      </c>
      <c r="C39" s="34" t="n">
        <v>0.25</v>
      </c>
      <c r="D39" s="33" t="s">
        <v>89</v>
      </c>
      <c r="E39" s="8" t="s">
        <v>142</v>
      </c>
    </row>
    <row r="40" customFormat="false" ht="15" hidden="false" customHeight="false" outlineLevel="0" collapsed="false">
      <c r="A40" s="5"/>
      <c r="B40" s="7" t="s">
        <v>143</v>
      </c>
      <c r="C40" s="34" t="n">
        <v>0.06</v>
      </c>
      <c r="D40" s="33" t="s">
        <v>89</v>
      </c>
      <c r="E40" s="8" t="s">
        <v>144</v>
      </c>
    </row>
    <row r="41" customFormat="false" ht="15" hidden="false" customHeight="false" outlineLevel="0" collapsed="false">
      <c r="A41" s="5"/>
      <c r="B41" s="7" t="s">
        <v>145</v>
      </c>
      <c r="C41" s="34" t="n">
        <v>0.02</v>
      </c>
      <c r="D41" s="33" t="s">
        <v>89</v>
      </c>
      <c r="E41" s="8" t="s">
        <v>146</v>
      </c>
    </row>
    <row r="42" customFormat="false" ht="15" hidden="false" customHeight="false" outlineLevel="0" collapsed="false">
      <c r="A42" s="5"/>
      <c r="B42" s="7" t="s">
        <v>147</v>
      </c>
      <c r="C42" s="34" t="n">
        <v>0.085</v>
      </c>
      <c r="D42" s="33" t="s">
        <v>89</v>
      </c>
      <c r="E42" s="8" t="s">
        <v>148</v>
      </c>
    </row>
    <row r="43" customFormat="false" ht="15" hidden="false" customHeight="false" outlineLevel="0" collapsed="false">
      <c r="A43" s="5"/>
      <c r="B43" s="31" t="s">
        <v>149</v>
      </c>
      <c r="C43" s="16"/>
      <c r="D43" s="16"/>
      <c r="E43" s="16"/>
    </row>
    <row r="44" customFormat="false" ht="15" hidden="false" customHeight="false" outlineLevel="0" collapsed="false">
      <c r="A44" s="5"/>
      <c r="B44" s="7" t="s">
        <v>150</v>
      </c>
      <c r="C44" s="32" t="n">
        <v>35</v>
      </c>
      <c r="D44" s="33" t="s">
        <v>151</v>
      </c>
      <c r="E44" s="8" t="s">
        <v>152</v>
      </c>
    </row>
    <row r="45" customFormat="false" ht="15" hidden="false" customHeight="false" outlineLevel="0" collapsed="false">
      <c r="A45" s="5"/>
      <c r="B45" s="7" t="s">
        <v>153</v>
      </c>
      <c r="C45" s="32" t="n">
        <v>50</v>
      </c>
      <c r="D45" s="33" t="s">
        <v>151</v>
      </c>
      <c r="E45" s="8" t="s">
        <v>154</v>
      </c>
    </row>
    <row r="46" customFormat="false" ht="15" hidden="false" customHeight="false" outlineLevel="0" collapsed="false">
      <c r="A46" s="5"/>
      <c r="B46" s="31" t="s">
        <v>155</v>
      </c>
      <c r="C46" s="16"/>
      <c r="D46" s="16"/>
      <c r="E46" s="16"/>
    </row>
    <row r="47" customFormat="false" ht="15" hidden="false" customHeight="false" outlineLevel="0" collapsed="false">
      <c r="A47" s="5"/>
      <c r="B47" s="7" t="s">
        <v>156</v>
      </c>
      <c r="C47" s="32" t="n">
        <v>39</v>
      </c>
      <c r="D47" s="33" t="s">
        <v>78</v>
      </c>
      <c r="E47" s="8" t="s">
        <v>157</v>
      </c>
    </row>
    <row r="48" customFormat="false" ht="15" hidden="false" customHeight="false" outlineLevel="0" collapsed="false">
      <c r="A48" s="5"/>
      <c r="B48" s="7" t="s">
        <v>158</v>
      </c>
      <c r="C48" s="32" t="n">
        <v>15</v>
      </c>
      <c r="D48" s="33" t="s">
        <v>78</v>
      </c>
      <c r="E48" s="8" t="s">
        <v>159</v>
      </c>
    </row>
    <row r="49" customFormat="false" ht="15" hidden="false" customHeight="false" outlineLevel="0" collapsed="false">
      <c r="A49" s="5"/>
      <c r="B49" s="31" t="s">
        <v>160</v>
      </c>
      <c r="C49" s="16"/>
      <c r="D49" s="16"/>
      <c r="E49" s="16"/>
    </row>
    <row r="50" customFormat="false" ht="15" hidden="false" customHeight="false" outlineLevel="0" collapsed="false">
      <c r="A50" s="5"/>
      <c r="B50" s="7" t="s">
        <v>161</v>
      </c>
      <c r="C50" s="34" t="n">
        <v>0.05</v>
      </c>
      <c r="D50" s="33" t="s">
        <v>89</v>
      </c>
      <c r="E50" s="8" t="s">
        <v>162</v>
      </c>
    </row>
    <row r="51" customFormat="false" ht="15" hidden="false" customHeight="false" outlineLevel="0" collapsed="false">
      <c r="A51" s="5"/>
      <c r="B51" s="7" t="s">
        <v>163</v>
      </c>
      <c r="C51" s="34" t="n">
        <v>0.03</v>
      </c>
      <c r="D51" s="33" t="s">
        <v>89</v>
      </c>
      <c r="E51" s="8" t="s">
        <v>164</v>
      </c>
    </row>
    <row r="52" customFormat="false" ht="15" hidden="false" customHeight="false" outlineLevel="0" collapsed="false">
      <c r="A52" s="5"/>
      <c r="B52" s="7" t="s">
        <v>165</v>
      </c>
      <c r="C52" s="34" t="n">
        <v>0.03</v>
      </c>
      <c r="D52" s="33" t="s">
        <v>89</v>
      </c>
      <c r="E52" s="8" t="s">
        <v>166</v>
      </c>
    </row>
    <row r="53" customFormat="false" ht="15" hidden="false" customHeight="false" outlineLevel="0" collapsed="false">
      <c r="A53" s="5"/>
      <c r="B53" s="7" t="s">
        <v>167</v>
      </c>
      <c r="C53" s="34" t="n">
        <v>0.015</v>
      </c>
      <c r="D53" s="33" t="s">
        <v>89</v>
      </c>
      <c r="E53" s="8" t="s">
        <v>168</v>
      </c>
    </row>
    <row r="54" customFormat="false" ht="15" hidden="false" customHeight="false" outlineLevel="0" collapsed="false">
      <c r="A54" s="5"/>
      <c r="B54" s="7" t="s">
        <v>169</v>
      </c>
      <c r="C54" s="32" t="n">
        <v>50000</v>
      </c>
      <c r="D54" s="33" t="s">
        <v>119</v>
      </c>
      <c r="E54" s="8" t="s">
        <v>170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171</v>
      </c>
      <c r="C2" s="5"/>
      <c r="D2" s="5"/>
      <c r="E2" s="5"/>
      <c r="F2" s="5"/>
      <c r="G2" s="5"/>
      <c r="H2" s="5"/>
      <c r="I2" s="5"/>
      <c r="J2" s="5"/>
      <c r="K2" s="5"/>
      <c r="L2" s="5"/>
    </row>
    <row r="3" customFormat="false" ht="15" hidden="false" customHeight="false" outlineLevel="0" collapsed="false">
      <c r="A3" s="5"/>
      <c r="B3" s="8" t="s">
        <v>172</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174</v>
      </c>
      <c r="C8" s="16"/>
      <c r="D8" s="16"/>
      <c r="E8" s="16"/>
      <c r="F8" s="16"/>
      <c r="G8" s="16"/>
      <c r="H8" s="16"/>
      <c r="I8" s="16"/>
      <c r="J8" s="16"/>
      <c r="K8" s="16"/>
      <c r="L8" s="16"/>
    </row>
    <row r="9" customFormat="false" ht="15" hidden="false" customHeight="false" outlineLevel="0" collapsed="false">
      <c r="A9" s="5"/>
      <c r="B9" s="39" t="s">
        <v>175</v>
      </c>
      <c r="C9" s="40" t="n">
        <f aca="false">IF(C6&lt;=Construction_Yrs,Capacity_MW/Construction_Yrs,0)</f>
        <v>10</v>
      </c>
      <c r="D9" s="40" t="n">
        <f aca="false">IF(D6&lt;=Construction_Yrs,Capacity_MW/Construction_Yrs,0)</f>
        <v>10</v>
      </c>
      <c r="E9" s="40" t="n">
        <f aca="false">IF(E6&lt;=Construction_Yrs,Capacity_MW/Construction_Yrs,0)</f>
        <v>0</v>
      </c>
      <c r="F9" s="40" t="n">
        <f aca="false">IF(F6&lt;=Construction_Yrs,Capacity_MW/Construction_Yrs,0)</f>
        <v>0</v>
      </c>
      <c r="G9" s="40" t="n">
        <f aca="false">IF(G6&lt;=Construction_Yrs,Capacity_MW/Construction_Yrs,0)</f>
        <v>0</v>
      </c>
      <c r="H9" s="40" t="n">
        <f aca="false">IF(H6&lt;=Construction_Yrs,Capacity_MW/Construction_Yrs,0)</f>
        <v>0</v>
      </c>
      <c r="I9" s="40" t="n">
        <f aca="false">IF(I6&lt;=Construction_Yrs,Capacity_MW/Construction_Yrs,0)</f>
        <v>0</v>
      </c>
      <c r="J9" s="40" t="n">
        <f aca="false">IF(J6&lt;=Construction_Yrs,Capacity_MW/Construction_Yrs,0)</f>
        <v>0</v>
      </c>
      <c r="K9" s="40" t="n">
        <f aca="false">IF(K6&lt;=Construction_Yrs,Capacity_MW/Construction_Yrs,0)</f>
        <v>0</v>
      </c>
      <c r="L9" s="40" t="n">
        <f aca="false">IF(L6&lt;=Construction_Yrs,Capacity_MW/Construction_Yrs,0)</f>
        <v>0</v>
      </c>
    </row>
    <row r="10" customFormat="false" ht="15" hidden="false" customHeight="false" outlineLevel="0" collapsed="false">
      <c r="A10" s="5"/>
      <c r="B10" s="39" t="s">
        <v>176</v>
      </c>
      <c r="C10" s="41" t="n">
        <f aca="false">C9*Shell_Cost_MW</f>
        <v>30000000</v>
      </c>
      <c r="D10" s="41" t="n">
        <f aca="false">D9*Shell_Cost_MW</f>
        <v>30000000</v>
      </c>
      <c r="E10" s="41" t="n">
        <f aca="false">E9*Shell_Cost_MW</f>
        <v>0</v>
      </c>
      <c r="F10" s="41" t="n">
        <f aca="false">F9*Shell_Cost_MW</f>
        <v>0</v>
      </c>
      <c r="G10" s="41" t="n">
        <f aca="false">G9*Shell_Cost_MW</f>
        <v>0</v>
      </c>
      <c r="H10" s="41" t="n">
        <f aca="false">H9*Shell_Cost_MW</f>
        <v>0</v>
      </c>
      <c r="I10" s="41" t="n">
        <f aca="false">I9*Shell_Cost_MW</f>
        <v>0</v>
      </c>
      <c r="J10" s="41" t="n">
        <f aca="false">J9*Shell_Cost_MW</f>
        <v>0</v>
      </c>
      <c r="K10" s="41" t="n">
        <f aca="false">K9*Shell_Cost_MW</f>
        <v>0</v>
      </c>
      <c r="L10" s="41" t="n">
        <f aca="false">L9*Shell_Cost_MW</f>
        <v>0</v>
      </c>
    </row>
    <row r="11" customFormat="false" ht="15" hidden="false" customHeight="false" outlineLevel="0" collapsed="false">
      <c r="A11" s="5"/>
      <c r="B11" s="31" t="s">
        <v>177</v>
      </c>
      <c r="C11" s="16"/>
      <c r="D11" s="16"/>
      <c r="E11" s="16"/>
      <c r="F11" s="16"/>
      <c r="G11" s="16"/>
      <c r="H11" s="16"/>
      <c r="I11" s="16"/>
      <c r="J11" s="16"/>
      <c r="K11" s="16"/>
      <c r="L11" s="16"/>
    </row>
    <row r="12" customFormat="false" ht="15" hidden="false" customHeight="false" outlineLevel="0" collapsed="false">
      <c r="A12" s="5"/>
      <c r="B12" s="39" t="s">
        <v>178</v>
      </c>
      <c r="C12" s="40" t="n">
        <f aca="false">IF(C6&lt;=Construction_Yrs,P1_MEP_MW/Construction_Yrs,0)</f>
        <v>5</v>
      </c>
      <c r="D12" s="40" t="n">
        <f aca="false">IF(D6&lt;=Construction_Yrs,P1_MEP_MW/Construction_Yrs,0)</f>
        <v>5</v>
      </c>
      <c r="E12" s="40" t="n">
        <f aca="false">IF(E6&lt;=Construction_Yrs,P1_MEP_MW/Construction_Yrs,0)</f>
        <v>0</v>
      </c>
      <c r="F12" s="40" t="n">
        <f aca="false">IF(F6&lt;=Construction_Yrs,P1_MEP_MW/Construction_Yrs,0)</f>
        <v>0</v>
      </c>
      <c r="G12" s="40" t="n">
        <f aca="false">IF(G6&lt;=Construction_Yrs,P1_MEP_MW/Construction_Yrs,0)</f>
        <v>0</v>
      </c>
      <c r="H12" s="40" t="n">
        <f aca="false">IF(H6&lt;=Construction_Yrs,P1_MEP_MW/Construction_Yrs,0)</f>
        <v>0</v>
      </c>
      <c r="I12" s="40" t="n">
        <f aca="false">IF(I6&lt;=Construction_Yrs,P1_MEP_MW/Construction_Yrs,0)</f>
        <v>0</v>
      </c>
      <c r="J12" s="40" t="n">
        <f aca="false">IF(J6&lt;=Construction_Yrs,P1_MEP_MW/Construction_Yrs,0)</f>
        <v>0</v>
      </c>
      <c r="K12" s="40" t="n">
        <f aca="false">IF(K6&lt;=Construction_Yrs,P1_MEP_MW/Construction_Yrs,0)</f>
        <v>0</v>
      </c>
      <c r="L12" s="40" t="n">
        <f aca="false">IF(L6&lt;=Construction_Yrs,P1_MEP_MW/Construction_Yrs,0)</f>
        <v>0</v>
      </c>
    </row>
    <row r="13" customFormat="false" ht="15" hidden="false" customHeight="false" outlineLevel="0" collapsed="false">
      <c r="A13" s="5"/>
      <c r="B13" s="39" t="s">
        <v>179</v>
      </c>
      <c r="C13" s="41" t="n">
        <f aca="false">C12*MEP_Cost_MW</f>
        <v>30000000</v>
      </c>
      <c r="D13" s="41" t="n">
        <f aca="false">D12*MEP_Cost_MW</f>
        <v>30000000</v>
      </c>
      <c r="E13" s="41" t="n">
        <f aca="false">E12*MEP_Cost_MW</f>
        <v>0</v>
      </c>
      <c r="F13" s="41" t="n">
        <f aca="false">F12*MEP_Cost_MW</f>
        <v>0</v>
      </c>
      <c r="G13" s="41" t="n">
        <f aca="false">G12*MEP_Cost_MW</f>
        <v>0</v>
      </c>
      <c r="H13" s="41" t="n">
        <f aca="false">H12*MEP_Cost_MW</f>
        <v>0</v>
      </c>
      <c r="I13" s="41" t="n">
        <f aca="false">I12*MEP_Cost_MW</f>
        <v>0</v>
      </c>
      <c r="J13" s="41" t="n">
        <f aca="false">J12*MEP_Cost_MW</f>
        <v>0</v>
      </c>
      <c r="K13" s="41" t="n">
        <f aca="false">K12*MEP_Cost_MW</f>
        <v>0</v>
      </c>
      <c r="L13" s="41" t="n">
        <f aca="false">L12*MEP_Cost_MW</f>
        <v>0</v>
      </c>
    </row>
    <row r="14" customFormat="false" ht="15" hidden="false" customHeight="false" outlineLevel="0" collapsed="false">
      <c r="A14" s="5"/>
      <c r="B14" s="31" t="s">
        <v>180</v>
      </c>
      <c r="C14" s="16"/>
      <c r="D14" s="16"/>
      <c r="E14" s="16"/>
      <c r="F14" s="16"/>
      <c r="G14" s="16"/>
      <c r="H14" s="16"/>
      <c r="I14" s="16"/>
      <c r="J14" s="16"/>
      <c r="K14" s="16"/>
      <c r="L14" s="16"/>
    </row>
    <row r="15" customFormat="false" ht="15" hidden="false" customHeight="false" outlineLevel="0" collapsed="false">
      <c r="A15" s="5"/>
      <c r="B15" s="39" t="s">
        <v>181</v>
      </c>
      <c r="C15" s="40" t="n">
        <f aca="false">IF(AND(C6&gt;=P2_Start_Yr,C6&lt;P2_Start_Yr+Construction_Yrs),P2_MEP_MW/Construction_Yrs,0)</f>
        <v>0</v>
      </c>
      <c r="D15" s="40" t="n">
        <f aca="false">IF(AND(D6&gt;=P2_Start_Yr,D6&lt;P2_Start_Yr+Construction_Yrs),P2_MEP_MW/Construction_Yrs,0)</f>
        <v>0</v>
      </c>
      <c r="E15" s="40" t="n">
        <f aca="false">IF(AND(E6&gt;=P2_Start_Yr,E6&lt;P2_Start_Yr+Construction_Yrs),P2_MEP_MW/Construction_Yrs,0)</f>
        <v>0</v>
      </c>
      <c r="F15" s="40" t="n">
        <f aca="false">IF(AND(F6&gt;=P2_Start_Yr,F6&lt;P2_Start_Yr+Construction_Yrs),P2_MEP_MW/Construction_Yrs,0)</f>
        <v>5</v>
      </c>
      <c r="G15" s="40" t="n">
        <f aca="false">IF(AND(G6&gt;=P2_Start_Yr,G6&lt;P2_Start_Yr+Construction_Yrs),P2_MEP_MW/Construction_Yrs,0)</f>
        <v>5</v>
      </c>
      <c r="H15" s="40" t="n">
        <f aca="false">IF(AND(H6&gt;=P2_Start_Yr,H6&lt;P2_Start_Yr+Construction_Yrs),P2_MEP_MW/Construction_Yrs,0)</f>
        <v>0</v>
      </c>
      <c r="I15" s="40" t="n">
        <f aca="false">IF(AND(I6&gt;=P2_Start_Yr,I6&lt;P2_Start_Yr+Construction_Yrs),P2_MEP_MW/Construction_Yrs,0)</f>
        <v>0</v>
      </c>
      <c r="J15" s="40" t="n">
        <f aca="false">IF(AND(J6&gt;=P2_Start_Yr,J6&lt;P2_Start_Yr+Construction_Yrs),P2_MEP_MW/Construction_Yrs,0)</f>
        <v>0</v>
      </c>
      <c r="K15" s="40" t="n">
        <f aca="false">IF(AND(K6&gt;=P2_Start_Yr,K6&lt;P2_Start_Yr+Construction_Yrs),P2_MEP_MW/Construction_Yrs,0)</f>
        <v>0</v>
      </c>
      <c r="L15" s="40" t="n">
        <f aca="false">IF(AND(L6&gt;=P2_Start_Yr,L6&lt;P2_Start_Yr+Construction_Yrs),P2_MEP_MW/Construction_Yrs,0)</f>
        <v>0</v>
      </c>
    </row>
    <row r="16" customFormat="false" ht="15" hidden="false" customHeight="false" outlineLevel="0" collapsed="false">
      <c r="A16" s="5"/>
      <c r="B16" s="39" t="s">
        <v>182</v>
      </c>
      <c r="C16" s="41" t="n">
        <f aca="false">C15*MEP_Cost_MW</f>
        <v>0</v>
      </c>
      <c r="D16" s="41" t="n">
        <f aca="false">D15*MEP_Cost_MW</f>
        <v>0</v>
      </c>
      <c r="E16" s="41" t="n">
        <f aca="false">E15*MEP_Cost_MW</f>
        <v>0</v>
      </c>
      <c r="F16" s="41" t="n">
        <f aca="false">F15*MEP_Cost_MW</f>
        <v>30000000</v>
      </c>
      <c r="G16" s="41" t="n">
        <f aca="false">G15*MEP_Cost_MW</f>
        <v>30000000</v>
      </c>
      <c r="H16" s="41" t="n">
        <f aca="false">H15*MEP_Cost_MW</f>
        <v>0</v>
      </c>
      <c r="I16" s="41" t="n">
        <f aca="false">I15*MEP_Cost_MW</f>
        <v>0</v>
      </c>
      <c r="J16" s="41" t="n">
        <f aca="false">J15*MEP_Cost_MW</f>
        <v>0</v>
      </c>
      <c r="K16" s="41" t="n">
        <f aca="false">K15*MEP_Cost_MW</f>
        <v>0</v>
      </c>
      <c r="L16" s="41" t="n">
        <f aca="false">L15*MEP_Cost_MW</f>
        <v>0</v>
      </c>
    </row>
    <row r="17" customFormat="false" ht="15" hidden="false" customHeight="false" outlineLevel="0" collapsed="false">
      <c r="A17" s="5"/>
      <c r="B17" s="31" t="s">
        <v>183</v>
      </c>
      <c r="C17" s="16"/>
      <c r="D17" s="16"/>
      <c r="E17" s="16"/>
      <c r="F17" s="16"/>
      <c r="G17" s="16"/>
      <c r="H17" s="16"/>
      <c r="I17" s="16"/>
      <c r="J17" s="16"/>
      <c r="K17" s="16"/>
      <c r="L17" s="16"/>
    </row>
    <row r="18" customFormat="false" ht="15" hidden="false" customHeight="false" outlineLevel="0" collapsed="false">
      <c r="A18" s="5"/>
      <c r="B18" s="42" t="s">
        <v>184</v>
      </c>
      <c r="C18" s="43" t="n">
        <f aca="false">C13+C16</f>
        <v>30000000</v>
      </c>
      <c r="D18" s="43" t="n">
        <f aca="false">D13+D16</f>
        <v>30000000</v>
      </c>
      <c r="E18" s="43" t="n">
        <f aca="false">E13+E16</f>
        <v>0</v>
      </c>
      <c r="F18" s="43" t="n">
        <f aca="false">F13+F16</f>
        <v>30000000</v>
      </c>
      <c r="G18" s="43" t="n">
        <f aca="false">G13+G16</f>
        <v>30000000</v>
      </c>
      <c r="H18" s="43" t="n">
        <f aca="false">H13+H16</f>
        <v>0</v>
      </c>
      <c r="I18" s="43" t="n">
        <f aca="false">I13+I16</f>
        <v>0</v>
      </c>
      <c r="J18" s="43" t="n">
        <f aca="false">J13+J16</f>
        <v>0</v>
      </c>
      <c r="K18" s="43" t="n">
        <f aca="false">K13+K16</f>
        <v>0</v>
      </c>
      <c r="L18" s="43" t="n">
        <f aca="false">L13+L16</f>
        <v>0</v>
      </c>
    </row>
    <row r="19" customFormat="false" ht="15" hidden="false" customHeight="false" outlineLevel="0" collapsed="false">
      <c r="A19" s="5"/>
      <c r="B19" s="44" t="s">
        <v>185</v>
      </c>
      <c r="C19" s="45" t="n">
        <f aca="false">C10+C18</f>
        <v>60000000</v>
      </c>
      <c r="D19" s="45" t="n">
        <f aca="false">D10+D18</f>
        <v>60000000</v>
      </c>
      <c r="E19" s="45" t="n">
        <f aca="false">E10+E18</f>
        <v>0</v>
      </c>
      <c r="F19" s="45" t="n">
        <f aca="false">F10+F18</f>
        <v>30000000</v>
      </c>
      <c r="G19" s="45" t="n">
        <f aca="false">G10+G18</f>
        <v>30000000</v>
      </c>
      <c r="H19" s="45" t="n">
        <f aca="false">H10+H18</f>
        <v>0</v>
      </c>
      <c r="I19" s="45" t="n">
        <f aca="false">I10+I18</f>
        <v>0</v>
      </c>
      <c r="J19" s="45" t="n">
        <f aca="false">J10+J18</f>
        <v>0</v>
      </c>
      <c r="K19" s="45" t="n">
        <f aca="false">K10+K18</f>
        <v>0</v>
      </c>
      <c r="L19" s="45" t="n">
        <f aca="false">L10+L18</f>
        <v>0</v>
      </c>
    </row>
    <row r="20" customFormat="false" ht="15" hidden="false" customHeight="false" outlineLevel="0" collapsed="false">
      <c r="A20" s="5"/>
      <c r="B20" s="39" t="s">
        <v>186</v>
      </c>
      <c r="C20" s="41" t="n">
        <f aca="false">C19</f>
        <v>60000000</v>
      </c>
      <c r="D20" s="41" t="n">
        <f aca="false">C20+D19</f>
        <v>120000000</v>
      </c>
      <c r="E20" s="41" t="n">
        <f aca="false">D20+E19</f>
        <v>120000000</v>
      </c>
      <c r="F20" s="41" t="n">
        <f aca="false">E20+F19</f>
        <v>150000000</v>
      </c>
      <c r="G20" s="41" t="n">
        <f aca="false">F20+G19</f>
        <v>180000000</v>
      </c>
      <c r="H20" s="41" t="n">
        <f aca="false">G20+H19</f>
        <v>180000000</v>
      </c>
      <c r="I20" s="41" t="n">
        <f aca="false">H20+I19</f>
        <v>180000000</v>
      </c>
      <c r="J20" s="41" t="n">
        <f aca="false">I20+J19</f>
        <v>180000000</v>
      </c>
      <c r="K20" s="41" t="n">
        <f aca="false">J20+K19</f>
        <v>180000000</v>
      </c>
      <c r="L20" s="41" t="n">
        <f aca="false">K20+L19</f>
        <v>180000000</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31" t="s">
        <v>155</v>
      </c>
      <c r="C22" s="16"/>
      <c r="D22" s="16"/>
      <c r="E22" s="16"/>
      <c r="F22" s="16"/>
      <c r="G22" s="16"/>
      <c r="H22" s="16"/>
      <c r="I22" s="16"/>
      <c r="J22" s="16"/>
      <c r="K22" s="16"/>
      <c r="L22" s="16"/>
    </row>
    <row r="23" customFormat="false" ht="15" hidden="false" customHeight="false" outlineLevel="0" collapsed="false">
      <c r="A23" s="5"/>
      <c r="B23" s="39" t="s">
        <v>187</v>
      </c>
      <c r="C23" s="41" t="n">
        <f aca="false">IF(C6&gt;Construction_Yrs,Capacity_MW*Shell_Cost_MW/Shell_Life,0)</f>
        <v>0</v>
      </c>
      <c r="D23" s="41" t="n">
        <f aca="false">IF(D6&gt;Construction_Yrs,Capacity_MW*Shell_Cost_MW/Shell_Life,0)</f>
        <v>0</v>
      </c>
      <c r="E23" s="41" t="n">
        <f aca="false">IF(E6&gt;Construction_Yrs,Capacity_MW*Shell_Cost_MW/Shell_Life,0)</f>
        <v>1538461.53846154</v>
      </c>
      <c r="F23" s="41" t="n">
        <f aca="false">IF(F6&gt;Construction_Yrs,Capacity_MW*Shell_Cost_MW/Shell_Life,0)</f>
        <v>1538461.53846154</v>
      </c>
      <c r="G23" s="41" t="n">
        <f aca="false">IF(G6&gt;Construction_Yrs,Capacity_MW*Shell_Cost_MW/Shell_Life,0)</f>
        <v>1538461.53846154</v>
      </c>
      <c r="H23" s="41" t="n">
        <f aca="false">IF(H6&gt;Construction_Yrs,Capacity_MW*Shell_Cost_MW/Shell_Life,0)</f>
        <v>1538461.53846154</v>
      </c>
      <c r="I23" s="41" t="n">
        <f aca="false">IF(I6&gt;Construction_Yrs,Capacity_MW*Shell_Cost_MW/Shell_Life,0)</f>
        <v>1538461.53846154</v>
      </c>
      <c r="J23" s="41" t="n">
        <f aca="false">IF(J6&gt;Construction_Yrs,Capacity_MW*Shell_Cost_MW/Shell_Life,0)</f>
        <v>1538461.53846154</v>
      </c>
      <c r="K23" s="41" t="n">
        <f aca="false">IF(K6&gt;Construction_Yrs,Capacity_MW*Shell_Cost_MW/Shell_Life,0)</f>
        <v>1538461.53846154</v>
      </c>
      <c r="L23" s="41" t="n">
        <f aca="false">IF(L6&gt;Construction_Yrs,Capacity_MW*Shell_Cost_MW/Shell_Life,0)</f>
        <v>1538461.53846154</v>
      </c>
    </row>
    <row r="24" customFormat="false" ht="15" hidden="false" customHeight="false" outlineLevel="0" collapsed="false">
      <c r="A24" s="5"/>
      <c r="B24" s="39" t="s">
        <v>188</v>
      </c>
      <c r="C24" s="41" t="n">
        <f aca="false">IF(C6&gt;Construction_Yrs,P1_MEP_MW*MEP_Cost_MW/MEP_Life,0)+IF(C6&gt;=P2_Start_Yr+Construction_Yrs,P2_MEP_MW*MEP_Cost_MW/MEP_Life,0)</f>
        <v>0</v>
      </c>
      <c r="D24" s="41" t="n">
        <f aca="false">IF(D6&gt;Construction_Yrs,P1_MEP_MW*MEP_Cost_MW/MEP_Life,0)+IF(D6&gt;=P2_Start_Yr+Construction_Yrs,P2_MEP_MW*MEP_Cost_MW/MEP_Life,0)</f>
        <v>0</v>
      </c>
      <c r="E24" s="41" t="n">
        <f aca="false">IF(E6&gt;Construction_Yrs,P1_MEP_MW*MEP_Cost_MW/MEP_Life,0)+IF(E6&gt;=P2_Start_Yr+Construction_Yrs,P2_MEP_MW*MEP_Cost_MW/MEP_Life,0)</f>
        <v>4000000</v>
      </c>
      <c r="F24" s="41" t="n">
        <f aca="false">IF(F6&gt;Construction_Yrs,P1_MEP_MW*MEP_Cost_MW/MEP_Life,0)+IF(F6&gt;=P2_Start_Yr+Construction_Yrs,P2_MEP_MW*MEP_Cost_MW/MEP_Life,0)</f>
        <v>4000000</v>
      </c>
      <c r="G24" s="41" t="n">
        <f aca="false">IF(G6&gt;Construction_Yrs,P1_MEP_MW*MEP_Cost_MW/MEP_Life,0)+IF(G6&gt;=P2_Start_Yr+Construction_Yrs,P2_MEP_MW*MEP_Cost_MW/MEP_Life,0)</f>
        <v>4000000</v>
      </c>
      <c r="H24" s="41" t="n">
        <f aca="false">IF(H6&gt;Construction_Yrs,P1_MEP_MW*MEP_Cost_MW/MEP_Life,0)+IF(H6&gt;=P2_Start_Yr+Construction_Yrs,P2_MEP_MW*MEP_Cost_MW/MEP_Life,0)</f>
        <v>8000000</v>
      </c>
      <c r="I24" s="41" t="n">
        <f aca="false">IF(I6&gt;Construction_Yrs,P1_MEP_MW*MEP_Cost_MW/MEP_Life,0)+IF(I6&gt;=P2_Start_Yr+Construction_Yrs,P2_MEP_MW*MEP_Cost_MW/MEP_Life,0)</f>
        <v>8000000</v>
      </c>
      <c r="J24" s="41" t="n">
        <f aca="false">IF(J6&gt;Construction_Yrs,P1_MEP_MW*MEP_Cost_MW/MEP_Life,0)+IF(J6&gt;=P2_Start_Yr+Construction_Yrs,P2_MEP_MW*MEP_Cost_MW/MEP_Life,0)</f>
        <v>8000000</v>
      </c>
      <c r="K24" s="41" t="n">
        <f aca="false">IF(K6&gt;Construction_Yrs,P1_MEP_MW*MEP_Cost_MW/MEP_Life,0)+IF(K6&gt;=P2_Start_Yr+Construction_Yrs,P2_MEP_MW*MEP_Cost_MW/MEP_Life,0)</f>
        <v>8000000</v>
      </c>
      <c r="L24" s="41" t="n">
        <f aca="false">IF(L6&gt;Construction_Yrs,P1_MEP_MW*MEP_Cost_MW/MEP_Life,0)+IF(L6&gt;=P2_Start_Yr+Construction_Yrs,P2_MEP_MW*MEP_Cost_MW/MEP_Life,0)</f>
        <v>8000000</v>
      </c>
    </row>
    <row r="25" customFormat="false" ht="15" hidden="false" customHeight="false" outlineLevel="0" collapsed="false">
      <c r="A25" s="5"/>
      <c r="B25" s="42" t="s">
        <v>189</v>
      </c>
      <c r="C25" s="43" t="n">
        <f aca="false">C23+C24</f>
        <v>0</v>
      </c>
      <c r="D25" s="43" t="n">
        <f aca="false">D23+D24</f>
        <v>0</v>
      </c>
      <c r="E25" s="43" t="n">
        <f aca="false">E23+E24</f>
        <v>5538461.53846154</v>
      </c>
      <c r="F25" s="43" t="n">
        <f aca="false">F23+F24</f>
        <v>5538461.53846154</v>
      </c>
      <c r="G25" s="43" t="n">
        <f aca="false">G23+G24</f>
        <v>5538461.53846154</v>
      </c>
      <c r="H25" s="43" t="n">
        <f aca="false">H23+H24</f>
        <v>9538461.53846154</v>
      </c>
      <c r="I25" s="43" t="n">
        <f aca="false">I23+I24</f>
        <v>9538461.53846154</v>
      </c>
      <c r="J25" s="43" t="n">
        <f aca="false">J23+J24</f>
        <v>9538461.53846154</v>
      </c>
      <c r="K25" s="43" t="n">
        <f aca="false">K23+K24</f>
        <v>9538461.53846154</v>
      </c>
      <c r="L25" s="43" t="n">
        <f aca="false">L23+L24</f>
        <v>9538461.53846154</v>
      </c>
    </row>
    <row r="26" customFormat="false" ht="15" hidden="false" customHeight="false" outlineLevel="0" collapsed="false">
      <c r="A26" s="5"/>
      <c r="B26" s="39" t="s">
        <v>190</v>
      </c>
      <c r="C26" s="41" t="n">
        <f aca="false">C25</f>
        <v>0</v>
      </c>
      <c r="D26" s="41" t="n">
        <f aca="false">C26+D25</f>
        <v>0</v>
      </c>
      <c r="E26" s="41" t="n">
        <f aca="false">D26+E25</f>
        <v>5538461.53846154</v>
      </c>
      <c r="F26" s="41" t="n">
        <f aca="false">E26+F25</f>
        <v>11076923.0769231</v>
      </c>
      <c r="G26" s="41" t="n">
        <f aca="false">F26+G25</f>
        <v>16615384.6153846</v>
      </c>
      <c r="H26" s="41" t="n">
        <f aca="false">G26+H25</f>
        <v>26153846.1538462</v>
      </c>
      <c r="I26" s="41" t="n">
        <f aca="false">H26+I25</f>
        <v>35692307.6923077</v>
      </c>
      <c r="J26" s="41" t="n">
        <f aca="false">I26+J25</f>
        <v>45230769.2307692</v>
      </c>
      <c r="K26" s="41" t="n">
        <f aca="false">J26+K25</f>
        <v>54769230.7692308</v>
      </c>
      <c r="L26" s="41" t="n">
        <f aca="false">K26+L25</f>
        <v>64307692.3076923</v>
      </c>
    </row>
    <row r="27" customFormat="false" ht="15" hidden="false" customHeight="false" outlineLevel="0" collapsed="false">
      <c r="A27" s="5"/>
      <c r="B27" s="44" t="s">
        <v>191</v>
      </c>
      <c r="C27" s="45" t="n">
        <f aca="false">C20-C26</f>
        <v>60000000</v>
      </c>
      <c r="D27" s="45" t="n">
        <f aca="false">D20-D26</f>
        <v>120000000</v>
      </c>
      <c r="E27" s="45" t="n">
        <f aca="false">E20-E26</f>
        <v>114461538.461538</v>
      </c>
      <c r="F27" s="45" t="n">
        <f aca="false">F20-F26</f>
        <v>138923076.923077</v>
      </c>
      <c r="G27" s="45" t="n">
        <f aca="false">G20-G26</f>
        <v>163384615.384615</v>
      </c>
      <c r="H27" s="45" t="n">
        <f aca="false">H20-H26</f>
        <v>153846153.846154</v>
      </c>
      <c r="I27" s="45" t="n">
        <f aca="false">I20-I26</f>
        <v>144307692.307692</v>
      </c>
      <c r="J27" s="45" t="n">
        <f aca="false">J20-J26</f>
        <v>134769230.769231</v>
      </c>
      <c r="K27" s="45" t="n">
        <f aca="false">K20-K26</f>
        <v>125230769.230769</v>
      </c>
      <c r="L27" s="45" t="n">
        <f aca="false">L20-L26</f>
        <v>115692307.692308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192</v>
      </c>
      <c r="C2" s="5"/>
      <c r="D2" s="5"/>
      <c r="E2" s="5"/>
      <c r="F2" s="5"/>
      <c r="G2" s="5"/>
      <c r="H2" s="5"/>
      <c r="I2" s="5"/>
      <c r="J2" s="5"/>
      <c r="K2" s="5"/>
      <c r="L2" s="5"/>
    </row>
    <row r="3" customFormat="false" ht="15" hidden="false" customHeight="false" outlineLevel="0" collapsed="false">
      <c r="A3" s="5"/>
      <c r="B3" s="8" t="s">
        <v>11</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193</v>
      </c>
      <c r="C8" s="16"/>
      <c r="D8" s="16"/>
      <c r="E8" s="16"/>
      <c r="F8" s="16"/>
      <c r="G8" s="16"/>
      <c r="H8" s="16"/>
      <c r="I8" s="16"/>
      <c r="J8" s="16"/>
      <c r="K8" s="16"/>
      <c r="L8" s="16"/>
    </row>
    <row r="9" customFormat="false" ht="15" hidden="false" customHeight="false" outlineLevel="0" collapsed="false">
      <c r="A9" s="5"/>
      <c r="B9" s="39" t="s">
        <v>194</v>
      </c>
      <c r="C9" s="40" t="n">
        <f aca="false">CC_P1_MEP_MW</f>
        <v>5</v>
      </c>
      <c r="D9" s="40" t="n">
        <f aca="false">C9+CC_P1_MEP_MW</f>
        <v>10</v>
      </c>
      <c r="E9" s="40" t="n">
        <f aca="false">D9+CC_P1_MEP_MW</f>
        <v>10</v>
      </c>
      <c r="F9" s="40" t="n">
        <f aca="false">E9+CC_P1_MEP_MW</f>
        <v>10</v>
      </c>
      <c r="G9" s="40" t="n">
        <f aca="false">F9+CC_P1_MEP_MW</f>
        <v>10</v>
      </c>
      <c r="H9" s="40" t="n">
        <f aca="false">G9+CC_P1_MEP_MW</f>
        <v>10</v>
      </c>
      <c r="I9" s="40" t="n">
        <f aca="false">H9+CC_P1_MEP_MW</f>
        <v>10</v>
      </c>
      <c r="J9" s="40" t="n">
        <f aca="false">I9+CC_P1_MEP_MW</f>
        <v>10</v>
      </c>
      <c r="K9" s="40" t="n">
        <f aca="false">J9+CC_P1_MEP_MW</f>
        <v>10</v>
      </c>
      <c r="L9" s="40" t="n">
        <f aca="false">K9+CC_P1_MEP_MW</f>
        <v>10</v>
      </c>
    </row>
    <row r="10" customFormat="false" ht="15" hidden="false" customHeight="false" outlineLevel="0" collapsed="false">
      <c r="A10" s="5"/>
      <c r="B10" s="39" t="s">
        <v>195</v>
      </c>
      <c r="C10" s="40" t="n">
        <f aca="false">CC_P2_MEP_MW</f>
        <v>0</v>
      </c>
      <c r="D10" s="40" t="n">
        <f aca="false">C10+CC_P2_MEP_MW</f>
        <v>0</v>
      </c>
      <c r="E10" s="40" t="n">
        <f aca="false">D10+CC_P2_MEP_MW</f>
        <v>0</v>
      </c>
      <c r="F10" s="40" t="n">
        <f aca="false">E10+CC_P2_MEP_MW</f>
        <v>5</v>
      </c>
      <c r="G10" s="40" t="n">
        <f aca="false">F10+CC_P2_MEP_MW</f>
        <v>10</v>
      </c>
      <c r="H10" s="40" t="n">
        <f aca="false">G10+CC_P2_MEP_MW</f>
        <v>10</v>
      </c>
      <c r="I10" s="40" t="n">
        <f aca="false">H10+CC_P2_MEP_MW</f>
        <v>10</v>
      </c>
      <c r="J10" s="40" t="n">
        <f aca="false">I10+CC_P2_MEP_MW</f>
        <v>10</v>
      </c>
      <c r="K10" s="40" t="n">
        <f aca="false">J10+CC_P2_MEP_MW</f>
        <v>10</v>
      </c>
      <c r="L10" s="40" t="n">
        <f aca="false">K10+CC_P2_MEP_MW</f>
        <v>10</v>
      </c>
    </row>
    <row r="11" customFormat="false" ht="15" hidden="false" customHeight="false" outlineLevel="0" collapsed="false">
      <c r="A11" s="5"/>
      <c r="B11" s="42" t="s">
        <v>196</v>
      </c>
      <c r="C11" s="46" t="n">
        <f aca="false">C9+C10</f>
        <v>5</v>
      </c>
      <c r="D11" s="46" t="n">
        <f aca="false">D9+D10</f>
        <v>10</v>
      </c>
      <c r="E11" s="46" t="n">
        <f aca="false">E9+E10</f>
        <v>10</v>
      </c>
      <c r="F11" s="46" t="n">
        <f aca="false">F9+F10</f>
        <v>15</v>
      </c>
      <c r="G11" s="46" t="n">
        <f aca="false">G9+G10</f>
        <v>20</v>
      </c>
      <c r="H11" s="46" t="n">
        <f aca="false">H9+H10</f>
        <v>20</v>
      </c>
      <c r="I11" s="46" t="n">
        <f aca="false">I9+I10</f>
        <v>20</v>
      </c>
      <c r="J11" s="46" t="n">
        <f aca="false">J9+J10</f>
        <v>20</v>
      </c>
      <c r="K11" s="46" t="n">
        <f aca="false">K9+K10</f>
        <v>20</v>
      </c>
      <c r="L11" s="46" t="n">
        <f aca="false">L9+L10</f>
        <v>20</v>
      </c>
    </row>
    <row r="12" customFormat="false" ht="15" hidden="false" customHeight="false" outlineLevel="0" collapsed="false">
      <c r="A12" s="5"/>
      <c r="B12" s="39" t="s">
        <v>197</v>
      </c>
      <c r="C12" s="41" t="n">
        <f aca="false">C11*1000</f>
        <v>5000</v>
      </c>
      <c r="D12" s="41" t="n">
        <f aca="false">D11*1000</f>
        <v>10000</v>
      </c>
      <c r="E12" s="41" t="n">
        <f aca="false">E11*1000</f>
        <v>10000</v>
      </c>
      <c r="F12" s="41" t="n">
        <f aca="false">F11*1000</f>
        <v>15000</v>
      </c>
      <c r="G12" s="41" t="n">
        <f aca="false">G11*1000</f>
        <v>20000</v>
      </c>
      <c r="H12" s="41" t="n">
        <f aca="false">H11*1000</f>
        <v>20000</v>
      </c>
      <c r="I12" s="41" t="n">
        <f aca="false">I11*1000</f>
        <v>20000</v>
      </c>
      <c r="J12" s="41" t="n">
        <f aca="false">J11*1000</f>
        <v>20000</v>
      </c>
      <c r="K12" s="41" t="n">
        <f aca="false">K11*1000</f>
        <v>20000</v>
      </c>
      <c r="L12" s="41" t="n">
        <f aca="false">L11*1000</f>
        <v>20000</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31" t="s">
        <v>198</v>
      </c>
      <c r="C14" s="16"/>
      <c r="D14" s="16"/>
      <c r="E14" s="16"/>
      <c r="F14" s="16"/>
      <c r="G14" s="16"/>
      <c r="H14" s="16"/>
      <c r="I14" s="16"/>
      <c r="J14" s="16"/>
      <c r="K14" s="16"/>
      <c r="L14" s="16"/>
    </row>
    <row r="15" customFormat="false" ht="15" hidden="false" customHeight="false" outlineLevel="0" collapsed="false">
      <c r="A15" s="5"/>
      <c r="B15" s="39" t="s">
        <v>199</v>
      </c>
      <c r="C15" s="47" t="n">
        <f aca="false">IF(C9=0,0,MIN(Target_Occ,MAX(0,C6-Construction_Yrs)/Leaseup_Yrs*Target_Occ))</f>
        <v>0</v>
      </c>
      <c r="D15" s="47" t="n">
        <f aca="false">IF(D9=0,0,MIN(Target_Occ,MAX(0,D6-Construction_Yrs)/Leaseup_Yrs*Target_Occ))</f>
        <v>0</v>
      </c>
      <c r="E15" s="47" t="n">
        <f aca="false">IF(E9=0,0,MIN(Target_Occ,MAX(0,E6-Construction_Yrs)/Leaseup_Yrs*Target_Occ))</f>
        <v>0.45</v>
      </c>
      <c r="F15" s="47" t="n">
        <f aca="false">IF(F9=0,0,MIN(Target_Occ,MAX(0,F6-Construction_Yrs)/Leaseup_Yrs*Target_Occ))</f>
        <v>0.9</v>
      </c>
      <c r="G15" s="47" t="n">
        <f aca="false">IF(G9=0,0,MIN(Target_Occ,MAX(0,G6-Construction_Yrs)/Leaseup_Yrs*Target_Occ))</f>
        <v>0.9</v>
      </c>
      <c r="H15" s="47" t="n">
        <f aca="false">IF(H9=0,0,MIN(Target_Occ,MAX(0,H6-Construction_Yrs)/Leaseup_Yrs*Target_Occ))</f>
        <v>0.9</v>
      </c>
      <c r="I15" s="47" t="n">
        <f aca="false">IF(I9=0,0,MIN(Target_Occ,MAX(0,I6-Construction_Yrs)/Leaseup_Yrs*Target_Occ))</f>
        <v>0.9</v>
      </c>
      <c r="J15" s="47" t="n">
        <f aca="false">IF(J9=0,0,MIN(Target_Occ,MAX(0,J6-Construction_Yrs)/Leaseup_Yrs*Target_Occ))</f>
        <v>0.9</v>
      </c>
      <c r="K15" s="47" t="n">
        <f aca="false">IF(K9=0,0,MIN(Target_Occ,MAX(0,K6-Construction_Yrs)/Leaseup_Yrs*Target_Occ))</f>
        <v>0.9</v>
      </c>
      <c r="L15" s="47" t="n">
        <f aca="false">IF(L9=0,0,MIN(Target_Occ,MAX(0,L6-Construction_Yrs)/Leaseup_Yrs*Target_Occ))</f>
        <v>0.9</v>
      </c>
    </row>
    <row r="16" customFormat="false" ht="15" hidden="false" customHeight="false" outlineLevel="0" collapsed="false">
      <c r="A16" s="5"/>
      <c r="B16" s="39" t="s">
        <v>200</v>
      </c>
      <c r="C16" s="47" t="n">
        <f aca="false">IF(C10=0,0,MIN(Target_Occ,MAX(0,C6-(P2_Start_Yr+Construction_Yrs-1))/Leaseup_Yrs*Target_Occ))</f>
        <v>0</v>
      </c>
      <c r="D16" s="47" t="n">
        <f aca="false">IF(D10=0,0,MIN(Target_Occ,MAX(0,D6-(P2_Start_Yr+Construction_Yrs-1))/Leaseup_Yrs*Target_Occ))</f>
        <v>0</v>
      </c>
      <c r="E16" s="47" t="n">
        <f aca="false">IF(E10=0,0,MIN(Target_Occ,MAX(0,E6-(P2_Start_Yr+Construction_Yrs-1))/Leaseup_Yrs*Target_Occ))</f>
        <v>0</v>
      </c>
      <c r="F16" s="47" t="n">
        <f aca="false">IF(F10=0,0,MIN(Target_Occ,MAX(0,F6-(P2_Start_Yr+Construction_Yrs-1))/Leaseup_Yrs*Target_Occ))</f>
        <v>0</v>
      </c>
      <c r="G16" s="47" t="n">
        <f aca="false">IF(G10=0,0,MIN(Target_Occ,MAX(0,G6-(P2_Start_Yr+Construction_Yrs-1))/Leaseup_Yrs*Target_Occ))</f>
        <v>0</v>
      </c>
      <c r="H16" s="47" t="n">
        <f aca="false">IF(H10=0,0,MIN(Target_Occ,MAX(0,H6-(P2_Start_Yr+Construction_Yrs-1))/Leaseup_Yrs*Target_Occ))</f>
        <v>0.45</v>
      </c>
      <c r="I16" s="47" t="n">
        <f aca="false">IF(I10=0,0,MIN(Target_Occ,MAX(0,I6-(P2_Start_Yr+Construction_Yrs-1))/Leaseup_Yrs*Target_Occ))</f>
        <v>0.9</v>
      </c>
      <c r="J16" s="47" t="n">
        <f aca="false">IF(J10=0,0,MIN(Target_Occ,MAX(0,J6-(P2_Start_Yr+Construction_Yrs-1))/Leaseup_Yrs*Target_Occ))</f>
        <v>0.9</v>
      </c>
      <c r="K16" s="47" t="n">
        <f aca="false">IF(K10=0,0,MIN(Target_Occ,MAX(0,K6-(P2_Start_Yr+Construction_Yrs-1))/Leaseup_Yrs*Target_Occ))</f>
        <v>0.9</v>
      </c>
      <c r="L16" s="47" t="n">
        <f aca="false">IF(L10=0,0,MIN(Target_Occ,MAX(0,L6-(P2_Start_Yr+Construction_Yrs-1))/Leaseup_Yrs*Target_Occ))</f>
        <v>0.9</v>
      </c>
    </row>
    <row r="17" customFormat="false" ht="15" hidden="false" customHeight="false" outlineLevel="0" collapsed="false">
      <c r="A17" s="5"/>
      <c r="B17" s="42" t="s">
        <v>201</v>
      </c>
      <c r="C17" s="43" t="n">
        <f aca="false">C9*1000*C15+C10*1000*C16</f>
        <v>0</v>
      </c>
      <c r="D17" s="43" t="n">
        <f aca="false">D9*1000*D15+D10*1000*D16</f>
        <v>0</v>
      </c>
      <c r="E17" s="43" t="n">
        <f aca="false">E9*1000*E15+E10*1000*E16</f>
        <v>4500</v>
      </c>
      <c r="F17" s="43" t="n">
        <f aca="false">F9*1000*F15+F10*1000*F16</f>
        <v>9000</v>
      </c>
      <c r="G17" s="43" t="n">
        <f aca="false">G9*1000*G15+G10*1000*G16</f>
        <v>9000</v>
      </c>
      <c r="H17" s="43" t="n">
        <f aca="false">H9*1000*H15+H10*1000*H16</f>
        <v>13500</v>
      </c>
      <c r="I17" s="43" t="n">
        <f aca="false">I9*1000*I15+I10*1000*I16</f>
        <v>18000</v>
      </c>
      <c r="J17" s="43" t="n">
        <f aca="false">J9*1000*J15+J10*1000*J16</f>
        <v>18000</v>
      </c>
      <c r="K17" s="43" t="n">
        <f aca="false">K9*1000*K15+K10*1000*K16</f>
        <v>18000</v>
      </c>
      <c r="L17" s="43" t="n">
        <f aca="false">L9*1000*L15+L10*1000*L16</f>
        <v>18000</v>
      </c>
    </row>
    <row r="18" customFormat="false" ht="15" hidden="false" customHeight="false" outlineLevel="0" collapsed="false">
      <c r="A18" s="5"/>
      <c r="B18" s="39" t="s">
        <v>202</v>
      </c>
      <c r="C18" s="47" t="n">
        <f aca="false">IF(C12=0,0,C17/C12)</f>
        <v>0</v>
      </c>
      <c r="D18" s="47" t="n">
        <f aca="false">IF(D12=0,0,D17/D12)</f>
        <v>0</v>
      </c>
      <c r="E18" s="47" t="n">
        <f aca="false">IF(E12=0,0,E17/E12)</f>
        <v>0.45</v>
      </c>
      <c r="F18" s="47" t="n">
        <f aca="false">IF(F12=0,0,F17/F12)</f>
        <v>0.6</v>
      </c>
      <c r="G18" s="47" t="n">
        <f aca="false">IF(G12=0,0,G17/G12)</f>
        <v>0.45</v>
      </c>
      <c r="H18" s="47" t="n">
        <f aca="false">IF(H12=0,0,H17/H12)</f>
        <v>0.675</v>
      </c>
      <c r="I18" s="47" t="n">
        <f aca="false">IF(I12=0,0,I17/I12)</f>
        <v>0.9</v>
      </c>
      <c r="J18" s="47" t="n">
        <f aca="false">IF(J12=0,0,J17/J12)</f>
        <v>0.9</v>
      </c>
      <c r="K18" s="47" t="n">
        <f aca="false">IF(K12=0,0,K17/K12)</f>
        <v>0.9</v>
      </c>
      <c r="L18" s="47" t="n">
        <f aca="false">IF(L12=0,0,L17/L12)</f>
        <v>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203</v>
      </c>
      <c r="C2" s="5"/>
      <c r="D2" s="5"/>
      <c r="E2" s="5"/>
      <c r="F2" s="5"/>
      <c r="G2" s="5"/>
      <c r="H2" s="5"/>
      <c r="I2" s="5"/>
      <c r="J2" s="5"/>
      <c r="K2" s="5"/>
      <c r="L2" s="5"/>
    </row>
    <row r="3" customFormat="false" ht="15" hidden="false" customHeight="false" outlineLevel="0" collapsed="false">
      <c r="A3" s="5"/>
      <c r="B3" s="8" t="s">
        <v>204</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205</v>
      </c>
      <c r="C8" s="16"/>
      <c r="D8" s="16"/>
      <c r="E8" s="16"/>
      <c r="F8" s="16"/>
      <c r="G8" s="16"/>
      <c r="H8" s="16"/>
      <c r="I8" s="16"/>
      <c r="J8" s="16"/>
      <c r="K8" s="16"/>
      <c r="L8" s="16"/>
    </row>
    <row r="9" customFormat="false" ht="15" hidden="false" customHeight="false" outlineLevel="0" collapsed="false">
      <c r="A9" s="5"/>
      <c r="B9" s="39" t="s">
        <v>206</v>
      </c>
      <c r="C9" s="41" t="n">
        <f aca="false">CR_Billed_KW</f>
        <v>0</v>
      </c>
      <c r="D9" s="41" t="n">
        <f aca="false">CR_Billed_KW</f>
        <v>0</v>
      </c>
      <c r="E9" s="41" t="n">
        <f aca="false">CR_Billed_KW</f>
        <v>4500</v>
      </c>
      <c r="F9" s="41" t="n">
        <f aca="false">CR_Billed_KW</f>
        <v>9000</v>
      </c>
      <c r="G9" s="41" t="n">
        <f aca="false">CR_Billed_KW</f>
        <v>9000</v>
      </c>
      <c r="H9" s="41" t="n">
        <f aca="false">CR_Billed_KW</f>
        <v>13500</v>
      </c>
      <c r="I9" s="41" t="n">
        <f aca="false">CR_Billed_KW</f>
        <v>18000</v>
      </c>
      <c r="J9" s="41" t="n">
        <f aca="false">CR_Billed_KW</f>
        <v>18000</v>
      </c>
      <c r="K9" s="41" t="n">
        <f aca="false">CR_Billed_KW</f>
        <v>18000</v>
      </c>
      <c r="L9" s="41" t="n">
        <f aca="false">CR_Billed_KW</f>
        <v>18000</v>
      </c>
    </row>
    <row r="10" customFormat="false" ht="15" hidden="false" customHeight="false" outlineLevel="0" collapsed="false">
      <c r="A10" s="5"/>
      <c r="B10" s="39" t="s">
        <v>207</v>
      </c>
      <c r="C10" s="48" t="n">
        <f aca="false">Rent_Per_KW*(1+Rent_Escalator)^(C6-1)</f>
        <v>135</v>
      </c>
      <c r="D10" s="48" t="n">
        <f aca="false">Rent_Per_KW*(1+Rent_Escalator)^(D6-1)</f>
        <v>138.375</v>
      </c>
      <c r="E10" s="48" t="n">
        <f aca="false">Rent_Per_KW*(1+Rent_Escalator)^(E6-1)</f>
        <v>141.834375</v>
      </c>
      <c r="F10" s="48" t="n">
        <f aca="false">Rent_Per_KW*(1+Rent_Escalator)^(F6-1)</f>
        <v>145.380234375</v>
      </c>
      <c r="G10" s="48" t="n">
        <f aca="false">Rent_Per_KW*(1+Rent_Escalator)^(G6-1)</f>
        <v>149.014740234375</v>
      </c>
      <c r="H10" s="48" t="n">
        <f aca="false">Rent_Per_KW*(1+Rent_Escalator)^(H6-1)</f>
        <v>152.740108740234</v>
      </c>
      <c r="I10" s="48" t="n">
        <f aca="false">Rent_Per_KW*(1+Rent_Escalator)^(I6-1)</f>
        <v>156.55861145874</v>
      </c>
      <c r="J10" s="48" t="n">
        <f aca="false">Rent_Per_KW*(1+Rent_Escalator)^(J6-1)</f>
        <v>160.472576745209</v>
      </c>
      <c r="K10" s="48" t="n">
        <f aca="false">Rent_Per_KW*(1+Rent_Escalator)^(K6-1)</f>
        <v>164.484391163839</v>
      </c>
      <c r="L10" s="48" t="n">
        <f aca="false">Rent_Per_KW*(1+Rent_Escalator)^(L6-1)</f>
        <v>168.596500942935</v>
      </c>
    </row>
    <row r="11" customFormat="false" ht="15" hidden="false" customHeight="false" outlineLevel="0" collapsed="false">
      <c r="A11" s="5"/>
      <c r="B11" s="42" t="s">
        <v>208</v>
      </c>
      <c r="C11" s="43" t="n">
        <f aca="false">C9*C10*12</f>
        <v>0</v>
      </c>
      <c r="D11" s="43" t="n">
        <f aca="false">D9*D10*12</f>
        <v>0</v>
      </c>
      <c r="E11" s="43" t="n">
        <f aca="false">E9*E10*12</f>
        <v>7659056.25</v>
      </c>
      <c r="F11" s="43" t="n">
        <f aca="false">F9*F10*12</f>
        <v>15701065.3125</v>
      </c>
      <c r="G11" s="43" t="n">
        <f aca="false">G9*G10*12</f>
        <v>16093591.9453125</v>
      </c>
      <c r="H11" s="43" t="n">
        <f aca="false">H9*H10*12</f>
        <v>24743897.615918</v>
      </c>
      <c r="I11" s="43" t="n">
        <f aca="false">I9*I10*12</f>
        <v>33816660.0750879</v>
      </c>
      <c r="J11" s="43" t="n">
        <f aca="false">J9*J10*12</f>
        <v>34662076.5769651</v>
      </c>
      <c r="K11" s="43" t="n">
        <f aca="false">K9*K10*12</f>
        <v>35528628.4913892</v>
      </c>
      <c r="L11" s="43" t="n">
        <f aca="false">L9*L10*12</f>
        <v>36416844.2036739</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31" t="s">
        <v>209</v>
      </c>
      <c r="C13" s="16"/>
      <c r="D13" s="16"/>
      <c r="E13" s="16"/>
      <c r="F13" s="16"/>
      <c r="G13" s="16"/>
      <c r="H13" s="16"/>
      <c r="I13" s="16"/>
      <c r="J13" s="16"/>
      <c r="K13" s="16"/>
      <c r="L13" s="16"/>
    </row>
    <row r="14" customFormat="false" ht="15" hidden="false" customHeight="false" outlineLevel="0" collapsed="false">
      <c r="A14" s="5"/>
      <c r="B14" s="39" t="s">
        <v>210</v>
      </c>
      <c r="C14" s="41" t="n">
        <f aca="false">C9*8760*PUE_Ratio</f>
        <v>0</v>
      </c>
      <c r="D14" s="41" t="n">
        <f aca="false">D9*8760*PUE_Ratio</f>
        <v>0</v>
      </c>
      <c r="E14" s="41" t="n">
        <f aca="false">E9*8760*PUE_Ratio</f>
        <v>53217000</v>
      </c>
      <c r="F14" s="41" t="n">
        <f aca="false">F9*8760*PUE_Ratio</f>
        <v>106434000</v>
      </c>
      <c r="G14" s="41" t="n">
        <f aca="false">G9*8760*PUE_Ratio</f>
        <v>106434000</v>
      </c>
      <c r="H14" s="41" t="n">
        <f aca="false">H9*8760*PUE_Ratio</f>
        <v>159651000</v>
      </c>
      <c r="I14" s="41" t="n">
        <f aca="false">I9*8760*PUE_Ratio</f>
        <v>212868000</v>
      </c>
      <c r="J14" s="41" t="n">
        <f aca="false">J9*8760*PUE_Ratio</f>
        <v>212868000</v>
      </c>
      <c r="K14" s="41" t="n">
        <f aca="false">K9*8760*PUE_Ratio</f>
        <v>212868000</v>
      </c>
      <c r="L14" s="41" t="n">
        <f aca="false">L9*8760*PUE_Ratio</f>
        <v>212868000</v>
      </c>
    </row>
    <row r="15" customFormat="false" ht="15" hidden="false" customHeight="false" outlineLevel="0" collapsed="false">
      <c r="A15" s="5"/>
      <c r="B15" s="39" t="s">
        <v>211</v>
      </c>
      <c r="C15" s="41" t="n">
        <f aca="false">C14*Elec_Rate</f>
        <v>0</v>
      </c>
      <c r="D15" s="41" t="n">
        <f aca="false">D14*Elec_Rate</f>
        <v>0</v>
      </c>
      <c r="E15" s="41" t="n">
        <f aca="false">E14*Elec_Rate</f>
        <v>5321700</v>
      </c>
      <c r="F15" s="41" t="n">
        <f aca="false">F14*Elec_Rate</f>
        <v>10643400</v>
      </c>
      <c r="G15" s="41" t="n">
        <f aca="false">G14*Elec_Rate</f>
        <v>10643400</v>
      </c>
      <c r="H15" s="41" t="n">
        <f aca="false">H14*Elec_Rate</f>
        <v>15965100</v>
      </c>
      <c r="I15" s="41" t="n">
        <f aca="false">I14*Elec_Rate</f>
        <v>21286800</v>
      </c>
      <c r="J15" s="41" t="n">
        <f aca="false">J14*Elec_Rate</f>
        <v>21286800</v>
      </c>
      <c r="K15" s="41" t="n">
        <f aca="false">K14*Elec_Rate</f>
        <v>21286800</v>
      </c>
      <c r="L15" s="41" t="n">
        <f aca="false">L14*Elec_Rate</f>
        <v>21286800</v>
      </c>
    </row>
    <row r="16" customFormat="false" ht="15" hidden="false" customHeight="false" outlineLevel="0" collapsed="false">
      <c r="A16" s="5"/>
      <c r="B16" s="42" t="s">
        <v>209</v>
      </c>
      <c r="C16" s="43" t="n">
        <f aca="false">C15*(1+Power_Markup)</f>
        <v>0</v>
      </c>
      <c r="D16" s="43" t="n">
        <f aca="false">D15*(1+Power_Markup)</f>
        <v>0</v>
      </c>
      <c r="E16" s="43" t="n">
        <f aca="false">E15*(1+Power_Markup)</f>
        <v>5321700</v>
      </c>
      <c r="F16" s="43" t="n">
        <f aca="false">F15*(1+Power_Markup)</f>
        <v>10643400</v>
      </c>
      <c r="G16" s="43" t="n">
        <f aca="false">G15*(1+Power_Markup)</f>
        <v>10643400</v>
      </c>
      <c r="H16" s="43" t="n">
        <f aca="false">H15*(1+Power_Markup)</f>
        <v>15965100</v>
      </c>
      <c r="I16" s="43" t="n">
        <f aca="false">I15*(1+Power_Markup)</f>
        <v>21286800</v>
      </c>
      <c r="J16" s="43" t="n">
        <f aca="false">J15*(1+Power_Markup)</f>
        <v>21286800</v>
      </c>
      <c r="K16" s="43" t="n">
        <f aca="false">K15*(1+Power_Markup)</f>
        <v>21286800</v>
      </c>
      <c r="L16" s="43" t="n">
        <f aca="false">L15*(1+Power_Markup)</f>
        <v>21286800</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31" t="s">
        <v>108</v>
      </c>
      <c r="C18" s="16"/>
      <c r="D18" s="16"/>
      <c r="E18" s="16"/>
      <c r="F18" s="16"/>
      <c r="G18" s="16"/>
      <c r="H18" s="16"/>
      <c r="I18" s="16"/>
      <c r="J18" s="16"/>
      <c r="K18" s="16"/>
      <c r="L18" s="16"/>
    </row>
    <row r="19" customFormat="false" ht="15" hidden="false" customHeight="false" outlineLevel="0" collapsed="false">
      <c r="A19" s="5"/>
      <c r="B19" s="39" t="s">
        <v>212</v>
      </c>
      <c r="C19" s="41" t="n">
        <f aca="false">(C9/1000)*XConn_Per_MW</f>
        <v>0</v>
      </c>
      <c r="D19" s="41" t="n">
        <f aca="false">(D9/1000)*XConn_Per_MW</f>
        <v>0</v>
      </c>
      <c r="E19" s="41" t="n">
        <f aca="false">(E9/1000)*XConn_Per_MW</f>
        <v>225</v>
      </c>
      <c r="F19" s="41" t="n">
        <f aca="false">(F9/1000)*XConn_Per_MW</f>
        <v>450</v>
      </c>
      <c r="G19" s="41" t="n">
        <f aca="false">(G9/1000)*XConn_Per_MW</f>
        <v>450</v>
      </c>
      <c r="H19" s="41" t="n">
        <f aca="false">(H9/1000)*XConn_Per_MW</f>
        <v>675</v>
      </c>
      <c r="I19" s="41" t="n">
        <f aca="false">(I9/1000)*XConn_Per_MW</f>
        <v>900</v>
      </c>
      <c r="J19" s="41" t="n">
        <f aca="false">(J9/1000)*XConn_Per_MW</f>
        <v>900</v>
      </c>
      <c r="K19" s="41" t="n">
        <f aca="false">(K9/1000)*XConn_Per_MW</f>
        <v>900</v>
      </c>
      <c r="L19" s="41" t="n">
        <f aca="false">(L9/1000)*XConn_Per_MW</f>
        <v>900</v>
      </c>
    </row>
    <row r="20" customFormat="false" ht="15" hidden="false" customHeight="false" outlineLevel="0" collapsed="false">
      <c r="A20" s="5"/>
      <c r="B20" s="42" t="s">
        <v>213</v>
      </c>
      <c r="C20" s="43" t="n">
        <f aca="false">C19*XConn_Fee*12</f>
        <v>0</v>
      </c>
      <c r="D20" s="43" t="n">
        <f aca="false">D19*XConn_Fee*12</f>
        <v>0</v>
      </c>
      <c r="E20" s="43" t="n">
        <f aca="false">E19*XConn_Fee*12</f>
        <v>675000</v>
      </c>
      <c r="F20" s="43" t="n">
        <f aca="false">F19*XConn_Fee*12</f>
        <v>1350000</v>
      </c>
      <c r="G20" s="43" t="n">
        <f aca="false">G19*XConn_Fee*12</f>
        <v>1350000</v>
      </c>
      <c r="H20" s="43" t="n">
        <f aca="false">H19*XConn_Fee*12</f>
        <v>2025000</v>
      </c>
      <c r="I20" s="43" t="n">
        <f aca="false">I19*XConn_Fee*12</f>
        <v>2700000</v>
      </c>
      <c r="J20" s="43" t="n">
        <f aca="false">J19*XConn_Fee*12</f>
        <v>2700000</v>
      </c>
      <c r="K20" s="43" t="n">
        <f aca="false">K19*XConn_Fee*12</f>
        <v>2700000</v>
      </c>
      <c r="L20" s="43" t="n">
        <f aca="false">L19*XConn_Fee*12</f>
        <v>2700000</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31" t="s">
        <v>214</v>
      </c>
      <c r="C22" s="16"/>
      <c r="D22" s="16"/>
      <c r="E22" s="16"/>
      <c r="F22" s="16"/>
      <c r="G22" s="16"/>
      <c r="H22" s="16"/>
      <c r="I22" s="16"/>
      <c r="J22" s="16"/>
      <c r="K22" s="16"/>
      <c r="L22" s="16"/>
    </row>
    <row r="23" customFormat="false" ht="15" hidden="false" customHeight="false" outlineLevel="0" collapsed="false">
      <c r="A23" s="5"/>
      <c r="B23" s="39" t="s">
        <v>215</v>
      </c>
      <c r="C23" s="40" t="n">
        <f aca="false">C9/1000</f>
        <v>0</v>
      </c>
      <c r="D23" s="40" t="n">
        <f aca="false">MAX(0,(D9-C9)/1000)</f>
        <v>0</v>
      </c>
      <c r="E23" s="40" t="n">
        <f aca="false">MAX(0,(E9-D9)/1000)</f>
        <v>4.5</v>
      </c>
      <c r="F23" s="40" t="n">
        <f aca="false">MAX(0,(F9-E9)/1000)</f>
        <v>4.5</v>
      </c>
      <c r="G23" s="40" t="n">
        <f aca="false">MAX(0,(G9-F9)/1000)</f>
        <v>0</v>
      </c>
      <c r="H23" s="40" t="n">
        <f aca="false">MAX(0,(H9-G9)/1000)</f>
        <v>4.5</v>
      </c>
      <c r="I23" s="40" t="n">
        <f aca="false">MAX(0,(I9-H9)/1000)</f>
        <v>4.5</v>
      </c>
      <c r="J23" s="40" t="n">
        <f aca="false">MAX(0,(J9-I9)/1000)</f>
        <v>0</v>
      </c>
      <c r="K23" s="40" t="n">
        <f aca="false">MAX(0,(K9-J9)/1000)</f>
        <v>0</v>
      </c>
      <c r="L23" s="40" t="n">
        <f aca="false">MAX(0,(L9-K9)/1000)</f>
        <v>0</v>
      </c>
    </row>
    <row r="24" customFormat="false" ht="15" hidden="false" customHeight="false" outlineLevel="0" collapsed="false">
      <c r="A24" s="5"/>
      <c r="B24" s="42" t="s">
        <v>216</v>
      </c>
      <c r="C24" s="43" t="n">
        <f aca="false">C23*NRC_Per_MW</f>
        <v>0</v>
      </c>
      <c r="D24" s="43" t="n">
        <f aca="false">D23*NRC_Per_MW</f>
        <v>0</v>
      </c>
      <c r="E24" s="43" t="n">
        <f aca="false">E23*NRC_Per_MW</f>
        <v>225000</v>
      </c>
      <c r="F24" s="43" t="n">
        <f aca="false">F23*NRC_Per_MW</f>
        <v>225000</v>
      </c>
      <c r="G24" s="43" t="n">
        <f aca="false">G23*NRC_Per_MW</f>
        <v>0</v>
      </c>
      <c r="H24" s="43" t="n">
        <f aca="false">H23*NRC_Per_MW</f>
        <v>225000</v>
      </c>
      <c r="I24" s="43" t="n">
        <f aca="false">I23*NRC_Per_MW</f>
        <v>225000</v>
      </c>
      <c r="J24" s="43" t="n">
        <f aca="false">J23*NRC_Per_MW</f>
        <v>0</v>
      </c>
      <c r="K24" s="43" t="n">
        <f aca="false">K23*NRC_Per_MW</f>
        <v>0</v>
      </c>
      <c r="L24" s="43" t="n">
        <f aca="false">L23*NRC_Per_MW</f>
        <v>0</v>
      </c>
    </row>
    <row r="25" customFormat="false" ht="15" hidden="false" customHeight="false" outlineLevel="0" collapsed="false">
      <c r="A25" s="5"/>
      <c r="B25" s="5"/>
      <c r="C25" s="5"/>
      <c r="D25" s="5"/>
      <c r="E25" s="5"/>
      <c r="F25" s="5"/>
      <c r="G25" s="5"/>
      <c r="H25" s="5"/>
      <c r="I25" s="5"/>
      <c r="J25" s="5"/>
      <c r="K25" s="5"/>
      <c r="L25" s="5"/>
    </row>
    <row r="26" customFormat="false" ht="15" hidden="false" customHeight="false" outlineLevel="0" collapsed="false">
      <c r="A26" s="5"/>
      <c r="B26" s="44" t="s">
        <v>217</v>
      </c>
      <c r="C26" s="45" t="n">
        <f aca="false">C11+C16+C20+C24</f>
        <v>0</v>
      </c>
      <c r="D26" s="45" t="n">
        <f aca="false">D11+D16+D20+D24</f>
        <v>0</v>
      </c>
      <c r="E26" s="45" t="n">
        <f aca="false">E11+E16+E20+E24</f>
        <v>13880756.25</v>
      </c>
      <c r="F26" s="45" t="n">
        <f aca="false">F11+F16+F20+F24</f>
        <v>27919465.3125</v>
      </c>
      <c r="G26" s="45" t="n">
        <f aca="false">G11+G16+G20+G24</f>
        <v>28086991.9453125</v>
      </c>
      <c r="H26" s="45" t="n">
        <f aca="false">H11+H16+H20+H24</f>
        <v>42958997.615918</v>
      </c>
      <c r="I26" s="45" t="n">
        <f aca="false">I11+I16+I20+I24</f>
        <v>58028460.0750879</v>
      </c>
      <c r="J26" s="45" t="n">
        <f aca="false">J11+J16+J20+J24</f>
        <v>58648876.5769651</v>
      </c>
      <c r="K26" s="45" t="n">
        <f aca="false">K11+K16+K20+K24</f>
        <v>59515428.4913892</v>
      </c>
      <c r="L26" s="45" t="n">
        <f aca="false">L11+L16+L20+L24</f>
        <v>60403644.2036739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117</v>
      </c>
      <c r="C2" s="5"/>
      <c r="D2" s="5"/>
      <c r="E2" s="5"/>
      <c r="F2" s="5"/>
      <c r="G2" s="5"/>
      <c r="H2" s="5"/>
      <c r="I2" s="5"/>
      <c r="J2" s="5"/>
      <c r="K2" s="5"/>
      <c r="L2" s="5"/>
    </row>
    <row r="3" customFormat="false" ht="15" hidden="false" customHeight="false" outlineLevel="0" collapsed="false">
      <c r="A3" s="5"/>
      <c r="B3" s="8" t="s">
        <v>218</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219</v>
      </c>
      <c r="C8" s="16"/>
      <c r="D8" s="16"/>
      <c r="E8" s="16"/>
      <c r="F8" s="16"/>
      <c r="G8" s="16"/>
      <c r="H8" s="16"/>
      <c r="I8" s="16"/>
      <c r="J8" s="16"/>
      <c r="K8" s="16"/>
      <c r="L8" s="16"/>
    </row>
    <row r="9" customFormat="false" ht="15" hidden="false" customHeight="false" outlineLevel="0" collapsed="false">
      <c r="A9" s="5"/>
      <c r="B9" s="39" t="s">
        <v>220</v>
      </c>
      <c r="C9" s="41" t="n">
        <f aca="false">RV_Power_Cost</f>
        <v>0</v>
      </c>
      <c r="D9" s="41" t="n">
        <f aca="false">RV_Power_Cost</f>
        <v>0</v>
      </c>
      <c r="E9" s="41" t="n">
        <f aca="false">RV_Power_Cost</f>
        <v>5321700</v>
      </c>
      <c r="F9" s="41" t="n">
        <f aca="false">RV_Power_Cost</f>
        <v>10643400</v>
      </c>
      <c r="G9" s="41" t="n">
        <f aca="false">RV_Power_Cost</f>
        <v>10643400</v>
      </c>
      <c r="H9" s="41" t="n">
        <f aca="false">RV_Power_Cost</f>
        <v>15965100</v>
      </c>
      <c r="I9" s="41" t="n">
        <f aca="false">RV_Power_Cost</f>
        <v>21286800</v>
      </c>
      <c r="J9" s="41" t="n">
        <f aca="false">RV_Power_Cost</f>
        <v>21286800</v>
      </c>
      <c r="K9" s="41" t="n">
        <f aca="false">RV_Power_Cost</f>
        <v>21286800</v>
      </c>
      <c r="L9" s="41" t="n">
        <f aca="false">RV_Power_Cost</f>
        <v>21286800</v>
      </c>
    </row>
    <row r="10" customFormat="false" ht="15" hidden="false" customHeight="false" outlineLevel="0" collapsed="false">
      <c r="A10" s="5"/>
      <c r="B10" s="39" t="s">
        <v>221</v>
      </c>
      <c r="C10" s="41" t="n">
        <f aca="false">C9*Water_Pct</f>
        <v>0</v>
      </c>
      <c r="D10" s="41" t="n">
        <f aca="false">D9*Water_Pct</f>
        <v>0</v>
      </c>
      <c r="E10" s="41" t="n">
        <f aca="false">E9*Water_Pct</f>
        <v>266085</v>
      </c>
      <c r="F10" s="41" t="n">
        <f aca="false">F9*Water_Pct</f>
        <v>532170</v>
      </c>
      <c r="G10" s="41" t="n">
        <f aca="false">G9*Water_Pct</f>
        <v>532170</v>
      </c>
      <c r="H10" s="41" t="n">
        <f aca="false">H9*Water_Pct</f>
        <v>798255</v>
      </c>
      <c r="I10" s="41" t="n">
        <f aca="false">I9*Water_Pct</f>
        <v>1064340</v>
      </c>
      <c r="J10" s="41" t="n">
        <f aca="false">J9*Water_Pct</f>
        <v>1064340</v>
      </c>
      <c r="K10" s="41" t="n">
        <f aca="false">K9*Water_Pct</f>
        <v>1064340</v>
      </c>
      <c r="L10" s="41" t="n">
        <f aca="false">L9*Water_Pct</f>
        <v>1064340</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31" t="s">
        <v>222</v>
      </c>
      <c r="C12" s="16"/>
      <c r="D12" s="16"/>
      <c r="E12" s="16"/>
      <c r="F12" s="16"/>
      <c r="G12" s="16"/>
      <c r="H12" s="16"/>
      <c r="I12" s="16"/>
      <c r="J12" s="16"/>
      <c r="K12" s="16"/>
      <c r="L12" s="16"/>
    </row>
    <row r="13" customFormat="false" ht="15" hidden="false" customHeight="false" outlineLevel="0" collapsed="false">
      <c r="A13" s="5"/>
      <c r="B13" s="39" t="s">
        <v>223</v>
      </c>
      <c r="C13" s="41" t="n">
        <f aca="false">CR_Total_MW*Facility_Opex_MW*(1+Opex_Escalation)^(C6-1)</f>
        <v>750000</v>
      </c>
      <c r="D13" s="41" t="n">
        <f aca="false">CR_Total_MW*Facility_Opex_MW*(1+Opex_Escalation)^(D6-1)</f>
        <v>1537500</v>
      </c>
      <c r="E13" s="41" t="n">
        <f aca="false">CR_Total_MW*Facility_Opex_MW*(1+Opex_Escalation)^(E6-1)</f>
        <v>1575937.5</v>
      </c>
      <c r="F13" s="41" t="n">
        <f aca="false">CR_Total_MW*Facility_Opex_MW*(1+Opex_Escalation)^(F6-1)</f>
        <v>2423003.90625</v>
      </c>
      <c r="G13" s="41" t="n">
        <f aca="false">CR_Total_MW*Facility_Opex_MW*(1+Opex_Escalation)^(G6-1)</f>
        <v>3311438.671875</v>
      </c>
      <c r="H13" s="41" t="n">
        <f aca="false">CR_Total_MW*Facility_Opex_MW*(1+Opex_Escalation)^(H6-1)</f>
        <v>3394224.63867187</v>
      </c>
      <c r="I13" s="41" t="n">
        <f aca="false">CR_Total_MW*Facility_Opex_MW*(1+Opex_Escalation)^(I6-1)</f>
        <v>3479080.25463867</v>
      </c>
      <c r="J13" s="41" t="n">
        <f aca="false">CR_Total_MW*Facility_Opex_MW*(1+Opex_Escalation)^(J6-1)</f>
        <v>3566057.26100464</v>
      </c>
      <c r="K13" s="41" t="n">
        <f aca="false">CR_Total_MW*Facility_Opex_MW*(1+Opex_Escalation)^(K6-1)</f>
        <v>3655208.69252975</v>
      </c>
      <c r="L13" s="41" t="n">
        <f aca="false">CR_Total_MW*Facility_Opex_MW*(1+Opex_Escalation)^(L6-1)</f>
        <v>3746588.909843</v>
      </c>
    </row>
    <row r="14" customFormat="false" ht="15" hidden="false" customHeight="false" outlineLevel="0" collapsed="false">
      <c r="A14" s="5"/>
      <c r="B14" s="39" t="s">
        <v>121</v>
      </c>
      <c r="C14" s="41" t="n">
        <f aca="false">CC_Cum_Capex*Prop_Tax_Ins_Pct</f>
        <v>900000</v>
      </c>
      <c r="D14" s="41" t="n">
        <f aca="false">CC_Cum_Capex*Prop_Tax_Ins_Pct</f>
        <v>1800000</v>
      </c>
      <c r="E14" s="41" t="n">
        <f aca="false">CC_Cum_Capex*Prop_Tax_Ins_Pct</f>
        <v>1800000</v>
      </c>
      <c r="F14" s="41" t="n">
        <f aca="false">CC_Cum_Capex*Prop_Tax_Ins_Pct</f>
        <v>2250000</v>
      </c>
      <c r="G14" s="41" t="n">
        <f aca="false">CC_Cum_Capex*Prop_Tax_Ins_Pct</f>
        <v>2700000</v>
      </c>
      <c r="H14" s="41" t="n">
        <f aca="false">CC_Cum_Capex*Prop_Tax_Ins_Pct</f>
        <v>2700000</v>
      </c>
      <c r="I14" s="41" t="n">
        <f aca="false">CC_Cum_Capex*Prop_Tax_Ins_Pct</f>
        <v>2700000</v>
      </c>
      <c r="J14" s="41" t="n">
        <f aca="false">CC_Cum_Capex*Prop_Tax_Ins_Pct</f>
        <v>2700000</v>
      </c>
      <c r="K14" s="41" t="n">
        <f aca="false">CC_Cum_Capex*Prop_Tax_Ins_Pct</f>
        <v>2700000</v>
      </c>
      <c r="L14" s="41" t="n">
        <f aca="false">CC_Cum_Capex*Prop_Tax_Ins_Pct</f>
        <v>2700000</v>
      </c>
    </row>
    <row r="15" customFormat="false" ht="15" hidden="false" customHeight="false" outlineLevel="0" collapsed="false">
      <c r="A15" s="5"/>
      <c r="B15" s="39" t="s">
        <v>224</v>
      </c>
      <c r="C15" s="41" t="n">
        <f aca="false">RV_Total_Rev*Tech_Pct</f>
        <v>0</v>
      </c>
      <c r="D15" s="41" t="n">
        <f aca="false">RV_Total_Rev*Tech_Pct</f>
        <v>0</v>
      </c>
      <c r="E15" s="41" t="n">
        <f aca="false">RV_Total_Rev*Tech_Pct</f>
        <v>416422.6875</v>
      </c>
      <c r="F15" s="41" t="n">
        <f aca="false">RV_Total_Rev*Tech_Pct</f>
        <v>837583.959375</v>
      </c>
      <c r="G15" s="41" t="n">
        <f aca="false">RV_Total_Rev*Tech_Pct</f>
        <v>842609.758359375</v>
      </c>
      <c r="H15" s="41" t="n">
        <f aca="false">RV_Total_Rev*Tech_Pct</f>
        <v>1288769.92847754</v>
      </c>
      <c r="I15" s="41" t="n">
        <f aca="false">RV_Total_Rev*Tech_Pct</f>
        <v>1740853.80225264</v>
      </c>
      <c r="J15" s="41" t="n">
        <f aca="false">RV_Total_Rev*Tech_Pct</f>
        <v>1759466.29730895</v>
      </c>
      <c r="K15" s="41" t="n">
        <f aca="false">RV_Total_Rev*Tech_Pct</f>
        <v>1785462.85474168</v>
      </c>
      <c r="L15" s="41" t="n">
        <f aca="false">RV_Total_Rev*Tech_Pct</f>
        <v>1812109.32611022</v>
      </c>
    </row>
    <row r="16" customFormat="false" ht="15" hidden="false" customHeight="false" outlineLevel="0" collapsed="false">
      <c r="A16" s="5"/>
      <c r="B16" s="39" t="s">
        <v>225</v>
      </c>
      <c r="C16" s="41" t="n">
        <f aca="false">CR_Total_MW*Staff_Cost_MW*(1+Opex_Escalation)^(C6-1)</f>
        <v>250000</v>
      </c>
      <c r="D16" s="41" t="n">
        <f aca="false">CR_Total_MW*Staff_Cost_MW*(1+Opex_Escalation)^(D6-1)</f>
        <v>512500</v>
      </c>
      <c r="E16" s="41" t="n">
        <f aca="false">CR_Total_MW*Staff_Cost_MW*(1+Opex_Escalation)^(E6-1)</f>
        <v>525312.5</v>
      </c>
      <c r="F16" s="41" t="n">
        <f aca="false">CR_Total_MW*Staff_Cost_MW*(1+Opex_Escalation)^(F6-1)</f>
        <v>807667.96875</v>
      </c>
      <c r="G16" s="41" t="n">
        <f aca="false">CR_Total_MW*Staff_Cost_MW*(1+Opex_Escalation)^(G6-1)</f>
        <v>1103812.890625</v>
      </c>
      <c r="H16" s="41" t="n">
        <f aca="false">CR_Total_MW*Staff_Cost_MW*(1+Opex_Escalation)^(H6-1)</f>
        <v>1131408.21289062</v>
      </c>
      <c r="I16" s="41" t="n">
        <f aca="false">CR_Total_MW*Staff_Cost_MW*(1+Opex_Escalation)^(I6-1)</f>
        <v>1159693.41821289</v>
      </c>
      <c r="J16" s="41" t="n">
        <f aca="false">CR_Total_MW*Staff_Cost_MW*(1+Opex_Escalation)^(J6-1)</f>
        <v>1188685.75366821</v>
      </c>
      <c r="K16" s="41" t="n">
        <f aca="false">CR_Total_MW*Staff_Cost_MW*(1+Opex_Escalation)^(K6-1)</f>
        <v>1218402.89750992</v>
      </c>
      <c r="L16" s="41" t="n">
        <f aca="false">CR_Total_MW*Staff_Cost_MW*(1+Opex_Escalation)^(L6-1)</f>
        <v>1248862.96994767</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31" t="s">
        <v>226</v>
      </c>
      <c r="C18" s="16"/>
      <c r="D18" s="16"/>
      <c r="E18" s="16"/>
      <c r="F18" s="16"/>
      <c r="G18" s="16"/>
      <c r="H18" s="16"/>
      <c r="I18" s="16"/>
      <c r="J18" s="16"/>
      <c r="K18" s="16"/>
      <c r="L18" s="16"/>
    </row>
    <row r="19" customFormat="false" ht="15" hidden="false" customHeight="false" outlineLevel="0" collapsed="false">
      <c r="A19" s="5"/>
      <c r="B19" s="39" t="s">
        <v>124</v>
      </c>
      <c r="C19" s="41" t="n">
        <f aca="false">RV_Total_Rev*SGA_Pct</f>
        <v>0</v>
      </c>
      <c r="D19" s="41" t="n">
        <f aca="false">RV_Total_Rev*SGA_Pct</f>
        <v>0</v>
      </c>
      <c r="E19" s="41" t="n">
        <f aca="false">RV_Total_Rev*SGA_Pct</f>
        <v>694037.8125</v>
      </c>
      <c r="F19" s="41" t="n">
        <f aca="false">RV_Total_Rev*SGA_Pct</f>
        <v>1395973.265625</v>
      </c>
      <c r="G19" s="41" t="n">
        <f aca="false">RV_Total_Rev*SGA_Pct</f>
        <v>1404349.59726562</v>
      </c>
      <c r="H19" s="41" t="n">
        <f aca="false">RV_Total_Rev*SGA_Pct</f>
        <v>2147949.8807959</v>
      </c>
      <c r="I19" s="41" t="n">
        <f aca="false">RV_Total_Rev*SGA_Pct</f>
        <v>2901423.00375439</v>
      </c>
      <c r="J19" s="41" t="n">
        <f aca="false">RV_Total_Rev*SGA_Pct</f>
        <v>2932443.82884825</v>
      </c>
      <c r="K19" s="41" t="n">
        <f aca="false">RV_Total_Rev*SGA_Pct</f>
        <v>2975771.42456946</v>
      </c>
      <c r="L19" s="41" t="n">
        <f aca="false">RV_Total_Rev*SGA_Pct</f>
        <v>3020182.2101837</v>
      </c>
    </row>
    <row r="20" customFormat="false" ht="15" hidden="false" customHeight="false" outlineLevel="0" collapsed="false">
      <c r="A20" s="5"/>
      <c r="B20" s="39" t="s">
        <v>227</v>
      </c>
      <c r="C20" s="41" t="n">
        <f aca="false">RV_Total_Rev*Marketing_Pct</f>
        <v>0</v>
      </c>
      <c r="D20" s="41" t="n">
        <f aca="false">RV_Total_Rev*Marketing_Pct</f>
        <v>0</v>
      </c>
      <c r="E20" s="41" t="n">
        <f aca="false">RV_Total_Rev*Marketing_Pct</f>
        <v>416422.6875</v>
      </c>
      <c r="F20" s="41" t="n">
        <f aca="false">RV_Total_Rev*Marketing_Pct</f>
        <v>837583.959375</v>
      </c>
      <c r="G20" s="41" t="n">
        <f aca="false">RV_Total_Rev*Marketing_Pct</f>
        <v>842609.758359375</v>
      </c>
      <c r="H20" s="41" t="n">
        <f aca="false">RV_Total_Rev*Marketing_Pct</f>
        <v>1288769.92847754</v>
      </c>
      <c r="I20" s="41" t="n">
        <f aca="false">RV_Total_Rev*Marketing_Pct</f>
        <v>1740853.80225264</v>
      </c>
      <c r="J20" s="41" t="n">
        <f aca="false">RV_Total_Rev*Marketing_Pct</f>
        <v>1759466.29730895</v>
      </c>
      <c r="K20" s="41" t="n">
        <f aca="false">RV_Total_Rev*Marketing_Pct</f>
        <v>1785462.85474168</v>
      </c>
      <c r="L20" s="41" t="n">
        <f aca="false">RV_Total_Rev*Marketing_Pct</f>
        <v>1812109.32611022</v>
      </c>
    </row>
    <row r="21" customFormat="false" ht="15" hidden="false" customHeight="false" outlineLevel="0" collapsed="false">
      <c r="A21" s="5"/>
      <c r="B21" s="39" t="s">
        <v>228</v>
      </c>
      <c r="C21" s="41" t="n">
        <f aca="false">RV_Total_Rev*Compliance_Pct</f>
        <v>0</v>
      </c>
      <c r="D21" s="41" t="n">
        <f aca="false">RV_Total_Rev*Compliance_Pct</f>
        <v>0</v>
      </c>
      <c r="E21" s="41" t="n">
        <f aca="false">RV_Total_Rev*Compliance_Pct</f>
        <v>208211.34375</v>
      </c>
      <c r="F21" s="41" t="n">
        <f aca="false">RV_Total_Rev*Compliance_Pct</f>
        <v>418791.9796875</v>
      </c>
      <c r="G21" s="41" t="n">
        <f aca="false">RV_Total_Rev*Compliance_Pct</f>
        <v>421304.879179687</v>
      </c>
      <c r="H21" s="41" t="n">
        <f aca="false">RV_Total_Rev*Compliance_Pct</f>
        <v>644384.964238769</v>
      </c>
      <c r="I21" s="41" t="n">
        <f aca="false">RV_Total_Rev*Compliance_Pct</f>
        <v>870426.901126318</v>
      </c>
      <c r="J21" s="41" t="n">
        <f aca="false">RV_Total_Rev*Compliance_Pct</f>
        <v>879733.148654476</v>
      </c>
      <c r="K21" s="41" t="n">
        <f aca="false">RV_Total_Rev*Compliance_Pct</f>
        <v>892731.427370838</v>
      </c>
      <c r="L21" s="41" t="n">
        <f aca="false">RV_Total_Rev*Compliance_Pct</f>
        <v>906054.663055109</v>
      </c>
    </row>
    <row r="22" customFormat="false" ht="15" hidden="false" customHeight="false" outlineLevel="0" collapsed="false">
      <c r="A22" s="5"/>
      <c r="B22" s="5"/>
      <c r="C22" s="5"/>
      <c r="D22" s="5"/>
      <c r="E22" s="5"/>
      <c r="F22" s="5"/>
      <c r="G22" s="5"/>
      <c r="H22" s="5"/>
      <c r="I22" s="5"/>
      <c r="J22" s="5"/>
      <c r="K22" s="5"/>
      <c r="L22" s="5"/>
    </row>
    <row r="23" customFormat="false" ht="15" hidden="false" customHeight="false" outlineLevel="0" collapsed="false">
      <c r="A23" s="5"/>
      <c r="B23" s="44" t="s">
        <v>229</v>
      </c>
      <c r="C23" s="45" t="n">
        <f aca="false">C9+C10+C13+C14+C15+C16+C19+C20+C21</f>
        <v>1900000</v>
      </c>
      <c r="D23" s="45" t="n">
        <f aca="false">D9+D10+D13+D14+D15+D16+D19+D20+D21</f>
        <v>3850000</v>
      </c>
      <c r="E23" s="45" t="n">
        <f aca="false">E9+E10+E13+E14+E15+E16+E19+E20+E21</f>
        <v>11224129.53125</v>
      </c>
      <c r="F23" s="45" t="n">
        <f aca="false">F9+F10+F13+F14+F15+F16+F19+F20+F21</f>
        <v>20146175.0390625</v>
      </c>
      <c r="G23" s="45" t="n">
        <f aca="false">G9+G10+G13+G14+G15+G16+G19+G20+G21</f>
        <v>21801695.5556641</v>
      </c>
      <c r="H23" s="45" t="n">
        <f aca="false">H9+H10+H13+H14+H15+H16+H19+H20+H21</f>
        <v>29358862.5535522</v>
      </c>
      <c r="I23" s="45" t="n">
        <f aca="false">I9+I10+I13+I14+I15+I16+I19+I20+I21</f>
        <v>36943471.1822375</v>
      </c>
      <c r="J23" s="45" t="n">
        <f aca="false">J9+J10+J13+J14+J15+J16+J19+J20+J21</f>
        <v>37136992.5867935</v>
      </c>
      <c r="K23" s="45" t="n">
        <f aca="false">K9+K10+K13+K14+K15+K16+K19+K20+K21</f>
        <v>37364180.1514633</v>
      </c>
      <c r="L23" s="45" t="n">
        <f aca="false">L9+L10+L13+L14+L15+L16+L19+L20+L21</f>
        <v>37597047.4052499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230</v>
      </c>
      <c r="C2" s="5"/>
      <c r="D2" s="5"/>
      <c r="E2" s="5"/>
      <c r="F2" s="5"/>
      <c r="G2" s="5"/>
      <c r="H2" s="5"/>
      <c r="I2" s="5"/>
      <c r="J2" s="5"/>
      <c r="K2" s="5"/>
      <c r="L2" s="5"/>
    </row>
    <row r="3" customFormat="false" ht="15" hidden="false" customHeight="false" outlineLevel="0" collapsed="false">
      <c r="A3" s="5"/>
      <c r="B3" s="8" t="s">
        <v>231</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232</v>
      </c>
      <c r="C8" s="16"/>
      <c r="D8" s="16"/>
      <c r="E8" s="16"/>
      <c r="F8" s="16"/>
      <c r="G8" s="16"/>
      <c r="H8" s="16"/>
      <c r="I8" s="16"/>
      <c r="J8" s="16"/>
      <c r="K8" s="16"/>
      <c r="L8" s="16"/>
    </row>
    <row r="9" customFormat="false" ht="15" hidden="false" customHeight="false" outlineLevel="0" collapsed="false">
      <c r="A9" s="5"/>
      <c r="B9" s="39" t="s">
        <v>233</v>
      </c>
      <c r="C9" s="41" t="n">
        <f aca="false">CC_Cum_Capex</f>
        <v>60000000</v>
      </c>
      <c r="D9" s="41" t="n">
        <f aca="false">CC_Cum_Capex</f>
        <v>120000000</v>
      </c>
      <c r="E9" s="41" t="n">
        <f aca="false">CC_Cum_Capex</f>
        <v>120000000</v>
      </c>
      <c r="F9" s="41" t="n">
        <f aca="false">CC_Cum_Capex</f>
        <v>150000000</v>
      </c>
      <c r="G9" s="41" t="n">
        <f aca="false">CC_Cum_Capex</f>
        <v>180000000</v>
      </c>
      <c r="H9" s="41" t="n">
        <f aca="false">CC_Cum_Capex</f>
        <v>180000000</v>
      </c>
      <c r="I9" s="41" t="n">
        <f aca="false">CC_Cum_Capex</f>
        <v>180000000</v>
      </c>
      <c r="J9" s="41" t="n">
        <f aca="false">CC_Cum_Capex</f>
        <v>180000000</v>
      </c>
      <c r="K9" s="41" t="n">
        <f aca="false">CC_Cum_Capex</f>
        <v>180000000</v>
      </c>
      <c r="L9" s="41" t="n">
        <f aca="false">CC_Cum_Capex</f>
        <v>180000000</v>
      </c>
    </row>
    <row r="10" customFormat="false" ht="15" hidden="false" customHeight="false" outlineLevel="0" collapsed="false">
      <c r="A10" s="5"/>
      <c r="B10" s="39" t="s">
        <v>234</v>
      </c>
      <c r="C10" s="41" t="n">
        <f aca="false">C9*Debt_LTC</f>
        <v>36000000</v>
      </c>
      <c r="D10" s="41" t="n">
        <f aca="false">D9*Debt_LTC</f>
        <v>72000000</v>
      </c>
      <c r="E10" s="41" t="n">
        <f aca="false">E9*Debt_LTC</f>
        <v>72000000</v>
      </c>
      <c r="F10" s="41" t="n">
        <f aca="false">F9*Debt_LTC</f>
        <v>90000000</v>
      </c>
      <c r="G10" s="41" t="n">
        <f aca="false">G9*Debt_LTC</f>
        <v>108000000</v>
      </c>
      <c r="H10" s="41" t="n">
        <f aca="false">H9*Debt_LTC</f>
        <v>108000000</v>
      </c>
      <c r="I10" s="41" t="n">
        <f aca="false">I9*Debt_LTC</f>
        <v>108000000</v>
      </c>
      <c r="J10" s="41" t="n">
        <f aca="false">J9*Debt_LTC</f>
        <v>108000000</v>
      </c>
      <c r="K10" s="41" t="n">
        <f aca="false">K9*Debt_LTC</f>
        <v>108000000</v>
      </c>
      <c r="L10" s="41" t="n">
        <f aca="false">L9*Debt_LTC</f>
        <v>108000000</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31" t="s">
        <v>235</v>
      </c>
      <c r="C12" s="16"/>
      <c r="D12" s="16"/>
      <c r="E12" s="16"/>
      <c r="F12" s="16"/>
      <c r="G12" s="16"/>
      <c r="H12" s="16"/>
      <c r="I12" s="16"/>
      <c r="J12" s="16"/>
      <c r="K12" s="16"/>
      <c r="L12" s="16"/>
    </row>
    <row r="13" customFormat="false" ht="15" hidden="false" customHeight="false" outlineLevel="0" collapsed="false">
      <c r="A13" s="5"/>
      <c r="B13" s="39" t="s">
        <v>236</v>
      </c>
      <c r="C13" s="41" t="n">
        <f aca="false">0</f>
        <v>0</v>
      </c>
      <c r="D13" s="41" t="n">
        <f aca="false">C17</f>
        <v>36000000</v>
      </c>
      <c r="E13" s="41" t="n">
        <f aca="false">D17</f>
        <v>74340000</v>
      </c>
      <c r="F13" s="41" t="n">
        <f aca="false">E17</f>
        <v>74340000</v>
      </c>
      <c r="G13" s="41" t="n">
        <f aca="false">F17</f>
        <v>73077596.6962166</v>
      </c>
      <c r="H13" s="41" t="n">
        <f aca="false">G17</f>
        <v>71645747.3089828</v>
      </c>
      <c r="I13" s="41" t="n">
        <f aca="false">H17</f>
        <v>70023686.4457706</v>
      </c>
      <c r="J13" s="41" t="n">
        <f aca="false">I17</f>
        <v>68188934.0676421</v>
      </c>
      <c r="K13" s="41" t="n">
        <f aca="false">J17</f>
        <v>66117506.9973057</v>
      </c>
      <c r="L13" s="41" t="n">
        <f aca="false">K17</f>
        <v>63784319.7630096</v>
      </c>
    </row>
    <row r="14" customFormat="false" ht="15" hidden="false" customHeight="false" outlineLevel="0" collapsed="false">
      <c r="A14" s="5"/>
      <c r="B14" s="39" t="s">
        <v>237</v>
      </c>
      <c r="C14" s="41" t="n">
        <f aca="false">IF(C6&lt;=Construction_Yrs,CC_Total_Capex*Debt_LTC,0)</f>
        <v>36000000</v>
      </c>
      <c r="D14" s="41" t="n">
        <f aca="false">IF(D6&lt;=Construction_Yrs,CC_Total_Capex*Debt_LTC,0)</f>
        <v>36000000</v>
      </c>
      <c r="E14" s="41" t="n">
        <f aca="false">IF(E6&lt;=Construction_Yrs,CC_Total_Capex*Debt_LTC,0)</f>
        <v>0</v>
      </c>
      <c r="F14" s="41" t="n">
        <f aca="false">IF(F6&lt;=Construction_Yrs,CC_Total_Capex*Debt_LTC,0)</f>
        <v>0</v>
      </c>
      <c r="G14" s="41" t="n">
        <f aca="false">IF(G6&lt;=Construction_Yrs,CC_Total_Capex*Debt_LTC,0)</f>
        <v>0</v>
      </c>
      <c r="H14" s="41" t="n">
        <f aca="false">IF(H6&lt;=Construction_Yrs,CC_Total_Capex*Debt_LTC,0)</f>
        <v>0</v>
      </c>
      <c r="I14" s="41" t="n">
        <f aca="false">IF(I6&lt;=Construction_Yrs,CC_Total_Capex*Debt_LTC,0)</f>
        <v>0</v>
      </c>
      <c r="J14" s="41" t="n">
        <f aca="false">IF(J6&lt;=Construction_Yrs,CC_Total_Capex*Debt_LTC,0)</f>
        <v>0</v>
      </c>
      <c r="K14" s="41" t="n">
        <f aca="false">IF(K6&lt;=Construction_Yrs,CC_Total_Capex*Debt_LTC,0)</f>
        <v>0</v>
      </c>
      <c r="L14" s="41" t="n">
        <f aca="false">IF(L6&lt;=Construction_Yrs,CC_Total_Capex*Debt_LTC,0)</f>
        <v>0</v>
      </c>
    </row>
    <row r="15" customFormat="false" ht="15" hidden="false" customHeight="false" outlineLevel="0" collapsed="false">
      <c r="A15" s="5"/>
      <c r="B15" s="39" t="s">
        <v>238</v>
      </c>
      <c r="C15" s="41" t="n">
        <f aca="false">IF(C6&lt;=Construction_Yrs,C20,0)</f>
        <v>0</v>
      </c>
      <c r="D15" s="41" t="n">
        <f aca="false">IF(D6&lt;=Construction_Yrs,D20,0)</f>
        <v>2340000</v>
      </c>
      <c r="E15" s="41" t="n">
        <f aca="false">IF(E6&lt;=Construction_Yrs,E20,0)</f>
        <v>0</v>
      </c>
      <c r="F15" s="41" t="n">
        <f aca="false">IF(F6&lt;=Construction_Yrs,F20,0)</f>
        <v>0</v>
      </c>
      <c r="G15" s="41" t="n">
        <f aca="false">IF(G6&lt;=Construction_Yrs,G20,0)</f>
        <v>0</v>
      </c>
      <c r="H15" s="41" t="n">
        <f aca="false">IF(H6&lt;=Construction_Yrs,H20,0)</f>
        <v>0</v>
      </c>
      <c r="I15" s="41" t="n">
        <f aca="false">IF(I6&lt;=Construction_Yrs,I20,0)</f>
        <v>0</v>
      </c>
      <c r="J15" s="41" t="n">
        <f aca="false">IF(J6&lt;=Construction_Yrs,J20,0)</f>
        <v>0</v>
      </c>
      <c r="K15" s="41" t="n">
        <f aca="false">IF(K6&lt;=Construction_Yrs,K20,0)</f>
        <v>0</v>
      </c>
      <c r="L15" s="41" t="n">
        <f aca="false">IF(L6&lt;=Construction_Yrs,L20,0)</f>
        <v>0</v>
      </c>
    </row>
    <row r="16" customFormat="false" ht="15" hidden="false" customHeight="false" outlineLevel="0" collapsed="false">
      <c r="A16" s="5"/>
      <c r="B16" s="39" t="s">
        <v>239</v>
      </c>
      <c r="C16" s="41" t="n">
        <f aca="false">IF(C6&lt;=IO_Period,0,-PPMT(Interest_Rate,C6-IO_Period,Amort_Term-(C6-IO_Period-1),C13))</f>
        <v>0</v>
      </c>
      <c r="D16" s="41" t="n">
        <f aca="false">IF(D6&lt;=IO_Period,0,-PPMT(Interest_Rate,D6-IO_Period,Amort_Term-(D6-IO_Period-1),D13))</f>
        <v>0</v>
      </c>
      <c r="E16" s="41" t="n">
        <f aca="false">IF(E6&lt;=IO_Period,0,-PPMT(Interest_Rate,E6-IO_Period,Amort_Term-(E6-IO_Period-1),E13))</f>
        <v>0</v>
      </c>
      <c r="F16" s="41" t="n">
        <f aca="false">IF(F6&lt;=IO_Period,0,-PPMT(Interest_Rate,F6-IO_Period,Amort_Term-(F6-IO_Period-1),F13))</f>
        <v>1262403.30378344</v>
      </c>
      <c r="G16" s="41" t="n">
        <f aca="false">IF(G6&lt;=IO_Period,0,-PPMT(Interest_Rate,G6-IO_Period,Amort_Term-(G6-IO_Period-1),G13))</f>
        <v>1431849.38723377</v>
      </c>
      <c r="H16" s="41" t="n">
        <f aca="false">IF(H6&lt;=IO_Period,0,-PPMT(Interest_Rate,H6-IO_Period,Amort_Term-(H6-IO_Period-1),H13))</f>
        <v>1622060.8632122</v>
      </c>
      <c r="I16" s="41" t="n">
        <f aca="false">IF(I6&lt;=IO_Period,0,-PPMT(Interest_Rate,I6-IO_Period,Amort_Term-(I6-IO_Period-1),I13))</f>
        <v>1834752.37812848</v>
      </c>
      <c r="J16" s="41" t="n">
        <f aca="false">IF(J6&lt;=IO_Period,0,-PPMT(Interest_Rate,J6-IO_Period,Amort_Term-(J6-IO_Period-1),J13))</f>
        <v>2071427.07033638</v>
      </c>
      <c r="K16" s="41" t="n">
        <f aca="false">IF(K6&lt;=IO_Period,0,-PPMT(Interest_Rate,K6-IO_Period,Amort_Term-(K6-IO_Period-1),K13))</f>
        <v>2333187.23429613</v>
      </c>
      <c r="L16" s="41" t="n">
        <f aca="false">IF(L6&lt;=IO_Period,0,-PPMT(Interest_Rate,L6-IO_Period,Amort_Term-(L6-IO_Period-1),L13))</f>
        <v>2620467.04262413</v>
      </c>
    </row>
    <row r="17" customFormat="false" ht="15" hidden="false" customHeight="false" outlineLevel="0" collapsed="false">
      <c r="A17" s="5"/>
      <c r="B17" s="42" t="s">
        <v>240</v>
      </c>
      <c r="C17" s="43" t="n">
        <f aca="false">C13+C14+C15-C16</f>
        <v>36000000</v>
      </c>
      <c r="D17" s="43" t="n">
        <f aca="false">D13+D14+D15-D16</f>
        <v>74340000</v>
      </c>
      <c r="E17" s="43" t="n">
        <f aca="false">E13+E14+E15-E16</f>
        <v>74340000</v>
      </c>
      <c r="F17" s="43" t="n">
        <f aca="false">F13+F14+F15-F16</f>
        <v>73077596.6962166</v>
      </c>
      <c r="G17" s="43" t="n">
        <f aca="false">G13+G14+G15-G16</f>
        <v>71645747.3089828</v>
      </c>
      <c r="H17" s="43" t="n">
        <f aca="false">H13+H14+H15-H16</f>
        <v>70023686.4457706</v>
      </c>
      <c r="I17" s="43" t="n">
        <f aca="false">I13+I14+I15-I16</f>
        <v>68188934.0676421</v>
      </c>
      <c r="J17" s="43" t="n">
        <f aca="false">J13+J14+J15-J16</f>
        <v>66117506.9973057</v>
      </c>
      <c r="K17" s="43" t="n">
        <f aca="false">K13+K14+K15-K16</f>
        <v>63784319.7630096</v>
      </c>
      <c r="L17" s="43" t="n">
        <f aca="false">L13+L14+L15-L16</f>
        <v>61163852.7203855</v>
      </c>
    </row>
    <row r="18" customFormat="false" ht="15" hidden="false" customHeight="false" outlineLevel="0" collapsed="false">
      <c r="A18" s="5"/>
      <c r="B18" s="5"/>
      <c r="C18" s="5"/>
      <c r="D18" s="5"/>
      <c r="E18" s="5"/>
      <c r="F18" s="5"/>
      <c r="G18" s="5"/>
      <c r="H18" s="5"/>
      <c r="I18" s="5"/>
      <c r="J18" s="5"/>
      <c r="K18" s="5"/>
      <c r="L18" s="5"/>
    </row>
    <row r="19" customFormat="false" ht="15" hidden="false" customHeight="false" outlineLevel="0" collapsed="false">
      <c r="A19" s="5"/>
      <c r="B19" s="31" t="s">
        <v>241</v>
      </c>
      <c r="C19" s="16"/>
      <c r="D19" s="16"/>
      <c r="E19" s="16"/>
      <c r="F19" s="16"/>
      <c r="G19" s="16"/>
      <c r="H19" s="16"/>
      <c r="I19" s="16"/>
      <c r="J19" s="16"/>
      <c r="K19" s="16"/>
      <c r="L19" s="16"/>
    </row>
    <row r="20" customFormat="false" ht="15" hidden="false" customHeight="false" outlineLevel="0" collapsed="false">
      <c r="A20" s="5"/>
      <c r="B20" s="39" t="s">
        <v>242</v>
      </c>
      <c r="C20" s="41" t="n">
        <f aca="false">C13*Interest_Rate</f>
        <v>0</v>
      </c>
      <c r="D20" s="41" t="n">
        <f aca="false">D13*Interest_Rate</f>
        <v>2340000</v>
      </c>
      <c r="E20" s="41" t="n">
        <f aca="false">E13*Interest_Rate</f>
        <v>4832100</v>
      </c>
      <c r="F20" s="41" t="n">
        <f aca="false">F13*Interest_Rate</f>
        <v>4832100</v>
      </c>
      <c r="G20" s="41" t="n">
        <f aca="false">G13*Interest_Rate</f>
        <v>4750043.78525408</v>
      </c>
      <c r="H20" s="41" t="n">
        <f aca="false">H13*Interest_Rate</f>
        <v>4656973.57508388</v>
      </c>
      <c r="I20" s="41" t="n">
        <f aca="false">I13*Interest_Rate</f>
        <v>4551539.61897509</v>
      </c>
      <c r="J20" s="41" t="n">
        <f aca="false">J13*Interest_Rate</f>
        <v>4432280.71439674</v>
      </c>
      <c r="K20" s="41" t="n">
        <f aca="false">K13*Interest_Rate</f>
        <v>4297637.95482487</v>
      </c>
      <c r="L20" s="41" t="n">
        <f aca="false">L13*Interest_Rate</f>
        <v>4145980.78459562</v>
      </c>
    </row>
    <row r="21" customFormat="false" ht="15" hidden="false" customHeight="false" outlineLevel="0" collapsed="false">
      <c r="A21" s="5"/>
      <c r="B21" s="39" t="s">
        <v>243</v>
      </c>
      <c r="C21" s="41" t="n">
        <f aca="false">IF(C6&lt;=Construction_Yrs,-C20,0)</f>
        <v>-0</v>
      </c>
      <c r="D21" s="41" t="n">
        <f aca="false">IF(D6&lt;=Construction_Yrs,-D20,0)</f>
        <v>-2340000</v>
      </c>
      <c r="E21" s="41" t="n">
        <f aca="false">IF(E6&lt;=Construction_Yrs,-E20,0)</f>
        <v>0</v>
      </c>
      <c r="F21" s="41" t="n">
        <f aca="false">IF(F6&lt;=Construction_Yrs,-F20,0)</f>
        <v>0</v>
      </c>
      <c r="G21" s="41" t="n">
        <f aca="false">IF(G6&lt;=Construction_Yrs,-G20,0)</f>
        <v>0</v>
      </c>
      <c r="H21" s="41" t="n">
        <f aca="false">IF(H6&lt;=Construction_Yrs,-H20,0)</f>
        <v>0</v>
      </c>
      <c r="I21" s="41" t="n">
        <f aca="false">IF(I6&lt;=Construction_Yrs,-I20,0)</f>
        <v>0</v>
      </c>
      <c r="J21" s="41" t="n">
        <f aca="false">IF(J6&lt;=Construction_Yrs,-J20,0)</f>
        <v>0</v>
      </c>
      <c r="K21" s="41" t="n">
        <f aca="false">IF(K6&lt;=Construction_Yrs,-K20,0)</f>
        <v>0</v>
      </c>
      <c r="L21" s="41" t="n">
        <f aca="false">IF(L6&lt;=Construction_Yrs,-L20,0)</f>
        <v>0</v>
      </c>
    </row>
    <row r="22" customFormat="false" ht="15" hidden="false" customHeight="false" outlineLevel="0" collapsed="false">
      <c r="A22" s="5"/>
      <c r="B22" s="42" t="s">
        <v>244</v>
      </c>
      <c r="C22" s="43" t="n">
        <f aca="false">C20+C21</f>
        <v>0</v>
      </c>
      <c r="D22" s="43" t="n">
        <f aca="false">D20+D21</f>
        <v>0</v>
      </c>
      <c r="E22" s="43" t="n">
        <f aca="false">E20+E21</f>
        <v>4832100</v>
      </c>
      <c r="F22" s="43" t="n">
        <f aca="false">F20+F21</f>
        <v>4832100</v>
      </c>
      <c r="G22" s="43" t="n">
        <f aca="false">G20+G21</f>
        <v>4750043.78525408</v>
      </c>
      <c r="H22" s="43" t="n">
        <f aca="false">H20+H21</f>
        <v>4656973.57508388</v>
      </c>
      <c r="I22" s="43" t="n">
        <f aca="false">I20+I21</f>
        <v>4551539.61897509</v>
      </c>
      <c r="J22" s="43" t="n">
        <f aca="false">J20+J21</f>
        <v>4432280.71439674</v>
      </c>
      <c r="K22" s="43" t="n">
        <f aca="false">K20+K21</f>
        <v>4297637.95482487</v>
      </c>
      <c r="L22" s="43" t="n">
        <f aca="false">L20+L21</f>
        <v>4145980.78459562</v>
      </c>
    </row>
    <row r="23" customFormat="false" ht="15" hidden="false" customHeight="false" outlineLevel="0" collapsed="false">
      <c r="A23" s="5"/>
      <c r="B23" s="5"/>
      <c r="C23" s="5"/>
      <c r="D23" s="5"/>
      <c r="E23" s="5"/>
      <c r="F23" s="5"/>
      <c r="G23" s="5"/>
      <c r="H23" s="5"/>
      <c r="I23" s="5"/>
      <c r="J23" s="5"/>
      <c r="K23" s="5"/>
      <c r="L23" s="5"/>
    </row>
    <row r="24" customFormat="false" ht="15" hidden="false" customHeight="false" outlineLevel="0" collapsed="false">
      <c r="A24" s="5"/>
      <c r="B24" s="31" t="s">
        <v>245</v>
      </c>
      <c r="C24" s="16"/>
      <c r="D24" s="16"/>
      <c r="E24" s="16"/>
      <c r="F24" s="16"/>
      <c r="G24" s="16"/>
      <c r="H24" s="16"/>
      <c r="I24" s="16"/>
      <c r="J24" s="16"/>
      <c r="K24" s="16"/>
      <c r="L24" s="16"/>
    </row>
    <row r="25" customFormat="false" ht="15" hidden="false" customHeight="false" outlineLevel="0" collapsed="false">
      <c r="A25" s="5"/>
      <c r="B25" s="39" t="s">
        <v>246</v>
      </c>
      <c r="C25" s="40" t="str">
        <f aca="false">IF((C22+C16)=0,"N/A",(RV_Total_Rev-OX_Total_Opex)/(C22+C16))</f>
        <v>N/A</v>
      </c>
      <c r="D25" s="40" t="str">
        <f aca="false">IF((D22+D16)=0,"N/A",(RV_Total_Rev-OX_Total_Opex)/(D22+D16))</f>
        <v>N/A</v>
      </c>
      <c r="E25" s="40" t="n">
        <f aca="false">IF((E22+E16)=0,"N/A",(RV_Total_Rev-OX_Total_Opex)/(E22+E16))</f>
        <v>0.549787197853935</v>
      </c>
      <c r="F25" s="40" t="n">
        <f aca="false">IF((F22+F16)=0,"N/A",(RV_Total_Rev-OX_Total_Opex)/(F22+F16))</f>
        <v>1.27545919428936</v>
      </c>
      <c r="G25" s="40" t="n">
        <f aca="false">IF((G22+G16)=0,"N/A",(RV_Total_Rev-OX_Total_Opex)/(G22+G16))</f>
        <v>1.01672678810122</v>
      </c>
      <c r="H25" s="40" t="n">
        <f aca="false">IF((H22+H16)=0,"N/A",(RV_Total_Rev-OX_Total_Opex)/(H22+H16))</f>
        <v>2.16595962261617</v>
      </c>
      <c r="I25" s="40" t="n">
        <f aca="false">IF((I22+I16)=0,"N/A",(RV_Total_Rev-OX_Total_Opex)/(I22+I16))</f>
        <v>3.30160113292865</v>
      </c>
      <c r="J25" s="40" t="n">
        <f aca="false">IF((J22+J16)=0,"N/A",(RV_Total_Rev-OX_Total_Opex)/(J22+J16))</f>
        <v>3.30763384552253</v>
      </c>
      <c r="K25" s="40" t="n">
        <f aca="false">IF((K22+K16)=0,"N/A",(RV_Total_Rev-OX_Total_Opex)/(K22+K16))</f>
        <v>3.34064731132843</v>
      </c>
      <c r="L25" s="40" t="n">
        <f aca="false">IF((L22+L16)=0,"N/A",(RV_Total_Rev-OX_Total_Opex)/(L22+L16))</f>
        <v>3.37054203044006</v>
      </c>
    </row>
    <row r="26" customFormat="false" ht="15" hidden="false" customHeight="false" outlineLevel="0" collapsed="false">
      <c r="A26" s="5"/>
      <c r="B26" s="39" t="s">
        <v>247</v>
      </c>
      <c r="C26" s="47" t="str">
        <f aca="false">IF((RV_Total_Rev-OX_Total_Opex)&lt;=0,"N/A",C17/((RV_Total_Rev-OX_Total_Opex)/Exit_Cap_Rate))</f>
        <v>N/A</v>
      </c>
      <c r="D26" s="47" t="str">
        <f aca="false">IF((RV_Total_Rev-OX_Total_Opex)&lt;=0,"N/A",D17/((RV_Total_Rev-OX_Total_Opex)/Exit_Cap_Rate))</f>
        <v>N/A</v>
      </c>
      <c r="E26" s="47" t="n">
        <f aca="false">IF((RV_Total_Rev-OX_Total_Opex)&lt;=0,"N/A",E17/((RV_Total_Rev-OX_Total_Opex)/Exit_Cap_Rate))</f>
        <v>1.67897129412999</v>
      </c>
      <c r="F26" s="47" t="n">
        <f aca="false">IF((RV_Total_Rev-OX_Total_Opex)&lt;=0,"N/A",F17/((RV_Total_Rev-OX_Total_Opex)/Exit_Cap_Rate))</f>
        <v>0.56406690700282</v>
      </c>
      <c r="G26" s="47" t="n">
        <f aca="false">IF((RV_Total_Rev-OX_Total_Opex)&lt;=0,"N/A",G17/((RV_Total_Rev-OX_Total_Opex)/Exit_Cap_Rate))</f>
        <v>0.683936694794343</v>
      </c>
      <c r="H26" s="47" t="n">
        <f aca="false">IF((RV_Total_Rev-OX_Total_Opex)&lt;=0,"N/A",H17/((RV_Total_Rev-OX_Total_Opex)/Exit_Cap_Rate))</f>
        <v>0.308924960486047</v>
      </c>
      <c r="I26" s="47" t="n">
        <f aca="false">IF((RV_Total_Rev-OX_Total_Opex)&lt;=0,"N/A",I17/((RV_Total_Rev-OX_Total_Opex)/Exit_Cap_Rate))</f>
        <v>0.194040227616428</v>
      </c>
      <c r="J26" s="47" t="n">
        <f aca="false">IF((RV_Total_Rev-OX_Total_Opex)&lt;=0,"N/A",J17/((RV_Total_Rev-OX_Total_Opex)/Exit_Cap_Rate))</f>
        <v>0.184412040416861</v>
      </c>
      <c r="K26" s="47" t="n">
        <f aca="false">IF((RV_Total_Rev-OX_Total_Opex)&lt;=0,"N/A",K17/((RV_Total_Rev-OX_Total_Opex)/Exit_Cap_Rate))</f>
        <v>0.172769458725385</v>
      </c>
      <c r="L26" s="47" t="n">
        <f aca="false">IF((RV_Total_Rev-OX_Total_Opex)&lt;=0,"N/A",L17/((RV_Total_Rev-OX_Total_Opex)/Exit_Cap_Rate))</f>
        <v>0.160910950268421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248</v>
      </c>
      <c r="C2" s="5"/>
      <c r="D2" s="5"/>
      <c r="E2" s="5"/>
      <c r="F2" s="5"/>
      <c r="G2" s="5"/>
      <c r="H2" s="5"/>
      <c r="I2" s="5"/>
      <c r="J2" s="5"/>
      <c r="K2" s="5"/>
      <c r="L2" s="5"/>
    </row>
    <row r="3" customFormat="false" ht="15" hidden="false" customHeight="false" outlineLevel="0" collapsed="false">
      <c r="A3" s="5"/>
      <c r="B3" s="8" t="s">
        <v>19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6" t="s">
        <v>85</v>
      </c>
      <c r="C5" s="37" t="n">
        <v>2025</v>
      </c>
      <c r="D5" s="37" t="n">
        <v>2026</v>
      </c>
      <c r="E5" s="37" t="n">
        <v>2027</v>
      </c>
      <c r="F5" s="37" t="n">
        <v>2028</v>
      </c>
      <c r="G5" s="37" t="n">
        <v>2029</v>
      </c>
      <c r="H5" s="37" t="n">
        <v>2030</v>
      </c>
      <c r="I5" s="37" t="n">
        <v>2031</v>
      </c>
      <c r="J5" s="37" t="n">
        <v>2032</v>
      </c>
      <c r="K5" s="37" t="n">
        <v>2033</v>
      </c>
      <c r="L5" s="37" t="n">
        <v>2034</v>
      </c>
    </row>
    <row r="6" customFormat="false" ht="15" hidden="false" customHeight="false" outlineLevel="0" collapsed="false">
      <c r="A6" s="5"/>
      <c r="B6" s="8" t="s">
        <v>173</v>
      </c>
      <c r="C6" s="38" t="n">
        <v>1</v>
      </c>
      <c r="D6" s="38" t="n">
        <v>2</v>
      </c>
      <c r="E6" s="38" t="n">
        <v>3</v>
      </c>
      <c r="F6" s="38" t="n">
        <v>4</v>
      </c>
      <c r="G6" s="38" t="n">
        <v>5</v>
      </c>
      <c r="H6" s="38" t="n">
        <v>6</v>
      </c>
      <c r="I6" s="38" t="n">
        <v>7</v>
      </c>
      <c r="J6" s="38" t="n">
        <v>8</v>
      </c>
      <c r="K6" s="38" t="n">
        <v>9</v>
      </c>
      <c r="L6" s="38" t="n">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1" t="s">
        <v>12</v>
      </c>
      <c r="C8" s="16"/>
      <c r="D8" s="16"/>
      <c r="E8" s="16"/>
      <c r="F8" s="16"/>
      <c r="G8" s="16"/>
      <c r="H8" s="16"/>
      <c r="I8" s="16"/>
      <c r="J8" s="16"/>
      <c r="K8" s="16"/>
      <c r="L8" s="16"/>
    </row>
    <row r="9" customFormat="false" ht="15" hidden="false" customHeight="false" outlineLevel="0" collapsed="false">
      <c r="A9" s="5"/>
      <c r="B9" s="39" t="s">
        <v>205</v>
      </c>
      <c r="C9" s="41" t="n">
        <f aca="false">RV_Space_Rev</f>
        <v>0</v>
      </c>
      <c r="D9" s="41" t="n">
        <f aca="false">RV_Space_Rev</f>
        <v>0</v>
      </c>
      <c r="E9" s="41" t="n">
        <f aca="false">RV_Space_Rev</f>
        <v>7659056.25</v>
      </c>
      <c r="F9" s="41" t="n">
        <f aca="false">RV_Space_Rev</f>
        <v>15701065.3125</v>
      </c>
      <c r="G9" s="41" t="n">
        <f aca="false">RV_Space_Rev</f>
        <v>16093591.9453125</v>
      </c>
      <c r="H9" s="41" t="n">
        <f aca="false">RV_Space_Rev</f>
        <v>24743897.615918</v>
      </c>
      <c r="I9" s="41" t="n">
        <f aca="false">RV_Space_Rev</f>
        <v>33816660.0750879</v>
      </c>
      <c r="J9" s="41" t="n">
        <f aca="false">RV_Space_Rev</f>
        <v>34662076.5769651</v>
      </c>
      <c r="K9" s="41" t="n">
        <f aca="false">RV_Space_Rev</f>
        <v>35528628.4913892</v>
      </c>
      <c r="L9" s="41" t="n">
        <f aca="false">RV_Space_Rev</f>
        <v>36416844.2036739</v>
      </c>
    </row>
    <row r="10" customFormat="false" ht="15" hidden="false" customHeight="false" outlineLevel="0" collapsed="false">
      <c r="A10" s="5"/>
      <c r="B10" s="39" t="s">
        <v>209</v>
      </c>
      <c r="C10" s="41" t="n">
        <f aca="false">RV_Power_Rev</f>
        <v>0</v>
      </c>
      <c r="D10" s="41" t="n">
        <f aca="false">RV_Power_Rev</f>
        <v>0</v>
      </c>
      <c r="E10" s="41" t="n">
        <f aca="false">RV_Power_Rev</f>
        <v>5321700</v>
      </c>
      <c r="F10" s="41" t="n">
        <f aca="false">RV_Power_Rev</f>
        <v>10643400</v>
      </c>
      <c r="G10" s="41" t="n">
        <f aca="false">RV_Power_Rev</f>
        <v>10643400</v>
      </c>
      <c r="H10" s="41" t="n">
        <f aca="false">RV_Power_Rev</f>
        <v>15965100</v>
      </c>
      <c r="I10" s="41" t="n">
        <f aca="false">RV_Power_Rev</f>
        <v>21286800</v>
      </c>
      <c r="J10" s="41" t="n">
        <f aca="false">RV_Power_Rev</f>
        <v>21286800</v>
      </c>
      <c r="K10" s="41" t="n">
        <f aca="false">RV_Power_Rev</f>
        <v>21286800</v>
      </c>
      <c r="L10" s="41" t="n">
        <f aca="false">RV_Power_Rev</f>
        <v>21286800</v>
      </c>
    </row>
    <row r="11" customFormat="false" ht="15" hidden="false" customHeight="false" outlineLevel="0" collapsed="false">
      <c r="A11" s="5"/>
      <c r="B11" s="39" t="s">
        <v>108</v>
      </c>
      <c r="C11" s="41" t="n">
        <f aca="false">RV_XConn_Rev</f>
        <v>0</v>
      </c>
      <c r="D11" s="41" t="n">
        <f aca="false">RV_XConn_Rev</f>
        <v>0</v>
      </c>
      <c r="E11" s="41" t="n">
        <f aca="false">RV_XConn_Rev</f>
        <v>675000</v>
      </c>
      <c r="F11" s="41" t="n">
        <f aca="false">RV_XConn_Rev</f>
        <v>1350000</v>
      </c>
      <c r="G11" s="41" t="n">
        <f aca="false">RV_XConn_Rev</f>
        <v>1350000</v>
      </c>
      <c r="H11" s="41" t="n">
        <f aca="false">RV_XConn_Rev</f>
        <v>2025000</v>
      </c>
      <c r="I11" s="41" t="n">
        <f aca="false">RV_XConn_Rev</f>
        <v>2700000</v>
      </c>
      <c r="J11" s="41" t="n">
        <f aca="false">RV_XConn_Rev</f>
        <v>2700000</v>
      </c>
      <c r="K11" s="41" t="n">
        <f aca="false">RV_XConn_Rev</f>
        <v>2700000</v>
      </c>
      <c r="L11" s="41" t="n">
        <f aca="false">RV_XConn_Rev</f>
        <v>2700000</v>
      </c>
    </row>
    <row r="12" customFormat="false" ht="15" hidden="false" customHeight="false" outlineLevel="0" collapsed="false">
      <c r="A12" s="5"/>
      <c r="B12" s="39" t="s">
        <v>214</v>
      </c>
      <c r="C12" s="41" t="n">
        <f aca="false">RV_NRC_Rev</f>
        <v>0</v>
      </c>
      <c r="D12" s="41" t="n">
        <f aca="false">RV_NRC_Rev</f>
        <v>0</v>
      </c>
      <c r="E12" s="41" t="n">
        <f aca="false">RV_NRC_Rev</f>
        <v>225000</v>
      </c>
      <c r="F12" s="41" t="n">
        <f aca="false">RV_NRC_Rev</f>
        <v>225000</v>
      </c>
      <c r="G12" s="41" t="n">
        <f aca="false">RV_NRC_Rev</f>
        <v>0</v>
      </c>
      <c r="H12" s="41" t="n">
        <f aca="false">RV_NRC_Rev</f>
        <v>225000</v>
      </c>
      <c r="I12" s="41" t="n">
        <f aca="false">RV_NRC_Rev</f>
        <v>225000</v>
      </c>
      <c r="J12" s="41" t="n">
        <f aca="false">RV_NRC_Rev</f>
        <v>0</v>
      </c>
      <c r="K12" s="41" t="n">
        <f aca="false">RV_NRC_Rev</f>
        <v>0</v>
      </c>
      <c r="L12" s="41" t="n">
        <f aca="false">RV_NRC_Rev</f>
        <v>0</v>
      </c>
    </row>
    <row r="13" customFormat="false" ht="15" hidden="false" customHeight="false" outlineLevel="0" collapsed="false">
      <c r="A13" s="5"/>
      <c r="B13" s="42" t="s">
        <v>249</v>
      </c>
      <c r="C13" s="43" t="n">
        <f aca="false">RV_Total_Rev</f>
        <v>0</v>
      </c>
      <c r="D13" s="43" t="n">
        <f aca="false">RV_Total_Rev</f>
        <v>0</v>
      </c>
      <c r="E13" s="43" t="n">
        <f aca="false">RV_Total_Rev</f>
        <v>13880756.25</v>
      </c>
      <c r="F13" s="43" t="n">
        <f aca="false">RV_Total_Rev</f>
        <v>27919465.3125</v>
      </c>
      <c r="G13" s="43" t="n">
        <f aca="false">RV_Total_Rev</f>
        <v>28086991.9453125</v>
      </c>
      <c r="H13" s="43" t="n">
        <f aca="false">RV_Total_Rev</f>
        <v>42958997.615918</v>
      </c>
      <c r="I13" s="43" t="n">
        <f aca="false">RV_Total_Rev</f>
        <v>58028460.0750879</v>
      </c>
      <c r="J13" s="43" t="n">
        <f aca="false">RV_Total_Rev</f>
        <v>58648876.5769651</v>
      </c>
      <c r="K13" s="43" t="n">
        <f aca="false">RV_Total_Rev</f>
        <v>59515428.4913892</v>
      </c>
      <c r="L13" s="43" t="n">
        <f aca="false">RV_Total_Rev</f>
        <v>60403644.2036739</v>
      </c>
    </row>
    <row r="14" customFormat="false" ht="15" hidden="false" customHeight="false" outlineLevel="0" collapsed="false">
      <c r="A14" s="5"/>
      <c r="B14" s="5"/>
      <c r="C14" s="5"/>
      <c r="D14" s="5"/>
      <c r="E14" s="5"/>
      <c r="F14" s="5"/>
      <c r="G14" s="5"/>
      <c r="H14" s="5"/>
      <c r="I14" s="5"/>
      <c r="J14" s="5"/>
      <c r="K14" s="5"/>
      <c r="L14" s="5"/>
    </row>
    <row r="15" customFormat="false" ht="15" hidden="false" customHeight="false" outlineLevel="0" collapsed="false">
      <c r="A15" s="5"/>
      <c r="B15" s="31" t="s">
        <v>250</v>
      </c>
      <c r="C15" s="16"/>
      <c r="D15" s="16"/>
      <c r="E15" s="16"/>
      <c r="F15" s="16"/>
      <c r="G15" s="16"/>
      <c r="H15" s="16"/>
      <c r="I15" s="16"/>
      <c r="J15" s="16"/>
      <c r="K15" s="16"/>
      <c r="L15" s="16"/>
    </row>
    <row r="16" customFormat="false" ht="15" hidden="false" customHeight="false" outlineLevel="0" collapsed="false">
      <c r="A16" s="5"/>
      <c r="B16" s="39" t="s">
        <v>220</v>
      </c>
      <c r="C16" s="41" t="n">
        <f aca="false">OX_Power_Cost</f>
        <v>0</v>
      </c>
      <c r="D16" s="41" t="n">
        <f aca="false">OX_Power_Cost</f>
        <v>0</v>
      </c>
      <c r="E16" s="41" t="n">
        <f aca="false">OX_Power_Cost</f>
        <v>5321700</v>
      </c>
      <c r="F16" s="41" t="n">
        <f aca="false">OX_Power_Cost</f>
        <v>10643400</v>
      </c>
      <c r="G16" s="41" t="n">
        <f aca="false">OX_Power_Cost</f>
        <v>10643400</v>
      </c>
      <c r="H16" s="41" t="n">
        <f aca="false">OX_Power_Cost</f>
        <v>15965100</v>
      </c>
      <c r="I16" s="41" t="n">
        <f aca="false">OX_Power_Cost</f>
        <v>21286800</v>
      </c>
      <c r="J16" s="41" t="n">
        <f aca="false">OX_Power_Cost</f>
        <v>21286800</v>
      </c>
      <c r="K16" s="41" t="n">
        <f aca="false">OX_Power_Cost</f>
        <v>21286800</v>
      </c>
      <c r="L16" s="41" t="n">
        <f aca="false">OX_Power_Cost</f>
        <v>21286800</v>
      </c>
    </row>
    <row r="17" customFormat="false" ht="15" hidden="false" customHeight="false" outlineLevel="0" collapsed="false">
      <c r="A17" s="5"/>
      <c r="B17" s="39" t="s">
        <v>221</v>
      </c>
      <c r="C17" s="41" t="n">
        <f aca="false">OX_Water</f>
        <v>0</v>
      </c>
      <c r="D17" s="41" t="n">
        <f aca="false">OX_Water</f>
        <v>0</v>
      </c>
      <c r="E17" s="41" t="n">
        <f aca="false">OX_Water</f>
        <v>266085</v>
      </c>
      <c r="F17" s="41" t="n">
        <f aca="false">OX_Water</f>
        <v>532170</v>
      </c>
      <c r="G17" s="41" t="n">
        <f aca="false">OX_Water</f>
        <v>532170</v>
      </c>
      <c r="H17" s="41" t="n">
        <f aca="false">OX_Water</f>
        <v>798255</v>
      </c>
      <c r="I17" s="41" t="n">
        <f aca="false">OX_Water</f>
        <v>1064340</v>
      </c>
      <c r="J17" s="41" t="n">
        <f aca="false">OX_Water</f>
        <v>1064340</v>
      </c>
      <c r="K17" s="41" t="n">
        <f aca="false">OX_Water</f>
        <v>1064340</v>
      </c>
      <c r="L17" s="41" t="n">
        <f aca="false">OX_Water</f>
        <v>1064340</v>
      </c>
    </row>
    <row r="18" customFormat="false" ht="15" hidden="false" customHeight="false" outlineLevel="0" collapsed="false">
      <c r="A18" s="5"/>
      <c r="B18" s="42" t="s">
        <v>251</v>
      </c>
      <c r="C18" s="43" t="n">
        <f aca="false">C13-C16-C17</f>
        <v>0</v>
      </c>
      <c r="D18" s="43" t="n">
        <f aca="false">D13-D16-D17</f>
        <v>0</v>
      </c>
      <c r="E18" s="43" t="n">
        <f aca="false">E13-E16-E17</f>
        <v>8292971.25</v>
      </c>
      <c r="F18" s="43" t="n">
        <f aca="false">F13-F16-F17</f>
        <v>16743895.3125</v>
      </c>
      <c r="G18" s="43" t="n">
        <f aca="false">G13-G16-G17</f>
        <v>16911421.9453125</v>
      </c>
      <c r="H18" s="43" t="n">
        <f aca="false">H13-H16-H17</f>
        <v>26195642.615918</v>
      </c>
      <c r="I18" s="43" t="n">
        <f aca="false">I13-I16-I17</f>
        <v>35677320.0750879</v>
      </c>
      <c r="J18" s="43" t="n">
        <f aca="false">J13-J16-J17</f>
        <v>36297736.5769651</v>
      </c>
      <c r="K18" s="43" t="n">
        <f aca="false">K13-K16-K17</f>
        <v>37164288.4913892</v>
      </c>
      <c r="L18" s="43" t="n">
        <f aca="false">L13-L16-L17</f>
        <v>38052504.2036739</v>
      </c>
    </row>
    <row r="19" customFormat="false" ht="15" hidden="false" customHeight="false" outlineLevel="0" collapsed="false">
      <c r="A19" s="5"/>
      <c r="B19" s="39" t="s">
        <v>252</v>
      </c>
      <c r="C19" s="47" t="n">
        <f aca="false">IF(C13=0,0,C18/C13)</f>
        <v>0</v>
      </c>
      <c r="D19" s="47" t="n">
        <f aca="false">IF(D13=0,0,D18/D13)</f>
        <v>0</v>
      </c>
      <c r="E19" s="47" t="n">
        <f aca="false">IF(E13=0,0,E18/E13)</f>
        <v>0.597443763195539</v>
      </c>
      <c r="F19" s="47" t="n">
        <f aca="false">IF(F13=0,0,F18/F13)</f>
        <v>0.599721202576307</v>
      </c>
      <c r="G19" s="47" t="n">
        <f aca="false">IF(G13=0,0,G18/G13)</f>
        <v>0.602108690679312</v>
      </c>
      <c r="H19" s="47" t="n">
        <f aca="false">IF(H13=0,0,H18/H13)</f>
        <v>0.609782445347642</v>
      </c>
      <c r="I19" s="47" t="n">
        <f aca="false">IF(I13=0,0,I18/I13)</f>
        <v>0.614824519363809</v>
      </c>
      <c r="J19" s="47" t="n">
        <f aca="false">IF(J13=0,0,J18/J13)</f>
        <v>0.618899093989148</v>
      </c>
      <c r="K19" s="47" t="n">
        <f aca="false">IF(K13=0,0,K18/K13)</f>
        <v>0.624447969769153</v>
      </c>
      <c r="L19" s="47" t="n">
        <f aca="false">IF(L13=0,0,L18/L13)</f>
        <v>0.629970338798854</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31" t="s">
        <v>117</v>
      </c>
      <c r="C21" s="16"/>
      <c r="D21" s="16"/>
      <c r="E21" s="16"/>
      <c r="F21" s="16"/>
      <c r="G21" s="16"/>
      <c r="H21" s="16"/>
      <c r="I21" s="16"/>
      <c r="J21" s="16"/>
      <c r="K21" s="16"/>
      <c r="L21" s="16"/>
    </row>
    <row r="22" customFormat="false" ht="15" hidden="false" customHeight="false" outlineLevel="0" collapsed="false">
      <c r="A22" s="5"/>
      <c r="B22" s="39" t="s">
        <v>223</v>
      </c>
      <c r="C22" s="41" t="n">
        <f aca="false">OX_Fac_Maint</f>
        <v>750000</v>
      </c>
      <c r="D22" s="41" t="n">
        <f aca="false">OX_Fac_Maint</f>
        <v>1537500</v>
      </c>
      <c r="E22" s="41" t="n">
        <f aca="false">OX_Fac_Maint</f>
        <v>1575937.5</v>
      </c>
      <c r="F22" s="41" t="n">
        <f aca="false">OX_Fac_Maint</f>
        <v>2423003.90625</v>
      </c>
      <c r="G22" s="41" t="n">
        <f aca="false">OX_Fac_Maint</f>
        <v>3311438.671875</v>
      </c>
      <c r="H22" s="41" t="n">
        <f aca="false">OX_Fac_Maint</f>
        <v>3394224.63867187</v>
      </c>
      <c r="I22" s="41" t="n">
        <f aca="false">OX_Fac_Maint</f>
        <v>3479080.25463867</v>
      </c>
      <c r="J22" s="41" t="n">
        <f aca="false">OX_Fac_Maint</f>
        <v>3566057.26100464</v>
      </c>
      <c r="K22" s="41" t="n">
        <f aca="false">OX_Fac_Maint</f>
        <v>3655208.69252975</v>
      </c>
      <c r="L22" s="41" t="n">
        <f aca="false">OX_Fac_Maint</f>
        <v>3746588.909843</v>
      </c>
    </row>
    <row r="23" customFormat="false" ht="15" hidden="false" customHeight="false" outlineLevel="0" collapsed="false">
      <c r="A23" s="5"/>
      <c r="B23" s="39" t="s">
        <v>121</v>
      </c>
      <c r="C23" s="41" t="n">
        <f aca="false">OX_Prop_Tax</f>
        <v>900000</v>
      </c>
      <c r="D23" s="41" t="n">
        <f aca="false">OX_Prop_Tax</f>
        <v>1800000</v>
      </c>
      <c r="E23" s="41" t="n">
        <f aca="false">OX_Prop_Tax</f>
        <v>1800000</v>
      </c>
      <c r="F23" s="41" t="n">
        <f aca="false">OX_Prop_Tax</f>
        <v>2250000</v>
      </c>
      <c r="G23" s="41" t="n">
        <f aca="false">OX_Prop_Tax</f>
        <v>2700000</v>
      </c>
      <c r="H23" s="41" t="n">
        <f aca="false">OX_Prop_Tax</f>
        <v>2700000</v>
      </c>
      <c r="I23" s="41" t="n">
        <f aca="false">OX_Prop_Tax</f>
        <v>2700000</v>
      </c>
      <c r="J23" s="41" t="n">
        <f aca="false">OX_Prop_Tax</f>
        <v>2700000</v>
      </c>
      <c r="K23" s="41" t="n">
        <f aca="false">OX_Prop_Tax</f>
        <v>2700000</v>
      </c>
      <c r="L23" s="41" t="n">
        <f aca="false">OX_Prop_Tax</f>
        <v>2700000</v>
      </c>
    </row>
    <row r="24" customFormat="false" ht="15" hidden="false" customHeight="false" outlineLevel="0" collapsed="false">
      <c r="A24" s="5"/>
      <c r="B24" s="39" t="s">
        <v>225</v>
      </c>
      <c r="C24" s="41" t="n">
        <f aca="false">OX_Staff</f>
        <v>250000</v>
      </c>
      <c r="D24" s="41" t="n">
        <f aca="false">OX_Staff</f>
        <v>512500</v>
      </c>
      <c r="E24" s="41" t="n">
        <f aca="false">OX_Staff</f>
        <v>525312.5</v>
      </c>
      <c r="F24" s="41" t="n">
        <f aca="false">OX_Staff</f>
        <v>807667.96875</v>
      </c>
      <c r="G24" s="41" t="n">
        <f aca="false">OX_Staff</f>
        <v>1103812.890625</v>
      </c>
      <c r="H24" s="41" t="n">
        <f aca="false">OX_Staff</f>
        <v>1131408.21289062</v>
      </c>
      <c r="I24" s="41" t="n">
        <f aca="false">OX_Staff</f>
        <v>1159693.41821289</v>
      </c>
      <c r="J24" s="41" t="n">
        <f aca="false">OX_Staff</f>
        <v>1188685.75366821</v>
      </c>
      <c r="K24" s="41" t="n">
        <f aca="false">OX_Staff</f>
        <v>1218402.89750992</v>
      </c>
      <c r="L24" s="41" t="n">
        <f aca="false">OX_Staff</f>
        <v>1248862.96994767</v>
      </c>
    </row>
    <row r="25" customFormat="false" ht="15" hidden="false" customHeight="false" outlineLevel="0" collapsed="false">
      <c r="A25" s="5"/>
      <c r="B25" s="39" t="s">
        <v>124</v>
      </c>
      <c r="C25" s="41" t="n">
        <f aca="false">OX_SGA</f>
        <v>0</v>
      </c>
      <c r="D25" s="41" t="n">
        <f aca="false">OX_SGA</f>
        <v>0</v>
      </c>
      <c r="E25" s="41" t="n">
        <f aca="false">OX_SGA</f>
        <v>694037.8125</v>
      </c>
      <c r="F25" s="41" t="n">
        <f aca="false">OX_SGA</f>
        <v>1395973.265625</v>
      </c>
      <c r="G25" s="41" t="n">
        <f aca="false">OX_SGA</f>
        <v>1404349.59726562</v>
      </c>
      <c r="H25" s="41" t="n">
        <f aca="false">OX_SGA</f>
        <v>2147949.8807959</v>
      </c>
      <c r="I25" s="41" t="n">
        <f aca="false">OX_SGA</f>
        <v>2901423.00375439</v>
      </c>
      <c r="J25" s="41" t="n">
        <f aca="false">OX_SGA</f>
        <v>2932443.82884825</v>
      </c>
      <c r="K25" s="41" t="n">
        <f aca="false">OX_SGA</f>
        <v>2975771.42456946</v>
      </c>
      <c r="L25" s="41" t="n">
        <f aca="false">OX_SGA</f>
        <v>3020182.2101837</v>
      </c>
    </row>
    <row r="26" customFormat="false" ht="15" hidden="false" customHeight="false" outlineLevel="0" collapsed="false">
      <c r="A26" s="5"/>
      <c r="B26" s="39" t="s">
        <v>253</v>
      </c>
      <c r="C26" s="41" t="n">
        <f aca="false">OX_Insurance+OX_Marketing</f>
        <v>0</v>
      </c>
      <c r="D26" s="41" t="n">
        <f aca="false">OX_Insurance+OX_Marketing</f>
        <v>0</v>
      </c>
      <c r="E26" s="41" t="n">
        <f aca="false">OX_Insurance+OX_Marketing</f>
        <v>832845.375</v>
      </c>
      <c r="F26" s="41" t="n">
        <f aca="false">OX_Insurance+OX_Marketing</f>
        <v>1675167.91875</v>
      </c>
      <c r="G26" s="41" t="n">
        <f aca="false">OX_Insurance+OX_Marketing</f>
        <v>1685219.51671875</v>
      </c>
      <c r="H26" s="41" t="n">
        <f aca="false">OX_Insurance+OX_Marketing</f>
        <v>2577539.85695508</v>
      </c>
      <c r="I26" s="41" t="n">
        <f aca="false">OX_Insurance+OX_Marketing</f>
        <v>3481707.60450527</v>
      </c>
      <c r="J26" s="41" t="n">
        <f aca="false">OX_Insurance+OX_Marketing</f>
        <v>3518932.5946179</v>
      </c>
      <c r="K26" s="41" t="n">
        <f aca="false">OX_Insurance+OX_Marketing</f>
        <v>3570925.70948335</v>
      </c>
      <c r="L26" s="41" t="n">
        <f aca="false">OX_Insurance+OX_Marketing</f>
        <v>3624218.65222043</v>
      </c>
    </row>
    <row r="27" customFormat="false" ht="15" hidden="false" customHeight="false" outlineLevel="0" collapsed="false">
      <c r="A27" s="5"/>
      <c r="B27" s="39" t="s">
        <v>228</v>
      </c>
      <c r="C27" s="41" t="n">
        <f aca="false">OX_Compliance</f>
        <v>0</v>
      </c>
      <c r="D27" s="41" t="n">
        <f aca="false">OX_Compliance</f>
        <v>0</v>
      </c>
      <c r="E27" s="41" t="n">
        <f aca="false">OX_Compliance</f>
        <v>208211.34375</v>
      </c>
      <c r="F27" s="41" t="n">
        <f aca="false">OX_Compliance</f>
        <v>418791.9796875</v>
      </c>
      <c r="G27" s="41" t="n">
        <f aca="false">OX_Compliance</f>
        <v>421304.879179687</v>
      </c>
      <c r="H27" s="41" t="n">
        <f aca="false">OX_Compliance</f>
        <v>644384.964238769</v>
      </c>
      <c r="I27" s="41" t="n">
        <f aca="false">OX_Compliance</f>
        <v>870426.901126318</v>
      </c>
      <c r="J27" s="41" t="n">
        <f aca="false">OX_Compliance</f>
        <v>879733.148654476</v>
      </c>
      <c r="K27" s="41" t="n">
        <f aca="false">OX_Compliance</f>
        <v>892731.427370838</v>
      </c>
      <c r="L27" s="41" t="n">
        <f aca="false">OX_Compliance</f>
        <v>906054.663055109</v>
      </c>
    </row>
    <row r="28" customFormat="false" ht="15" hidden="false" customHeight="false" outlineLevel="0" collapsed="false">
      <c r="A28" s="5"/>
      <c r="B28" s="42" t="s">
        <v>254</v>
      </c>
      <c r="C28" s="43" t="n">
        <f aca="false">C22+C23+C24+C25+C26+C27</f>
        <v>1900000</v>
      </c>
      <c r="D28" s="43" t="n">
        <f aca="false">D22+D23+D24+D25+D26+D27</f>
        <v>3850000</v>
      </c>
      <c r="E28" s="43" t="n">
        <f aca="false">E22+E23+E24+E25+E26+E27</f>
        <v>5636344.53125</v>
      </c>
      <c r="F28" s="43" t="n">
        <f aca="false">F22+F23+F24+F25+F26+F27</f>
        <v>8970605.0390625</v>
      </c>
      <c r="G28" s="43" t="n">
        <f aca="false">G22+G23+G24+G25+G26+G27</f>
        <v>10626125.5556641</v>
      </c>
      <c r="H28" s="43" t="n">
        <f aca="false">H22+H23+H24+H25+H26+H27</f>
        <v>12595507.5535522</v>
      </c>
      <c r="I28" s="43" t="n">
        <f aca="false">I22+I23+I24+I25+I26+I27</f>
        <v>14592331.1822375</v>
      </c>
      <c r="J28" s="43" t="n">
        <f aca="false">J22+J23+J24+J25+J26+J27</f>
        <v>14785852.5867935</v>
      </c>
      <c r="K28" s="43" t="n">
        <f aca="false">K22+K23+K24+K25+K26+K27</f>
        <v>15013040.1514633</v>
      </c>
      <c r="L28" s="43" t="n">
        <f aca="false">L22+L23+L24+L25+L26+L27</f>
        <v>15245907.4052499</v>
      </c>
    </row>
    <row r="29" customFormat="false" ht="15" hidden="false" customHeight="false" outlineLevel="0" collapsed="false">
      <c r="A29" s="5"/>
      <c r="B29" s="5"/>
      <c r="C29" s="5"/>
      <c r="D29" s="5"/>
      <c r="E29" s="5"/>
      <c r="F29" s="5"/>
      <c r="G29" s="5"/>
      <c r="H29" s="5"/>
      <c r="I29" s="5"/>
      <c r="J29" s="5"/>
      <c r="K29" s="5"/>
      <c r="L29" s="5"/>
    </row>
    <row r="30" customFormat="false" ht="15" hidden="false" customHeight="false" outlineLevel="0" collapsed="false">
      <c r="A30" s="5"/>
      <c r="B30" s="42" t="s">
        <v>255</v>
      </c>
      <c r="C30" s="43" t="n">
        <f aca="false">C18-C28</f>
        <v>-1900000</v>
      </c>
      <c r="D30" s="43" t="n">
        <f aca="false">D18-D28</f>
        <v>-3850000</v>
      </c>
      <c r="E30" s="43" t="n">
        <f aca="false">E18-E28</f>
        <v>2656626.71875</v>
      </c>
      <c r="F30" s="43" t="n">
        <f aca="false">F18-F28</f>
        <v>7773290.27343749</v>
      </c>
      <c r="G30" s="43" t="n">
        <f aca="false">G18-G28</f>
        <v>6285296.38964843</v>
      </c>
      <c r="H30" s="43" t="n">
        <f aca="false">H18-H28</f>
        <v>13600135.0623657</v>
      </c>
      <c r="I30" s="43" t="n">
        <f aca="false">I18-I28</f>
        <v>21084988.8928503</v>
      </c>
      <c r="J30" s="43" t="n">
        <f aca="false">J18-J28</f>
        <v>21511883.9901716</v>
      </c>
      <c r="K30" s="43" t="n">
        <f aca="false">K18-K28</f>
        <v>22151248.3399259</v>
      </c>
      <c r="L30" s="43" t="n">
        <f aca="false">L18-L28</f>
        <v>22806596.798424</v>
      </c>
    </row>
    <row r="31" customFormat="false" ht="15" hidden="false" customHeight="false" outlineLevel="0" collapsed="false">
      <c r="A31" s="5"/>
      <c r="B31" s="39" t="s">
        <v>256</v>
      </c>
      <c r="C31" s="47" t="n">
        <f aca="false">IF(C13=0,0,C30/C13)</f>
        <v>0</v>
      </c>
      <c r="D31" s="47" t="n">
        <f aca="false">IF(D13=0,0,D30/D13)</f>
        <v>0</v>
      </c>
      <c r="E31" s="47" t="n">
        <f aca="false">IF(E13=0,0,E30/E13)</f>
        <v>0.191389191691195</v>
      </c>
      <c r="F31" s="47" t="n">
        <f aca="false">IF(F13=0,0,F30/F13)</f>
        <v>0.278418307314692</v>
      </c>
      <c r="G31" s="47" t="n">
        <f aca="false">IF(G13=0,0,G30/G13)</f>
        <v>0.223779620184546</v>
      </c>
      <c r="H31" s="47" t="n">
        <f aca="false">IF(H13=0,0,H30/H13)</f>
        <v>0.316584087551576</v>
      </c>
      <c r="I31" s="47" t="n">
        <f aca="false">IF(I13=0,0,I30/I13)</f>
        <v>0.36335599575737</v>
      </c>
      <c r="J31" s="47" t="n">
        <f aca="false">IF(J13=0,0,J30/J13)</f>
        <v>0.36679106652523</v>
      </c>
      <c r="K31" s="47" t="n">
        <f aca="false">IF(K13=0,0,K30/K13)</f>
        <v>0.372193377438772</v>
      </c>
      <c r="L31" s="47" t="n">
        <f aca="false">IF(L13=0,0,L30/L13)</f>
        <v>0.377569881736322</v>
      </c>
    </row>
    <row r="32" customFormat="false" ht="15" hidden="false" customHeight="false" outlineLevel="0" collapsed="false">
      <c r="A32" s="5"/>
      <c r="B32" s="31" t="s">
        <v>155</v>
      </c>
      <c r="C32" s="16"/>
      <c r="D32" s="16"/>
      <c r="E32" s="16"/>
      <c r="F32" s="16"/>
      <c r="G32" s="16"/>
      <c r="H32" s="16"/>
      <c r="I32" s="16"/>
      <c r="J32" s="16"/>
      <c r="K32" s="16"/>
      <c r="L32" s="16"/>
    </row>
    <row r="33" customFormat="false" ht="15" hidden="false" customHeight="false" outlineLevel="0" collapsed="false">
      <c r="A33" s="5"/>
      <c r="B33" s="39" t="s">
        <v>187</v>
      </c>
      <c r="C33" s="41" t="n">
        <f aca="false">CC_Shell_Dep</f>
        <v>0</v>
      </c>
      <c r="D33" s="41" t="n">
        <f aca="false">CC_Shell_Dep</f>
        <v>0</v>
      </c>
      <c r="E33" s="41" t="n">
        <f aca="false">CC_Shell_Dep</f>
        <v>1538461.53846154</v>
      </c>
      <c r="F33" s="41" t="n">
        <f aca="false">CC_Shell_Dep</f>
        <v>1538461.53846154</v>
      </c>
      <c r="G33" s="41" t="n">
        <f aca="false">CC_Shell_Dep</f>
        <v>1538461.53846154</v>
      </c>
      <c r="H33" s="41" t="n">
        <f aca="false">CC_Shell_Dep</f>
        <v>1538461.53846154</v>
      </c>
      <c r="I33" s="41" t="n">
        <f aca="false">CC_Shell_Dep</f>
        <v>1538461.53846154</v>
      </c>
      <c r="J33" s="41" t="n">
        <f aca="false">CC_Shell_Dep</f>
        <v>1538461.53846154</v>
      </c>
      <c r="K33" s="41" t="n">
        <f aca="false">CC_Shell_Dep</f>
        <v>1538461.53846154</v>
      </c>
      <c r="L33" s="41" t="n">
        <f aca="false">CC_Shell_Dep</f>
        <v>1538461.53846154</v>
      </c>
    </row>
    <row r="34" customFormat="false" ht="15" hidden="false" customHeight="false" outlineLevel="0" collapsed="false">
      <c r="A34" s="5"/>
      <c r="B34" s="39" t="s">
        <v>188</v>
      </c>
      <c r="C34" s="41" t="n">
        <f aca="false">CC_MEP_Dep</f>
        <v>0</v>
      </c>
      <c r="D34" s="41" t="n">
        <f aca="false">CC_MEP_Dep</f>
        <v>0</v>
      </c>
      <c r="E34" s="41" t="n">
        <f aca="false">CC_MEP_Dep</f>
        <v>4000000</v>
      </c>
      <c r="F34" s="41" t="n">
        <f aca="false">CC_MEP_Dep</f>
        <v>4000000</v>
      </c>
      <c r="G34" s="41" t="n">
        <f aca="false">CC_MEP_Dep</f>
        <v>4000000</v>
      </c>
      <c r="H34" s="41" t="n">
        <f aca="false">CC_MEP_Dep</f>
        <v>8000000</v>
      </c>
      <c r="I34" s="41" t="n">
        <f aca="false">CC_MEP_Dep</f>
        <v>8000000</v>
      </c>
      <c r="J34" s="41" t="n">
        <f aca="false">CC_MEP_Dep</f>
        <v>8000000</v>
      </c>
      <c r="K34" s="41" t="n">
        <f aca="false">CC_MEP_Dep</f>
        <v>8000000</v>
      </c>
      <c r="L34" s="41" t="n">
        <f aca="false">CC_MEP_Dep</f>
        <v>8000000</v>
      </c>
    </row>
    <row r="35" customFormat="false" ht="15" hidden="false" customHeight="false" outlineLevel="0" collapsed="false">
      <c r="A35" s="5"/>
      <c r="B35" s="42" t="s">
        <v>189</v>
      </c>
      <c r="C35" s="43" t="n">
        <f aca="false">CC_Total_Dep</f>
        <v>0</v>
      </c>
      <c r="D35" s="43" t="n">
        <f aca="false">CC_Total_Dep</f>
        <v>0</v>
      </c>
      <c r="E35" s="43" t="n">
        <f aca="false">CC_Total_Dep</f>
        <v>5538461.53846154</v>
      </c>
      <c r="F35" s="43" t="n">
        <f aca="false">CC_Total_Dep</f>
        <v>5538461.53846154</v>
      </c>
      <c r="G35" s="43" t="n">
        <f aca="false">CC_Total_Dep</f>
        <v>5538461.53846154</v>
      </c>
      <c r="H35" s="43" t="n">
        <f aca="false">CC_Total_Dep</f>
        <v>9538461.53846154</v>
      </c>
      <c r="I35" s="43" t="n">
        <f aca="false">CC_Total_Dep</f>
        <v>9538461.53846154</v>
      </c>
      <c r="J35" s="43" t="n">
        <f aca="false">CC_Total_Dep</f>
        <v>9538461.53846154</v>
      </c>
      <c r="K35" s="43" t="n">
        <f aca="false">CC_Total_Dep</f>
        <v>9538461.53846154</v>
      </c>
      <c r="L35" s="43" t="n">
        <f aca="false">CC_Total_Dep</f>
        <v>9538461.53846154</v>
      </c>
    </row>
    <row r="36" customFormat="false" ht="15" hidden="false" customHeight="false" outlineLevel="0" collapsed="false">
      <c r="A36" s="5"/>
      <c r="B36" s="5"/>
      <c r="C36" s="5"/>
      <c r="D36" s="5"/>
      <c r="E36" s="5"/>
      <c r="F36" s="5"/>
      <c r="G36" s="5"/>
      <c r="H36" s="5"/>
      <c r="I36" s="5"/>
      <c r="J36" s="5"/>
      <c r="K36" s="5"/>
      <c r="L36" s="5"/>
    </row>
    <row r="37" customFormat="false" ht="15" hidden="false" customHeight="false" outlineLevel="0" collapsed="false">
      <c r="A37" s="5"/>
      <c r="B37" s="42" t="s">
        <v>257</v>
      </c>
      <c r="C37" s="43" t="n">
        <f aca="false">C30-C35</f>
        <v>-1900000</v>
      </c>
      <c r="D37" s="43" t="n">
        <f aca="false">D30-D35</f>
        <v>-3850000</v>
      </c>
      <c r="E37" s="43" t="n">
        <f aca="false">E30-E35</f>
        <v>-2881834.81971154</v>
      </c>
      <c r="F37" s="43" t="n">
        <f aca="false">F30-F35</f>
        <v>2234828.73497595</v>
      </c>
      <c r="G37" s="43" t="n">
        <f aca="false">G30-G35</f>
        <v>746834.851186894</v>
      </c>
      <c r="H37" s="43" t="n">
        <f aca="false">H30-H35</f>
        <v>4061673.52390418</v>
      </c>
      <c r="I37" s="43" t="n">
        <f aca="false">I30-I35</f>
        <v>11546527.3543888</v>
      </c>
      <c r="J37" s="43" t="n">
        <f aca="false">J30-J35</f>
        <v>11973422.4517101</v>
      </c>
      <c r="K37" s="43" t="n">
        <f aca="false">K30-K35</f>
        <v>12612786.8014643</v>
      </c>
      <c r="L37" s="43" t="n">
        <f aca="false">L30-L35</f>
        <v>13268135.2599625</v>
      </c>
    </row>
    <row r="38" customFormat="false" ht="15" hidden="false" customHeight="false" outlineLevel="0" collapsed="false">
      <c r="A38" s="5"/>
      <c r="B38" s="39" t="s">
        <v>258</v>
      </c>
      <c r="C38" s="41" t="n">
        <f aca="false">DS_PNL_Int</f>
        <v>0</v>
      </c>
      <c r="D38" s="41" t="n">
        <f aca="false">DS_PNL_Int</f>
        <v>0</v>
      </c>
      <c r="E38" s="41" t="n">
        <f aca="false">DS_PNL_Int</f>
        <v>4832100</v>
      </c>
      <c r="F38" s="41" t="n">
        <f aca="false">DS_PNL_Int</f>
        <v>4832100</v>
      </c>
      <c r="G38" s="41" t="n">
        <f aca="false">DS_PNL_Int</f>
        <v>4750043.78525408</v>
      </c>
      <c r="H38" s="41" t="n">
        <f aca="false">DS_PNL_Int</f>
        <v>4656973.57508388</v>
      </c>
      <c r="I38" s="41" t="n">
        <f aca="false">DS_PNL_Int</f>
        <v>4551539.61897509</v>
      </c>
      <c r="J38" s="41" t="n">
        <f aca="false">DS_PNL_Int</f>
        <v>4432280.71439674</v>
      </c>
      <c r="K38" s="41" t="n">
        <f aca="false">DS_PNL_Int</f>
        <v>4297637.95482487</v>
      </c>
      <c r="L38" s="41" t="n">
        <f aca="false">DS_PNL_Int</f>
        <v>4145980.78459562</v>
      </c>
    </row>
    <row r="39" customFormat="false" ht="15" hidden="false" customHeight="false" outlineLevel="0" collapsed="false">
      <c r="A39" s="5"/>
      <c r="B39" s="42" t="s">
        <v>259</v>
      </c>
      <c r="C39" s="43" t="n">
        <f aca="false">C37-C38</f>
        <v>-1900000</v>
      </c>
      <c r="D39" s="43" t="n">
        <f aca="false">D37-D38</f>
        <v>-3850000</v>
      </c>
      <c r="E39" s="43" t="n">
        <f aca="false">E37-E38</f>
        <v>-7713934.81971154</v>
      </c>
      <c r="F39" s="43" t="n">
        <f aca="false">F37-F38</f>
        <v>-2597271.26502405</v>
      </c>
      <c r="G39" s="43" t="n">
        <f aca="false">G37-G38</f>
        <v>-4003208.93406718</v>
      </c>
      <c r="H39" s="43" t="n">
        <f aca="false">H37-H38</f>
        <v>-595300.051179704</v>
      </c>
      <c r="I39" s="43" t="n">
        <f aca="false">I37-I38</f>
        <v>6994987.7354137</v>
      </c>
      <c r="J39" s="43" t="n">
        <f aca="false">J37-J38</f>
        <v>7541141.73731331</v>
      </c>
      <c r="K39" s="43" t="n">
        <f aca="false">K37-K38</f>
        <v>8315148.84663946</v>
      </c>
      <c r="L39" s="43" t="n">
        <f aca="false">L37-L38</f>
        <v>9122154.47536685</v>
      </c>
    </row>
    <row r="40" customFormat="false" ht="15" hidden="false" customHeight="false" outlineLevel="0" collapsed="false">
      <c r="A40" s="5"/>
      <c r="B40" s="39" t="s">
        <v>260</v>
      </c>
      <c r="C40" s="41" t="n">
        <f aca="false">IF(C39&gt;0,C39*Tax_Rate,0)</f>
        <v>0</v>
      </c>
      <c r="D40" s="41" t="n">
        <f aca="false">IF(D39&gt;0,D39*Tax_Rate,0)</f>
        <v>0</v>
      </c>
      <c r="E40" s="41" t="n">
        <f aca="false">IF(E39&gt;0,E39*Tax_Rate,0)</f>
        <v>0</v>
      </c>
      <c r="F40" s="41" t="n">
        <f aca="false">IF(F39&gt;0,F39*Tax_Rate,0)</f>
        <v>0</v>
      </c>
      <c r="G40" s="41" t="n">
        <f aca="false">IF(G39&gt;0,G39*Tax_Rate,0)</f>
        <v>0</v>
      </c>
      <c r="H40" s="41" t="n">
        <f aca="false">IF(H39&gt;0,H39*Tax_Rate,0)</f>
        <v>0</v>
      </c>
      <c r="I40" s="41" t="n">
        <f aca="false">IF(I39&gt;0,I39*Tax_Rate,0)</f>
        <v>1748746.93385342</v>
      </c>
      <c r="J40" s="41" t="n">
        <f aca="false">IF(J39&gt;0,J39*Tax_Rate,0)</f>
        <v>1885285.43432833</v>
      </c>
      <c r="K40" s="41" t="n">
        <f aca="false">IF(K39&gt;0,K39*Tax_Rate,0)</f>
        <v>2078787.21165987</v>
      </c>
      <c r="L40" s="41" t="n">
        <f aca="false">IF(L39&gt;0,L39*Tax_Rate,0)</f>
        <v>2280538.61884171</v>
      </c>
    </row>
    <row r="41" customFormat="false" ht="15" hidden="false" customHeight="false" outlineLevel="0" collapsed="false">
      <c r="A41" s="5"/>
      <c r="B41" s="44" t="s">
        <v>261</v>
      </c>
      <c r="C41" s="45" t="n">
        <f aca="false">C39-C40</f>
        <v>-1900000</v>
      </c>
      <c r="D41" s="45" t="n">
        <f aca="false">D39-D40</f>
        <v>-3850000</v>
      </c>
      <c r="E41" s="45" t="n">
        <f aca="false">E39-E40</f>
        <v>-7713934.81971154</v>
      </c>
      <c r="F41" s="45" t="n">
        <f aca="false">F39-F40</f>
        <v>-2597271.26502405</v>
      </c>
      <c r="G41" s="45" t="n">
        <f aca="false">G39-G40</f>
        <v>-4003208.93406718</v>
      </c>
      <c r="H41" s="45" t="n">
        <f aca="false">H39-H40</f>
        <v>-595300.051179704</v>
      </c>
      <c r="I41" s="45" t="n">
        <f aca="false">I39-I40</f>
        <v>5246240.80156027</v>
      </c>
      <c r="J41" s="45" t="n">
        <f aca="false">J39-J40</f>
        <v>5655856.30298499</v>
      </c>
      <c r="K41" s="45" t="n">
        <f aca="false">K39-K40</f>
        <v>6236361.6349796</v>
      </c>
      <c r="L41" s="45" t="n">
        <f aca="false">L39-L40</f>
        <v>6841615.85652514</v>
      </c>
    </row>
    <row r="42" customFormat="false" ht="15" hidden="false" customHeight="false" outlineLevel="0" collapsed="false">
      <c r="A42" s="5"/>
      <c r="B42" s="39" t="s">
        <v>262</v>
      </c>
      <c r="C42" s="47" t="n">
        <f aca="false">IF(C13=0,0,C41/C13)</f>
        <v>0</v>
      </c>
      <c r="D42" s="47" t="n">
        <f aca="false">IF(D13=0,0,D41/D13)</f>
        <v>0</v>
      </c>
      <c r="E42" s="47" t="n">
        <f aca="false">IF(E13=0,0,E41/E13)</f>
        <v>-0.555728713967695</v>
      </c>
      <c r="F42" s="47" t="n">
        <f aca="false">IF(F13=0,0,F41/F13)</f>
        <v>-0.0930272566452483</v>
      </c>
      <c r="G42" s="47" t="n">
        <f aca="false">IF(G13=0,0,G41/G13)</f>
        <v>-0.142528930896613</v>
      </c>
      <c r="H42" s="47" t="n">
        <f aca="false">IF(H13=0,0,H41/H13)</f>
        <v>-0.0138574008756462</v>
      </c>
      <c r="I42" s="47" t="n">
        <f aca="false">IF(I13=0,0,I41/I13)</f>
        <v>0.0904080651937295</v>
      </c>
      <c r="J42" s="47" t="n">
        <f aca="false">IF(J13=0,0,J41/J13)</f>
        <v>0.0964358847617957</v>
      </c>
      <c r="K42" s="47" t="n">
        <f aca="false">IF(K13=0,0,K41/K13)</f>
        <v>0.104785629425182</v>
      </c>
      <c r="L42" s="47" t="n">
        <f aca="false">IF(L13=0,0,L41/L13)</f>
        <v>0.113264951920053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2026-05-15T18:53:01Z</dcterms:created>
  <dc:creator>openpyxl</dc:creator>
  <dc:description/>
  <dc:language>en-GB</dc:language>
  <cp:lastModifiedBy/>
  <dcterms:modified xsi:type="dcterms:W3CDTF">2026-05-15T18:53:01Z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