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Loan_Portfolio" sheetId="3" state="visible" r:id="rId5"/>
    <sheet name="Fund_Cash_Flow" sheetId="4" state="visible" r:id="rId6"/>
    <sheet name="LP_Capital_Account" sheetId="5" state="visible" r:id="rId7"/>
    <sheet name="Waterfall" sheetId="6" state="visible" r:id="rId8"/>
    <sheet name="ManCo_PL" sheetId="7" state="visible" r:id="rId9"/>
    <sheet name="Returns" sheetId="8" state="visible" r:id="rId10"/>
    <sheet name="Checks" sheetId="9" state="visible" r:id="rId11"/>
    <sheet name="Disclaimer" sheetId="10" state="visible" r:id="rId12"/>
  </sheets>
  <definedNames>
    <definedName function="false" hidden="false" name="Amort_Pct" vbProcedure="false">Assumptions!$C$17</definedName>
    <definedName function="false" hidden="false" name="Base_Rate" vbProcedure="false">Assumptions!$C$12</definedName>
    <definedName function="false" hidden="false" name="Carry_Pct" vbProcedure="false">Assumptions!$C$33</definedName>
    <definedName function="false" hidden="false" name="Credit_Spread" vbProcedure="false">Assumptions!$C$13</definedName>
    <definedName function="false" hidden="false" name="Default_Rate" vbProcedure="false">Assumptions!$C$20</definedName>
    <definedName function="false" hidden="false" name="Deploy_Y1" vbProcedure="false">Assumptions!$C$24</definedName>
    <definedName function="false" hidden="false" name="Deploy_Y2" vbProcedure="false">Assumptions!$C$25</definedName>
    <definedName function="false" hidden="false" name="Deploy_Y3" vbProcedure="false">Assumptions!$C$26</definedName>
    <definedName function="false" hidden="false" name="FC_Cash_Int" vbProcedure="false">OFFSET(Fund_Cash_Flow!$C$7,0,0,1,7)</definedName>
    <definedName function="false" hidden="false" name="FC_Close_Cash" vbProcedure="false">OFFSET(Fund_Cash_Flow!$C$30,0,0,1,7)</definedName>
    <definedName function="false" hidden="false" name="FC_Mgmt_Fee" vbProcedure="false">OFFSET(Fund_Cash_Flow!$C$13,0,0,1,7)</definedName>
    <definedName function="false" hidden="false" name="FC_Net_Fund_CF" vbProcedure="false">OFFSET(Fund_Cash_Flow!$C$24,0,0,1,7)</definedName>
    <definedName function="false" hidden="false" name="FC_Total_Expenses" vbProcedure="false">OFFSET(Fund_Cash_Flow!$C$14,0,0,1,7)</definedName>
    <definedName function="false" hidden="false" name="Fund_Expense_Pct" vbProcedure="false">Assumptions!$C$36</definedName>
    <definedName function="false" hidden="false" name="Fund_Size" vbProcedure="false">Assumptions!$C$6</definedName>
    <definedName function="false" hidden="false" name="Fund_Term" vbProcedure="false">Assumptions!$C$8</definedName>
    <definedName function="false" hidden="false" name="GP_Catchup" vbProcedure="false">Assumptions!$C$32</definedName>
    <definedName function="false" hidden="false" name="GP_Commit_Pct" vbProcedure="false">Assumptions!$C$9</definedName>
    <definedName function="false" hidden="false" name="Investment_Period" vbProcedure="false">Assumptions!$C$7</definedName>
    <definedName function="false" hidden="false" name="LCA_Cumul_Called" vbProcedure="false">OFFSET(LP_Capital_Account!$C$8,0,0,1,7)</definedName>
    <definedName function="false" hidden="false" name="LCA_Cumul_Dist" vbProcedure="false">OFFSET(LP_Capital_Account!$C$21,0,0,1,7)</definedName>
    <definedName function="false" hidden="false" name="LCA_Cumul_LP" vbProcedure="false">OFFSET(LP_Capital_Account!$C$14,0,0,1,7)</definedName>
    <definedName function="false" hidden="false" name="LCA_Cumul_LP_CF" vbProcedure="false">OFFSET(LP_Capital_Account!$C$25,0,0,1,7)</definedName>
    <definedName function="false" hidden="false" name="LCA_Net_LP_CF" vbProcedure="false">OFFSET(LP_Capital_Account!$C$24,0,0,1,7)</definedName>
    <definedName function="false" hidden="false" name="Loan_Maturity" vbProcedure="false">Assumptions!$C$16</definedName>
    <definedName function="false" hidden="false" name="LP_Avg_Principal" vbProcedure="false">OFFSET(Loan_Portfolio!$C$20,0,0,1,7)</definedName>
    <definedName function="false" hidden="false" name="LP_Cash_Interest" vbProcedure="false">OFFSET(Loan_Portfolio!$C$23,0,0,1,7)</definedName>
    <definedName function="false" hidden="false" name="LP_Close_Principal" vbProcedure="false">OFFSET(Loan_Portfolio!$C$18,0,0,1,7)</definedName>
    <definedName function="false" hidden="false" name="LP_Maturity_Repay" vbProcedure="false">OFFSET(Loan_Portfolio!$C$16,0,0,1,7)</definedName>
    <definedName function="false" hidden="false" name="LP_New_Deploy" vbProcedure="false">OFFSET(Loan_Portfolio!$C$8,0,0,1,7)</definedName>
    <definedName function="false" hidden="false" name="LP_Recovery" vbProcedure="false">OFFSET(Loan_Portfolio!$C$30,0,0,1,7)</definedName>
    <definedName function="false" hidden="false" name="LP_Sched_Amort" vbProcedure="false">OFFSET(Loan_Portfolio!$C$15,0,0,1,7)</definedName>
    <definedName function="false" hidden="false" name="LP_Total_Interest" vbProcedure="false">OFFSET(Loan_Portfolio!$C$26,0,0,1,7)</definedName>
    <definedName function="false" hidden="false" name="ManCo_Comp_Pct" vbProcedure="false">Assumptions!$C$39</definedName>
    <definedName function="false" hidden="false" name="ManCo_Other" vbProcedure="false">Assumptions!$C$41</definedName>
    <definedName function="false" hidden="false" name="ManCo_Rent" vbProcedure="false">Assumptions!$C$40</definedName>
    <definedName function="false" hidden="false" name="Mgmt_Fee_Inv" vbProcedure="false">Assumptions!$C$29</definedName>
    <definedName function="false" hidden="false" name="Mgmt_Fee_Post" vbProcedure="false">Assumptions!$C$30</definedName>
    <definedName function="false" hidden="false" name="OID_Pct" vbProcedure="false">Assumptions!$C$15</definedName>
    <definedName function="false" hidden="false" name="PIK_Rate" vbProcedure="false">Assumptions!$C$14</definedName>
    <definedName function="false" hidden="false" name="Pref_Return" vbProcedure="false">Assumptions!$C$31</definedName>
    <definedName function="false" hidden="false" name="Recovery_Rate" vbProcedure="false">Assumptions!$C$21</definedName>
    <definedName function="false" hidden="false" name="WF_GP_Total_Dist" vbProcedure="false">OFFSET(Waterfall!$C$33,0,0,1,7)</definedName>
    <definedName function="false" hidden="false" name="WF_LP_Total_Dist" vbProcedure="false">OFFSET(Waterfall!$C$34,0,0,1,7)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<sst xmlns="http://schemas.openxmlformats.org/spreadsheetml/2006/main" count="285" uniqueCount="246">
  <si>
    <t xml:space="preserve">Direct Lending Fund Model</t>
  </si>
  <si>
    <t xml:space="preserve">FINAMODEL.com</t>
  </si>
  <si>
    <t xml:space="preserve">Private credit fund analysis</t>
  </si>
  <si>
    <t xml:space="preserve">Sheet</t>
  </si>
  <si>
    <t xml:space="preserve">Description</t>
  </si>
  <si>
    <t xml:space="preserve">Tab Colour</t>
  </si>
  <si>
    <t xml:space="preserve">Cover</t>
  </si>
  <si>
    <t xml:space="preserve">Title and navigation</t>
  </si>
  <si>
    <t xml:space="preserve">Dark Blue</t>
  </si>
  <si>
    <t xml:space="preserve">Assumptions</t>
  </si>
  <si>
    <t xml:space="preserve">Fund terms, fees, credit, deployment</t>
  </si>
  <si>
    <t xml:space="preserve">Light Blue</t>
  </si>
  <si>
    <t xml:space="preserve">Loan_Portfolio</t>
  </si>
  <si>
    <t xml:space="preserve">Deployment, principal roll-forward, income</t>
  </si>
  <si>
    <t xml:space="preserve">Green</t>
  </si>
  <si>
    <t xml:space="preserve">Fund_Cash_Flow</t>
  </si>
  <si>
    <t xml:space="preserve">Income, expenses, net fund cash flow</t>
  </si>
  <si>
    <t xml:space="preserve">LP_Capital_Account</t>
  </si>
  <si>
    <t xml:space="preserve">Capital calls, distributions, LP/GP split</t>
  </si>
  <si>
    <t xml:space="preserve">Orange</t>
  </si>
  <si>
    <t xml:space="preserve">Waterfall</t>
  </si>
  <si>
    <t xml:space="preserve">Preferred return, catch-up, carried interest</t>
  </si>
  <si>
    <t xml:space="preserve">ManCo_PL</t>
  </si>
  <si>
    <t xml:space="preserve">Management company P&amp;L</t>
  </si>
  <si>
    <t xml:space="preserve">Grey</t>
  </si>
  <si>
    <t xml:space="preserve">Returns</t>
  </si>
  <si>
    <t xml:space="preserve">IRR, MOIC, TVPI, DPI, yields</t>
  </si>
  <si>
    <t xml:space="preserve">Checks</t>
  </si>
  <si>
    <t xml:space="preserve">Validation and covenant checks</t>
  </si>
  <si>
    <t xml:space="preserve">Red</t>
  </si>
  <si>
    <t xml:space="preserve">About this model</t>
  </si>
  <si>
    <t xml:space="preserve">A direct lending fund originates individual loans to middle-market companies, managing yield, defaults, and fund-level cash flows to investors. The model tracks each loan's interest income, origination fees, and principal repayment, rolls these up to fund-level cash flows, and computes IRR and MOIC (money multiple on invested capital) across junior and senior tranches. Key variables include the blended yield (interest rate plus upfront fees), the loan term, loss assumptions, and default probability.
The workbook separates accrued interest income (which swells the portfolio value) from cash interest (which funds investor distributions), capturing the timing misalignment that causes naive cash flow models to understate returns in the early hold period. Loss provisioning is modeled as a percentage of outstanding principal, with recovery assumed at a later date. The fund-level cash flow includes both original capital deployed (negative) and distributions back to investors as loans are repaid and interest is collected (positive).
Direct lending funds are appropriate for credit investors with a tolerance for illiquidity (5â7 year hold periods) and the operational complexity of loan-level tracking. This template is calibrated for institutional fund structures with 10â50 loans in the portfolio at any given time.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</si>
  <si>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</si>
  <si>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</si>
  <si>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</si>
  <si>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</si>
  <si>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Fund parameters</t>
  </si>
  <si>
    <t xml:space="preserve">Parameter</t>
  </si>
  <si>
    <t xml:space="preserve">Value</t>
  </si>
  <si>
    <t xml:space="preserve">Unit</t>
  </si>
  <si>
    <t xml:space="preserve">Notes</t>
  </si>
  <si>
    <t xml:space="preserve">Fund Structure</t>
  </si>
  <si>
    <t xml:space="preserve">Fund Size</t>
  </si>
  <si>
    <t xml:space="preserve">$M</t>
  </si>
  <si>
    <t xml:space="preserve">Total LP + GP commitments</t>
  </si>
  <si>
    <t xml:space="preserve">Investment Period</t>
  </si>
  <si>
    <t xml:space="preserve">years</t>
  </si>
  <si>
    <t xml:space="preserve">Active deployment window</t>
  </si>
  <si>
    <t xml:space="preserve">Fund Term</t>
  </si>
  <si>
    <t xml:space="preserve">Total fund life</t>
  </si>
  <si>
    <t xml:space="preserve">GP Co-Invest</t>
  </si>
  <si>
    <t xml:space="preserve">%</t>
  </si>
  <si>
    <t xml:space="preserve">GP commitment as % of fund</t>
  </si>
  <si>
    <t xml:space="preserve">Loan Terms</t>
  </si>
  <si>
    <t xml:space="preserve">Base Rate (SOFR)</t>
  </si>
  <si>
    <t xml:space="preserve">Current benchmark rate</t>
  </si>
  <si>
    <t xml:space="preserve">Credit Spread</t>
  </si>
  <si>
    <t xml:space="preserve">Spread over base rate</t>
  </si>
  <si>
    <t xml:space="preserve">PIK Rate</t>
  </si>
  <si>
    <t xml:space="preserve">Payment-in-kind interest</t>
  </si>
  <si>
    <t xml:space="preserve">Original Issue Discount</t>
  </si>
  <si>
    <t xml:space="preserve">Upfront fee on originations</t>
  </si>
  <si>
    <t xml:space="preserve">Avg Loan Maturity</t>
  </si>
  <si>
    <t xml:space="preserve">Weighted avg loan term</t>
  </si>
  <si>
    <t xml:space="preserve">Annual Amortisation</t>
  </si>
  <si>
    <t xml:space="preserve">Scheduled annual paydown</t>
  </si>
  <si>
    <t xml:space="preserve">Credit Assumptions</t>
  </si>
  <si>
    <t xml:space="preserve">Annual Default Rate</t>
  </si>
  <si>
    <t xml:space="preserve">Expected annual defaults</t>
  </si>
  <si>
    <t xml:space="preserve">Recovery Rate</t>
  </si>
  <si>
    <t xml:space="preserve">On defaulted principal</t>
  </si>
  <si>
    <t xml:space="preserve">Deployment Pacing</t>
  </si>
  <si>
    <t xml:space="preserve">Year 1 Deployment</t>
  </si>
  <si>
    <t xml:space="preserve">% of fund deployed</t>
  </si>
  <si>
    <t xml:space="preserve">Year 2 Deployment</t>
  </si>
  <si>
    <t xml:space="preserve">Year 3 Deployment</t>
  </si>
  <si>
    <t xml:space="preserve">Fees &amp; Carried Interest</t>
  </si>
  <si>
    <t xml:space="preserve">Mgmt Fee (Inv Period)</t>
  </si>
  <si>
    <t xml:space="preserve">On committed capital</t>
  </si>
  <si>
    <t xml:space="preserve">Mgmt Fee (Post-Inv)</t>
  </si>
  <si>
    <t xml:space="preserve">On invested capital</t>
  </si>
  <si>
    <t xml:space="preserve">Preferred Return</t>
  </si>
  <si>
    <t xml:space="preserve">Compound hurdle for LPs</t>
  </si>
  <si>
    <t xml:space="preserve">GP Catch-Up</t>
  </si>
  <si>
    <t xml:space="preserve">100% catch-up to GP</t>
  </si>
  <si>
    <t xml:space="preserve">Carried Interest</t>
  </si>
  <si>
    <t xml:space="preserve">Performance fee above hurdle</t>
  </si>
  <si>
    <t xml:space="preserve">Fund Expenses</t>
  </si>
  <si>
    <t xml:space="preserve">Annual drag on AUM</t>
  </si>
  <si>
    <t xml:space="preserve">ManCo Operating Costs</t>
  </si>
  <si>
    <t xml:space="preserve">Compensation % of Fees</t>
  </si>
  <si>
    <t xml:space="preserve">Investment team comp</t>
  </si>
  <si>
    <t xml:space="preserve">Annual Rent</t>
  </si>
  <si>
    <t xml:space="preserve">Office lease cost</t>
  </si>
  <si>
    <t xml:space="preserve">Other Opex</t>
  </si>
  <si>
    <t xml:space="preserve">Tech, travel, insurance</t>
  </si>
  <si>
    <t xml:space="preserve">Loan Portfolio</t>
  </si>
  <si>
    <t xml:space="preserve">Deployment and credit</t>
  </si>
  <si>
    <t xml:space="preserve">Year</t>
  </si>
  <si>
    <t xml:space="preserve">Deployment</t>
  </si>
  <si>
    <t xml:space="preserve">Deployment %</t>
  </si>
  <si>
    <t xml:space="preserve">New Originations</t>
  </si>
  <si>
    <t xml:space="preserve">Cumulative Deployed</t>
  </si>
  <si>
    <t xml:space="preserve">Principal Roll-Forward</t>
  </si>
  <si>
    <t xml:space="preserve">Opening Principal</t>
  </si>
  <si>
    <t xml:space="preserve">PIK Capitalisation</t>
  </si>
  <si>
    <t xml:space="preserve">Scheduled Amortisation</t>
  </si>
  <si>
    <t xml:space="preserve">Maturity Repayment</t>
  </si>
  <si>
    <t xml:space="preserve">Defaults</t>
  </si>
  <si>
    <t xml:space="preserve">Closing Principal</t>
  </si>
  <si>
    <t xml:space="preserve">Average Principal</t>
  </si>
  <si>
    <t xml:space="preserve">Interest Income</t>
  </si>
  <si>
    <t xml:space="preserve">Cash Interest</t>
  </si>
  <si>
    <t xml:space="preserve">PIK Income</t>
  </si>
  <si>
    <t xml:space="preserve">OID Amortisation</t>
  </si>
  <si>
    <t xml:space="preserve">Total Interest Income</t>
  </si>
  <si>
    <t xml:space="preserve">Credit Losses</t>
  </si>
  <si>
    <t xml:space="preserve">Gross Default Loss</t>
  </si>
  <si>
    <t xml:space="preserve">Recovery</t>
  </si>
  <si>
    <t xml:space="preserve">Net Credit Loss</t>
  </si>
  <si>
    <t xml:space="preserve">Fund Cash Flow</t>
  </si>
  <si>
    <t xml:space="preserve">Income and expenses</t>
  </si>
  <si>
    <t xml:space="preserve">Fund Income</t>
  </si>
  <si>
    <t xml:space="preserve">Cash Interest Income</t>
  </si>
  <si>
    <t xml:space="preserve">OID Fees Received</t>
  </si>
  <si>
    <t xml:space="preserve">Total Cash Income</t>
  </si>
  <si>
    <t xml:space="preserve">Fund Admin Expenses</t>
  </si>
  <si>
    <t xml:space="preserve">Management Fee</t>
  </si>
  <si>
    <t xml:space="preserve">Total Fund Expenses</t>
  </si>
  <si>
    <t xml:space="preserve">Net Investment Income</t>
  </si>
  <si>
    <t xml:space="preserve">Investment Cash Flows</t>
  </si>
  <si>
    <t xml:space="preserve">Loan Deployments</t>
  </si>
  <si>
    <t xml:space="preserve">Principal Received</t>
  </si>
  <si>
    <t xml:space="preserve">Recovery Proceeds</t>
  </si>
  <si>
    <t xml:space="preserve">Net Investment CF</t>
  </si>
  <si>
    <t xml:space="preserve">NET FUND CASH FLOW</t>
  </si>
  <si>
    <t xml:space="preserve">Cash Balance</t>
  </si>
  <si>
    <t xml:space="preserve">Opening Cash</t>
  </si>
  <si>
    <t xml:space="preserve">Cash Inflows</t>
  </si>
  <si>
    <t xml:space="preserve">Cash Outflows</t>
  </si>
  <si>
    <t xml:space="preserve">Closing Cash</t>
  </si>
  <si>
    <t xml:space="preserve">LP Capital Account</t>
  </si>
  <si>
    <t xml:space="preserve">Calls and distributions</t>
  </si>
  <si>
    <t xml:space="preserve">Capital Calls</t>
  </si>
  <si>
    <t xml:space="preserve">Capital Call</t>
  </si>
  <si>
    <t xml:space="preserve">Cumulative Called</t>
  </si>
  <si>
    <t xml:space="preserve">Uncalled Capital</t>
  </si>
  <si>
    <t xml:space="preserve">LP / GP Split</t>
  </si>
  <si>
    <t xml:space="preserve">LP Capital Call</t>
  </si>
  <si>
    <t xml:space="preserve">GP Capital Call</t>
  </si>
  <si>
    <t xml:space="preserve">Cumulative LP Called</t>
  </si>
  <si>
    <t xml:space="preserve">Cumulative GP Called</t>
  </si>
  <si>
    <t xml:space="preserve">Distributions</t>
  </si>
  <si>
    <t xml:space="preserve">LP Distribution</t>
  </si>
  <si>
    <t xml:space="preserve">GP Distribution</t>
  </si>
  <si>
    <t xml:space="preserve">Total Distribution</t>
  </si>
  <si>
    <t xml:space="preserve">Cumulative Distributed</t>
  </si>
  <si>
    <t xml:space="preserve">Net LP Cash Flow</t>
  </si>
  <si>
    <t xml:space="preserve">Cumulative LP CF</t>
  </si>
  <si>
    <t xml:space="preserve">Distribution Waterfall</t>
  </si>
  <si>
    <t xml:space="preserve">LP preferred return and carry</t>
  </si>
  <si>
    <t xml:space="preserve">Available Cash</t>
  </si>
  <si>
    <t xml:space="preserve">Available for Dist</t>
  </si>
  <si>
    <t xml:space="preserve">Cumulative Available</t>
  </si>
  <si>
    <t xml:space="preserve">Tier 1: Return of Capital</t>
  </si>
  <si>
    <t xml:space="preserve">Cumulative ROC</t>
  </si>
  <si>
    <t xml:space="preserve">Period ROC</t>
  </si>
  <si>
    <t xml:space="preserve">Remaining After ROC</t>
  </si>
  <si>
    <t xml:space="preserve">Tier 2: Preferred Return</t>
  </si>
  <si>
    <t xml:space="preserve">Hurdle Accrual</t>
  </si>
  <si>
    <t xml:space="preserve">Cumulative Pref Paid</t>
  </si>
  <si>
    <t xml:space="preserve">Period Pref</t>
  </si>
  <si>
    <t xml:space="preserve">Remaining After Pref</t>
  </si>
  <si>
    <t xml:space="preserve">Tier 3: GP Catch-Up</t>
  </si>
  <si>
    <t xml:space="preserve">Catch-Up Target</t>
  </si>
  <si>
    <t xml:space="preserve">Cumulative Catch-Up</t>
  </si>
  <si>
    <t xml:space="preserve">Period Catch-Up</t>
  </si>
  <si>
    <t xml:space="preserve">Remaining After CU</t>
  </si>
  <si>
    <t xml:space="preserve">Tier 4: Residual Split</t>
  </si>
  <si>
    <t xml:space="preserve">GP Residual</t>
  </si>
  <si>
    <t xml:space="preserve">LP Residual</t>
  </si>
  <si>
    <t xml:space="preserve">Total Distributions</t>
  </si>
  <si>
    <t xml:space="preserve">GP Total Dist</t>
  </si>
  <si>
    <t xml:space="preserve">LP Total Dist</t>
  </si>
  <si>
    <t xml:space="preserve">Total Distributed</t>
  </si>
  <si>
    <t xml:space="preserve">Check (should be 0)</t>
  </si>
  <si>
    <t xml:space="preserve">ManCo P&amp;L</t>
  </si>
  <si>
    <t xml:space="preserve">Management company</t>
  </si>
  <si>
    <t xml:space="preserve">Revenue</t>
  </si>
  <si>
    <t xml:space="preserve">Management Fees</t>
  </si>
  <si>
    <t xml:space="preserve">TOTAL REVENUE</t>
  </si>
  <si>
    <t xml:space="preserve">Operating Expenses</t>
  </si>
  <si>
    <t xml:space="preserve">Compensation</t>
  </si>
  <si>
    <t xml:space="preserve">Rent</t>
  </si>
  <si>
    <t xml:space="preserve">Other OpEx</t>
  </si>
  <si>
    <t xml:space="preserve">TOTAL OPEX</t>
  </si>
  <si>
    <t xml:space="preserve">NET INCOME</t>
  </si>
  <si>
    <t xml:space="preserve">Returns &amp; Ratios</t>
  </si>
  <si>
    <t xml:space="preserve">Fund performance</t>
  </si>
  <si>
    <t xml:space="preserve">Fund Multiples</t>
  </si>
  <si>
    <t xml:space="preserve">TVPI</t>
  </si>
  <si>
    <t xml:space="preserve">DPI</t>
  </si>
  <si>
    <t xml:space="preserve">RVPI</t>
  </si>
  <si>
    <t xml:space="preserve">Gross IRR</t>
  </si>
  <si>
    <t xml:space="preserve">Gross Fund CF</t>
  </si>
  <si>
    <t xml:space="preserve">Net IRR (LP)</t>
  </si>
  <si>
    <t xml:space="preserve">Net LP CF</t>
  </si>
  <si>
    <t xml:space="preserve">Net IRR</t>
  </si>
  <si>
    <t xml:space="preserve">Multiples</t>
  </si>
  <si>
    <t xml:space="preserve">Gross MOIC</t>
  </si>
  <si>
    <t xml:space="preserve">Net MOIC (LP)</t>
  </si>
  <si>
    <t xml:space="preserve">Yields</t>
  </si>
  <si>
    <t xml:space="preserve">Gross Portfolio Yield</t>
  </si>
  <si>
    <t xml:space="preserve">Net Yield</t>
  </si>
  <si>
    <t xml:space="preserve">Validation Checks</t>
  </si>
  <si>
    <t xml:space="preserve">Model integrity</t>
  </si>
  <si>
    <t xml:space="preserve">Check</t>
  </si>
  <si>
    <t xml:space="preserve">Result</t>
  </si>
  <si>
    <t xml:space="preserve">Details</t>
  </si>
  <si>
    <t xml:space="preserve">Waterfall Balance</t>
  </si>
  <si>
    <t xml:space="preserve">Total distributed = available cash in every period</t>
  </si>
  <si>
    <t xml:space="preserve">Distribution Cap</t>
  </si>
  <si>
    <t xml:space="preserve">Cumul distributions &lt;= cumul called + net income</t>
  </si>
  <si>
    <t xml:space="preserve">Capital Call Limit</t>
  </si>
  <si>
    <t xml:space="preserve">Cumulative called &lt;= total fund commitments</t>
  </si>
  <si>
    <t xml:space="preserve">IRR Consistency</t>
  </si>
  <si>
    <t xml:space="preserve">Gross IRR &gt;= Net IRR</t>
  </si>
  <si>
    <t xml:space="preserve">Loan Balance</t>
  </si>
  <si>
    <t xml:space="preserve">Closing principal balance is non-negative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</si>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</sst>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
    <numFmt numFmtId="166" formatCode="#,##0.00"/>
    <numFmt numFmtId="167" formatCode="0.00%"/>
    <numFmt numFmtId="168" formatCode="0"/>
    <numFmt numFmtId="169" formatCode="0.00\x"/>
  </numFmts>
  <fonts count="26">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color theme="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3"/>
      <name val="Arial"/>
      <family val="0"/>
      <charset val="1"/>
    </font>
    <font>
      <sz val="11"/>
      <color theme="3"/>
      <name val="Arial"/>
      <family val="0"/>
      <charset val="1"/>
    </font>
    <font>
      <i val="true"/>
      <sz val="11"/>
      <color rgb="FF808080"/>
      <name val="Arial"/>
      <family val="0"/>
      <charset val="1"/>
    </font>
    <font>
      <b val="true"/>
      <sz val="11"/>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true" applyProtection="false">
      <alignment horizontal="left" vertical="center"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0" fillId="2" borderId="0" xfId="0" applyFont="true" applyBorder="false" applyAlignment="true" applyProtection="false">
      <alignment horizontal="left" vertical="bottom" textRotation="0" wrapText="false" indent="0" shrinkToFit="false"/>
      <protection locked="true" hidden="false"/>
    </xf>
    <xf numFmtId="164" fontId="16" fillId="4"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17" fillId="5" borderId="0" xfId="0" applyFont="true" applyBorder="false" applyAlignment="true" applyProtection="false">
      <alignment horizontal="right"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6" fontId="17" fillId="5" borderId="0" xfId="0" applyFont="true" applyBorder="false" applyAlignment="true" applyProtection="false">
      <alignment horizontal="right" vertical="bottom" textRotation="0" wrapText="false" indent="0" shrinkToFit="false"/>
      <protection locked="true" hidden="false"/>
    </xf>
    <xf numFmtId="167" fontId="17" fillId="5" borderId="0" xfId="0" applyFont="true" applyBorder="false" applyAlignment="true" applyProtection="false">
      <alignment horizontal="right" vertical="bottom" textRotation="0" wrapText="false" indent="0" shrinkToFit="false"/>
      <protection locked="true" hidden="false"/>
    </xf>
    <xf numFmtId="168" fontId="10" fillId="2" borderId="0" xfId="0" applyFont="true" applyBorder="false" applyAlignment="true" applyProtection="false">
      <alignment horizontal="center"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4" fontId="19" fillId="0" borderId="1" xfId="0" applyFont="true" applyBorder="true" applyAlignment="true" applyProtection="false">
      <alignment horizontal="left" vertical="bottom" textRotation="0" wrapText="false" indent="0" shrinkToFit="false"/>
      <protection locked="true" hidden="false"/>
    </xf>
    <xf numFmtId="165" fontId="19" fillId="0" borderId="1" xfId="0" applyFont="true" applyBorder="true" applyAlignment="true" applyProtection="false">
      <alignment horizontal="right" vertical="bottom" textRotation="0" wrapText="false" indent="0" shrinkToFit="false"/>
      <protection locked="true" hidden="false"/>
    </xf>
    <xf numFmtId="164" fontId="19" fillId="0" borderId="2" xfId="0" applyFont="true" applyBorder="true" applyAlignment="true" applyProtection="false">
      <alignment horizontal="left" vertical="bottom" textRotation="0" wrapText="false" indent="0" shrinkToFit="false"/>
      <protection locked="true" hidden="false"/>
    </xf>
    <xf numFmtId="165" fontId="19" fillId="0" borderId="2" xfId="0" applyFont="true" applyBorder="tru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7" fontId="19" fillId="0" borderId="0" xfId="0" applyFont="true" applyBorder="false" applyAlignment="true" applyProtection="false">
      <alignment horizontal="right"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4" fillId="7"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 min="3" style="0" width="48"/>
    <col collapsed="false" customWidth="true" hidden="false" outlineLevel="0" max="4" min="4" style="0" width="14"/>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7" t="s">
        <v>4</v>
      </c>
      <c r="D5" s="7" t="s">
        <v>5</v>
      </c>
    </row>
    <row r="6" customFormat="false" ht="15" hidden="false" customHeight="false" outlineLevel="0" collapsed="false">
      <c r="A6" s="6"/>
      <c r="B6" s="8" t="s">
        <v>6</v>
      </c>
      <c r="C6" s="8" t="s">
        <v>7</v>
      </c>
      <c r="D6" s="8" t="s">
        <v>8</v>
      </c>
    </row>
    <row r="7" customFormat="false" ht="15" hidden="false" customHeight="false" outlineLevel="0" collapsed="false">
      <c r="A7" s="6"/>
      <c r="B7" s="8" t="s">
        <v>9</v>
      </c>
      <c r="C7" s="8" t="s">
        <v>10</v>
      </c>
      <c r="D7" s="8" t="s">
        <v>11</v>
      </c>
    </row>
    <row r="8" customFormat="false" ht="15" hidden="false" customHeight="false" outlineLevel="0" collapsed="false">
      <c r="A8" s="6"/>
      <c r="B8" s="8" t="s">
        <v>12</v>
      </c>
      <c r="C8" s="8" t="s">
        <v>13</v>
      </c>
      <c r="D8" s="8" t="s">
        <v>14</v>
      </c>
    </row>
    <row r="9" customFormat="false" ht="15" hidden="false" customHeight="false" outlineLevel="0" collapsed="false">
      <c r="A9" s="6"/>
      <c r="B9" s="8" t="s">
        <v>15</v>
      </c>
      <c r="C9" s="8" t="s">
        <v>16</v>
      </c>
      <c r="D9" s="8" t="s">
        <v>14</v>
      </c>
    </row>
    <row r="10" customFormat="false" ht="15" hidden="false" customHeight="false" outlineLevel="0" collapsed="false">
      <c r="A10" s="6"/>
      <c r="B10" s="8" t="s">
        <v>17</v>
      </c>
      <c r="C10" s="8" t="s">
        <v>18</v>
      </c>
      <c r="D10" s="8" t="s">
        <v>19</v>
      </c>
    </row>
    <row r="11" customFormat="false" ht="15" hidden="false" customHeight="false" outlineLevel="0" collapsed="false">
      <c r="A11" s="6"/>
      <c r="B11" s="8" t="s">
        <v>20</v>
      </c>
      <c r="C11" s="8" t="s">
        <v>21</v>
      </c>
      <c r="D11" s="8" t="s">
        <v>19</v>
      </c>
    </row>
    <row r="12" customFormat="false" ht="15" hidden="false" customHeight="false" outlineLevel="0" collapsed="false">
      <c r="A12" s="6"/>
      <c r="B12" s="8" t="s">
        <v>22</v>
      </c>
      <c r="C12" s="8" t="s">
        <v>23</v>
      </c>
      <c r="D12" s="8" t="s">
        <v>24</v>
      </c>
    </row>
    <row r="13" customFormat="false" ht="15" hidden="false" customHeight="false" outlineLevel="0" collapsed="false">
      <c r="A13" s="6"/>
      <c r="B13" s="8" t="s">
        <v>25</v>
      </c>
      <c r="C13" s="8" t="s">
        <v>26</v>
      </c>
      <c r="D13" s="8" t="s">
        <v>24</v>
      </c>
    </row>
    <row r="14" customFormat="false" ht="15" hidden="false" customHeight="false" outlineLevel="0" collapsed="false">
      <c r="A14" s="6"/>
      <c r="B14" s="8" t="s">
        <v>27</v>
      </c>
      <c r="C14" s="8" t="s">
        <v>28</v>
      </c>
      <c r="D14" s="8" t="s">
        <v>29</v>
      </c>
    </row>
    <row r="17" customFormat="false" ht="19.5" hidden="false" customHeight="true" outlineLevel="0" collapsed="false">
      <c r="B17" s="9" t="s">
        <v>30</v>
      </c>
      <c r="C17" s="10"/>
      <c r="D17" s="10"/>
      <c r="E17" s="10"/>
      <c r="F17" s="10"/>
      <c r="G17" s="10"/>
    </row>
    <row r="18" customFormat="false" ht="195.75" hidden="false" customHeight="true" outlineLevel="0" collapsed="false">
      <c r="B18" s="11" t="s">
        <v>31</v>
      </c>
      <c r="C18" s="11"/>
      <c r="D18" s="11"/>
      <c r="E18" s="11"/>
      <c r="F18" s="11"/>
      <c r="G18" s="11"/>
    </row>
    <row r="20" customFormat="false" ht="19.5" hidden="false" customHeight="true" outlineLevel="0" collapsed="false">
      <c r="B20" s="9" t="s">
        <v>32</v>
      </c>
      <c r="C20" s="10"/>
      <c r="D20" s="10"/>
      <c r="E20" s="10"/>
      <c r="F20" s="10"/>
      <c r="G20" s="10"/>
    </row>
    <row r="21" customFormat="false" ht="57" hidden="false" customHeight="true" outlineLevel="0" collapsed="false">
      <c r="B21" s="11" t="s">
        <v>33</v>
      </c>
      <c r="C21" s="11"/>
      <c r="D21" s="11"/>
      <c r="E21" s="11"/>
      <c r="F21" s="11"/>
      <c r="G21" s="11"/>
    </row>
    <row r="22" customFormat="false" ht="15" hidden="false" customHeight="false" outlineLevel="0" collapsed="false">
      <c r="B22" s="12" t="s">
        <v>34</v>
      </c>
      <c r="C22" s="12"/>
      <c r="D22" s="12"/>
      <c r="E22" s="12"/>
      <c r="F22" s="12"/>
      <c r="G22" s="12"/>
    </row>
    <row r="23" customFormat="false" ht="15" hidden="false" customHeight="false" outlineLevel="0" collapsed="false">
      <c r="B23" s="13" t="s">
        <v>35</v>
      </c>
    </row>
  </sheetData>
  <mergeCells count="3">
    <mergeCell ref="B18:G18"/>
    <mergeCell ref="B21:G21"/>
    <mergeCell ref="B22:G22"/>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4" t="s">
        <v>229</v>
      </c>
    </row>
    <row r="3" customFormat="false" ht="3.75" hidden="false" customHeight="true" outlineLevel="0" collapsed="false">
      <c r="B3" s="35"/>
    </row>
    <row r="5" customFormat="false" ht="19.5" hidden="false" customHeight="true" outlineLevel="0" collapsed="false">
      <c r="B5" s="36" t="s">
        <v>230</v>
      </c>
    </row>
    <row r="6" customFormat="false" ht="48" hidden="false" customHeight="true" outlineLevel="0" collapsed="false">
      <c r="B6" s="37" t="s">
        <v>231</v>
      </c>
    </row>
    <row r="8" customFormat="false" ht="19.5" hidden="false" customHeight="true" outlineLevel="0" collapsed="false">
      <c r="B8" s="36" t="s">
        <v>232</v>
      </c>
    </row>
    <row r="9" customFormat="false" ht="61.5" hidden="false" customHeight="true" outlineLevel="0" collapsed="false">
      <c r="B9" s="37" t="s">
        <v>233</v>
      </c>
    </row>
    <row r="11" customFormat="false" ht="19.5" hidden="false" customHeight="true" outlineLevel="0" collapsed="false">
      <c r="B11" s="36" t="s">
        <v>234</v>
      </c>
    </row>
    <row r="12" customFormat="false" ht="75.75" hidden="false" customHeight="true" outlineLevel="0" collapsed="false">
      <c r="B12" s="37" t="s">
        <v>235</v>
      </c>
    </row>
    <row r="14" customFormat="false" ht="19.5" hidden="false" customHeight="true" outlineLevel="0" collapsed="false">
      <c r="B14" s="36" t="s">
        <v>236</v>
      </c>
    </row>
    <row r="15" customFormat="false" ht="61.5" hidden="false" customHeight="true" outlineLevel="0" collapsed="false">
      <c r="B15" s="37" t="s">
        <v>237</v>
      </c>
    </row>
    <row r="17" customFormat="false" ht="19.5" hidden="false" customHeight="true" outlineLevel="0" collapsed="false">
      <c r="B17" s="36" t="s">
        <v>238</v>
      </c>
    </row>
    <row r="18" customFormat="false" ht="33.75" hidden="false" customHeight="true" outlineLevel="0" collapsed="false">
      <c r="B18" s="37" t="s">
        <v>239</v>
      </c>
    </row>
    <row r="20" customFormat="false" ht="19.5" hidden="false" customHeight="true" outlineLevel="0" collapsed="false">
      <c r="B20" s="36" t="s">
        <v>240</v>
      </c>
    </row>
    <row r="21" customFormat="false" ht="33.75" hidden="false" customHeight="true" outlineLevel="0" collapsed="false">
      <c r="B21" s="37" t="s">
        <v>241</v>
      </c>
    </row>
    <row r="23" customFormat="false" ht="21.75" hidden="false" customHeight="true" outlineLevel="0" collapsed="false">
      <c r="B23" s="38" t="s">
        <v>242</v>
      </c>
    </row>
    <row r="25" customFormat="false" ht="18" hidden="false" customHeight="true" outlineLevel="0" collapsed="false">
      <c r="B25" s="39" t="s">
        <v>243</v>
      </c>
    </row>
    <row r="26" customFormat="false" ht="201.75" hidden="false" customHeight="true" outlineLevel="0" collapsed="false">
      <c r="B26" s="40" t="s">
        <v>244</v>
      </c>
    </row>
    <row r="28" customFormat="false" ht="18" hidden="false" customHeight="true" outlineLevel="0" collapsed="false">
      <c r="B28" s="41" t="s">
        <v>245</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4"/>
    <col collapsed="false" customWidth="true" hidden="false" outlineLevel="0" max="4" min="4" style="0" width="10"/>
    <col collapsed="false" customWidth="true" hidden="false" outlineLevel="0" max="5" min="5" style="0" width="44"/>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9</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36</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4" t="s">
        <v>37</v>
      </c>
      <c r="C4" s="14" t="s">
        <v>38</v>
      </c>
      <c r="D4" s="14" t="s">
        <v>39</v>
      </c>
      <c r="E4" s="14" t="s">
        <v>40</v>
      </c>
    </row>
    <row r="5" customFormat="false" ht="15" hidden="false" customHeight="false" outlineLevel="0" collapsed="false">
      <c r="A5" s="6"/>
      <c r="B5" s="15" t="s">
        <v>41</v>
      </c>
      <c r="C5" s="16"/>
      <c r="D5" s="16"/>
      <c r="E5" s="16"/>
    </row>
    <row r="6" customFormat="false" ht="15" hidden="false" customHeight="false" outlineLevel="0" collapsed="false">
      <c r="A6" s="6"/>
      <c r="B6" s="17" t="s">
        <v>42</v>
      </c>
      <c r="C6" s="18" t="n">
        <v>500</v>
      </c>
      <c r="D6" s="19" t="s">
        <v>43</v>
      </c>
      <c r="E6" s="19" t="s">
        <v>44</v>
      </c>
    </row>
    <row r="7" customFormat="false" ht="15" hidden="false" customHeight="false" outlineLevel="0" collapsed="false">
      <c r="A7" s="6"/>
      <c r="B7" s="17" t="s">
        <v>45</v>
      </c>
      <c r="C7" s="20" t="n">
        <v>3</v>
      </c>
      <c r="D7" s="19" t="s">
        <v>46</v>
      </c>
      <c r="E7" s="19" t="s">
        <v>47</v>
      </c>
    </row>
    <row r="8" customFormat="false" ht="15" hidden="false" customHeight="false" outlineLevel="0" collapsed="false">
      <c r="A8" s="6"/>
      <c r="B8" s="17" t="s">
        <v>48</v>
      </c>
      <c r="C8" s="20" t="n">
        <v>7</v>
      </c>
      <c r="D8" s="19" t="s">
        <v>46</v>
      </c>
      <c r="E8" s="19" t="s">
        <v>49</v>
      </c>
    </row>
    <row r="9" customFormat="false" ht="15" hidden="false" customHeight="false" outlineLevel="0" collapsed="false">
      <c r="A9" s="6"/>
      <c r="B9" s="17" t="s">
        <v>50</v>
      </c>
      <c r="C9" s="21" t="n">
        <v>0.02</v>
      </c>
      <c r="D9" s="19" t="s">
        <v>51</v>
      </c>
      <c r="E9" s="19" t="s">
        <v>52</v>
      </c>
    </row>
    <row r="10" customFormat="false" ht="15" hidden="false" customHeight="false" outlineLevel="0" collapsed="false">
      <c r="A10" s="6"/>
      <c r="B10" s="6"/>
      <c r="C10" s="6"/>
      <c r="D10" s="6"/>
      <c r="E10" s="6"/>
    </row>
    <row r="11" customFormat="false" ht="15" hidden="false" customHeight="false" outlineLevel="0" collapsed="false">
      <c r="A11" s="6"/>
      <c r="B11" s="15" t="s">
        <v>53</v>
      </c>
      <c r="C11" s="16"/>
      <c r="D11" s="16"/>
      <c r="E11" s="16"/>
    </row>
    <row r="12" customFormat="false" ht="15" hidden="false" customHeight="false" outlineLevel="0" collapsed="false">
      <c r="A12" s="6"/>
      <c r="B12" s="17" t="s">
        <v>54</v>
      </c>
      <c r="C12" s="21" t="n">
        <v>0.045</v>
      </c>
      <c r="D12" s="19" t="s">
        <v>51</v>
      </c>
      <c r="E12" s="19" t="s">
        <v>55</v>
      </c>
    </row>
    <row r="13" customFormat="false" ht="15" hidden="false" customHeight="false" outlineLevel="0" collapsed="false">
      <c r="A13" s="6"/>
      <c r="B13" s="17" t="s">
        <v>56</v>
      </c>
      <c r="C13" s="21" t="n">
        <v>0.065</v>
      </c>
      <c r="D13" s="19" t="s">
        <v>51</v>
      </c>
      <c r="E13" s="19" t="s">
        <v>57</v>
      </c>
    </row>
    <row r="14" customFormat="false" ht="15" hidden="false" customHeight="false" outlineLevel="0" collapsed="false">
      <c r="A14" s="6"/>
      <c r="B14" s="17" t="s">
        <v>58</v>
      </c>
      <c r="C14" s="21" t="n">
        <v>0.01</v>
      </c>
      <c r="D14" s="19" t="s">
        <v>51</v>
      </c>
      <c r="E14" s="19" t="s">
        <v>59</v>
      </c>
    </row>
    <row r="15" customFormat="false" ht="15" hidden="false" customHeight="false" outlineLevel="0" collapsed="false">
      <c r="A15" s="6"/>
      <c r="B15" s="17" t="s">
        <v>60</v>
      </c>
      <c r="C15" s="21" t="n">
        <v>0.02</v>
      </c>
      <c r="D15" s="19" t="s">
        <v>51</v>
      </c>
      <c r="E15" s="19" t="s">
        <v>61</v>
      </c>
    </row>
    <row r="16" customFormat="false" ht="15" hidden="false" customHeight="false" outlineLevel="0" collapsed="false">
      <c r="A16" s="6"/>
      <c r="B16" s="17" t="s">
        <v>62</v>
      </c>
      <c r="C16" s="20" t="n">
        <v>5</v>
      </c>
      <c r="D16" s="19" t="s">
        <v>46</v>
      </c>
      <c r="E16" s="19" t="s">
        <v>63</v>
      </c>
    </row>
    <row r="17" customFormat="false" ht="15" hidden="false" customHeight="false" outlineLevel="0" collapsed="false">
      <c r="A17" s="6"/>
      <c r="B17" s="17" t="s">
        <v>64</v>
      </c>
      <c r="C17" s="21" t="n">
        <v>0.05</v>
      </c>
      <c r="D17" s="19" t="s">
        <v>51</v>
      </c>
      <c r="E17" s="19" t="s">
        <v>65</v>
      </c>
    </row>
    <row r="18" customFormat="false" ht="15" hidden="false" customHeight="false" outlineLevel="0" collapsed="false">
      <c r="A18" s="6"/>
      <c r="B18" s="6"/>
      <c r="C18" s="6"/>
      <c r="D18" s="6"/>
      <c r="E18" s="6"/>
    </row>
    <row r="19" customFormat="false" ht="15" hidden="false" customHeight="false" outlineLevel="0" collapsed="false">
      <c r="A19" s="6"/>
      <c r="B19" s="15" t="s">
        <v>66</v>
      </c>
      <c r="C19" s="16"/>
      <c r="D19" s="16"/>
      <c r="E19" s="16"/>
    </row>
    <row r="20" customFormat="false" ht="15" hidden="false" customHeight="false" outlineLevel="0" collapsed="false">
      <c r="A20" s="6"/>
      <c r="B20" s="17" t="s">
        <v>67</v>
      </c>
      <c r="C20" s="21" t="n">
        <v>0.02</v>
      </c>
      <c r="D20" s="19" t="s">
        <v>51</v>
      </c>
      <c r="E20" s="19" t="s">
        <v>68</v>
      </c>
    </row>
    <row r="21" customFormat="false" ht="15" hidden="false" customHeight="false" outlineLevel="0" collapsed="false">
      <c r="A21" s="6"/>
      <c r="B21" s="17" t="s">
        <v>69</v>
      </c>
      <c r="C21" s="21" t="n">
        <v>0.65</v>
      </c>
      <c r="D21" s="19" t="s">
        <v>51</v>
      </c>
      <c r="E21" s="19" t="s">
        <v>70</v>
      </c>
    </row>
    <row r="22" customFormat="false" ht="15" hidden="false" customHeight="false" outlineLevel="0" collapsed="false">
      <c r="A22" s="6"/>
      <c r="B22" s="6"/>
      <c r="C22" s="6"/>
      <c r="D22" s="6"/>
      <c r="E22" s="6"/>
    </row>
    <row r="23" customFormat="false" ht="15" hidden="false" customHeight="false" outlineLevel="0" collapsed="false">
      <c r="A23" s="6"/>
      <c r="B23" s="15" t="s">
        <v>71</v>
      </c>
      <c r="C23" s="16"/>
      <c r="D23" s="16"/>
      <c r="E23" s="16"/>
    </row>
    <row r="24" customFormat="false" ht="15" hidden="false" customHeight="false" outlineLevel="0" collapsed="false">
      <c r="A24" s="6"/>
      <c r="B24" s="17" t="s">
        <v>72</v>
      </c>
      <c r="C24" s="21" t="n">
        <v>0.3</v>
      </c>
      <c r="D24" s="19" t="s">
        <v>51</v>
      </c>
      <c r="E24" s="19" t="s">
        <v>73</v>
      </c>
    </row>
    <row r="25" customFormat="false" ht="15" hidden="false" customHeight="false" outlineLevel="0" collapsed="false">
      <c r="A25" s="6"/>
      <c r="B25" s="17" t="s">
        <v>74</v>
      </c>
      <c r="C25" s="21" t="n">
        <v>0.4</v>
      </c>
      <c r="D25" s="19" t="s">
        <v>51</v>
      </c>
      <c r="E25" s="19" t="s">
        <v>73</v>
      </c>
    </row>
    <row r="26" customFormat="false" ht="15" hidden="false" customHeight="false" outlineLevel="0" collapsed="false">
      <c r="A26" s="6"/>
      <c r="B26" s="17" t="s">
        <v>75</v>
      </c>
      <c r="C26" s="21" t="n">
        <v>0.3</v>
      </c>
      <c r="D26" s="19" t="s">
        <v>51</v>
      </c>
      <c r="E26" s="19" t="s">
        <v>73</v>
      </c>
    </row>
    <row r="27" customFormat="false" ht="15" hidden="false" customHeight="false" outlineLevel="0" collapsed="false">
      <c r="A27" s="6"/>
      <c r="B27" s="6"/>
      <c r="C27" s="6"/>
      <c r="D27" s="6"/>
      <c r="E27" s="6"/>
    </row>
    <row r="28" customFormat="false" ht="15" hidden="false" customHeight="false" outlineLevel="0" collapsed="false">
      <c r="A28" s="6"/>
      <c r="B28" s="15" t="s">
        <v>76</v>
      </c>
      <c r="C28" s="16"/>
      <c r="D28" s="16"/>
      <c r="E28" s="16"/>
    </row>
    <row r="29" customFormat="false" ht="15" hidden="false" customHeight="false" outlineLevel="0" collapsed="false">
      <c r="A29" s="6"/>
      <c r="B29" s="17" t="s">
        <v>77</v>
      </c>
      <c r="C29" s="21" t="n">
        <v>0.015</v>
      </c>
      <c r="D29" s="19" t="s">
        <v>51</v>
      </c>
      <c r="E29" s="19" t="s">
        <v>78</v>
      </c>
    </row>
    <row r="30" customFormat="false" ht="15" hidden="false" customHeight="false" outlineLevel="0" collapsed="false">
      <c r="A30" s="6"/>
      <c r="B30" s="17" t="s">
        <v>79</v>
      </c>
      <c r="C30" s="21" t="n">
        <v>0.01</v>
      </c>
      <c r="D30" s="19" t="s">
        <v>51</v>
      </c>
      <c r="E30" s="19" t="s">
        <v>80</v>
      </c>
    </row>
    <row r="31" customFormat="false" ht="15" hidden="false" customHeight="false" outlineLevel="0" collapsed="false">
      <c r="A31" s="6"/>
      <c r="B31" s="17" t="s">
        <v>81</v>
      </c>
      <c r="C31" s="21" t="n">
        <v>0.06</v>
      </c>
      <c r="D31" s="19" t="s">
        <v>51</v>
      </c>
      <c r="E31" s="19" t="s">
        <v>82</v>
      </c>
    </row>
    <row r="32" customFormat="false" ht="15" hidden="false" customHeight="false" outlineLevel="0" collapsed="false">
      <c r="A32" s="6"/>
      <c r="B32" s="17" t="s">
        <v>83</v>
      </c>
      <c r="C32" s="18" t="n">
        <v>1</v>
      </c>
      <c r="D32" s="19" t="s">
        <v>51</v>
      </c>
      <c r="E32" s="19" t="s">
        <v>84</v>
      </c>
    </row>
    <row r="33" customFormat="false" ht="15" hidden="false" customHeight="false" outlineLevel="0" collapsed="false">
      <c r="A33" s="6"/>
      <c r="B33" s="17" t="s">
        <v>85</v>
      </c>
      <c r="C33" s="21" t="n">
        <v>0.15</v>
      </c>
      <c r="D33" s="19" t="s">
        <v>51</v>
      </c>
      <c r="E33" s="19" t="s">
        <v>86</v>
      </c>
    </row>
    <row r="34" customFormat="false" ht="15" hidden="false" customHeight="false" outlineLevel="0" collapsed="false">
      <c r="A34" s="6"/>
      <c r="B34" s="6"/>
      <c r="C34" s="6"/>
      <c r="D34" s="6"/>
      <c r="E34" s="6"/>
    </row>
    <row r="35" customFormat="false" ht="15" hidden="false" customHeight="false" outlineLevel="0" collapsed="false">
      <c r="A35" s="6"/>
      <c r="B35" s="15" t="s">
        <v>87</v>
      </c>
      <c r="C35" s="16"/>
      <c r="D35" s="16"/>
      <c r="E35" s="16"/>
    </row>
    <row r="36" customFormat="false" ht="15" hidden="false" customHeight="false" outlineLevel="0" collapsed="false">
      <c r="A36" s="6"/>
      <c r="B36" s="17" t="s">
        <v>87</v>
      </c>
      <c r="C36" s="21" t="n">
        <v>0.0025</v>
      </c>
      <c r="D36" s="19" t="s">
        <v>51</v>
      </c>
      <c r="E36" s="19" t="s">
        <v>88</v>
      </c>
    </row>
    <row r="37" customFormat="false" ht="15" hidden="false" customHeight="false" outlineLevel="0" collapsed="false">
      <c r="A37" s="6"/>
      <c r="B37" s="6"/>
      <c r="C37" s="6"/>
      <c r="D37" s="6"/>
      <c r="E37" s="6"/>
    </row>
    <row r="38" customFormat="false" ht="15" hidden="false" customHeight="false" outlineLevel="0" collapsed="false">
      <c r="A38" s="6"/>
      <c r="B38" s="15" t="s">
        <v>89</v>
      </c>
      <c r="C38" s="16"/>
      <c r="D38" s="16"/>
      <c r="E38" s="16"/>
    </row>
    <row r="39" customFormat="false" ht="15" hidden="false" customHeight="false" outlineLevel="0" collapsed="false">
      <c r="A39" s="6"/>
      <c r="B39" s="17" t="s">
        <v>90</v>
      </c>
      <c r="C39" s="21" t="n">
        <v>0.45</v>
      </c>
      <c r="D39" s="19" t="s">
        <v>51</v>
      </c>
      <c r="E39" s="19" t="s">
        <v>91</v>
      </c>
    </row>
    <row r="40" customFormat="false" ht="15" hidden="false" customHeight="false" outlineLevel="0" collapsed="false">
      <c r="A40" s="6"/>
      <c r="B40" s="17" t="s">
        <v>92</v>
      </c>
      <c r="C40" s="21" t="n">
        <v>0.5</v>
      </c>
      <c r="D40" s="19" t="s">
        <v>43</v>
      </c>
      <c r="E40" s="19" t="s">
        <v>93</v>
      </c>
    </row>
    <row r="41" customFormat="false" ht="15" hidden="false" customHeight="false" outlineLevel="0" collapsed="false">
      <c r="A41" s="6"/>
      <c r="B41" s="17" t="s">
        <v>94</v>
      </c>
      <c r="C41" s="21" t="n">
        <v>0.3</v>
      </c>
      <c r="D41" s="19" t="s">
        <v>43</v>
      </c>
      <c r="E41" s="19" t="s">
        <v>95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96</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97</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4" t="s">
        <v>98</v>
      </c>
      <c r="C4" s="22" t="n">
        <v>1</v>
      </c>
      <c r="D4" s="22" t="n">
        <v>2</v>
      </c>
      <c r="E4" s="22" t="n">
        <v>3</v>
      </c>
      <c r="F4" s="22" t="n">
        <v>4</v>
      </c>
      <c r="G4" s="22" t="n">
        <v>5</v>
      </c>
      <c r="H4" s="22" t="n">
        <v>6</v>
      </c>
      <c r="I4" s="22" t="n">
        <v>7</v>
      </c>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5" t="s">
        <v>99</v>
      </c>
      <c r="C6" s="16"/>
      <c r="D6" s="16"/>
      <c r="E6" s="16"/>
      <c r="F6" s="16"/>
      <c r="G6" s="16"/>
      <c r="H6" s="16"/>
      <c r="I6" s="16"/>
    </row>
    <row r="7" customFormat="false" ht="15" hidden="false" customHeight="false" outlineLevel="0" collapsed="false">
      <c r="A7" s="6"/>
      <c r="B7" s="17" t="s">
        <v>100</v>
      </c>
      <c r="C7" s="23" t="n">
        <f aca="false">IF(C4=1,Deploy_Y1,IF(C4=2,Deploy_Y2,IF(C4=3,Deploy_Y3,0)))</f>
        <v>0.3</v>
      </c>
      <c r="D7" s="23" t="n">
        <f aca="false">IF(D4=1,Deploy_Y1,IF(D4=2,Deploy_Y2,IF(D4=3,Deploy_Y3,0)))</f>
        <v>0.4</v>
      </c>
      <c r="E7" s="23" t="n">
        <f aca="false">IF(E4=1,Deploy_Y1,IF(E4=2,Deploy_Y2,IF(E4=3,Deploy_Y3,0)))</f>
        <v>0.3</v>
      </c>
      <c r="F7" s="23" t="n">
        <f aca="false">IF(F4=1,Deploy_Y1,IF(F4=2,Deploy_Y2,IF(F4=3,Deploy_Y3,0)))</f>
        <v>0</v>
      </c>
      <c r="G7" s="23" t="n">
        <f aca="false">IF(G4=1,Deploy_Y1,IF(G4=2,Deploy_Y2,IF(G4=3,Deploy_Y3,0)))</f>
        <v>0</v>
      </c>
      <c r="H7" s="23" t="n">
        <f aca="false">IF(H4=1,Deploy_Y1,IF(H4=2,Deploy_Y2,IF(H4=3,Deploy_Y3,0)))</f>
        <v>0</v>
      </c>
      <c r="I7" s="23" t="n">
        <f aca="false">IF(I4=1,Deploy_Y1,IF(I4=2,Deploy_Y2,IF(I4=3,Deploy_Y3,0)))</f>
        <v>0</v>
      </c>
    </row>
    <row r="8" customFormat="false" ht="15" hidden="false" customHeight="false" outlineLevel="0" collapsed="false">
      <c r="A8" s="6"/>
      <c r="B8" s="24" t="s">
        <v>101</v>
      </c>
      <c r="C8" s="25" t="n">
        <f aca="false">Fund_Size*C7</f>
        <v>150</v>
      </c>
      <c r="D8" s="25" t="n">
        <f aca="false">Fund_Size*D7</f>
        <v>200</v>
      </c>
      <c r="E8" s="25" t="n">
        <f aca="false">Fund_Size*E7</f>
        <v>150</v>
      </c>
      <c r="F8" s="25" t="n">
        <f aca="false">Fund_Size*F7</f>
        <v>0</v>
      </c>
      <c r="G8" s="25" t="n">
        <f aca="false">Fund_Size*G7</f>
        <v>0</v>
      </c>
      <c r="H8" s="25" t="n">
        <f aca="false">Fund_Size*H7</f>
        <v>0</v>
      </c>
      <c r="I8" s="25" t="n">
        <f aca="false">Fund_Size*I7</f>
        <v>0</v>
      </c>
    </row>
    <row r="9" customFormat="false" ht="15" hidden="false" customHeight="false" outlineLevel="0" collapsed="false">
      <c r="A9" s="6"/>
      <c r="B9" s="26" t="s">
        <v>102</v>
      </c>
      <c r="C9" s="27" t="n">
        <f aca="false">C8</f>
        <v>150</v>
      </c>
      <c r="D9" s="27" t="n">
        <f aca="false">C9+D8</f>
        <v>350</v>
      </c>
      <c r="E9" s="27" t="n">
        <f aca="false">D9+E8</f>
        <v>500</v>
      </c>
      <c r="F9" s="27" t="n">
        <f aca="false">E9+F8</f>
        <v>500</v>
      </c>
      <c r="G9" s="27" t="n">
        <f aca="false">F9+G8</f>
        <v>500</v>
      </c>
      <c r="H9" s="27" t="n">
        <f aca="false">G9+H8</f>
        <v>500</v>
      </c>
      <c r="I9" s="27" t="n">
        <f aca="false">H9+I8</f>
        <v>500</v>
      </c>
    </row>
    <row r="10" customFormat="false" ht="15" hidden="false" customHeight="false" outlineLevel="0" collapsed="false">
      <c r="A10" s="6"/>
      <c r="B10" s="6"/>
      <c r="C10" s="6"/>
      <c r="D10" s="6"/>
      <c r="E10" s="6"/>
      <c r="F10" s="6"/>
      <c r="G10" s="6"/>
      <c r="H10" s="6"/>
      <c r="I10" s="6"/>
    </row>
    <row r="11" customFormat="false" ht="15" hidden="false" customHeight="false" outlineLevel="0" collapsed="false">
      <c r="A11" s="6"/>
      <c r="B11" s="15" t="s">
        <v>103</v>
      </c>
      <c r="C11" s="16"/>
      <c r="D11" s="16"/>
      <c r="E11" s="16"/>
      <c r="F11" s="16"/>
      <c r="G11" s="16"/>
      <c r="H11" s="16"/>
      <c r="I11" s="16"/>
    </row>
    <row r="12" customFormat="false" ht="15" hidden="false" customHeight="false" outlineLevel="0" collapsed="false">
      <c r="A12" s="6"/>
      <c r="B12" s="17" t="s">
        <v>104</v>
      </c>
      <c r="C12" s="25" t="n">
        <f aca="false">0</f>
        <v>0</v>
      </c>
      <c r="D12" s="25" t="n">
        <f aca="false">C18</f>
        <v>150</v>
      </c>
      <c r="E12" s="25" t="n">
        <f aca="false">D18</f>
        <v>341</v>
      </c>
      <c r="F12" s="25" t="n">
        <f aca="false">E18</f>
        <v>470.54</v>
      </c>
      <c r="G12" s="25" t="n">
        <f aca="false">F18</f>
        <v>442.3076</v>
      </c>
      <c r="H12" s="25" t="n">
        <f aca="false">G18</f>
        <v>415.769144</v>
      </c>
      <c r="I12" s="25" t="n">
        <f aca="false">H18</f>
        <v>390.82299536</v>
      </c>
    </row>
    <row r="13" customFormat="false" ht="15" hidden="false" customHeight="false" outlineLevel="0" collapsed="false">
      <c r="A13" s="6"/>
      <c r="B13" s="24" t="s">
        <v>101</v>
      </c>
      <c r="C13" s="25" t="n">
        <f aca="false">C8</f>
        <v>150</v>
      </c>
      <c r="D13" s="25" t="n">
        <f aca="false">D8</f>
        <v>200</v>
      </c>
      <c r="E13" s="25" t="n">
        <f aca="false">E8</f>
        <v>150</v>
      </c>
      <c r="F13" s="25" t="n">
        <f aca="false">F8</f>
        <v>0</v>
      </c>
      <c r="G13" s="25" t="n">
        <f aca="false">G8</f>
        <v>0</v>
      </c>
      <c r="H13" s="25" t="n">
        <f aca="false">H8</f>
        <v>0</v>
      </c>
      <c r="I13" s="25" t="n">
        <f aca="false">I8</f>
        <v>0</v>
      </c>
    </row>
    <row r="14" customFormat="false" ht="15" hidden="false" customHeight="false" outlineLevel="0" collapsed="false">
      <c r="A14" s="6"/>
      <c r="B14" s="24" t="s">
        <v>105</v>
      </c>
      <c r="C14" s="25" t="n">
        <f aca="false">C12*PIK_Rate</f>
        <v>0</v>
      </c>
      <c r="D14" s="25" t="n">
        <f aca="false">D12*PIK_Rate</f>
        <v>1.5</v>
      </c>
      <c r="E14" s="25" t="n">
        <f aca="false">E12*PIK_Rate</f>
        <v>3.41</v>
      </c>
      <c r="F14" s="25" t="n">
        <f aca="false">F12*PIK_Rate</f>
        <v>4.7054</v>
      </c>
      <c r="G14" s="25" t="n">
        <f aca="false">G12*PIK_Rate</f>
        <v>4.423076</v>
      </c>
      <c r="H14" s="25" t="n">
        <f aca="false">H12*PIK_Rate</f>
        <v>4.15769144</v>
      </c>
      <c r="I14" s="25" t="n">
        <f aca="false">I12*PIK_Rate</f>
        <v>3.9082299536</v>
      </c>
    </row>
    <row r="15" customFormat="false" ht="15" hidden="false" customHeight="false" outlineLevel="0" collapsed="false">
      <c r="A15" s="6"/>
      <c r="B15" s="24" t="s">
        <v>106</v>
      </c>
      <c r="C15" s="25" t="n">
        <f aca="false">-C12*Amort_Pct</f>
        <v>-0</v>
      </c>
      <c r="D15" s="25" t="n">
        <f aca="false">-D12*Amort_Pct</f>
        <v>-7.5</v>
      </c>
      <c r="E15" s="25" t="n">
        <f aca="false">-E12*Amort_Pct</f>
        <v>-17.05</v>
      </c>
      <c r="F15" s="25" t="n">
        <f aca="false">-F12*Amort_Pct</f>
        <v>-23.527</v>
      </c>
      <c r="G15" s="25" t="n">
        <f aca="false">-G12*Amort_Pct</f>
        <v>-22.11538</v>
      </c>
      <c r="H15" s="25" t="n">
        <f aca="false">-H12*Amort_Pct</f>
        <v>-20.7884572</v>
      </c>
      <c r="I15" s="25" t="n">
        <f aca="false">-I12*Amort_Pct</f>
        <v>-19.541149768</v>
      </c>
    </row>
    <row r="16" customFormat="false" ht="15" hidden="false" customHeight="false" outlineLevel="0" collapsed="false">
      <c r="A16" s="6"/>
      <c r="B16" s="24" t="s">
        <v>107</v>
      </c>
      <c r="C16" s="25" t="n">
        <f aca="false">-IF(C4&gt;=Fund_Term,C12+C13+C14+C15+C17,0)</f>
        <v>-0</v>
      </c>
      <c r="D16" s="25" t="n">
        <f aca="false">-IF(D4&gt;=Fund_Term,D12+D13+D14+D15+D17,0)</f>
        <v>-0</v>
      </c>
      <c r="E16" s="25" t="n">
        <f aca="false">-IF(E4&gt;=Fund_Term,E12+E13+E14+E15+E17,0)</f>
        <v>-0</v>
      </c>
      <c r="F16" s="25" t="n">
        <f aca="false">-IF(F4&gt;=Fund_Term,F12+F13+F14+F15+F17,0)</f>
        <v>-0</v>
      </c>
      <c r="G16" s="25" t="n">
        <f aca="false">-IF(G4&gt;=Fund_Term,G12+G13+G14+G15+G17,0)</f>
        <v>-0</v>
      </c>
      <c r="H16" s="25" t="n">
        <f aca="false">-IF(H4&gt;=Fund_Term,H12+H13+H14+H15+H17,0)</f>
        <v>-0</v>
      </c>
      <c r="I16" s="25" t="n">
        <f aca="false">-IF(I4&gt;=Fund_Term,I12+I13+I14+I15+I17,0)</f>
        <v>-367.3736156384</v>
      </c>
    </row>
    <row r="17" customFormat="false" ht="15" hidden="false" customHeight="false" outlineLevel="0" collapsed="false">
      <c r="A17" s="6"/>
      <c r="B17" s="24" t="s">
        <v>108</v>
      </c>
      <c r="C17" s="25" t="n">
        <f aca="false">-C12*Default_Rate</f>
        <v>-0</v>
      </c>
      <c r="D17" s="25" t="n">
        <f aca="false">-D12*Default_Rate</f>
        <v>-3</v>
      </c>
      <c r="E17" s="25" t="n">
        <f aca="false">-E12*Default_Rate</f>
        <v>-6.82</v>
      </c>
      <c r="F17" s="25" t="n">
        <f aca="false">-F12*Default_Rate</f>
        <v>-9.4108</v>
      </c>
      <c r="G17" s="25" t="n">
        <f aca="false">-G12*Default_Rate</f>
        <v>-8.846152</v>
      </c>
      <c r="H17" s="25" t="n">
        <f aca="false">-H12*Default_Rate</f>
        <v>-8.31538288</v>
      </c>
      <c r="I17" s="25" t="n">
        <f aca="false">-I12*Default_Rate</f>
        <v>-7.8164599072</v>
      </c>
    </row>
    <row r="18" customFormat="false" ht="15" hidden="false" customHeight="false" outlineLevel="0" collapsed="false">
      <c r="A18" s="6"/>
      <c r="B18" s="28" t="s">
        <v>109</v>
      </c>
      <c r="C18" s="29" t="n">
        <f aca="false">C12+C13+C14+C15+C16+C17</f>
        <v>150</v>
      </c>
      <c r="D18" s="29" t="n">
        <f aca="false">D12+D13+D14+D15+D16+D17</f>
        <v>341</v>
      </c>
      <c r="E18" s="29" t="n">
        <f aca="false">E12+E13+E14+E15+E16+E17</f>
        <v>470.54</v>
      </c>
      <c r="F18" s="29" t="n">
        <f aca="false">F12+F13+F14+F15+F16+F17</f>
        <v>442.3076</v>
      </c>
      <c r="G18" s="29" t="n">
        <f aca="false">G12+G13+G14+G15+G16+G17</f>
        <v>415.769144</v>
      </c>
      <c r="H18" s="29" t="n">
        <f aca="false">H12+H13+H14+H15+H16+H17</f>
        <v>390.82299536</v>
      </c>
      <c r="I18" s="29" t="n">
        <f aca="false">I12+I13+I14+I15+I16+I17</f>
        <v>0</v>
      </c>
    </row>
    <row r="19" customFormat="false" ht="15" hidden="false" customHeight="false" outlineLevel="0" collapsed="false">
      <c r="A19" s="6"/>
      <c r="B19" s="6"/>
      <c r="C19" s="6"/>
      <c r="D19" s="6"/>
      <c r="E19" s="6"/>
      <c r="F19" s="6"/>
      <c r="G19" s="6"/>
      <c r="H19" s="6"/>
      <c r="I19" s="6"/>
    </row>
    <row r="20" customFormat="false" ht="15" hidden="false" customHeight="false" outlineLevel="0" collapsed="false">
      <c r="A20" s="6"/>
      <c r="B20" s="17" t="s">
        <v>110</v>
      </c>
      <c r="C20" s="25" t="n">
        <f aca="false">(C12+C18)/2</f>
        <v>75</v>
      </c>
      <c r="D20" s="25" t="n">
        <f aca="false">(D12+D18)/2</f>
        <v>245.5</v>
      </c>
      <c r="E20" s="25" t="n">
        <f aca="false">(E12+E18)/2</f>
        <v>405.77</v>
      </c>
      <c r="F20" s="25" t="n">
        <f aca="false">(F12+F18)/2</f>
        <v>456.4238</v>
      </c>
      <c r="G20" s="25" t="n">
        <f aca="false">(G12+G18)/2</f>
        <v>429.038372</v>
      </c>
      <c r="H20" s="25" t="n">
        <f aca="false">(H12+H18)/2</f>
        <v>403.29606968</v>
      </c>
      <c r="I20" s="25" t="n">
        <f aca="false">(I12+I18)/2</f>
        <v>195.41149768</v>
      </c>
    </row>
    <row r="21" customFormat="false" ht="15" hidden="false" customHeight="false" outlineLevel="0" collapsed="false">
      <c r="A21" s="6"/>
      <c r="B21" s="6"/>
      <c r="C21" s="6"/>
      <c r="D21" s="6"/>
      <c r="E21" s="6"/>
      <c r="F21" s="6"/>
      <c r="G21" s="6"/>
      <c r="H21" s="6"/>
      <c r="I21" s="6"/>
    </row>
    <row r="22" customFormat="false" ht="15" hidden="false" customHeight="false" outlineLevel="0" collapsed="false">
      <c r="A22" s="6"/>
      <c r="B22" s="15" t="s">
        <v>111</v>
      </c>
      <c r="C22" s="16"/>
      <c r="D22" s="16"/>
      <c r="E22" s="16"/>
      <c r="F22" s="16"/>
      <c r="G22" s="16"/>
      <c r="H22" s="16"/>
      <c r="I22" s="16"/>
    </row>
    <row r="23" customFormat="false" ht="15" hidden="false" customHeight="false" outlineLevel="0" collapsed="false">
      <c r="A23" s="6"/>
      <c r="B23" s="24" t="s">
        <v>112</v>
      </c>
      <c r="C23" s="25" t="n">
        <f aca="false">C20*(Base_Rate+Credit_Spread)</f>
        <v>8.25</v>
      </c>
      <c r="D23" s="25" t="n">
        <f aca="false">D20*(Base_Rate+Credit_Spread)</f>
        <v>27.005</v>
      </c>
      <c r="E23" s="25" t="n">
        <f aca="false">E20*(Base_Rate+Credit_Spread)</f>
        <v>44.6347</v>
      </c>
      <c r="F23" s="25" t="n">
        <f aca="false">F20*(Base_Rate+Credit_Spread)</f>
        <v>50.206618</v>
      </c>
      <c r="G23" s="25" t="n">
        <f aca="false">G20*(Base_Rate+Credit_Spread)</f>
        <v>47.19422092</v>
      </c>
      <c r="H23" s="25" t="n">
        <f aca="false">H20*(Base_Rate+Credit_Spread)</f>
        <v>44.3625676648</v>
      </c>
      <c r="I23" s="25" t="n">
        <f aca="false">I20*(Base_Rate+Credit_Spread)</f>
        <v>21.4952647448</v>
      </c>
    </row>
    <row r="24" customFormat="false" ht="15" hidden="false" customHeight="false" outlineLevel="0" collapsed="false">
      <c r="A24" s="6"/>
      <c r="B24" s="24" t="s">
        <v>113</v>
      </c>
      <c r="C24" s="25" t="n">
        <f aca="false">C20*PIK_Rate</f>
        <v>0.75</v>
      </c>
      <c r="D24" s="25" t="n">
        <f aca="false">D20*PIK_Rate</f>
        <v>2.455</v>
      </c>
      <c r="E24" s="25" t="n">
        <f aca="false">E20*PIK_Rate</f>
        <v>4.0577</v>
      </c>
      <c r="F24" s="25" t="n">
        <f aca="false">F20*PIK_Rate</f>
        <v>4.564238</v>
      </c>
      <c r="G24" s="25" t="n">
        <f aca="false">G20*PIK_Rate</f>
        <v>4.29038372</v>
      </c>
      <c r="H24" s="25" t="n">
        <f aca="false">H20*PIK_Rate</f>
        <v>4.0329606968</v>
      </c>
      <c r="I24" s="25" t="n">
        <f aca="false">I20*PIK_Rate</f>
        <v>1.9541149768</v>
      </c>
    </row>
    <row r="25" customFormat="false" ht="15" hidden="false" customHeight="false" outlineLevel="0" collapsed="false">
      <c r="A25" s="6"/>
      <c r="B25" s="24" t="s">
        <v>114</v>
      </c>
      <c r="C25" s="25" t="n">
        <f aca="false">C9*OID_Pct/Loan_Maturity</f>
        <v>0.6</v>
      </c>
      <c r="D25" s="25" t="n">
        <f aca="false">D9*OID_Pct/Loan_Maturity</f>
        <v>1.4</v>
      </c>
      <c r="E25" s="25" t="n">
        <f aca="false">E9*OID_Pct/Loan_Maturity</f>
        <v>2</v>
      </c>
      <c r="F25" s="25" t="n">
        <f aca="false">F9*OID_Pct/Loan_Maturity</f>
        <v>2</v>
      </c>
      <c r="G25" s="25" t="n">
        <f aca="false">G9*OID_Pct/Loan_Maturity</f>
        <v>2</v>
      </c>
      <c r="H25" s="25" t="n">
        <f aca="false">H9*OID_Pct/Loan_Maturity</f>
        <v>2</v>
      </c>
      <c r="I25" s="25" t="n">
        <f aca="false">I9*OID_Pct/Loan_Maturity</f>
        <v>2</v>
      </c>
    </row>
    <row r="26" customFormat="false" ht="15" hidden="false" customHeight="false" outlineLevel="0" collapsed="false">
      <c r="A26" s="6"/>
      <c r="B26" s="26" t="s">
        <v>115</v>
      </c>
      <c r="C26" s="27" t="n">
        <f aca="false">C23+C24+C25</f>
        <v>9.6</v>
      </c>
      <c r="D26" s="27" t="n">
        <f aca="false">D23+D24+D25</f>
        <v>30.86</v>
      </c>
      <c r="E26" s="27" t="n">
        <f aca="false">E23+E24+E25</f>
        <v>50.6924</v>
      </c>
      <c r="F26" s="27" t="n">
        <f aca="false">F23+F24+F25</f>
        <v>56.770856</v>
      </c>
      <c r="G26" s="27" t="n">
        <f aca="false">G23+G24+G25</f>
        <v>53.48460464</v>
      </c>
      <c r="H26" s="27" t="n">
        <f aca="false">H23+H24+H25</f>
        <v>50.3955283616</v>
      </c>
      <c r="I26" s="27" t="n">
        <f aca="false">I23+I24+I25</f>
        <v>25.4493797216</v>
      </c>
    </row>
    <row r="27" customFormat="false" ht="15" hidden="false" customHeight="false" outlineLevel="0" collapsed="false">
      <c r="A27" s="6"/>
      <c r="B27" s="6"/>
      <c r="C27" s="6"/>
      <c r="D27" s="6"/>
      <c r="E27" s="6"/>
      <c r="F27" s="6"/>
      <c r="G27" s="6"/>
      <c r="H27" s="6"/>
      <c r="I27" s="6"/>
    </row>
    <row r="28" customFormat="false" ht="15" hidden="false" customHeight="false" outlineLevel="0" collapsed="false">
      <c r="A28" s="6"/>
      <c r="B28" s="15" t="s">
        <v>116</v>
      </c>
      <c r="C28" s="16"/>
      <c r="D28" s="16"/>
      <c r="E28" s="16"/>
      <c r="F28" s="16"/>
      <c r="G28" s="16"/>
      <c r="H28" s="16"/>
      <c r="I28" s="16"/>
    </row>
    <row r="29" customFormat="false" ht="15" hidden="false" customHeight="false" outlineLevel="0" collapsed="false">
      <c r="A29" s="6"/>
      <c r="B29" s="24" t="s">
        <v>117</v>
      </c>
      <c r="C29" s="25" t="n">
        <f aca="false">C12*Default_Rate</f>
        <v>0</v>
      </c>
      <c r="D29" s="25" t="n">
        <f aca="false">D12*Default_Rate</f>
        <v>3</v>
      </c>
      <c r="E29" s="25" t="n">
        <f aca="false">E12*Default_Rate</f>
        <v>6.82</v>
      </c>
      <c r="F29" s="25" t="n">
        <f aca="false">F12*Default_Rate</f>
        <v>9.4108</v>
      </c>
      <c r="G29" s="25" t="n">
        <f aca="false">G12*Default_Rate</f>
        <v>8.846152</v>
      </c>
      <c r="H29" s="25" t="n">
        <f aca="false">H12*Default_Rate</f>
        <v>8.31538288</v>
      </c>
      <c r="I29" s="25" t="n">
        <f aca="false">I12*Default_Rate</f>
        <v>7.8164599072</v>
      </c>
    </row>
    <row r="30" customFormat="false" ht="15" hidden="false" customHeight="false" outlineLevel="0" collapsed="false">
      <c r="A30" s="6"/>
      <c r="B30" s="24" t="s">
        <v>118</v>
      </c>
      <c r="C30" s="25" t="n">
        <f aca="false">-C29*Recovery_Rate</f>
        <v>-0</v>
      </c>
      <c r="D30" s="25" t="n">
        <f aca="false">-D29*Recovery_Rate</f>
        <v>-1.95</v>
      </c>
      <c r="E30" s="25" t="n">
        <f aca="false">-E29*Recovery_Rate</f>
        <v>-4.433</v>
      </c>
      <c r="F30" s="25" t="n">
        <f aca="false">-F29*Recovery_Rate</f>
        <v>-6.11702</v>
      </c>
      <c r="G30" s="25" t="n">
        <f aca="false">-G29*Recovery_Rate</f>
        <v>-5.7499988</v>
      </c>
      <c r="H30" s="25" t="n">
        <f aca="false">-H29*Recovery_Rate</f>
        <v>-5.404998872</v>
      </c>
      <c r="I30" s="25" t="n">
        <f aca="false">-I29*Recovery_Rate</f>
        <v>-5.08069893968</v>
      </c>
    </row>
    <row r="31" customFormat="false" ht="15" hidden="false" customHeight="false" outlineLevel="0" collapsed="false">
      <c r="A31" s="6"/>
      <c r="B31" s="26" t="s">
        <v>119</v>
      </c>
      <c r="C31" s="27" t="n">
        <f aca="false">C29+C30</f>
        <v>0</v>
      </c>
      <c r="D31" s="27" t="n">
        <f aca="false">D29+D30</f>
        <v>1.05</v>
      </c>
      <c r="E31" s="27" t="n">
        <f aca="false">E29+E30</f>
        <v>2.387</v>
      </c>
      <c r="F31" s="27" t="n">
        <f aca="false">F29+F30</f>
        <v>3.29378</v>
      </c>
      <c r="G31" s="27" t="n">
        <f aca="false">G29+G30</f>
        <v>3.0961532</v>
      </c>
      <c r="H31" s="27" t="n">
        <f aca="false">H29+H30</f>
        <v>2.910384008</v>
      </c>
      <c r="I31" s="27" t="n">
        <f aca="false">I29+I30</f>
        <v>2.73576096752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120</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121</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4" t="s">
        <v>98</v>
      </c>
      <c r="C4" s="22" t="n">
        <v>1</v>
      </c>
      <c r="D4" s="22" t="n">
        <v>2</v>
      </c>
      <c r="E4" s="22" t="n">
        <v>3</v>
      </c>
      <c r="F4" s="22" t="n">
        <v>4</v>
      </c>
      <c r="G4" s="22" t="n">
        <v>5</v>
      </c>
      <c r="H4" s="22" t="n">
        <v>6</v>
      </c>
      <c r="I4" s="22" t="n">
        <v>7</v>
      </c>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5" t="s">
        <v>122</v>
      </c>
      <c r="C6" s="16"/>
      <c r="D6" s="16"/>
      <c r="E6" s="16"/>
      <c r="F6" s="16"/>
      <c r="G6" s="16"/>
      <c r="H6" s="16"/>
      <c r="I6" s="16"/>
    </row>
    <row r="7" customFormat="false" ht="15" hidden="false" customHeight="false" outlineLevel="0" collapsed="false">
      <c r="A7" s="6"/>
      <c r="B7" s="24" t="s">
        <v>123</v>
      </c>
      <c r="C7" s="25" t="n">
        <f aca="true">LP_Cash_Interest</f>
        <v>8.25</v>
      </c>
      <c r="D7" s="25" t="n">
        <f aca="true">LP_Cash_Interest</f>
        <v>27.005</v>
      </c>
      <c r="E7" s="25" t="n">
        <f aca="true">LP_Cash_Interest</f>
        <v>44.6347</v>
      </c>
      <c r="F7" s="25" t="n">
        <f aca="true">LP_Cash_Interest</f>
        <v>50.206618</v>
      </c>
      <c r="G7" s="25" t="n">
        <f aca="true">LP_Cash_Interest</f>
        <v>47.19422092</v>
      </c>
      <c r="H7" s="25" t="n">
        <f aca="true">LP_Cash_Interest</f>
        <v>44.3625676648</v>
      </c>
      <c r="I7" s="25" t="n">
        <f aca="true">LP_Cash_Interest</f>
        <v>21.4952647448</v>
      </c>
    </row>
    <row r="8" customFormat="false" ht="15" hidden="false" customHeight="false" outlineLevel="0" collapsed="false">
      <c r="A8" s="6"/>
      <c r="B8" s="24" t="s">
        <v>124</v>
      </c>
      <c r="C8" s="25" t="n">
        <f aca="true">LP_New_Deploy*OID_Pct</f>
        <v>3</v>
      </c>
      <c r="D8" s="25" t="n">
        <f aca="true">LP_New_Deploy*OID_Pct</f>
        <v>4</v>
      </c>
      <c r="E8" s="25" t="n">
        <f aca="true">LP_New_Deploy*OID_Pct</f>
        <v>3</v>
      </c>
      <c r="F8" s="25" t="n">
        <f aca="true">LP_New_Deploy*OID_Pct</f>
        <v>0</v>
      </c>
      <c r="G8" s="25" t="n">
        <f aca="true">LP_New_Deploy*OID_Pct</f>
        <v>0</v>
      </c>
      <c r="H8" s="25" t="n">
        <f aca="true">LP_New_Deploy*OID_Pct</f>
        <v>0</v>
      </c>
      <c r="I8" s="25" t="n">
        <f aca="true">LP_New_Deploy*OID_Pct</f>
        <v>0</v>
      </c>
    </row>
    <row r="9" customFormat="false" ht="15" hidden="false" customHeight="false" outlineLevel="0" collapsed="false">
      <c r="A9" s="6"/>
      <c r="B9" s="26" t="s">
        <v>125</v>
      </c>
      <c r="C9" s="27" t="n">
        <f aca="false">C7+C8</f>
        <v>11.25</v>
      </c>
      <c r="D9" s="27" t="n">
        <f aca="false">D7+D8</f>
        <v>31.005</v>
      </c>
      <c r="E9" s="27" t="n">
        <f aca="false">E7+E8</f>
        <v>47.6347</v>
      </c>
      <c r="F9" s="27" t="n">
        <f aca="false">F7+F8</f>
        <v>50.206618</v>
      </c>
      <c r="G9" s="27" t="n">
        <f aca="false">G7+G8</f>
        <v>47.19422092</v>
      </c>
      <c r="H9" s="27" t="n">
        <f aca="false">H7+H8</f>
        <v>44.3625676648</v>
      </c>
      <c r="I9" s="27" t="n">
        <f aca="false">I7+I8</f>
        <v>21.4952647448</v>
      </c>
    </row>
    <row r="10" customFormat="false" ht="15" hidden="false" customHeight="false" outlineLevel="0" collapsed="false">
      <c r="A10" s="6"/>
      <c r="B10" s="6"/>
      <c r="C10" s="6"/>
      <c r="D10" s="6"/>
      <c r="E10" s="6"/>
      <c r="F10" s="6"/>
      <c r="G10" s="6"/>
      <c r="H10" s="6"/>
      <c r="I10" s="6"/>
    </row>
    <row r="11" customFormat="false" ht="15" hidden="false" customHeight="false" outlineLevel="0" collapsed="false">
      <c r="A11" s="6"/>
      <c r="B11" s="15" t="s">
        <v>87</v>
      </c>
      <c r="C11" s="16"/>
      <c r="D11" s="16"/>
      <c r="E11" s="16"/>
      <c r="F11" s="16"/>
      <c r="G11" s="16"/>
      <c r="H11" s="16"/>
      <c r="I11" s="16"/>
    </row>
    <row r="12" customFormat="false" ht="15" hidden="false" customHeight="false" outlineLevel="0" collapsed="false">
      <c r="A12" s="6"/>
      <c r="B12" s="24" t="s">
        <v>126</v>
      </c>
      <c r="C12" s="25" t="n">
        <f aca="true">-LP_Avg_Principal*Fund_Expense_Pct</f>
        <v>-0.1875</v>
      </c>
      <c r="D12" s="25" t="n">
        <f aca="true">-LP_Avg_Principal*Fund_Expense_Pct</f>
        <v>-0.61375</v>
      </c>
      <c r="E12" s="25" t="n">
        <f aca="true">-LP_Avg_Principal*Fund_Expense_Pct</f>
        <v>-1.014425</v>
      </c>
      <c r="F12" s="25" t="n">
        <f aca="true">-LP_Avg_Principal*Fund_Expense_Pct</f>
        <v>-1.1410595</v>
      </c>
      <c r="G12" s="25" t="n">
        <f aca="true">-LP_Avg_Principal*Fund_Expense_Pct</f>
        <v>-1.07259593</v>
      </c>
      <c r="H12" s="25" t="n">
        <f aca="true">-LP_Avg_Principal*Fund_Expense_Pct</f>
        <v>-1.0082401742</v>
      </c>
      <c r="I12" s="25" t="n">
        <f aca="true">-LP_Avg_Principal*Fund_Expense_Pct</f>
        <v>-0.4885287442</v>
      </c>
    </row>
    <row r="13" customFormat="false" ht="15" hidden="false" customHeight="false" outlineLevel="0" collapsed="false">
      <c r="A13" s="6"/>
      <c r="B13" s="24" t="s">
        <v>127</v>
      </c>
      <c r="C13" s="25" t="n">
        <f aca="true">-IF(C4&lt;=Investment_Period,Fund_Size*Mgmt_Fee_Inv,LP_Close_Principal*Mgmt_Fee_Post)</f>
        <v>-7.5</v>
      </c>
      <c r="D13" s="25" t="n">
        <f aca="true">-IF(D4&lt;=Investment_Period,Fund_Size*Mgmt_Fee_Inv,LP_Close_Principal*Mgmt_Fee_Post)</f>
        <v>-7.5</v>
      </c>
      <c r="E13" s="25" t="n">
        <f aca="true">-IF(E4&lt;=Investment_Period,Fund_Size*Mgmt_Fee_Inv,LP_Close_Principal*Mgmt_Fee_Post)</f>
        <v>-7.5</v>
      </c>
      <c r="F13" s="25" t="n">
        <f aca="true">-IF(F4&lt;=Investment_Period,Fund_Size*Mgmt_Fee_Inv,LP_Close_Principal*Mgmt_Fee_Post)</f>
        <v>-4.423076</v>
      </c>
      <c r="G13" s="25" t="n">
        <f aca="true">-IF(G4&lt;=Investment_Period,Fund_Size*Mgmt_Fee_Inv,LP_Close_Principal*Mgmt_Fee_Post)</f>
        <v>-4.15769144</v>
      </c>
      <c r="H13" s="25" t="n">
        <f aca="true">-IF(H4&lt;=Investment_Period,Fund_Size*Mgmt_Fee_Inv,LP_Close_Principal*Mgmt_Fee_Post)</f>
        <v>-3.9082299536</v>
      </c>
      <c r="I13" s="25" t="n">
        <f aca="true">-IF(I4&lt;=Investment_Period,Fund_Size*Mgmt_Fee_Inv,LP_Close_Principal*Mgmt_Fee_Post)</f>
        <v>-0</v>
      </c>
    </row>
    <row r="14" customFormat="false" ht="15" hidden="false" customHeight="false" outlineLevel="0" collapsed="false">
      <c r="A14" s="6"/>
      <c r="B14" s="26" t="s">
        <v>128</v>
      </c>
      <c r="C14" s="27" t="n">
        <f aca="false">C12+C13</f>
        <v>-7.6875</v>
      </c>
      <c r="D14" s="27" t="n">
        <f aca="false">D12+D13</f>
        <v>-8.11375</v>
      </c>
      <c r="E14" s="27" t="n">
        <f aca="false">E12+E13</f>
        <v>-8.514425</v>
      </c>
      <c r="F14" s="27" t="n">
        <f aca="false">F12+F13</f>
        <v>-5.5641355</v>
      </c>
      <c r="G14" s="27" t="n">
        <f aca="false">G12+G13</f>
        <v>-5.23028737</v>
      </c>
      <c r="H14" s="27" t="n">
        <f aca="false">H12+H13</f>
        <v>-4.9164701278</v>
      </c>
      <c r="I14" s="27" t="n">
        <f aca="false">I12+I13</f>
        <v>-0.4885287442</v>
      </c>
    </row>
    <row r="15" customFormat="false" ht="15" hidden="false" customHeight="false" outlineLevel="0" collapsed="false">
      <c r="A15" s="6"/>
      <c r="B15" s="6"/>
      <c r="C15" s="6"/>
      <c r="D15" s="6"/>
      <c r="E15" s="6"/>
      <c r="F15" s="6"/>
      <c r="G15" s="6"/>
      <c r="H15" s="6"/>
      <c r="I15" s="6"/>
    </row>
    <row r="16" customFormat="false" ht="15" hidden="false" customHeight="false" outlineLevel="0" collapsed="false">
      <c r="A16" s="6"/>
      <c r="B16" s="28" t="s">
        <v>129</v>
      </c>
      <c r="C16" s="29" t="n">
        <f aca="false">C9+C14</f>
        <v>3.5625</v>
      </c>
      <c r="D16" s="29" t="n">
        <f aca="false">D9+D14</f>
        <v>22.89125</v>
      </c>
      <c r="E16" s="29" t="n">
        <f aca="false">E9+E14</f>
        <v>39.120275</v>
      </c>
      <c r="F16" s="29" t="n">
        <f aca="false">F9+F14</f>
        <v>44.6424825</v>
      </c>
      <c r="G16" s="29" t="n">
        <f aca="false">G9+G14</f>
        <v>41.96393355</v>
      </c>
      <c r="H16" s="29" t="n">
        <f aca="false">H9+H14</f>
        <v>39.446097537</v>
      </c>
      <c r="I16" s="29" t="n">
        <f aca="false">I9+I14</f>
        <v>21.0067360006</v>
      </c>
    </row>
    <row r="17" customFormat="false" ht="15" hidden="false" customHeight="false" outlineLevel="0" collapsed="false">
      <c r="A17" s="6"/>
      <c r="B17" s="6"/>
      <c r="C17" s="6"/>
      <c r="D17" s="6"/>
      <c r="E17" s="6"/>
      <c r="F17" s="6"/>
      <c r="G17" s="6"/>
      <c r="H17" s="6"/>
      <c r="I17" s="6"/>
    </row>
    <row r="18" customFormat="false" ht="15" hidden="false" customHeight="false" outlineLevel="0" collapsed="false">
      <c r="A18" s="6"/>
      <c r="B18" s="15" t="s">
        <v>130</v>
      </c>
      <c r="C18" s="16"/>
      <c r="D18" s="16"/>
      <c r="E18" s="16"/>
      <c r="F18" s="16"/>
      <c r="G18" s="16"/>
      <c r="H18" s="16"/>
      <c r="I18" s="16"/>
    </row>
    <row r="19" customFormat="false" ht="15" hidden="false" customHeight="false" outlineLevel="0" collapsed="false">
      <c r="A19" s="6"/>
      <c r="B19" s="24" t="s">
        <v>131</v>
      </c>
      <c r="C19" s="25" t="n">
        <f aca="true">-LP_New_Deploy</f>
        <v>-150</v>
      </c>
      <c r="D19" s="25" t="n">
        <f aca="true">-LP_New_Deploy</f>
        <v>-200</v>
      </c>
      <c r="E19" s="25" t="n">
        <f aca="true">-LP_New_Deploy</f>
        <v>-150</v>
      </c>
      <c r="F19" s="25" t="n">
        <f aca="true">-LP_New_Deploy</f>
        <v>-0</v>
      </c>
      <c r="G19" s="25" t="n">
        <f aca="true">-LP_New_Deploy</f>
        <v>-0</v>
      </c>
      <c r="H19" s="25" t="n">
        <f aca="true">-LP_New_Deploy</f>
        <v>-0</v>
      </c>
      <c r="I19" s="25" t="n">
        <f aca="true">-LP_New_Deploy</f>
        <v>-0</v>
      </c>
    </row>
    <row r="20" customFormat="false" ht="15" hidden="false" customHeight="false" outlineLevel="0" collapsed="false">
      <c r="A20" s="6"/>
      <c r="B20" s="24" t="s">
        <v>132</v>
      </c>
      <c r="C20" s="25" t="n">
        <f aca="true">-(LP_Sched_Amort+LP_Maturity_Repay)</f>
        <v>0</v>
      </c>
      <c r="D20" s="25" t="n">
        <f aca="true">-(LP_Sched_Amort+LP_Maturity_Repay)</f>
        <v>7.5</v>
      </c>
      <c r="E20" s="25" t="n">
        <f aca="true">-(LP_Sched_Amort+LP_Maturity_Repay)</f>
        <v>17.05</v>
      </c>
      <c r="F20" s="25" t="n">
        <f aca="true">-(LP_Sched_Amort+LP_Maturity_Repay)</f>
        <v>23.527</v>
      </c>
      <c r="G20" s="25" t="n">
        <f aca="true">-(LP_Sched_Amort+LP_Maturity_Repay)</f>
        <v>22.11538</v>
      </c>
      <c r="H20" s="25" t="n">
        <f aca="true">-(LP_Sched_Amort+LP_Maturity_Repay)</f>
        <v>20.7884572</v>
      </c>
      <c r="I20" s="25" t="n">
        <f aca="true">-(LP_Sched_Amort+LP_Maturity_Repay)</f>
        <v>386.9147654064</v>
      </c>
    </row>
    <row r="21" customFormat="false" ht="15" hidden="false" customHeight="false" outlineLevel="0" collapsed="false">
      <c r="A21" s="6"/>
      <c r="B21" s="24" t="s">
        <v>133</v>
      </c>
      <c r="C21" s="25" t="n">
        <f aca="true">-LP_Recovery</f>
        <v>0</v>
      </c>
      <c r="D21" s="25" t="n">
        <f aca="true">-LP_Recovery</f>
        <v>1.95</v>
      </c>
      <c r="E21" s="25" t="n">
        <f aca="true">-LP_Recovery</f>
        <v>4.433</v>
      </c>
      <c r="F21" s="25" t="n">
        <f aca="true">-LP_Recovery</f>
        <v>6.11702</v>
      </c>
      <c r="G21" s="25" t="n">
        <f aca="true">-LP_Recovery</f>
        <v>5.7499988</v>
      </c>
      <c r="H21" s="25" t="n">
        <f aca="true">-LP_Recovery</f>
        <v>5.404998872</v>
      </c>
      <c r="I21" s="25" t="n">
        <f aca="true">-LP_Recovery</f>
        <v>5.08069893968</v>
      </c>
    </row>
    <row r="22" customFormat="false" ht="15" hidden="false" customHeight="false" outlineLevel="0" collapsed="false">
      <c r="A22" s="6"/>
      <c r="B22" s="26" t="s">
        <v>134</v>
      </c>
      <c r="C22" s="27" t="n">
        <f aca="false">C19+C20+C21</f>
        <v>-150</v>
      </c>
      <c r="D22" s="27" t="n">
        <f aca="false">D19+D20+D21</f>
        <v>-190.55</v>
      </c>
      <c r="E22" s="27" t="n">
        <f aca="false">E19+E20+E21</f>
        <v>-128.517</v>
      </c>
      <c r="F22" s="27" t="n">
        <f aca="false">F19+F20+F21</f>
        <v>29.64402</v>
      </c>
      <c r="G22" s="27" t="n">
        <f aca="false">G19+G20+G21</f>
        <v>27.8653788</v>
      </c>
      <c r="H22" s="27" t="n">
        <f aca="false">H19+H20+H21</f>
        <v>26.193456072</v>
      </c>
      <c r="I22" s="27" t="n">
        <f aca="false">I19+I20+I21</f>
        <v>391.99546434608</v>
      </c>
    </row>
    <row r="23" customFormat="false" ht="15" hidden="false" customHeight="false" outlineLevel="0" collapsed="false">
      <c r="A23" s="6"/>
      <c r="B23" s="6"/>
      <c r="C23" s="6"/>
      <c r="D23" s="6"/>
      <c r="E23" s="6"/>
      <c r="F23" s="6"/>
      <c r="G23" s="6"/>
      <c r="H23" s="6"/>
      <c r="I23" s="6"/>
    </row>
    <row r="24" customFormat="false" ht="15" hidden="false" customHeight="false" outlineLevel="0" collapsed="false">
      <c r="A24" s="6"/>
      <c r="B24" s="28" t="s">
        <v>135</v>
      </c>
      <c r="C24" s="29" t="n">
        <f aca="false">C16+C22</f>
        <v>-146.4375</v>
      </c>
      <c r="D24" s="29" t="n">
        <f aca="false">D16+D22</f>
        <v>-167.65875</v>
      </c>
      <c r="E24" s="29" t="n">
        <f aca="false">E16+E22</f>
        <v>-89.396725</v>
      </c>
      <c r="F24" s="29" t="n">
        <f aca="false">F16+F22</f>
        <v>74.2865025</v>
      </c>
      <c r="G24" s="29" t="n">
        <f aca="false">G16+G22</f>
        <v>69.82931235</v>
      </c>
      <c r="H24" s="29" t="n">
        <f aca="false">H16+H22</f>
        <v>65.639553609</v>
      </c>
      <c r="I24" s="29" t="n">
        <f aca="false">I16+I22</f>
        <v>413.00220034668</v>
      </c>
    </row>
    <row r="25" customFormat="false" ht="15" hidden="false" customHeight="false" outlineLevel="0" collapsed="false">
      <c r="A25" s="6"/>
      <c r="B25" s="6"/>
      <c r="C25" s="6"/>
      <c r="D25" s="6"/>
      <c r="E25" s="6"/>
      <c r="F25" s="6"/>
      <c r="G25" s="6"/>
      <c r="H25" s="6"/>
      <c r="I25" s="6"/>
    </row>
    <row r="26" customFormat="false" ht="15" hidden="false" customHeight="false" outlineLevel="0" collapsed="false">
      <c r="A26" s="6"/>
      <c r="B26" s="15" t="s">
        <v>136</v>
      </c>
      <c r="C26" s="16"/>
      <c r="D26" s="16"/>
      <c r="E26" s="16"/>
      <c r="F26" s="16"/>
      <c r="G26" s="16"/>
      <c r="H26" s="16"/>
      <c r="I26" s="16"/>
    </row>
    <row r="27" customFormat="false" ht="15" hidden="false" customHeight="false" outlineLevel="0" collapsed="false">
      <c r="A27" s="6"/>
      <c r="B27" s="17" t="s">
        <v>137</v>
      </c>
      <c r="C27" s="25" t="n">
        <f aca="false">0</f>
        <v>0</v>
      </c>
      <c r="D27" s="25" t="n">
        <f aca="false">C30</f>
        <v>-146.4375</v>
      </c>
      <c r="E27" s="25" t="n">
        <f aca="false">D30</f>
        <v>-314.09625</v>
      </c>
      <c r="F27" s="25" t="n">
        <f aca="false">E30</f>
        <v>-403.492975</v>
      </c>
      <c r="G27" s="25" t="n">
        <f aca="false">F30</f>
        <v>-329.2064725</v>
      </c>
      <c r="H27" s="25" t="n">
        <f aca="false">G30</f>
        <v>-259.37716015</v>
      </c>
      <c r="I27" s="25" t="n">
        <f aca="false">H30</f>
        <v>-193.737606541</v>
      </c>
    </row>
    <row r="28" customFormat="false" ht="15" hidden="false" customHeight="false" outlineLevel="0" collapsed="false">
      <c r="A28" s="6"/>
      <c r="B28" s="24" t="s">
        <v>138</v>
      </c>
      <c r="C28" s="25" t="n">
        <f aca="false">C9+C20+C21</f>
        <v>11.25</v>
      </c>
      <c r="D28" s="25" t="n">
        <f aca="false">D9+D20+D21</f>
        <v>40.455</v>
      </c>
      <c r="E28" s="25" t="n">
        <f aca="false">E9+E20+E21</f>
        <v>69.1177</v>
      </c>
      <c r="F28" s="25" t="n">
        <f aca="false">F9+F20+F21</f>
        <v>79.850638</v>
      </c>
      <c r="G28" s="25" t="n">
        <f aca="false">G9+G20+G21</f>
        <v>75.05959972</v>
      </c>
      <c r="H28" s="25" t="n">
        <f aca="false">H9+H20+H21</f>
        <v>70.5560237368</v>
      </c>
      <c r="I28" s="25" t="n">
        <f aca="false">I9+I20+I21</f>
        <v>413.49072909088</v>
      </c>
    </row>
    <row r="29" customFormat="false" ht="15" hidden="false" customHeight="false" outlineLevel="0" collapsed="false">
      <c r="A29" s="6"/>
      <c r="B29" s="24" t="s">
        <v>139</v>
      </c>
      <c r="C29" s="25" t="n">
        <f aca="false">C14+C19</f>
        <v>-157.6875</v>
      </c>
      <c r="D29" s="25" t="n">
        <f aca="false">D14+D19</f>
        <v>-208.11375</v>
      </c>
      <c r="E29" s="25" t="n">
        <f aca="false">E14+E19</f>
        <v>-158.514425</v>
      </c>
      <c r="F29" s="25" t="n">
        <f aca="false">F14+F19</f>
        <v>-5.5641355</v>
      </c>
      <c r="G29" s="25" t="n">
        <f aca="false">G14+G19</f>
        <v>-5.23028737</v>
      </c>
      <c r="H29" s="25" t="n">
        <f aca="false">H14+H19</f>
        <v>-4.9164701278</v>
      </c>
      <c r="I29" s="25" t="n">
        <f aca="false">I14+I19</f>
        <v>-0.4885287442</v>
      </c>
    </row>
    <row r="30" customFormat="false" ht="15" hidden="false" customHeight="false" outlineLevel="0" collapsed="false">
      <c r="A30" s="6"/>
      <c r="B30" s="28" t="s">
        <v>140</v>
      </c>
      <c r="C30" s="29" t="n">
        <f aca="false">C27+C28+C29</f>
        <v>-146.4375</v>
      </c>
      <c r="D30" s="29" t="n">
        <f aca="false">D27+D28+D29</f>
        <v>-314.09625</v>
      </c>
      <c r="E30" s="29" t="n">
        <f aca="false">E27+E28+E29</f>
        <v>-403.492975</v>
      </c>
      <c r="F30" s="29" t="n">
        <f aca="false">F27+F28+F29</f>
        <v>-329.2064725</v>
      </c>
      <c r="G30" s="29" t="n">
        <f aca="false">G27+G28+G29</f>
        <v>-259.37716015</v>
      </c>
      <c r="H30" s="29" t="n">
        <f aca="false">H27+H28+H29</f>
        <v>-193.737606541</v>
      </c>
      <c r="I30" s="29" t="n">
        <f aca="false">I27+I28+I29</f>
        <v>219.26459380568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141</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142</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4" t="s">
        <v>98</v>
      </c>
      <c r="C4" s="22" t="n">
        <v>1</v>
      </c>
      <c r="D4" s="22" t="n">
        <v>2</v>
      </c>
      <c r="E4" s="22" t="n">
        <v>3</v>
      </c>
      <c r="F4" s="22" t="n">
        <v>4</v>
      </c>
      <c r="G4" s="22" t="n">
        <v>5</v>
      </c>
      <c r="H4" s="22" t="n">
        <v>6</v>
      </c>
      <c r="I4" s="22" t="n">
        <v>7</v>
      </c>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5" t="s">
        <v>143</v>
      </c>
      <c r="C6" s="16"/>
      <c r="D6" s="16"/>
      <c r="E6" s="16"/>
      <c r="F6" s="16"/>
      <c r="G6" s="16"/>
      <c r="H6" s="16"/>
      <c r="I6" s="16"/>
    </row>
    <row r="7" customFormat="false" ht="15" hidden="false" customHeight="false" outlineLevel="0" collapsed="false">
      <c r="A7" s="6"/>
      <c r="B7" s="17" t="s">
        <v>144</v>
      </c>
      <c r="C7" s="25" t="n">
        <f aca="true">MAX(0,-FC_Net_Fund_CF)</f>
        <v>146.4375</v>
      </c>
      <c r="D7" s="25" t="n">
        <f aca="true">MAX(0,-FC_Net_Fund_CF)</f>
        <v>167.65875</v>
      </c>
      <c r="E7" s="25" t="n">
        <f aca="true">MAX(0,-FC_Net_Fund_CF)</f>
        <v>89.396725</v>
      </c>
      <c r="F7" s="25" t="n">
        <f aca="true">MAX(0,-FC_Net_Fund_CF)</f>
        <v>0</v>
      </c>
      <c r="G7" s="25" t="n">
        <f aca="true">MAX(0,-FC_Net_Fund_CF)</f>
        <v>0</v>
      </c>
      <c r="H7" s="25" t="n">
        <f aca="true">MAX(0,-FC_Net_Fund_CF)</f>
        <v>0</v>
      </c>
      <c r="I7" s="25" t="n">
        <f aca="true">MAX(0,-FC_Net_Fund_CF)</f>
        <v>0</v>
      </c>
    </row>
    <row r="8" customFormat="false" ht="15" hidden="false" customHeight="false" outlineLevel="0" collapsed="false">
      <c r="A8" s="6"/>
      <c r="B8" s="26" t="s">
        <v>145</v>
      </c>
      <c r="C8" s="27" t="n">
        <f aca="false">C7</f>
        <v>146.4375</v>
      </c>
      <c r="D8" s="27" t="n">
        <f aca="false">C8+D7</f>
        <v>314.09625</v>
      </c>
      <c r="E8" s="27" t="n">
        <f aca="false">D8+E7</f>
        <v>403.492975</v>
      </c>
      <c r="F8" s="27" t="n">
        <f aca="false">E8+F7</f>
        <v>403.492975</v>
      </c>
      <c r="G8" s="27" t="n">
        <f aca="false">F8+G7</f>
        <v>403.492975</v>
      </c>
      <c r="H8" s="27" t="n">
        <f aca="false">G8+H7</f>
        <v>403.492975</v>
      </c>
      <c r="I8" s="27" t="n">
        <f aca="false">H8+I7</f>
        <v>403.492975</v>
      </c>
    </row>
    <row r="9" customFormat="false" ht="15" hidden="false" customHeight="false" outlineLevel="0" collapsed="false">
      <c r="A9" s="6"/>
      <c r="B9" s="17" t="s">
        <v>146</v>
      </c>
      <c r="C9" s="25" t="n">
        <f aca="false">Fund_Size-C8</f>
        <v>353.5625</v>
      </c>
      <c r="D9" s="25" t="n">
        <f aca="false">Fund_Size-D8</f>
        <v>185.90375</v>
      </c>
      <c r="E9" s="25" t="n">
        <f aca="false">Fund_Size-E8</f>
        <v>96.507025</v>
      </c>
      <c r="F9" s="25" t="n">
        <f aca="false">Fund_Size-F8</f>
        <v>96.507025</v>
      </c>
      <c r="G9" s="25" t="n">
        <f aca="false">Fund_Size-G8</f>
        <v>96.507025</v>
      </c>
      <c r="H9" s="25" t="n">
        <f aca="false">Fund_Size-H8</f>
        <v>96.507025</v>
      </c>
      <c r="I9" s="25" t="n">
        <f aca="false">Fund_Size-I8</f>
        <v>96.507025</v>
      </c>
    </row>
    <row r="10" customFormat="false" ht="15" hidden="false" customHeight="false" outlineLevel="0" collapsed="false">
      <c r="A10" s="6"/>
      <c r="B10" s="6"/>
      <c r="C10" s="6"/>
      <c r="D10" s="6"/>
      <c r="E10" s="6"/>
      <c r="F10" s="6"/>
      <c r="G10" s="6"/>
      <c r="H10" s="6"/>
      <c r="I10" s="6"/>
    </row>
    <row r="11" customFormat="false" ht="15" hidden="false" customHeight="false" outlineLevel="0" collapsed="false">
      <c r="A11" s="6"/>
      <c r="B11" s="15" t="s">
        <v>147</v>
      </c>
      <c r="C11" s="16"/>
      <c r="D11" s="16"/>
      <c r="E11" s="16"/>
      <c r="F11" s="16"/>
      <c r="G11" s="16"/>
      <c r="H11" s="16"/>
      <c r="I11" s="16"/>
    </row>
    <row r="12" customFormat="false" ht="15" hidden="false" customHeight="false" outlineLevel="0" collapsed="false">
      <c r="A12" s="6"/>
      <c r="B12" s="24" t="s">
        <v>148</v>
      </c>
      <c r="C12" s="25" t="n">
        <f aca="false">C7*(1-GP_Commit_Pct)</f>
        <v>143.50875</v>
      </c>
      <c r="D12" s="25" t="n">
        <f aca="false">D7*(1-GP_Commit_Pct)</f>
        <v>164.305575</v>
      </c>
      <c r="E12" s="25" t="n">
        <f aca="false">E7*(1-GP_Commit_Pct)</f>
        <v>87.6087905</v>
      </c>
      <c r="F12" s="25" t="n">
        <f aca="false">F7*(1-GP_Commit_Pct)</f>
        <v>0</v>
      </c>
      <c r="G12" s="25" t="n">
        <f aca="false">G7*(1-GP_Commit_Pct)</f>
        <v>0</v>
      </c>
      <c r="H12" s="25" t="n">
        <f aca="false">H7*(1-GP_Commit_Pct)</f>
        <v>0</v>
      </c>
      <c r="I12" s="25" t="n">
        <f aca="false">I7*(1-GP_Commit_Pct)</f>
        <v>0</v>
      </c>
    </row>
    <row r="13" customFormat="false" ht="15" hidden="false" customHeight="false" outlineLevel="0" collapsed="false">
      <c r="A13" s="6"/>
      <c r="B13" s="24" t="s">
        <v>149</v>
      </c>
      <c r="C13" s="25" t="n">
        <f aca="false">C7*GP_Commit_Pct</f>
        <v>2.92875</v>
      </c>
      <c r="D13" s="25" t="n">
        <f aca="false">D7*GP_Commit_Pct</f>
        <v>3.353175</v>
      </c>
      <c r="E13" s="25" t="n">
        <f aca="false">E7*GP_Commit_Pct</f>
        <v>1.7879345</v>
      </c>
      <c r="F13" s="25" t="n">
        <f aca="false">F7*GP_Commit_Pct</f>
        <v>0</v>
      </c>
      <c r="G13" s="25" t="n">
        <f aca="false">G7*GP_Commit_Pct</f>
        <v>0</v>
      </c>
      <c r="H13" s="25" t="n">
        <f aca="false">H7*GP_Commit_Pct</f>
        <v>0</v>
      </c>
      <c r="I13" s="25" t="n">
        <f aca="false">I7*GP_Commit_Pct</f>
        <v>0</v>
      </c>
    </row>
    <row r="14" customFormat="false" ht="15" hidden="false" customHeight="false" outlineLevel="0" collapsed="false">
      <c r="A14" s="6"/>
      <c r="B14" s="17" t="s">
        <v>150</v>
      </c>
      <c r="C14" s="25" t="n">
        <f aca="false">C12</f>
        <v>143.50875</v>
      </c>
      <c r="D14" s="25" t="n">
        <f aca="false">C14+D12</f>
        <v>307.814325</v>
      </c>
      <c r="E14" s="25" t="n">
        <f aca="false">D14+E12</f>
        <v>395.4231155</v>
      </c>
      <c r="F14" s="25" t="n">
        <f aca="false">E14+F12</f>
        <v>395.4231155</v>
      </c>
      <c r="G14" s="25" t="n">
        <f aca="false">F14+G12</f>
        <v>395.4231155</v>
      </c>
      <c r="H14" s="25" t="n">
        <f aca="false">G14+H12</f>
        <v>395.4231155</v>
      </c>
      <c r="I14" s="25" t="n">
        <f aca="false">H14+I12</f>
        <v>395.4231155</v>
      </c>
    </row>
    <row r="15" customFormat="false" ht="15" hidden="false" customHeight="false" outlineLevel="0" collapsed="false">
      <c r="A15" s="6"/>
      <c r="B15" s="17" t="s">
        <v>151</v>
      </c>
      <c r="C15" s="25" t="n">
        <f aca="false">C13</f>
        <v>2.92875</v>
      </c>
      <c r="D15" s="25" t="n">
        <f aca="false">C15+D13</f>
        <v>6.281925</v>
      </c>
      <c r="E15" s="25" t="n">
        <f aca="false">D15+E13</f>
        <v>8.0698595</v>
      </c>
      <c r="F15" s="25" t="n">
        <f aca="false">E15+F13</f>
        <v>8.0698595</v>
      </c>
      <c r="G15" s="25" t="n">
        <f aca="false">F15+G13</f>
        <v>8.0698595</v>
      </c>
      <c r="H15" s="25" t="n">
        <f aca="false">G15+H13</f>
        <v>8.0698595</v>
      </c>
      <c r="I15" s="25" t="n">
        <f aca="false">H15+I13</f>
        <v>8.0698595</v>
      </c>
    </row>
    <row r="16" customFormat="false" ht="15" hidden="false" customHeight="false" outlineLevel="0" collapsed="false">
      <c r="A16" s="6"/>
      <c r="B16" s="6"/>
      <c r="C16" s="6"/>
      <c r="D16" s="6"/>
      <c r="E16" s="6"/>
      <c r="F16" s="6"/>
      <c r="G16" s="6"/>
      <c r="H16" s="6"/>
      <c r="I16" s="6"/>
    </row>
    <row r="17" customFormat="false" ht="15" hidden="false" customHeight="false" outlineLevel="0" collapsed="false">
      <c r="A17" s="6"/>
      <c r="B17" s="15" t="s">
        <v>152</v>
      </c>
      <c r="C17" s="16"/>
      <c r="D17" s="16"/>
      <c r="E17" s="16"/>
      <c r="F17" s="16"/>
      <c r="G17" s="16"/>
      <c r="H17" s="16"/>
      <c r="I17" s="16"/>
    </row>
    <row r="18" customFormat="false" ht="15" hidden="false" customHeight="false" outlineLevel="0" collapsed="false">
      <c r="A18" s="6"/>
      <c r="B18" s="24" t="s">
        <v>153</v>
      </c>
      <c r="C18" s="25" t="n">
        <f aca="true">WF_LP_Total_Dist</f>
        <v>373.017495294678</v>
      </c>
      <c r="D18" s="25" t="n">
        <f aca="true">WF_LP_Total_Dist</f>
        <v>376.200682794678</v>
      </c>
      <c r="E18" s="25" t="n">
        <f aca="true">WF_LP_Total_Dist</f>
        <v>364.461379044678</v>
      </c>
      <c r="F18" s="25" t="n">
        <f aca="true">WF_LP_Total_Dist</f>
        <v>351.051870294678</v>
      </c>
      <c r="G18" s="25" t="n">
        <f aca="true">WF_LP_Total_Dist</f>
        <v>351.051870294678</v>
      </c>
      <c r="H18" s="25" t="n">
        <f aca="true">WF_LP_Total_Dist</f>
        <v>351.051870294678</v>
      </c>
      <c r="I18" s="25" t="n">
        <f aca="true">WF_LP_Total_Dist</f>
        <v>351.051870294678</v>
      </c>
    </row>
    <row r="19" customFormat="false" ht="15" hidden="false" customHeight="false" outlineLevel="0" collapsed="false">
      <c r="A19" s="6"/>
      <c r="B19" s="24" t="s">
        <v>154</v>
      </c>
      <c r="C19" s="25" t="n">
        <f aca="true">WF_GP_Total_Dist</f>
        <v>39.984705052002</v>
      </c>
      <c r="D19" s="25" t="n">
        <f aca="true">WF_GP_Total_Dist</f>
        <v>36.801517552002</v>
      </c>
      <c r="E19" s="25" t="n">
        <f aca="true">WF_GP_Total_Dist</f>
        <v>48.540821302002</v>
      </c>
      <c r="F19" s="25" t="n">
        <f aca="true">WF_GP_Total_Dist</f>
        <v>61.950330052002</v>
      </c>
      <c r="G19" s="25" t="n">
        <f aca="true">WF_GP_Total_Dist</f>
        <v>61.950330052002</v>
      </c>
      <c r="H19" s="25" t="n">
        <f aca="true">WF_GP_Total_Dist</f>
        <v>61.950330052002</v>
      </c>
      <c r="I19" s="25" t="n">
        <f aca="true">WF_GP_Total_Dist</f>
        <v>61.950330052002</v>
      </c>
    </row>
    <row r="20" customFormat="false" ht="15" hidden="false" customHeight="false" outlineLevel="0" collapsed="false">
      <c r="A20" s="6"/>
      <c r="B20" s="26" t="s">
        <v>155</v>
      </c>
      <c r="C20" s="27" t="n">
        <f aca="false">C18+C19</f>
        <v>413.00220034668</v>
      </c>
      <c r="D20" s="27" t="n">
        <f aca="false">D18+D19</f>
        <v>413.00220034668</v>
      </c>
      <c r="E20" s="27" t="n">
        <f aca="false">E18+E19</f>
        <v>413.00220034668</v>
      </c>
      <c r="F20" s="27" t="n">
        <f aca="false">F18+F19</f>
        <v>413.00220034668</v>
      </c>
      <c r="G20" s="27" t="n">
        <f aca="false">G18+G19</f>
        <v>413.00220034668</v>
      </c>
      <c r="H20" s="27" t="n">
        <f aca="false">H18+H19</f>
        <v>413.00220034668</v>
      </c>
      <c r="I20" s="27" t="n">
        <f aca="false">I18+I19</f>
        <v>413.00220034668</v>
      </c>
    </row>
    <row r="21" customFormat="false" ht="15" hidden="false" customHeight="false" outlineLevel="0" collapsed="false">
      <c r="A21" s="6"/>
      <c r="B21" s="17" t="s">
        <v>156</v>
      </c>
      <c r="C21" s="25" t="n">
        <f aca="false">C20</f>
        <v>413.00220034668</v>
      </c>
      <c r="D21" s="25" t="n">
        <f aca="false">C21+D20</f>
        <v>826.00440069336</v>
      </c>
      <c r="E21" s="25" t="n">
        <f aca="false">D21+E20</f>
        <v>1239.00660104004</v>
      </c>
      <c r="F21" s="25" t="n">
        <f aca="false">E21+F20</f>
        <v>1652.00880138672</v>
      </c>
      <c r="G21" s="25" t="n">
        <f aca="false">F21+G20</f>
        <v>2065.0110017334</v>
      </c>
      <c r="H21" s="25" t="n">
        <f aca="false">G21+H20</f>
        <v>2478.01320208008</v>
      </c>
      <c r="I21" s="25" t="n">
        <f aca="false">H21+I20</f>
        <v>2891.01540242676</v>
      </c>
    </row>
    <row r="22" customFormat="false" ht="15" hidden="false" customHeight="false" outlineLevel="0" collapsed="false">
      <c r="A22" s="6"/>
      <c r="B22" s="6"/>
      <c r="C22" s="6"/>
      <c r="D22" s="6"/>
      <c r="E22" s="6"/>
      <c r="F22" s="6"/>
      <c r="G22" s="6"/>
      <c r="H22" s="6"/>
      <c r="I22" s="6"/>
    </row>
    <row r="23" customFormat="false" ht="15" hidden="false" customHeight="false" outlineLevel="0" collapsed="false">
      <c r="A23" s="6"/>
      <c r="B23" s="15" t="s">
        <v>157</v>
      </c>
      <c r="C23" s="16"/>
      <c r="D23" s="16"/>
      <c r="E23" s="16"/>
      <c r="F23" s="16"/>
      <c r="G23" s="16"/>
      <c r="H23" s="16"/>
      <c r="I23" s="16"/>
    </row>
    <row r="24" customFormat="false" ht="15" hidden="false" customHeight="false" outlineLevel="0" collapsed="false">
      <c r="A24" s="6"/>
      <c r="B24" s="28" t="s">
        <v>157</v>
      </c>
      <c r="C24" s="29" t="n">
        <f aca="false">-C12+C18</f>
        <v>229.508745294678</v>
      </c>
      <c r="D24" s="29" t="n">
        <f aca="false">-D12+D18</f>
        <v>211.895107794678</v>
      </c>
      <c r="E24" s="29" t="n">
        <f aca="false">-E12+E18</f>
        <v>276.852588544678</v>
      </c>
      <c r="F24" s="29" t="n">
        <f aca="false">-F12+F18</f>
        <v>351.051870294678</v>
      </c>
      <c r="G24" s="29" t="n">
        <f aca="false">-G12+G18</f>
        <v>351.051870294678</v>
      </c>
      <c r="H24" s="29" t="n">
        <f aca="false">-H12+H18</f>
        <v>351.051870294678</v>
      </c>
      <c r="I24" s="29" t="n">
        <f aca="false">-I12+I18</f>
        <v>351.051870294678</v>
      </c>
    </row>
    <row r="25" customFormat="false" ht="15" hidden="false" customHeight="false" outlineLevel="0" collapsed="false">
      <c r="A25" s="6"/>
      <c r="B25" s="17" t="s">
        <v>158</v>
      </c>
      <c r="C25" s="25" t="n">
        <f aca="false">C24</f>
        <v>229.508745294678</v>
      </c>
      <c r="D25" s="25" t="n">
        <f aca="false">C25+D24</f>
        <v>441.403853089356</v>
      </c>
      <c r="E25" s="25" t="n">
        <f aca="false">D25+E24</f>
        <v>718.256441634034</v>
      </c>
      <c r="F25" s="25" t="n">
        <f aca="false">E25+F24</f>
        <v>1069.30831192871</v>
      </c>
      <c r="G25" s="25" t="n">
        <f aca="false">F25+G24</f>
        <v>1420.36018222339</v>
      </c>
      <c r="H25" s="25" t="n">
        <f aca="false">G25+H24</f>
        <v>1771.41205251807</v>
      </c>
      <c r="I25" s="25" t="n">
        <f aca="false">H25+I24</f>
        <v>2122.46392281275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159</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160</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4" t="s">
        <v>98</v>
      </c>
      <c r="C4" s="22" t="n">
        <v>1</v>
      </c>
      <c r="D4" s="22" t="n">
        <v>2</v>
      </c>
      <c r="E4" s="22" t="n">
        <v>3</v>
      </c>
      <c r="F4" s="22" t="n">
        <v>4</v>
      </c>
      <c r="G4" s="22" t="n">
        <v>5</v>
      </c>
      <c r="H4" s="22" t="n">
        <v>6</v>
      </c>
      <c r="I4" s="22" t="n">
        <v>7</v>
      </c>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5" t="s">
        <v>161</v>
      </c>
      <c r="C6" s="16"/>
      <c r="D6" s="16"/>
      <c r="E6" s="16"/>
      <c r="F6" s="16"/>
      <c r="G6" s="16"/>
      <c r="H6" s="16"/>
      <c r="I6" s="16"/>
    </row>
    <row r="7" customFormat="false" ht="15" hidden="false" customHeight="false" outlineLevel="0" collapsed="false">
      <c r="A7" s="6"/>
      <c r="B7" s="17" t="s">
        <v>162</v>
      </c>
      <c r="C7" s="25" t="n">
        <f aca="true">MAX(0,FC_Net_Fund_CF)</f>
        <v>413.00220034668</v>
      </c>
      <c r="D7" s="25" t="n">
        <f aca="true">MAX(0,FC_Net_Fund_CF)</f>
        <v>413.00220034668</v>
      </c>
      <c r="E7" s="25" t="n">
        <f aca="true">MAX(0,FC_Net_Fund_CF)</f>
        <v>413.00220034668</v>
      </c>
      <c r="F7" s="25" t="n">
        <f aca="true">MAX(0,FC_Net_Fund_CF)</f>
        <v>413.00220034668</v>
      </c>
      <c r="G7" s="25" t="n">
        <f aca="true">MAX(0,FC_Net_Fund_CF)</f>
        <v>413.00220034668</v>
      </c>
      <c r="H7" s="25" t="n">
        <f aca="true">MAX(0,FC_Net_Fund_CF)</f>
        <v>413.00220034668</v>
      </c>
      <c r="I7" s="25" t="n">
        <f aca="true">MAX(0,FC_Net_Fund_CF)</f>
        <v>413.00220034668</v>
      </c>
    </row>
    <row r="8" customFormat="false" ht="15" hidden="false" customHeight="false" outlineLevel="0" collapsed="false">
      <c r="A8" s="6"/>
      <c r="B8" s="17" t="s">
        <v>163</v>
      </c>
      <c r="C8" s="25" t="n">
        <f aca="false">C7</f>
        <v>413.00220034668</v>
      </c>
      <c r="D8" s="25" t="n">
        <f aca="false">C8+D7</f>
        <v>826.00440069336</v>
      </c>
      <c r="E8" s="25" t="n">
        <f aca="false">D8+E7</f>
        <v>1239.00660104004</v>
      </c>
      <c r="F8" s="25" t="n">
        <f aca="false">E8+F7</f>
        <v>1652.00880138672</v>
      </c>
      <c r="G8" s="25" t="n">
        <f aca="false">F8+G7</f>
        <v>2065.0110017334</v>
      </c>
      <c r="H8" s="25" t="n">
        <f aca="false">G8+H7</f>
        <v>2478.01320208008</v>
      </c>
      <c r="I8" s="25" t="n">
        <f aca="false">H8+I7</f>
        <v>2891.01540242676</v>
      </c>
    </row>
    <row r="9" customFormat="false" ht="15" hidden="false" customHeight="false" outlineLevel="0" collapsed="false">
      <c r="A9" s="6"/>
      <c r="B9" s="6"/>
      <c r="C9" s="6"/>
      <c r="D9" s="6"/>
      <c r="E9" s="6"/>
      <c r="F9" s="6"/>
      <c r="G9" s="6"/>
      <c r="H9" s="6"/>
      <c r="I9" s="6"/>
    </row>
    <row r="10" customFormat="false" ht="15" hidden="false" customHeight="false" outlineLevel="0" collapsed="false">
      <c r="A10" s="6"/>
      <c r="B10" s="15" t="s">
        <v>164</v>
      </c>
      <c r="C10" s="16"/>
      <c r="D10" s="16"/>
      <c r="E10" s="16"/>
      <c r="F10" s="16"/>
      <c r="G10" s="16"/>
      <c r="H10" s="16"/>
      <c r="I10" s="16"/>
    </row>
    <row r="11" customFormat="false" ht="15" hidden="false" customHeight="false" outlineLevel="0" collapsed="false">
      <c r="A11" s="6"/>
      <c r="B11" s="17" t="s">
        <v>145</v>
      </c>
      <c r="C11" s="25" t="n">
        <f aca="true">LCA_Cumul_Called</f>
        <v>146.4375</v>
      </c>
      <c r="D11" s="25" t="n">
        <f aca="true">LCA_Cumul_Called</f>
        <v>314.09625</v>
      </c>
      <c r="E11" s="25" t="n">
        <f aca="true">LCA_Cumul_Called</f>
        <v>403.492975</v>
      </c>
      <c r="F11" s="25" t="n">
        <f aca="true">LCA_Cumul_Called</f>
        <v>403.492975</v>
      </c>
      <c r="G11" s="25" t="n">
        <f aca="true">LCA_Cumul_Called</f>
        <v>403.492975</v>
      </c>
      <c r="H11" s="25" t="n">
        <f aca="true">LCA_Cumul_Called</f>
        <v>403.492975</v>
      </c>
      <c r="I11" s="25" t="n">
        <f aca="true">LCA_Cumul_Called</f>
        <v>403.492975</v>
      </c>
    </row>
    <row r="12" customFormat="false" ht="15" hidden="false" customHeight="false" outlineLevel="0" collapsed="false">
      <c r="A12" s="6"/>
      <c r="B12" s="17" t="s">
        <v>165</v>
      </c>
      <c r="C12" s="25" t="n">
        <f aca="false">MIN(C8,C11)</f>
        <v>146.4375</v>
      </c>
      <c r="D12" s="25" t="n">
        <f aca="false">MIN(D8,D11)</f>
        <v>314.09625</v>
      </c>
      <c r="E12" s="25" t="n">
        <f aca="false">MIN(E8,E11)</f>
        <v>403.492975</v>
      </c>
      <c r="F12" s="25" t="n">
        <f aca="false">MIN(F8,F11)</f>
        <v>403.492975</v>
      </c>
      <c r="G12" s="25" t="n">
        <f aca="false">MIN(G8,G11)</f>
        <v>403.492975</v>
      </c>
      <c r="H12" s="25" t="n">
        <f aca="false">MIN(H8,H11)</f>
        <v>403.492975</v>
      </c>
      <c r="I12" s="25" t="n">
        <f aca="false">MIN(I8,I11)</f>
        <v>403.492975</v>
      </c>
    </row>
    <row r="13" customFormat="false" ht="15" hidden="false" customHeight="false" outlineLevel="0" collapsed="false">
      <c r="A13" s="6"/>
      <c r="B13" s="17" t="s">
        <v>166</v>
      </c>
      <c r="C13" s="25" t="n">
        <f aca="false">C12</f>
        <v>146.4375</v>
      </c>
      <c r="D13" s="25" t="n">
        <f aca="false">D12-C12</f>
        <v>167.65875</v>
      </c>
      <c r="E13" s="25" t="n">
        <f aca="false">E12-D12</f>
        <v>89.396725</v>
      </c>
      <c r="F13" s="25" t="n">
        <f aca="false">F12-E12</f>
        <v>0</v>
      </c>
      <c r="G13" s="25" t="n">
        <f aca="false">G12-F12</f>
        <v>0</v>
      </c>
      <c r="H13" s="25" t="n">
        <f aca="false">H12-G12</f>
        <v>0</v>
      </c>
      <c r="I13" s="25" t="n">
        <f aca="false">I12-H12</f>
        <v>0</v>
      </c>
    </row>
    <row r="14" customFormat="false" ht="15" hidden="false" customHeight="false" outlineLevel="0" collapsed="false">
      <c r="A14" s="6"/>
      <c r="B14" s="17" t="s">
        <v>167</v>
      </c>
      <c r="C14" s="25" t="n">
        <f aca="false">C7-C13</f>
        <v>266.56470034668</v>
      </c>
      <c r="D14" s="25" t="n">
        <f aca="false">D7-D13</f>
        <v>245.34345034668</v>
      </c>
      <c r="E14" s="25" t="n">
        <f aca="false">E7-E13</f>
        <v>323.60547534668</v>
      </c>
      <c r="F14" s="25" t="n">
        <f aca="false">F7-F13</f>
        <v>413.00220034668</v>
      </c>
      <c r="G14" s="25" t="n">
        <f aca="false">G7-G13</f>
        <v>413.00220034668</v>
      </c>
      <c r="H14" s="25" t="n">
        <f aca="false">H7-H13</f>
        <v>413.00220034668</v>
      </c>
      <c r="I14" s="25" t="n">
        <f aca="false">I7-I13</f>
        <v>413.00220034668</v>
      </c>
    </row>
    <row r="15" customFormat="false" ht="15" hidden="false" customHeight="false" outlineLevel="0" collapsed="false">
      <c r="A15" s="6"/>
      <c r="B15" s="6"/>
      <c r="C15" s="6"/>
      <c r="D15" s="6"/>
      <c r="E15" s="6"/>
      <c r="F15" s="6"/>
      <c r="G15" s="6"/>
      <c r="H15" s="6"/>
      <c r="I15" s="6"/>
    </row>
    <row r="16" customFormat="false" ht="15" hidden="false" customHeight="false" outlineLevel="0" collapsed="false">
      <c r="A16" s="6"/>
      <c r="B16" s="15" t="s">
        <v>168</v>
      </c>
      <c r="C16" s="16"/>
      <c r="D16" s="16"/>
      <c r="E16" s="16"/>
      <c r="F16" s="16"/>
      <c r="G16" s="16"/>
      <c r="H16" s="16"/>
      <c r="I16" s="16"/>
    </row>
    <row r="17" customFormat="false" ht="15" hidden="false" customHeight="false" outlineLevel="0" collapsed="false">
      <c r="A17" s="6"/>
      <c r="B17" s="17" t="s">
        <v>169</v>
      </c>
      <c r="C17" s="25" t="n">
        <f aca="false">C11*((1+Pref_Return)^C4-1)</f>
        <v>8.78625000000001</v>
      </c>
      <c r="D17" s="25" t="n">
        <f aca="false">D11*((1+Pref_Return)^D4-1)</f>
        <v>38.8222965000001</v>
      </c>
      <c r="E17" s="25" t="n">
        <f aca="false">E11*((1+Pref_Return)^E4-1)</f>
        <v>77.0736141126</v>
      </c>
      <c r="F17" s="25" t="n">
        <f aca="false">F11*((1+Pref_Return)^F4-1)</f>
        <v>105.907609459356</v>
      </c>
      <c r="G17" s="25" t="n">
        <f aca="false">G11*((1+Pref_Return)^G4-1)</f>
        <v>136.471644526917</v>
      </c>
      <c r="H17" s="25" t="n">
        <f aca="false">H11*((1+Pref_Return)^H4-1)</f>
        <v>168.869521698533</v>
      </c>
      <c r="I17" s="25" t="n">
        <f aca="false">I11*((1+Pref_Return)^I4-1)</f>
        <v>203.211271500445</v>
      </c>
    </row>
    <row r="18" customFormat="false" ht="15" hidden="false" customHeight="false" outlineLevel="0" collapsed="false">
      <c r="A18" s="6"/>
      <c r="B18" s="17" t="s">
        <v>170</v>
      </c>
      <c r="C18" s="25" t="n">
        <f aca="false">MIN(MAX(0,C8-C12),C17)</f>
        <v>8.78625000000001</v>
      </c>
      <c r="D18" s="25" t="n">
        <f aca="false">MIN(MAX(0,D8-D12),D17)</f>
        <v>38.8222965000001</v>
      </c>
      <c r="E18" s="25" t="n">
        <f aca="false">MIN(MAX(0,E8-E12),E17)</f>
        <v>77.0736141126</v>
      </c>
      <c r="F18" s="25" t="n">
        <f aca="false">MIN(MAX(0,F8-F12),F17)</f>
        <v>105.907609459356</v>
      </c>
      <c r="G18" s="25" t="n">
        <f aca="false">MIN(MAX(0,G8-G12),G17)</f>
        <v>136.471644526917</v>
      </c>
      <c r="H18" s="25" t="n">
        <f aca="false">MIN(MAX(0,H8-H12),H17)</f>
        <v>168.869521698533</v>
      </c>
      <c r="I18" s="25" t="n">
        <f aca="false">MIN(MAX(0,I8-I12),I17)</f>
        <v>203.211271500445</v>
      </c>
    </row>
    <row r="19" customFormat="false" ht="15" hidden="false" customHeight="false" outlineLevel="0" collapsed="false">
      <c r="A19" s="6"/>
      <c r="B19" s="17" t="s">
        <v>171</v>
      </c>
      <c r="C19" s="25" t="n">
        <f aca="false">C18</f>
        <v>8.78625000000001</v>
      </c>
      <c r="D19" s="25" t="n">
        <f aca="false">D18-C18</f>
        <v>30.0360465</v>
      </c>
      <c r="E19" s="25" t="n">
        <f aca="false">E18-D18</f>
        <v>38.2513176126</v>
      </c>
      <c r="F19" s="25" t="n">
        <f aca="false">F18-E18</f>
        <v>28.8339953467561</v>
      </c>
      <c r="G19" s="25" t="n">
        <f aca="false">G18-F18</f>
        <v>30.5640350675613</v>
      </c>
      <c r="H19" s="25" t="n">
        <f aca="false">H18-G18</f>
        <v>32.3978771716151</v>
      </c>
      <c r="I19" s="25" t="n">
        <f aca="false">I18-H18</f>
        <v>34.341749801912</v>
      </c>
    </row>
    <row r="20" customFormat="false" ht="15" hidden="false" customHeight="false" outlineLevel="0" collapsed="false">
      <c r="A20" s="6"/>
      <c r="B20" s="17" t="s">
        <v>172</v>
      </c>
      <c r="C20" s="25" t="n">
        <f aca="false">C14-C19</f>
        <v>257.77845034668</v>
      </c>
      <c r="D20" s="25" t="n">
        <f aca="false">D14-D19</f>
        <v>215.30740384668</v>
      </c>
      <c r="E20" s="25" t="n">
        <f aca="false">E14-E19</f>
        <v>285.35415773408</v>
      </c>
      <c r="F20" s="25" t="n">
        <f aca="false">F14-F19</f>
        <v>384.168204999924</v>
      </c>
      <c r="G20" s="25" t="n">
        <f aca="false">G14-G19</f>
        <v>382.438165279119</v>
      </c>
      <c r="H20" s="25" t="n">
        <f aca="false">H14-H19</f>
        <v>380.604323175065</v>
      </c>
      <c r="I20" s="25" t="n">
        <f aca="false">I14-I19</f>
        <v>378.660450544768</v>
      </c>
    </row>
    <row r="21" customFormat="false" ht="15" hidden="false" customHeight="false" outlineLevel="0" collapsed="false">
      <c r="A21" s="6"/>
      <c r="B21" s="6"/>
      <c r="C21" s="6"/>
      <c r="D21" s="6"/>
      <c r="E21" s="6"/>
      <c r="F21" s="6"/>
      <c r="G21" s="6"/>
      <c r="H21" s="6"/>
      <c r="I21" s="6"/>
    </row>
    <row r="22" customFormat="false" ht="15" hidden="false" customHeight="false" outlineLevel="0" collapsed="false">
      <c r="A22" s="6"/>
      <c r="B22" s="15" t="s">
        <v>173</v>
      </c>
      <c r="C22" s="16"/>
      <c r="D22" s="16"/>
      <c r="E22" s="16"/>
      <c r="F22" s="16"/>
      <c r="G22" s="16"/>
      <c r="H22" s="16"/>
      <c r="I22" s="16"/>
    </row>
    <row r="23" customFormat="false" ht="15" hidden="false" customHeight="false" outlineLevel="0" collapsed="false">
      <c r="A23" s="6"/>
      <c r="B23" s="17" t="s">
        <v>174</v>
      </c>
      <c r="C23" s="25" t="n">
        <f aca="false">IFERROR(C17/(1-Carry_Pct)-C17,0)*GP_Catchup</f>
        <v>1.55051470588236</v>
      </c>
      <c r="D23" s="25" t="n">
        <f aca="false">IFERROR(D17/(1-Carry_Pct)-D17,0)*GP_Catchup</f>
        <v>6.85099350000001</v>
      </c>
      <c r="E23" s="25" t="n">
        <f aca="false">IFERROR(E17/(1-Carry_Pct)-E17,0)*GP_Catchup</f>
        <v>13.6012260198706</v>
      </c>
      <c r="F23" s="25" t="n">
        <f aca="false">IFERROR(F17/(1-Carry_Pct)-F17,0)*GP_Catchup</f>
        <v>18.6895781398864</v>
      </c>
      <c r="G23" s="25" t="n">
        <f aca="false">IFERROR(G17/(1-Carry_Pct)-G17,0)*GP_Catchup</f>
        <v>24.0832313871031</v>
      </c>
      <c r="H23" s="25" t="n">
        <f aca="false">IFERROR(H17/(1-Carry_Pct)-H17,0)*GP_Catchup</f>
        <v>29.8005038291528</v>
      </c>
      <c r="I23" s="25" t="n">
        <f aca="false">IFERROR(I17/(1-Carry_Pct)-I17,0)*GP_Catchup</f>
        <v>35.8608126177255</v>
      </c>
    </row>
    <row r="24" customFormat="false" ht="15" hidden="false" customHeight="false" outlineLevel="0" collapsed="false">
      <c r="A24" s="6"/>
      <c r="B24" s="17" t="s">
        <v>175</v>
      </c>
      <c r="C24" s="25" t="n">
        <f aca="false">MIN(MAX(0,C8-C12-C18),C23)</f>
        <v>1.55051470588236</v>
      </c>
      <c r="D24" s="25" t="n">
        <f aca="false">MIN(MAX(0,D8-D12-D18),D23)</f>
        <v>6.85099350000001</v>
      </c>
      <c r="E24" s="25" t="n">
        <f aca="false">MIN(MAX(0,E8-E12-E18),E23)</f>
        <v>13.6012260198706</v>
      </c>
      <c r="F24" s="25" t="n">
        <f aca="false">MIN(MAX(0,F8-F12-F18),F23)</f>
        <v>18.6895781398864</v>
      </c>
      <c r="G24" s="25" t="n">
        <f aca="false">MIN(MAX(0,G8-G12-G18),G23)</f>
        <v>24.0832313871031</v>
      </c>
      <c r="H24" s="25" t="n">
        <f aca="false">MIN(MAX(0,H8-H12-H18),H23)</f>
        <v>29.8005038291528</v>
      </c>
      <c r="I24" s="25" t="n">
        <f aca="false">MIN(MAX(0,I8-I12-I18),I23)</f>
        <v>35.8608126177255</v>
      </c>
    </row>
    <row r="25" customFormat="false" ht="15" hidden="false" customHeight="false" outlineLevel="0" collapsed="false">
      <c r="A25" s="6"/>
      <c r="B25" s="17" t="s">
        <v>176</v>
      </c>
      <c r="C25" s="25" t="n">
        <f aca="false">C24</f>
        <v>1.55051470588236</v>
      </c>
      <c r="D25" s="25" t="n">
        <f aca="false">D24-C24</f>
        <v>5.30047879411765</v>
      </c>
      <c r="E25" s="25" t="n">
        <f aca="false">E24-D24</f>
        <v>6.75023251987059</v>
      </c>
      <c r="F25" s="25" t="n">
        <f aca="false">F24-E24</f>
        <v>5.08835212001578</v>
      </c>
      <c r="G25" s="25" t="n">
        <f aca="false">G24-F24</f>
        <v>5.39365324721672</v>
      </c>
      <c r="H25" s="25" t="n">
        <f aca="false">H24-G24</f>
        <v>5.71727244204971</v>
      </c>
      <c r="I25" s="25" t="n">
        <f aca="false">I24-H24</f>
        <v>6.06030878857271</v>
      </c>
    </row>
    <row r="26" customFormat="false" ht="15" hidden="false" customHeight="false" outlineLevel="0" collapsed="false">
      <c r="A26" s="6"/>
      <c r="B26" s="17" t="s">
        <v>177</v>
      </c>
      <c r="C26" s="25" t="n">
        <f aca="false">C20-C25</f>
        <v>256.227935640798</v>
      </c>
      <c r="D26" s="25" t="n">
        <f aca="false">D20-D25</f>
        <v>210.006925052562</v>
      </c>
      <c r="E26" s="25" t="n">
        <f aca="false">E20-E25</f>
        <v>278.60392521421</v>
      </c>
      <c r="F26" s="25" t="n">
        <f aca="false">F20-F25</f>
        <v>379.079852879908</v>
      </c>
      <c r="G26" s="25" t="n">
        <f aca="false">G20-G25</f>
        <v>377.044512031902</v>
      </c>
      <c r="H26" s="25" t="n">
        <f aca="false">H20-H25</f>
        <v>374.887050733015</v>
      </c>
      <c r="I26" s="25" t="n">
        <f aca="false">I20-I25</f>
        <v>372.600141756195</v>
      </c>
    </row>
    <row r="27" customFormat="false" ht="15" hidden="false" customHeight="false" outlineLevel="0" collapsed="false">
      <c r="A27" s="6"/>
      <c r="B27" s="6"/>
      <c r="C27" s="6"/>
      <c r="D27" s="6"/>
      <c r="E27" s="6"/>
      <c r="F27" s="6"/>
      <c r="G27" s="6"/>
      <c r="H27" s="6"/>
      <c r="I27" s="6"/>
    </row>
    <row r="28" customFormat="false" ht="15" hidden="false" customHeight="false" outlineLevel="0" collapsed="false">
      <c r="A28" s="6"/>
      <c r="B28" s="15" t="s">
        <v>178</v>
      </c>
      <c r="C28" s="16"/>
      <c r="D28" s="16"/>
      <c r="E28" s="16"/>
      <c r="F28" s="16"/>
      <c r="G28" s="16"/>
      <c r="H28" s="16"/>
      <c r="I28" s="16"/>
    </row>
    <row r="29" customFormat="false" ht="15" hidden="false" customHeight="false" outlineLevel="0" collapsed="false">
      <c r="A29" s="6"/>
      <c r="B29" s="24" t="s">
        <v>179</v>
      </c>
      <c r="C29" s="25" t="n">
        <f aca="false">C26*Carry_Pct</f>
        <v>38.4341903461197</v>
      </c>
      <c r="D29" s="25" t="n">
        <f aca="false">D26*Carry_Pct</f>
        <v>31.5010387578844</v>
      </c>
      <c r="E29" s="25" t="n">
        <f aca="false">E26*Carry_Pct</f>
        <v>41.7905887821314</v>
      </c>
      <c r="F29" s="25" t="n">
        <f aca="false">F26*Carry_Pct</f>
        <v>56.8619779319862</v>
      </c>
      <c r="G29" s="25" t="n">
        <f aca="false">G26*Carry_Pct</f>
        <v>56.5566768047853</v>
      </c>
      <c r="H29" s="25" t="n">
        <f aca="false">H26*Carry_Pct</f>
        <v>56.2330576099523</v>
      </c>
      <c r="I29" s="25" t="n">
        <f aca="false">I26*Carry_Pct</f>
        <v>55.8900212634293</v>
      </c>
    </row>
    <row r="30" customFormat="false" ht="15" hidden="false" customHeight="false" outlineLevel="0" collapsed="false">
      <c r="A30" s="6"/>
      <c r="B30" s="24" t="s">
        <v>180</v>
      </c>
      <c r="C30" s="25" t="n">
        <f aca="false">C26*(1-Carry_Pct)</f>
        <v>217.793745294678</v>
      </c>
      <c r="D30" s="25" t="n">
        <f aca="false">D26*(1-Carry_Pct)</f>
        <v>178.505886294678</v>
      </c>
      <c r="E30" s="25" t="n">
        <f aca="false">E26*(1-Carry_Pct)</f>
        <v>236.813336432078</v>
      </c>
      <c r="F30" s="25" t="n">
        <f aca="false">F26*(1-Carry_Pct)</f>
        <v>322.217874947922</v>
      </c>
      <c r="G30" s="25" t="n">
        <f aca="false">G26*(1-Carry_Pct)</f>
        <v>320.487835227117</v>
      </c>
      <c r="H30" s="25" t="n">
        <f aca="false">H26*(1-Carry_Pct)</f>
        <v>318.653993123063</v>
      </c>
      <c r="I30" s="25" t="n">
        <f aca="false">I26*(1-Carry_Pct)</f>
        <v>316.710120492766</v>
      </c>
    </row>
    <row r="31" customFormat="false" ht="15" hidden="false" customHeight="false" outlineLevel="0" collapsed="false">
      <c r="A31" s="6"/>
      <c r="B31" s="6"/>
      <c r="C31" s="6"/>
      <c r="D31" s="6"/>
      <c r="E31" s="6"/>
      <c r="F31" s="6"/>
      <c r="G31" s="6"/>
      <c r="H31" s="6"/>
      <c r="I31" s="6"/>
    </row>
    <row r="32" customFormat="false" ht="15" hidden="false" customHeight="false" outlineLevel="0" collapsed="false">
      <c r="A32" s="6"/>
      <c r="B32" s="15" t="s">
        <v>181</v>
      </c>
      <c r="C32" s="16"/>
      <c r="D32" s="16"/>
      <c r="E32" s="16"/>
      <c r="F32" s="16"/>
      <c r="G32" s="16"/>
      <c r="H32" s="16"/>
      <c r="I32" s="16"/>
    </row>
    <row r="33" customFormat="false" ht="15" hidden="false" customHeight="false" outlineLevel="0" collapsed="false">
      <c r="A33" s="6"/>
      <c r="B33" s="24" t="s">
        <v>182</v>
      </c>
      <c r="C33" s="25" t="n">
        <f aca="false">C25+C29</f>
        <v>39.984705052002</v>
      </c>
      <c r="D33" s="25" t="n">
        <f aca="false">D25+D29</f>
        <v>36.801517552002</v>
      </c>
      <c r="E33" s="25" t="n">
        <f aca="false">E25+E29</f>
        <v>48.540821302002</v>
      </c>
      <c r="F33" s="25" t="n">
        <f aca="false">F25+F29</f>
        <v>61.950330052002</v>
      </c>
      <c r="G33" s="25" t="n">
        <f aca="false">G25+G29</f>
        <v>61.950330052002</v>
      </c>
      <c r="H33" s="25" t="n">
        <f aca="false">H25+H29</f>
        <v>61.950330052002</v>
      </c>
      <c r="I33" s="25" t="n">
        <f aca="false">I25+I29</f>
        <v>61.950330052002</v>
      </c>
    </row>
    <row r="34" customFormat="false" ht="15" hidden="false" customHeight="false" outlineLevel="0" collapsed="false">
      <c r="A34" s="6"/>
      <c r="B34" s="24" t="s">
        <v>183</v>
      </c>
      <c r="C34" s="25" t="n">
        <f aca="false">C13+C19+C30</f>
        <v>373.017495294678</v>
      </c>
      <c r="D34" s="25" t="n">
        <f aca="false">D13+D19+D30</f>
        <v>376.200682794678</v>
      </c>
      <c r="E34" s="25" t="n">
        <f aca="false">E13+E19+E30</f>
        <v>364.461379044678</v>
      </c>
      <c r="F34" s="25" t="n">
        <f aca="false">F13+F19+F30</f>
        <v>351.051870294678</v>
      </c>
      <c r="G34" s="25" t="n">
        <f aca="false">G13+G19+G30</f>
        <v>351.051870294678</v>
      </c>
      <c r="H34" s="25" t="n">
        <f aca="false">H13+H19+H30</f>
        <v>351.051870294678</v>
      </c>
      <c r="I34" s="25" t="n">
        <f aca="false">I13+I19+I30</f>
        <v>351.051870294678</v>
      </c>
    </row>
    <row r="35" customFormat="false" ht="15" hidden="false" customHeight="false" outlineLevel="0" collapsed="false">
      <c r="A35" s="6"/>
      <c r="B35" s="26" t="s">
        <v>184</v>
      </c>
      <c r="C35" s="27" t="n">
        <f aca="false">C33+C34</f>
        <v>413.00220034668</v>
      </c>
      <c r="D35" s="27" t="n">
        <f aca="false">D33+D34</f>
        <v>413.00220034668</v>
      </c>
      <c r="E35" s="27" t="n">
        <f aca="false">E33+E34</f>
        <v>413.00220034668</v>
      </c>
      <c r="F35" s="27" t="n">
        <f aca="false">F33+F34</f>
        <v>413.00220034668</v>
      </c>
      <c r="G35" s="27" t="n">
        <f aca="false">G33+G34</f>
        <v>413.00220034668</v>
      </c>
      <c r="H35" s="27" t="n">
        <f aca="false">H33+H34</f>
        <v>413.00220034668</v>
      </c>
      <c r="I35" s="27" t="n">
        <f aca="false">I33+I34</f>
        <v>413.00220034668</v>
      </c>
    </row>
    <row r="36" customFormat="false" ht="15" hidden="false" customHeight="false" outlineLevel="0" collapsed="false">
      <c r="A36" s="6"/>
      <c r="B36" s="6"/>
      <c r="C36" s="6"/>
      <c r="D36" s="6"/>
      <c r="E36" s="6"/>
      <c r="F36" s="6"/>
      <c r="G36" s="6"/>
      <c r="H36" s="6"/>
      <c r="I36" s="6"/>
    </row>
    <row r="37" customFormat="false" ht="15" hidden="false" customHeight="false" outlineLevel="0" collapsed="false">
      <c r="A37" s="6"/>
      <c r="B37" s="17" t="s">
        <v>185</v>
      </c>
      <c r="C37" s="25" t="n">
        <f aca="false">C7-C35</f>
        <v>0</v>
      </c>
      <c r="D37" s="25" t="n">
        <f aca="false">D7-D35</f>
        <v>0</v>
      </c>
      <c r="E37" s="25" t="n">
        <f aca="false">E7-E35</f>
        <v>0</v>
      </c>
      <c r="F37" s="25" t="n">
        <f aca="false">F7-F35</f>
        <v>0</v>
      </c>
      <c r="G37" s="25" t="n">
        <f aca="false">G7-G35</f>
        <v>0</v>
      </c>
      <c r="H37" s="25" t="n">
        <f aca="false">H7-H35</f>
        <v>0</v>
      </c>
      <c r="I37" s="25" t="n">
        <f aca="false">I7-I35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186</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187</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4" t="s">
        <v>98</v>
      </c>
      <c r="C4" s="22" t="n">
        <v>1</v>
      </c>
      <c r="D4" s="22" t="n">
        <v>2</v>
      </c>
      <c r="E4" s="22" t="n">
        <v>3</v>
      </c>
      <c r="F4" s="22" t="n">
        <v>4</v>
      </c>
      <c r="G4" s="22" t="n">
        <v>5</v>
      </c>
      <c r="H4" s="22" t="n">
        <v>6</v>
      </c>
      <c r="I4" s="22" t="n">
        <v>7</v>
      </c>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5" t="s">
        <v>188</v>
      </c>
      <c r="C6" s="16"/>
      <c r="D6" s="16"/>
      <c r="E6" s="16"/>
      <c r="F6" s="16"/>
      <c r="G6" s="16"/>
      <c r="H6" s="16"/>
      <c r="I6" s="16"/>
    </row>
    <row r="7" customFormat="false" ht="15" hidden="false" customHeight="false" outlineLevel="0" collapsed="false">
      <c r="A7" s="6"/>
      <c r="B7" s="24" t="s">
        <v>189</v>
      </c>
      <c r="C7" s="25" t="n">
        <f aca="true">-FC_Mgmt_Fee</f>
        <v>7.5</v>
      </c>
      <c r="D7" s="25" t="n">
        <f aca="true">-FC_Mgmt_Fee</f>
        <v>7.5</v>
      </c>
      <c r="E7" s="25" t="n">
        <f aca="true">-FC_Mgmt_Fee</f>
        <v>7.5</v>
      </c>
      <c r="F7" s="25" t="n">
        <f aca="true">-FC_Mgmt_Fee</f>
        <v>4.423076</v>
      </c>
      <c r="G7" s="25" t="n">
        <f aca="true">-FC_Mgmt_Fee</f>
        <v>4.15769144</v>
      </c>
      <c r="H7" s="25" t="n">
        <f aca="true">-FC_Mgmt_Fee</f>
        <v>3.9082299536</v>
      </c>
      <c r="I7" s="25" t="n">
        <f aca="true">-FC_Mgmt_Fee</f>
        <v>0</v>
      </c>
    </row>
    <row r="8" customFormat="false" ht="15" hidden="false" customHeight="false" outlineLevel="0" collapsed="false">
      <c r="A8" s="6"/>
      <c r="B8" s="24" t="s">
        <v>85</v>
      </c>
      <c r="C8" s="25" t="n">
        <f aca="true">WF_GP_Total_Dist</f>
        <v>39.984705052002</v>
      </c>
      <c r="D8" s="25" t="n">
        <f aca="true">WF_GP_Total_Dist</f>
        <v>36.801517552002</v>
      </c>
      <c r="E8" s="25" t="n">
        <f aca="true">WF_GP_Total_Dist</f>
        <v>48.540821302002</v>
      </c>
      <c r="F8" s="25" t="n">
        <f aca="true">WF_GP_Total_Dist</f>
        <v>61.950330052002</v>
      </c>
      <c r="G8" s="25" t="n">
        <f aca="true">WF_GP_Total_Dist</f>
        <v>61.950330052002</v>
      </c>
      <c r="H8" s="25" t="n">
        <f aca="true">WF_GP_Total_Dist</f>
        <v>61.950330052002</v>
      </c>
      <c r="I8" s="25" t="n">
        <f aca="true">WF_GP_Total_Dist</f>
        <v>61.950330052002</v>
      </c>
    </row>
    <row r="9" customFormat="false" ht="15" hidden="false" customHeight="false" outlineLevel="0" collapsed="false">
      <c r="A9" s="6"/>
      <c r="B9" s="26" t="s">
        <v>190</v>
      </c>
      <c r="C9" s="27" t="n">
        <f aca="false">C7+C8</f>
        <v>47.484705052002</v>
      </c>
      <c r="D9" s="27" t="n">
        <f aca="false">D7+D8</f>
        <v>44.301517552002</v>
      </c>
      <c r="E9" s="27" t="n">
        <f aca="false">E7+E8</f>
        <v>56.040821302002</v>
      </c>
      <c r="F9" s="27" t="n">
        <f aca="false">F7+F8</f>
        <v>66.373406052002</v>
      </c>
      <c r="G9" s="27" t="n">
        <f aca="false">G7+G8</f>
        <v>66.108021492002</v>
      </c>
      <c r="H9" s="27" t="n">
        <f aca="false">H7+H8</f>
        <v>65.858560005602</v>
      </c>
      <c r="I9" s="27" t="n">
        <f aca="false">I7+I8</f>
        <v>61.950330052002</v>
      </c>
    </row>
    <row r="10" customFormat="false" ht="15" hidden="false" customHeight="false" outlineLevel="0" collapsed="false">
      <c r="A10" s="6"/>
      <c r="B10" s="6"/>
      <c r="C10" s="6"/>
      <c r="D10" s="6"/>
      <c r="E10" s="6"/>
      <c r="F10" s="6"/>
      <c r="G10" s="6"/>
      <c r="H10" s="6"/>
      <c r="I10" s="6"/>
    </row>
    <row r="11" customFormat="false" ht="15" hidden="false" customHeight="false" outlineLevel="0" collapsed="false">
      <c r="A11" s="6"/>
      <c r="B11" s="15" t="s">
        <v>191</v>
      </c>
      <c r="C11" s="16"/>
      <c r="D11" s="16"/>
      <c r="E11" s="16"/>
      <c r="F11" s="16"/>
      <c r="G11" s="16"/>
      <c r="H11" s="16"/>
      <c r="I11" s="16"/>
    </row>
    <row r="12" customFormat="false" ht="15" hidden="false" customHeight="false" outlineLevel="0" collapsed="false">
      <c r="A12" s="6"/>
      <c r="B12" s="24" t="s">
        <v>192</v>
      </c>
      <c r="C12" s="25" t="n">
        <f aca="false">-C7*ManCo_Comp_Pct</f>
        <v>-3.375</v>
      </c>
      <c r="D12" s="25" t="n">
        <f aca="false">-D7*ManCo_Comp_Pct</f>
        <v>-3.375</v>
      </c>
      <c r="E12" s="25" t="n">
        <f aca="false">-E7*ManCo_Comp_Pct</f>
        <v>-3.375</v>
      </c>
      <c r="F12" s="25" t="n">
        <f aca="false">-F7*ManCo_Comp_Pct</f>
        <v>-1.9903842</v>
      </c>
      <c r="G12" s="25" t="n">
        <f aca="false">-G7*ManCo_Comp_Pct</f>
        <v>-1.870961148</v>
      </c>
      <c r="H12" s="25" t="n">
        <f aca="false">-H7*ManCo_Comp_Pct</f>
        <v>-1.75870347912</v>
      </c>
      <c r="I12" s="25" t="n">
        <f aca="false">-I7*ManCo_Comp_Pct</f>
        <v>-0</v>
      </c>
    </row>
    <row r="13" customFormat="false" ht="15" hidden="false" customHeight="false" outlineLevel="0" collapsed="false">
      <c r="A13" s="6"/>
      <c r="B13" s="24" t="s">
        <v>193</v>
      </c>
      <c r="C13" s="25" t="n">
        <f aca="false">-ManCo_Rent</f>
        <v>-0.5</v>
      </c>
      <c r="D13" s="25" t="n">
        <f aca="false">-ManCo_Rent</f>
        <v>-0.5</v>
      </c>
      <c r="E13" s="25" t="n">
        <f aca="false">-ManCo_Rent</f>
        <v>-0.5</v>
      </c>
      <c r="F13" s="25" t="n">
        <f aca="false">-ManCo_Rent</f>
        <v>-0.5</v>
      </c>
      <c r="G13" s="25" t="n">
        <f aca="false">-ManCo_Rent</f>
        <v>-0.5</v>
      </c>
      <c r="H13" s="25" t="n">
        <f aca="false">-ManCo_Rent</f>
        <v>-0.5</v>
      </c>
      <c r="I13" s="25" t="n">
        <f aca="false">-ManCo_Rent</f>
        <v>-0.5</v>
      </c>
    </row>
    <row r="14" customFormat="false" ht="15" hidden="false" customHeight="false" outlineLevel="0" collapsed="false">
      <c r="A14" s="6"/>
      <c r="B14" s="24" t="s">
        <v>194</v>
      </c>
      <c r="C14" s="25" t="n">
        <f aca="false">-ManCo_Other</f>
        <v>-0.3</v>
      </c>
      <c r="D14" s="25" t="n">
        <f aca="false">-ManCo_Other</f>
        <v>-0.3</v>
      </c>
      <c r="E14" s="25" t="n">
        <f aca="false">-ManCo_Other</f>
        <v>-0.3</v>
      </c>
      <c r="F14" s="25" t="n">
        <f aca="false">-ManCo_Other</f>
        <v>-0.3</v>
      </c>
      <c r="G14" s="25" t="n">
        <f aca="false">-ManCo_Other</f>
        <v>-0.3</v>
      </c>
      <c r="H14" s="25" t="n">
        <f aca="false">-ManCo_Other</f>
        <v>-0.3</v>
      </c>
      <c r="I14" s="25" t="n">
        <f aca="false">-ManCo_Other</f>
        <v>-0.3</v>
      </c>
    </row>
    <row r="15" customFormat="false" ht="15" hidden="false" customHeight="false" outlineLevel="0" collapsed="false">
      <c r="A15" s="6"/>
      <c r="B15" s="26" t="s">
        <v>195</v>
      </c>
      <c r="C15" s="27" t="n">
        <f aca="false">C12+C13+C14</f>
        <v>-4.175</v>
      </c>
      <c r="D15" s="27" t="n">
        <f aca="false">D12+D13+D14</f>
        <v>-4.175</v>
      </c>
      <c r="E15" s="27" t="n">
        <f aca="false">E12+E13+E14</f>
        <v>-4.175</v>
      </c>
      <c r="F15" s="27" t="n">
        <f aca="false">F12+F13+F14</f>
        <v>-2.7903842</v>
      </c>
      <c r="G15" s="27" t="n">
        <f aca="false">G12+G13+G14</f>
        <v>-2.670961148</v>
      </c>
      <c r="H15" s="27" t="n">
        <f aca="false">H12+H13+H14</f>
        <v>-2.55870347912</v>
      </c>
      <c r="I15" s="27" t="n">
        <f aca="false">I12+I13+I14</f>
        <v>-0.8</v>
      </c>
    </row>
    <row r="16" customFormat="false" ht="15" hidden="false" customHeight="false" outlineLevel="0" collapsed="false">
      <c r="A16" s="6"/>
      <c r="B16" s="6"/>
      <c r="C16" s="6"/>
      <c r="D16" s="6"/>
      <c r="E16" s="6"/>
      <c r="F16" s="6"/>
      <c r="G16" s="6"/>
      <c r="H16" s="6"/>
      <c r="I16" s="6"/>
    </row>
    <row r="17" customFormat="false" ht="15" hidden="false" customHeight="false" outlineLevel="0" collapsed="false">
      <c r="A17" s="6"/>
      <c r="B17" s="28" t="s">
        <v>196</v>
      </c>
      <c r="C17" s="29" t="n">
        <f aca="false">C9+C15</f>
        <v>43.309705052002</v>
      </c>
      <c r="D17" s="29" t="n">
        <f aca="false">D9+D15</f>
        <v>40.126517552002</v>
      </c>
      <c r="E17" s="29" t="n">
        <f aca="false">E9+E15</f>
        <v>51.865821302002</v>
      </c>
      <c r="F17" s="29" t="n">
        <f aca="false">F9+F15</f>
        <v>63.583021852002</v>
      </c>
      <c r="G17" s="29" t="n">
        <f aca="false">G9+G15</f>
        <v>63.437060344002</v>
      </c>
      <c r="H17" s="29" t="n">
        <f aca="false">H9+H15</f>
        <v>63.299856526482</v>
      </c>
      <c r="I17" s="29" t="n">
        <f aca="false">I9+I15</f>
        <v>61.150330052002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197</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198</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14" t="s">
        <v>98</v>
      </c>
      <c r="C4" s="22" t="n">
        <v>1</v>
      </c>
      <c r="D4" s="22" t="n">
        <v>2</v>
      </c>
      <c r="E4" s="22" t="n">
        <v>3</v>
      </c>
      <c r="F4" s="22" t="n">
        <v>4</v>
      </c>
      <c r="G4" s="22" t="n">
        <v>5</v>
      </c>
      <c r="H4" s="22" t="n">
        <v>6</v>
      </c>
      <c r="I4" s="22" t="n">
        <v>7</v>
      </c>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5" t="s">
        <v>199</v>
      </c>
      <c r="C6" s="16"/>
      <c r="D6" s="16"/>
      <c r="E6" s="16"/>
      <c r="F6" s="16"/>
      <c r="G6" s="16"/>
      <c r="H6" s="16"/>
      <c r="I6" s="16"/>
    </row>
    <row r="7" customFormat="false" ht="15" hidden="false" customHeight="false" outlineLevel="0" collapsed="false">
      <c r="A7" s="6"/>
      <c r="B7" s="17" t="s">
        <v>200</v>
      </c>
      <c r="C7" s="30" t="n">
        <f aca="true">IFERROR((LCA_Cumul_Dist+LP_Close_Principal+FC_Close_Cash)/LCA_Cumul_Called,0)</f>
        <v>2.84465864513311</v>
      </c>
      <c r="D7" s="30" t="n">
        <f aca="true">IFERROR((LCA_Cumul_Dist+LP_Close_Principal+FC_Close_Cash)/LCA_Cumul_Called,0)</f>
        <v>2.71543563698503</v>
      </c>
      <c r="E7" s="30" t="n">
        <f aca="true">IFERROR((LCA_Cumul_Dist+LP_Close_Principal+FC_Close_Cash)/LCA_Cumul_Called,0)</f>
        <v>3.23686831484499</v>
      </c>
      <c r="F7" s="30" t="n">
        <f aca="true">IFERROR((LCA_Cumul_Dist+LP_Close_Principal+FC_Close_Cash)/LCA_Cumul_Called,0)</f>
        <v>4.37457412706311</v>
      </c>
      <c r="G7" s="30" t="n">
        <f aca="true">IFERROR((LCA_Cumul_Dist+LP_Close_Principal+FC_Close_Cash)/LCA_Cumul_Called,0)</f>
        <v>5.5054316263707</v>
      </c>
      <c r="H7" s="30" t="n">
        <f aca="true">IFERROR((LCA_Cumul_Dist+LP_Close_Principal+FC_Close_Cash)/LCA_Cumul_Called,0)</f>
        <v>6.62985171154239</v>
      </c>
      <c r="I7" s="30" t="n">
        <f aca="true">IFERROR((LCA_Cumul_Dist+LP_Close_Principal+FC_Close_Cash)/LCA_Cumul_Called,0)</f>
        <v>7.70838698302601</v>
      </c>
    </row>
    <row r="8" customFormat="false" ht="15" hidden="false" customHeight="false" outlineLevel="0" collapsed="false">
      <c r="A8" s="6"/>
      <c r="B8" s="17" t="s">
        <v>201</v>
      </c>
      <c r="C8" s="30" t="n">
        <f aca="true">IFERROR(LCA_Cumul_Dist/LCA_Cumul_Called,0)</f>
        <v>2.82033086024195</v>
      </c>
      <c r="D8" s="30" t="n">
        <f aca="true">IFERROR(LCA_Cumul_Dist/LCA_Cumul_Called,0)</f>
        <v>2.6297811600532</v>
      </c>
      <c r="E8" s="30" t="n">
        <f aca="true">IFERROR(LCA_Cumul_Dist/LCA_Cumul_Called,0)</f>
        <v>3.07070179112794</v>
      </c>
      <c r="F8" s="30" t="n">
        <f aca="true">IFERROR(LCA_Cumul_Dist/LCA_Cumul_Called,0)</f>
        <v>4.09426905483725</v>
      </c>
      <c r="G8" s="30" t="n">
        <f aca="true">IFERROR(LCA_Cumul_Dist/LCA_Cumul_Called,0)</f>
        <v>5.11783631854656</v>
      </c>
      <c r="H8" s="30" t="n">
        <f aca="true">IFERROR(LCA_Cumul_Dist/LCA_Cumul_Called,0)</f>
        <v>6.14140358225588</v>
      </c>
      <c r="I8" s="30" t="n">
        <f aca="true">IFERROR(LCA_Cumul_Dist/LCA_Cumul_Called,0)</f>
        <v>7.16497084596519</v>
      </c>
    </row>
    <row r="9" customFormat="false" ht="15" hidden="false" customHeight="false" outlineLevel="0" collapsed="false">
      <c r="A9" s="6"/>
      <c r="B9" s="17" t="s">
        <v>202</v>
      </c>
      <c r="C9" s="30" t="n">
        <f aca="true">IFERROR((LP_Close_Principal+FC_Close_Cash)/LCA_Cumul_Called,0)</f>
        <v>0.0243277848911652</v>
      </c>
      <c r="D9" s="30" t="n">
        <f aca="true">IFERROR((LP_Close_Principal+FC_Close_Cash)/LCA_Cumul_Called,0)</f>
        <v>0.0856544769318322</v>
      </c>
      <c r="E9" s="30" t="n">
        <f aca="true">IFERROR((LP_Close_Principal+FC_Close_Cash)/LCA_Cumul_Called,0)</f>
        <v>0.166166523717049</v>
      </c>
      <c r="F9" s="30" t="n">
        <f aca="true">IFERROR((LP_Close_Principal+FC_Close_Cash)/LCA_Cumul_Called,0)</f>
        <v>0.280305072225855</v>
      </c>
      <c r="G9" s="30" t="n">
        <f aca="true">IFERROR((LP_Close_Principal+FC_Close_Cash)/LCA_Cumul_Called,0)</f>
        <v>0.387595307824132</v>
      </c>
      <c r="H9" s="30" t="n">
        <f aca="true">IFERROR((LP_Close_Principal+FC_Close_Cash)/LCA_Cumul_Called,0)</f>
        <v>0.488448129286514</v>
      </c>
      <c r="I9" s="30" t="n">
        <f aca="true">IFERROR((LP_Close_Principal+FC_Close_Cash)/LCA_Cumul_Called,0)</f>
        <v>0.543416137060825</v>
      </c>
    </row>
    <row r="10" customFormat="false" ht="15" hidden="false" customHeight="false" outlineLevel="0" collapsed="false">
      <c r="A10" s="6"/>
      <c r="B10" s="6"/>
      <c r="C10" s="6"/>
      <c r="D10" s="6"/>
      <c r="E10" s="6"/>
      <c r="F10" s="6"/>
      <c r="G10" s="6"/>
      <c r="H10" s="6"/>
      <c r="I10" s="6"/>
    </row>
    <row r="11" customFormat="false" ht="15" hidden="false" customHeight="false" outlineLevel="0" collapsed="false">
      <c r="A11" s="6"/>
      <c r="B11" s="15" t="s">
        <v>203</v>
      </c>
      <c r="C11" s="16"/>
      <c r="D11" s="16"/>
      <c r="E11" s="16"/>
      <c r="F11" s="16"/>
      <c r="G11" s="16"/>
      <c r="H11" s="16"/>
      <c r="I11" s="16"/>
    </row>
    <row r="12" customFormat="false" ht="15" hidden="false" customHeight="false" outlineLevel="0" collapsed="false">
      <c r="A12" s="6"/>
      <c r="B12" s="17" t="s">
        <v>204</v>
      </c>
      <c r="C12" s="25" t="n">
        <f aca="true">FC_Net_Fund_CF</f>
        <v>-146.4375</v>
      </c>
      <c r="D12" s="25" t="n">
        <f aca="true">FC_Net_Fund_CF</f>
        <v>-167.65875</v>
      </c>
      <c r="E12" s="25" t="n">
        <f aca="true">FC_Net_Fund_CF</f>
        <v>-89.396725</v>
      </c>
      <c r="F12" s="25" t="n">
        <f aca="true">FC_Net_Fund_CF</f>
        <v>74.2865025</v>
      </c>
      <c r="G12" s="25" t="n">
        <f aca="true">FC_Net_Fund_CF</f>
        <v>69.82931235</v>
      </c>
      <c r="H12" s="25" t="n">
        <f aca="true">FC_Net_Fund_CF</f>
        <v>65.639553609</v>
      </c>
      <c r="I12" s="25" t="n">
        <f aca="true">FC_Net_Fund_CF</f>
        <v>413.00220034668</v>
      </c>
    </row>
    <row r="13" customFormat="false" ht="15" hidden="false" customHeight="false" outlineLevel="0" collapsed="false">
      <c r="A13" s="6"/>
      <c r="B13" s="31" t="s">
        <v>203</v>
      </c>
      <c r="C13" s="6"/>
      <c r="D13" s="6"/>
      <c r="E13" s="6"/>
      <c r="F13" s="6"/>
      <c r="G13" s="6"/>
      <c r="H13" s="6"/>
      <c r="I13" s="32" t="n">
        <f aca="false">IFERROR(IRR(C12:I12),0)</f>
        <v>0.103116060192599</v>
      </c>
    </row>
    <row r="14" customFormat="false" ht="15" hidden="false" customHeight="false" outlineLevel="0" collapsed="false">
      <c r="A14" s="6"/>
      <c r="B14" s="6"/>
      <c r="C14" s="6"/>
      <c r="D14" s="6"/>
      <c r="E14" s="6"/>
      <c r="F14" s="6"/>
      <c r="G14" s="6"/>
      <c r="H14" s="6"/>
      <c r="I14" s="6"/>
    </row>
    <row r="15" customFormat="false" ht="15" hidden="false" customHeight="false" outlineLevel="0" collapsed="false">
      <c r="A15" s="6"/>
      <c r="B15" s="15" t="s">
        <v>205</v>
      </c>
      <c r="C15" s="16"/>
      <c r="D15" s="16"/>
      <c r="E15" s="16"/>
      <c r="F15" s="16"/>
      <c r="G15" s="16"/>
      <c r="H15" s="16"/>
      <c r="I15" s="16"/>
    </row>
    <row r="16" customFormat="false" ht="15" hidden="false" customHeight="false" outlineLevel="0" collapsed="false">
      <c r="A16" s="6"/>
      <c r="B16" s="17" t="s">
        <v>206</v>
      </c>
      <c r="C16" s="25" t="n">
        <f aca="true">LCA_Net_LP_CF</f>
        <v>229.508745294678</v>
      </c>
      <c r="D16" s="25" t="n">
        <f aca="true">LCA_Net_LP_CF</f>
        <v>211.895107794678</v>
      </c>
      <c r="E16" s="25" t="n">
        <f aca="true">LCA_Net_LP_CF</f>
        <v>276.852588544678</v>
      </c>
      <c r="F16" s="25" t="n">
        <f aca="true">LCA_Net_LP_CF</f>
        <v>351.051870294678</v>
      </c>
      <c r="G16" s="25" t="n">
        <f aca="true">LCA_Net_LP_CF</f>
        <v>351.051870294678</v>
      </c>
      <c r="H16" s="25" t="n">
        <f aca="true">LCA_Net_LP_CF</f>
        <v>351.051870294678</v>
      </c>
      <c r="I16" s="25" t="n">
        <f aca="true">LCA_Net_LP_CF</f>
        <v>351.051870294678</v>
      </c>
    </row>
    <row r="17" customFormat="false" ht="15" hidden="false" customHeight="false" outlineLevel="0" collapsed="false">
      <c r="A17" s="6"/>
      <c r="B17" s="31" t="s">
        <v>207</v>
      </c>
      <c r="C17" s="6"/>
      <c r="D17" s="6"/>
      <c r="E17" s="6"/>
      <c r="F17" s="6"/>
      <c r="G17" s="6"/>
      <c r="H17" s="6"/>
      <c r="I17" s="32" t="n">
        <f aca="false">IFERROR(IRR(C16:I16),0)</f>
        <v>0</v>
      </c>
    </row>
    <row r="18" customFormat="false" ht="15" hidden="false" customHeight="false" outlineLevel="0" collapsed="false">
      <c r="A18" s="6"/>
      <c r="B18" s="6"/>
      <c r="C18" s="6"/>
      <c r="D18" s="6"/>
      <c r="E18" s="6"/>
      <c r="F18" s="6"/>
      <c r="G18" s="6"/>
      <c r="H18" s="6"/>
      <c r="I18" s="6"/>
    </row>
    <row r="19" customFormat="false" ht="15" hidden="false" customHeight="false" outlineLevel="0" collapsed="false">
      <c r="A19" s="6"/>
      <c r="B19" s="15" t="s">
        <v>208</v>
      </c>
      <c r="C19" s="16"/>
      <c r="D19" s="16"/>
      <c r="E19" s="16"/>
      <c r="F19" s="16"/>
      <c r="G19" s="16"/>
      <c r="H19" s="16"/>
      <c r="I19" s="16"/>
    </row>
    <row r="20" customFormat="false" ht="15" hidden="false" customHeight="false" outlineLevel="0" collapsed="false">
      <c r="A20" s="6"/>
      <c r="B20" s="17" t="s">
        <v>209</v>
      </c>
      <c r="C20" s="30" t="n">
        <f aca="true">IFERROR((LCA_Cumul_Dist+LP_Close_Principal+FC_Close_Cash)/LCA_Cumul_Called,0)</f>
        <v>2.84465864513311</v>
      </c>
      <c r="D20" s="30" t="n">
        <f aca="true">IFERROR((LCA_Cumul_Dist+LP_Close_Principal+FC_Close_Cash)/LCA_Cumul_Called,0)</f>
        <v>2.71543563698503</v>
      </c>
      <c r="E20" s="30" t="n">
        <f aca="true">IFERROR((LCA_Cumul_Dist+LP_Close_Principal+FC_Close_Cash)/LCA_Cumul_Called,0)</f>
        <v>3.23686831484499</v>
      </c>
      <c r="F20" s="30" t="n">
        <f aca="true">IFERROR((LCA_Cumul_Dist+LP_Close_Principal+FC_Close_Cash)/LCA_Cumul_Called,0)</f>
        <v>4.37457412706311</v>
      </c>
      <c r="G20" s="30" t="n">
        <f aca="true">IFERROR((LCA_Cumul_Dist+LP_Close_Principal+FC_Close_Cash)/LCA_Cumul_Called,0)</f>
        <v>5.5054316263707</v>
      </c>
      <c r="H20" s="30" t="n">
        <f aca="true">IFERROR((LCA_Cumul_Dist+LP_Close_Principal+FC_Close_Cash)/LCA_Cumul_Called,0)</f>
        <v>6.62985171154239</v>
      </c>
      <c r="I20" s="30" t="n">
        <f aca="true">IFERROR((LCA_Cumul_Dist+LP_Close_Principal+FC_Close_Cash)/LCA_Cumul_Called,0)</f>
        <v>7.70838698302601</v>
      </c>
    </row>
    <row r="21" customFormat="false" ht="15" hidden="false" customHeight="false" outlineLevel="0" collapsed="false">
      <c r="A21" s="6"/>
      <c r="B21" s="17" t="s">
        <v>210</v>
      </c>
      <c r="C21" s="30" t="n">
        <f aca="true">IFERROR((SUM(LP_Capital_Account!$C$18:C18)+(LP_Close_Principal+FC_Close_Cash)*(1-GP_Commit_Pct))/LCA_Cumul_LP,0)</f>
        <v>2.62359434734592</v>
      </c>
      <c r="D21" s="30" t="n">
        <f aca="true">IFERROR((SUM(LP_Capital_Account!$C$18:D18)+(LP_Close_Principal+FC_Close_Cash)*(1-GP_Commit_Pct))/LCA_Cumul_LP,0)</f>
        <v>2.51964834024328</v>
      </c>
      <c r="E21" s="30" t="n">
        <f aca="true">IFERROR((SUM(LP_Capital_Account!$C$18:E18)+(LP_Close_Principal+FC_Close_Cash)*(1-GP_Commit_Pct))/LCA_Cumul_LP,0)</f>
        <v>2.98259154663414</v>
      </c>
      <c r="F21" s="30" t="n">
        <f aca="true">IFERROR((SUM(LP_Capital_Account!$C$18:F18)+(LP_Close_Principal+FC_Close_Cash)*(1-GP_Commit_Pct))/LCA_Cumul_LP,0)</f>
        <v>3.98451802795204</v>
      </c>
      <c r="G21" s="30" t="n">
        <f aca="true">IFERROR((SUM(LP_Capital_Account!$C$18:G18)+(LP_Close_Principal+FC_Close_Cash)*(1-GP_Commit_Pct))/LCA_Cumul_LP,0)</f>
        <v>4.97959619635942</v>
      </c>
      <c r="H21" s="30" t="n">
        <f aca="true">IFERROR((SUM(LP_Capital_Account!$C$18:H18)+(LP_Close_Principal+FC_Close_Cash)*(1-GP_Commit_Pct))/LCA_Cumul_LP,0)</f>
        <v>5.9682369506309</v>
      </c>
      <c r="I21" s="30" t="n">
        <f aca="true">IFERROR((SUM(LP_Capital_Account!$C$18:I18)+(LP_Close_Principal+FC_Close_Cash)*(1-GP_Commit_Pct))/LCA_Cumul_LP,0)</f>
        <v>6.9109928912143</v>
      </c>
    </row>
    <row r="22" customFormat="false" ht="15" hidden="false" customHeight="false" outlineLevel="0" collapsed="false">
      <c r="A22" s="6"/>
      <c r="B22" s="6"/>
      <c r="C22" s="6"/>
      <c r="D22" s="6"/>
      <c r="E22" s="6"/>
      <c r="F22" s="6"/>
      <c r="G22" s="6"/>
      <c r="H22" s="6"/>
      <c r="I22" s="6"/>
    </row>
    <row r="23" customFormat="false" ht="15" hidden="false" customHeight="false" outlineLevel="0" collapsed="false">
      <c r="A23" s="6"/>
      <c r="B23" s="15" t="s">
        <v>211</v>
      </c>
      <c r="C23" s="16"/>
      <c r="D23" s="16"/>
      <c r="E23" s="16"/>
      <c r="F23" s="16"/>
      <c r="G23" s="16"/>
      <c r="H23" s="16"/>
      <c r="I23" s="16"/>
    </row>
    <row r="24" customFormat="false" ht="15" hidden="false" customHeight="false" outlineLevel="0" collapsed="false">
      <c r="A24" s="6"/>
      <c r="B24" s="17" t="s">
        <v>212</v>
      </c>
      <c r="C24" s="23" t="n">
        <f aca="true">IFERROR(LP_Total_Interest/LP_Avg_Principal,0)</f>
        <v>0.128</v>
      </c>
      <c r="D24" s="23" t="n">
        <f aca="true">IFERROR(LP_Total_Interest/LP_Avg_Principal,0)</f>
        <v>0.125702647657841</v>
      </c>
      <c r="E24" s="23" t="n">
        <f aca="true">IFERROR(LP_Total_Interest/LP_Avg_Principal,0)</f>
        <v>0.124928900608719</v>
      </c>
      <c r="F24" s="23" t="n">
        <f aca="true">IFERROR(LP_Total_Interest/LP_Avg_Principal,0)</f>
        <v>0.124381892442944</v>
      </c>
      <c r="G24" s="23" t="n">
        <f aca="true">IFERROR(LP_Total_Interest/LP_Avg_Principal,0)</f>
        <v>0.12466158770526</v>
      </c>
      <c r="H24" s="23" t="n">
        <f aca="true">IFERROR(LP_Total_Interest/LP_Avg_Principal,0)</f>
        <v>0.12495913585666</v>
      </c>
      <c r="I24" s="23" t="n">
        <f aca="true">IFERROR(LP_Total_Interest/LP_Avg_Principal,0)</f>
        <v>0.130234812299915</v>
      </c>
    </row>
    <row r="25" customFormat="false" ht="15" hidden="false" customHeight="false" outlineLevel="0" collapsed="false">
      <c r="A25" s="6"/>
      <c r="B25" s="17" t="s">
        <v>213</v>
      </c>
      <c r="C25" s="23" t="n">
        <f aca="true">IFERROR((FC_Cash_Int+FC_Total_Expenses)/LP_Avg_Principal,0)</f>
        <v>0.0075</v>
      </c>
      <c r="D25" s="23" t="n">
        <f aca="true">IFERROR((FC_Cash_Int+FC_Total_Expenses)/LP_Avg_Principal,0)</f>
        <v>0.0769501018329939</v>
      </c>
      <c r="E25" s="23" t="n">
        <f aca="true">IFERROR((FC_Cash_Int+FC_Total_Expenses)/LP_Avg_Principal,0)</f>
        <v>0.0890166227173029</v>
      </c>
      <c r="F25" s="23" t="n">
        <f aca="true">IFERROR((FC_Cash_Int+FC_Total_Expenses)/LP_Avg_Principal,0)</f>
        <v>0.0978092783505155</v>
      </c>
      <c r="G25" s="23" t="n">
        <f aca="true">IFERROR((FC_Cash_Int+FC_Total_Expenses)/LP_Avg_Principal,0)</f>
        <v>0.0978092783505155</v>
      </c>
      <c r="H25" s="23" t="n">
        <f aca="true">IFERROR((FC_Cash_Int+FC_Total_Expenses)/LP_Avg_Principal,0)</f>
        <v>0.0978092783505155</v>
      </c>
      <c r="I25" s="23" t="n">
        <f aca="true">IFERROR((FC_Cash_Int+FC_Total_Expenses)/LP_Avg_Principal,0)</f>
        <v>0.1075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6"/>
    <col collapsed="false" customWidth="true" hidden="false" outlineLevel="0" max="4" min="4" style="0" width="50"/>
    <col collapsed="false" customWidth="true" hidden="false" outlineLevel="0" max="9" min="5" style="0" width="16"/>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214</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215</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216</v>
      </c>
      <c r="C5" s="7" t="s">
        <v>217</v>
      </c>
      <c r="D5" s="7" t="s">
        <v>218</v>
      </c>
    </row>
    <row r="6" customFormat="false" ht="15" hidden="false" customHeight="false" outlineLevel="0" collapsed="false">
      <c r="A6" s="6"/>
      <c r="B6" s="6"/>
      <c r="C6" s="6"/>
      <c r="D6" s="6"/>
    </row>
    <row r="7" customFormat="false" ht="15" hidden="false" customHeight="false" outlineLevel="0" collapsed="false">
      <c r="A7" s="6"/>
      <c r="B7" s="8" t="s">
        <v>219</v>
      </c>
      <c r="C7" s="8" t="str">
        <f aca="false">IF(ROUND(SUM(Waterfall!C37:I37),2)=0,"PASS","FAIL")</f>
        <v>PASS</v>
      </c>
      <c r="D7" s="33" t="s">
        <v>220</v>
      </c>
    </row>
    <row r="8" customFormat="false" ht="15" hidden="false" customHeight="false" outlineLevel="0" collapsed="false">
      <c r="A8" s="6"/>
      <c r="B8" s="8" t="s">
        <v>221</v>
      </c>
      <c r="C8" s="8" t="str">
        <f aca="false">IF(LP_Capital_Account!I21&lt;=LP_Capital_Account!I8+SUM(Fund_Cash_Flow!C16:I16),"PASS","FAIL")</f>
        <v>FAIL</v>
      </c>
      <c r="D8" s="33" t="s">
        <v>222</v>
      </c>
    </row>
    <row r="9" customFormat="false" ht="15" hidden="false" customHeight="false" outlineLevel="0" collapsed="false">
      <c r="A9" s="6"/>
      <c r="B9" s="8" t="s">
        <v>223</v>
      </c>
      <c r="C9" s="8" t="str">
        <f aca="false">IF(ROUND(LP_Capital_Account!I8,2)&lt;=ROUND(Assumptions!C6,2),"PASS","FAIL")</f>
        <v>PASS</v>
      </c>
      <c r="D9" s="33" t="s">
        <v>224</v>
      </c>
    </row>
    <row r="10" customFormat="false" ht="15" hidden="false" customHeight="false" outlineLevel="0" collapsed="false">
      <c r="A10" s="6"/>
      <c r="B10" s="8" t="s">
        <v>225</v>
      </c>
      <c r="C10" s="8" t="str">
        <f aca="false">IF(OR(Returns!I13&gt;=Returns!I17,Returns!I13=0),"PASS","FAIL")</f>
        <v>PASS</v>
      </c>
      <c r="D10" s="33" t="s">
        <v>226</v>
      </c>
    </row>
    <row r="11" customFormat="false" ht="15" hidden="false" customHeight="false" outlineLevel="0" collapsed="false">
      <c r="A11" s="6"/>
      <c r="B11" s="8" t="s">
        <v>227</v>
      </c>
      <c r="C11" s="8" t="str">
        <f aca="false">IF(Loan_Portfolio!I18&gt;=0,"PASS","FAIL")</f>
        <v>PASS</v>
      </c>
      <c r="D11" s="33" t="s">
        <v>228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2026-05-15T18:53:03Z</dcterms:created>
  <dc:creator>openpyxl</dc:creator>
  <dc:description/>
  <dc:language>en-GB</dc:language>
  <cp:lastModifiedBy/>
  <dcterms:modified xsi:type="dcterms:W3CDTF">2026-05-15T18:53:03Z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