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ortfolio_Summary" sheetId="4" state="visible" r:id="rId6"/>
    <sheet name="Recovery_Analysis" sheetId="5" state="visible" r:id="rId7"/>
    <sheet name="Cash_Flow" sheetId="6" state="visible" r:id="rId8"/>
    <sheet name="Returns_Analysis" sheetId="7" state="visible" r:id="rId9"/>
    <sheet name="Checks" sheetId="8" state="visible" r:id="rId10"/>
  </sheets>
  <definedNames>
    <definedName function="false" hidden="false" name="Carried_Int_Pct" vbProcedure="false">Assumptions!$C$10</definedName>
    <definedName function="false" hidden="false" name="Discount_Rate" vbProcedure="false">Assumptions!$C$15</definedName>
    <definedName function="false" hidden="false" name="Fund_Expenses_Pct" vbProcedure="false">Assumptions!$C$16</definedName>
    <definedName function="false" hidden="false" name="Fund_Life" vbProcedure="false">Assumptions!$C$13</definedName>
    <definedName function="false" hidden="false" name="Fund_Size" vbProcedure="false">Assumptions!$C$8</definedName>
    <definedName function="false" hidden="false" name="GP_Commit_Pct" vbProcedure="false">Assumptions!$C$12</definedName>
    <definedName function="false" hidden="false" name="Hurdle_Rate" vbProcedure="false">Assumptions!$C$11</definedName>
    <definedName function="false" hidden="false" name="I1_Coupon" vbProcedure="false">Assumptions!$C$23</definedName>
    <definedName function="false" hidden="false" name="I1_Par" vbProcedure="false">Assumptions!$C$21</definedName>
    <definedName function="false" hidden="false" name="I1_Purchase" vbProcedure="false">Assumptions!$C$22</definedName>
    <definedName function="false" hidden="false" name="I1_Recovery" vbProcedure="false">Assumptions!$C$24</definedName>
    <definedName function="false" hidden="false" name="I1_Recovery_Yr" vbProcedure="false">Assumptions!$C$25</definedName>
    <definedName function="false" hidden="false" name="I2_Coupon" vbProcedure="false">Assumptions!$C$32</definedName>
    <definedName function="false" hidden="false" name="I2_Par" vbProcedure="false">Assumptions!$C$30</definedName>
    <definedName function="false" hidden="false" name="I2_Purchase" vbProcedure="false">Assumptions!$C$31</definedName>
    <definedName function="false" hidden="false" name="I2_Recovery" vbProcedure="false">Assumptions!$C$33</definedName>
    <definedName function="false" hidden="false" name="I2_Recovery_Yr" vbProcedure="false">Assumptions!$C$34</definedName>
    <definedName function="false" hidden="false" name="I3_Coupon" vbProcedure="false">Assumptions!$C$41</definedName>
    <definedName function="false" hidden="false" name="I3_Par" vbProcedure="false">Assumptions!$C$39</definedName>
    <definedName function="false" hidden="false" name="I3_Purchase" vbProcedure="false">Assumptions!$C$40</definedName>
    <definedName function="false" hidden="false" name="I3_Recovery" vbProcedure="false">Assumptions!$C$42</definedName>
    <definedName function="false" hidden="false" name="I3_Recovery_Yr" vbProcedure="false">Assumptions!$C$43</definedName>
    <definedName function="false" hidden="false" name="I4_Coupon" vbProcedure="false">Assumptions!$C$50</definedName>
    <definedName function="false" hidden="false" name="I4_Par" vbProcedure="false">Assumptions!$C$48</definedName>
    <definedName function="false" hidden="false" name="I4_Purchase" vbProcedure="false">Assumptions!$C$49</definedName>
    <definedName function="false" hidden="false" name="I4_Recovery" vbProcedure="false">Assumptions!$C$51</definedName>
    <definedName function="false" hidden="false" name="I4_Recovery_Yr" vbProcedure="false">Assumptions!$C$52</definedName>
    <definedName function="false" hidden="false" name="I5_Coupon" vbProcedure="false">Assumptions!$C$59</definedName>
    <definedName function="false" hidden="false" name="I5_Par" vbProcedure="false">Assumptions!$C$57</definedName>
    <definedName function="false" hidden="false" name="I5_Purchase" vbProcedure="false">Assumptions!$C$58</definedName>
    <definedName function="false" hidden="false" name="I5_Recovery" vbProcedure="false">Assumptions!$C$60</definedName>
    <definedName function="false" hidden="false" name="I5_Recovery_Yr" vbProcedure="false">Assumptions!$C$61</definedName>
    <definedName function="false" hidden="false" name="Mgmt_Fee_Pct" vbProcedure="false">Assumptions!$C$9</definedName>
    <definedName function="false" hidden="false" name="Model_Start_Year" vbProcedure="false">Assumptions!$C$14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<sst xmlns="http://schemas.openxmlformats.org/spreadsheetml/2006/main" count="308" uniqueCount="206">
  <si>
    <t xml:space="preserve">Distressed Debt Model</t>
  </si>
  <si>
    <t xml:space="preserve">FINAMODEL.com</t>
  </si>
  <si>
    <t xml:space="preserve">Portfolio Investment Analysis</t>
  </si>
  <si>
    <t xml:space="preserve">Sheet Navigation</t>
  </si>
  <si>
    <t xml:space="preserve">Assumptions</t>
  </si>
  <si>
    <t xml:space="preserve">Fund and instrument inputs</t>
  </si>
  <si>
    <t xml:space="preserve">Portfolio_Summary</t>
  </si>
  <si>
    <t xml:space="preserve">Portfolio overview and metrics</t>
  </si>
  <si>
    <t xml:space="preserve">Recovery_Analysis</t>
  </si>
  <si>
    <t xml:space="preserve">Per-instrument recovery timing</t>
  </si>
  <si>
    <t xml:space="preserve">Cash_Flow</t>
  </si>
  <si>
    <t xml:space="preserve">Fund-level cash flows</t>
  </si>
  <si>
    <t xml:space="preserve">Returns_Analysis</t>
  </si>
  <si>
    <t xml:space="preserve">IRR, MOIC, GP/LP waterfall</t>
  </si>
  <si>
    <t xml:space="preserve">Checks</t>
  </si>
  <si>
    <t xml:space="preserve">Validation checks</t>
  </si>
  <si>
    <t xml:space="preserve">Tab Colour Legend</t>
  </si>
  <si>
    <t xml:space="preserve">Dark Blue</t>
  </si>
  <si>
    <t xml:space="preserve">Cover</t>
  </si>
  <si>
    <t xml:space="preserve">Light Blue</t>
  </si>
  <si>
    <t xml:space="preserve">Assumptions / Inputs</t>
  </si>
  <si>
    <t xml:space="preserve">Green</t>
  </si>
  <si>
    <t xml:space="preserve">Portfolio drivers</t>
  </si>
  <si>
    <t xml:space="preserve">Orange</t>
  </si>
  <si>
    <t xml:space="preserve">Cash flow schedules</t>
  </si>
  <si>
    <t xml:space="preserve">Grey</t>
  </si>
  <si>
    <t xml:space="preserve">Summary / Returns</t>
  </si>
  <si>
    <t xml:space="preserve">Red</t>
  </si>
  <si>
    <t xml:space="preserve">Checks / Risk</t>
  </si>
  <si>
    <t xml:space="preserve">About this model</t>
  </si>
  <si>
    <t xml:space="preserve">Distressed debt analysis values bonds or loans of companies in financial distress by projecting recovery under various restructuring scenarios. The model maps the current capital structure (secured debt, unsecured bonds, equity) and calculates how much each class recovers under a base-case enterprise value scenario, a stress case (lower exit value), and an upside case. The recovery waterfall follows strict lien priority: secured assets are distributed first, operational improvements or asset sales generate additional proceeds, and remaining recovery is allocated down through the stack to junior creditors and equity.
The model assigns probability weights to each scenario (e.g., 40% base, 35% stress, 25% upside) and computes expected recovery per dollar of investment. Investor returns are expressed as IRR on the path from current market price to restructured exit value, typically over a 2â4 year resolution horizon. Key inputs include current debt price (often traded at steep discounts), assumed exit enterprise value, and recovery timing. The workbook flags situations where junior creditors receive zero recovery, allowing you to eliminate false-hope investments.
This template is suitable for credit funds, hedge funds, and restructuring advisors analyzing investment opportunities in broken companies or sectors experiencing temporary distress.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</si>
  <si>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</si>
  <si>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</si>
  <si>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</si>
  <si>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</si>
  <si>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</si>
  <si>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</si>
  <si>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</si>
  <si>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</si>
  <si>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</si>
  <si>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Fund Parameters</t>
  </si>
  <si>
    <t xml:space="preserve">Fund Size</t>
  </si>
  <si>
    <t xml:space="preserve">$M</t>
  </si>
  <si>
    <t xml:space="preserve">Total committed capital</t>
  </si>
  <si>
    <t xml:space="preserve">Management Fee</t>
  </si>
  <si>
    <t xml:space="preserve">%</t>
  </si>
  <si>
    <t xml:space="preserve">Annual on committed</t>
  </si>
  <si>
    <t xml:space="preserve">Carried Interest</t>
  </si>
  <si>
    <t xml:space="preserve">Above hurdle</t>
  </si>
  <si>
    <t xml:space="preserve">Hurdle Rate</t>
  </si>
  <si>
    <t xml:space="preserve">Preferred return (compound)</t>
  </si>
  <si>
    <t xml:space="preserve">GP Commitment</t>
  </si>
  <si>
    <t xml:space="preserve">GP co-invest</t>
  </si>
  <si>
    <t xml:space="preserve">Fund Life</t>
  </si>
  <si>
    <t xml:space="preserve">years</t>
  </si>
  <si>
    <t xml:space="preserve">Investment + harvest</t>
  </si>
  <si>
    <t xml:space="preserve">Model Start Year</t>
  </si>
  <si>
    <t xml:space="preserve">Year 1 of fund</t>
  </si>
  <si>
    <t xml:space="preserve">Discount Rate</t>
  </si>
  <si>
    <t xml:space="preserve">For NPV calculations</t>
  </si>
  <si>
    <t xml:space="preserve">Fund Expenses</t>
  </si>
  <si>
    <t xml:space="preserve">Annual legal, admin, audit</t>
  </si>
  <si>
    <t xml:space="preserve">Instrument 1: Senior Secured</t>
  </si>
  <si>
    <t xml:space="preserve">Instrument Name</t>
  </si>
  <si>
    <t xml:space="preserve">Acme Corp Sr Secured</t>
  </si>
  <si>
    <t xml:space="preserve">text</t>
  </si>
  <si>
    <t xml:space="preserve">First lien term loan</t>
  </si>
  <si>
    <t xml:space="preserve">Par Value</t>
  </si>
  <si>
    <t xml:space="preserve">Face value of position</t>
  </si>
  <si>
    <t xml:space="preserve">Purchase Price</t>
  </si>
  <si>
    <t xml:space="preserve">$/par</t>
  </si>
  <si>
    <t xml:space="preserve">Cents on the dollar</t>
  </si>
  <si>
    <t xml:space="preserve">Coupon Rate</t>
  </si>
  <si>
    <t xml:space="preserve">Annual cash coupon</t>
  </si>
  <si>
    <t xml:space="preserve">Recovery Rate</t>
  </si>
  <si>
    <t xml:space="preserve">Expected recovery on par</t>
  </si>
  <si>
    <t xml:space="preserve">Recovery Year</t>
  </si>
  <si>
    <t xml:space="preserve">year</t>
  </si>
  <si>
    <t xml:space="preserve">Expected resolution year</t>
  </si>
  <si>
    <t xml:space="preserve">Security Type</t>
  </si>
  <si>
    <t xml:space="preserve">Senior Secured</t>
  </si>
  <si>
    <t xml:space="preserve">First lien</t>
  </si>
  <si>
    <t xml:space="preserve">Instrument 2: Senior Unsecured</t>
  </si>
  <si>
    <t xml:space="preserve">Beta Inc Sr Unsecured</t>
  </si>
  <si>
    <t xml:space="preserve">Senior unsecured bond</t>
  </si>
  <si>
    <t xml:space="preserve">Senior Unsecured</t>
  </si>
  <si>
    <t xml:space="preserve">Unsecured bond</t>
  </si>
  <si>
    <t xml:space="preserve">Instrument 3: Subordinated</t>
  </si>
  <si>
    <t xml:space="preserve">Gamma Ltd Sub Bond</t>
  </si>
  <si>
    <t xml:space="preserve">Subordinated bond</t>
  </si>
  <si>
    <t xml:space="preserve">Higher coupon for risk</t>
  </si>
  <si>
    <t xml:space="preserve">Longer resolution</t>
  </si>
  <si>
    <t xml:space="preserve">Subordinated</t>
  </si>
  <si>
    <t xml:space="preserve">Junior unsecured</t>
  </si>
  <si>
    <t xml:space="preserve">Instrument 4: Trade Claim</t>
  </si>
  <si>
    <t xml:space="preserve">Delta Corp Trade Claim</t>
  </si>
  <si>
    <t xml:space="preserve">Trade vendor claim</t>
  </si>
  <si>
    <t xml:space="preserve">Face value of claim</t>
  </si>
  <si>
    <t xml:space="preserve">No coupon on claims</t>
  </si>
  <si>
    <t xml:space="preserve">Quick resolution</t>
  </si>
  <si>
    <t xml:space="preserve">Trade Claim</t>
  </si>
  <si>
    <t xml:space="preserve">General unsecured</t>
  </si>
  <si>
    <t xml:space="preserve">Instrument 5: DIP Financing</t>
  </si>
  <si>
    <t xml:space="preserve">Epsilon DIP Facility</t>
  </si>
  <si>
    <t xml:space="preserve">Debtor-in-possession</t>
  </si>
  <si>
    <t xml:space="preserve">DIP facility commitment</t>
  </si>
  <si>
    <t xml:space="preserve">Near par for DIP</t>
  </si>
  <si>
    <t xml:space="preserve">Premium DIP rate</t>
  </si>
  <si>
    <t xml:space="preserve">Super-priority recovery</t>
  </si>
  <si>
    <t xml:space="preserve">Shortest resolution</t>
  </si>
  <si>
    <t xml:space="preserve">DIP Financing</t>
  </si>
  <si>
    <t xml:space="preserve">Super-priority</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</si>
  <si>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</si>
  <si>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</si>
  <si>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</si>
  <si>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</si>
  <si>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</si>
  <si>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</si>
  <si>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</si>
  <si>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</si>
  <si>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</si>
  <si>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</si>
  <si>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</si>
  <si>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</si>
  <si>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</si>
  <si>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</si>
  <si>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</si>
  <si>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</si>
  <si>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</si>
  <si>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Portfolio Summary</t>
  </si>
  <si>
    <t xml:space="preserve">Instrument Overview</t>
  </si>
  <si>
    <t xml:space="preserve">Instrument</t>
  </si>
  <si>
    <t xml:space="preserve">Par Value ($M)</t>
  </si>
  <si>
    <t xml:space="preserve">Purchase ($M)</t>
  </si>
  <si>
    <t xml:space="preserve">Recovery Yr</t>
  </si>
  <si>
    <t xml:space="preserve">Portfolio Positions</t>
  </si>
  <si>
    <t xml:space="preserve">TOTAL PORTFOLIO</t>
  </si>
  <si>
    <t xml:space="preserve">Wtd Avg Purchase</t>
  </si>
  <si>
    <t xml:space="preserve">Wtd Avg Recovery</t>
  </si>
  <si>
    <t xml:space="preserve">Wtd Avg Coupon</t>
  </si>
  <si>
    <t xml:space="preserve">Recovery Analysis</t>
  </si>
  <si>
    <t xml:space="preserve">Per-Instrument Timing</t>
  </si>
  <si>
    <t xml:space="preserve">Year</t>
  </si>
  <si>
    <t xml:space="preserve">Period</t>
  </si>
  <si>
    <t xml:space="preserve">Inst 1: Sr Secured</t>
  </si>
  <si>
    <t xml:space="preserve">Coupon Income</t>
  </si>
  <si>
    <t xml:space="preserve">Recovery Proceeds</t>
  </si>
  <si>
    <t xml:space="preserve">Total Cash Inflow</t>
  </si>
  <si>
    <t xml:space="preserve">Inst 2: Sr Unsecured</t>
  </si>
  <si>
    <t xml:space="preserve">Inst 3: Subordinated</t>
  </si>
  <si>
    <t xml:space="preserve">Inst 4: Trade Claim</t>
  </si>
  <si>
    <t xml:space="preserve">Inst 5: DIP Facility</t>
  </si>
  <si>
    <t xml:space="preserve">Portfolio Totals</t>
  </si>
  <si>
    <t xml:space="preserve">Total Coupon</t>
  </si>
  <si>
    <t xml:space="preserve">Total Recovery</t>
  </si>
  <si>
    <t xml:space="preserve">GROSS INFLOW</t>
  </si>
  <si>
    <t xml:space="preserve">Cash Flow Statement</t>
  </si>
  <si>
    <t xml:space="preserve">Fund-Level Flows</t>
  </si>
  <si>
    <t xml:space="preserve">Investments</t>
  </si>
  <si>
    <t xml:space="preserve">Portfolio Investment</t>
  </si>
  <si>
    <t xml:space="preserve">Inflows</t>
  </si>
  <si>
    <t xml:space="preserve">Gross Inflow</t>
  </si>
  <si>
    <t xml:space="preserve">Fund Costs</t>
  </si>
  <si>
    <t xml:space="preserve">Total Costs</t>
  </si>
  <si>
    <t xml:space="preserve">NET CASH FLOW</t>
  </si>
  <si>
    <t xml:space="preserve">Cumulative CF</t>
  </si>
  <si>
    <t xml:space="preserve">Gross Profit</t>
  </si>
  <si>
    <t xml:space="preserve">Cumulative Gross MOIC</t>
  </si>
  <si>
    <t xml:space="preserve">Returns Analysis</t>
  </si>
  <si>
    <t xml:space="preserve">Fund Performance</t>
  </si>
  <si>
    <t xml:space="preserve">Metric</t>
  </si>
  <si>
    <t xml:space="preserve">Gross Returns</t>
  </si>
  <si>
    <t xml:space="preserve">Total Invested</t>
  </si>
  <si>
    <t xml:space="preserve">Total Coupon Income</t>
  </si>
  <si>
    <t xml:space="preserve">Gross Proceeds</t>
  </si>
  <si>
    <t xml:space="preserve">Gross MOIC</t>
  </si>
  <si>
    <t xml:space="preserve">Gross IRR</t>
  </si>
  <si>
    <t xml:space="preserve">Net Returns</t>
  </si>
  <si>
    <t xml:space="preserve">Total Mgmt Fees</t>
  </si>
  <si>
    <t xml:space="preserve">Total Fund Expenses</t>
  </si>
  <si>
    <t xml:space="preserve">Net Proceeds</t>
  </si>
  <si>
    <t xml:space="preserve">Net Profit</t>
  </si>
  <si>
    <t xml:space="preserve">Net MOIC</t>
  </si>
  <si>
    <t xml:space="preserve">Net IRR</t>
  </si>
  <si>
    <t xml:space="preserve">GP/LP Waterfall</t>
  </si>
  <si>
    <t xml:space="preserve">GP Carried Interest</t>
  </si>
  <si>
    <t xml:space="preserve">LP Net Proceeds</t>
  </si>
  <si>
    <t xml:space="preserve">LP MOIC</t>
  </si>
  <si>
    <t xml:space="preserve">Valuation</t>
  </si>
  <si>
    <t xml:space="preserve">Net NPV</t>
  </si>
  <si>
    <t xml:space="preserve">IRR Cash Flow Streams</t>
  </si>
  <si>
    <t xml:space="preserve">Gross CF Stream</t>
  </si>
  <si>
    <t xml:space="preserve">Net CF Stream</t>
  </si>
  <si>
    <t xml:space="preserve">Validation Checks</t>
  </si>
  <si>
    <t xml:space="preserve">Model Integrity</t>
  </si>
  <si>
    <t xml:space="preserve">Check</t>
  </si>
  <si>
    <t xml:space="preserve">Result</t>
  </si>
  <si>
    <t xml:space="preserve">Status</t>
  </si>
  <si>
    <t xml:space="preserve">Portfolio Checks</t>
  </si>
  <si>
    <t xml:space="preserve">Purchase &lt; Par</t>
  </si>
  <si>
    <t xml:space="preserve">Recovery &gt; Purchase</t>
  </si>
  <si>
    <t xml:space="preserve">Gross MOIC &gt; 1.0x</t>
  </si>
  <si>
    <t xml:space="preserve">Net MOIC &gt; 1.0x</t>
  </si>
  <si>
    <t xml:space="preserve">Gross IRR &gt; 0%</t>
  </si>
  <si>
    <t xml:space="preserve">Deployed &lt;= Fund</t>
  </si>
  <si>
    <t xml:space="preserve">Fund Utilisation</t>
  </si>
</sst>
</file>

<file path=xl/styles.xml><?xml version="1.0" encoding="utf-8"?>
<styleSheet xmlns="http://schemas.openxmlformats.org/spreadsheetml/2006/main">
  <numFmts count="7">
    <numFmt numFmtId="164" formatCode="General"/>
    <numFmt numFmtId="165" formatCode="#,##0.00"/>
    <numFmt numFmtId="166" formatCode="0.00%"/>
    <numFmt numFmtId="167" formatCode="@"/>
    <numFmt numFmtId="168" formatCode="#,##0.0"/>
    <numFmt numFmtId="169" formatCode="0"/>
    <numFmt numFmtId="170" formatCode="0.00\x"/>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sz val="11"/>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10" fillId="3" borderId="0" xfId="0" applyFont="true" applyBorder="false" applyAlignment="true" applyProtection="false">
      <alignment horizontal="left" vertical="bottom" textRotation="0" wrapText="false" indent="0" shrinkToFit="false"/>
      <protection locked="true" hidden="false"/>
    </xf>
    <xf numFmtId="164" fontId="10" fillId="4" borderId="0" xfId="0" applyFont="true" applyBorder="false" applyAlignment="true" applyProtection="false">
      <alignment horizontal="left" vertical="bottom" textRotation="0" wrapText="false" indent="0" shrinkToFit="false"/>
      <protection locked="true" hidden="false"/>
    </xf>
    <xf numFmtId="164" fontId="10" fillId="5" borderId="0" xfId="0" applyFont="true" applyBorder="false" applyAlignment="true" applyProtection="false">
      <alignment horizontal="left" vertical="bottom" textRotation="0" wrapText="false" indent="0" shrinkToFit="false"/>
      <protection locked="true" hidden="false"/>
    </xf>
    <xf numFmtId="164" fontId="10" fillId="6" borderId="0" xfId="0" applyFont="true" applyBorder="false" applyAlignment="true" applyProtection="false">
      <alignment horizontal="left" vertical="bottom" textRotation="0" wrapText="false" indent="0" shrinkToFit="false"/>
      <protection locked="true" hidden="false"/>
    </xf>
    <xf numFmtId="164" fontId="4" fillId="7" borderId="0" xfId="0" applyFont="true" applyBorder="false" applyAlignment="true" applyProtection="false">
      <alignment horizontal="left"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9" borderId="0" xfId="0" applyFont="true" applyBorder="false" applyAlignment="false" applyProtection="false">
      <alignment horizontal="general" vertical="bottom" textRotation="0" wrapText="false" indent="0" shrinkToFit="false"/>
      <protection locked="true" hidden="false"/>
    </xf>
    <xf numFmtId="165" fontId="16" fillId="1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6" fontId="16" fillId="10" borderId="0" xfId="0" applyFont="true" applyBorder="false" applyAlignment="false" applyProtection="false">
      <alignment horizontal="general" vertical="bottom" textRotation="0" wrapText="false" indent="0" shrinkToFit="false"/>
      <protection locked="true" hidden="false"/>
    </xf>
    <xf numFmtId="167" fontId="16" fillId="1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9" fillId="11"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2" fillId="12"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19" fillId="11" borderId="0" xfId="0" applyFont="true" applyBorder="false" applyAlignment="true" applyProtection="false">
      <alignment horizontal="center" vertical="bottom"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4" fontId="9" fillId="0" borderId="2" xfId="0" applyFont="true" applyBorder="true" applyAlignment="true" applyProtection="false">
      <alignment horizontal="left" vertical="bottom" textRotation="0" wrapText="false" indent="0"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8" fontId="9"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9" fontId="19" fillId="11" borderId="0" xfId="0" applyFont="true" applyBorder="false" applyAlignment="true" applyProtection="false">
      <alignment horizontal="center"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9" fillId="0" borderId="3" xfId="0" applyFont="true" applyBorder="true" applyAlignment="true" applyProtection="false">
      <alignment horizontal="left" vertical="bottom" textRotation="0" wrapText="false" indent="0" shrinkToFit="false"/>
      <protection locked="true" hidden="false"/>
    </xf>
    <xf numFmtId="165" fontId="9" fillId="0" borderId="3" xfId="0" applyFont="true" applyBorder="tru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8" fontId="9" fillId="0" borderId="3" xfId="0" applyFont="true" applyBorder="tru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70" fontId="9" fillId="0" borderId="0" xfId="0" applyFont="true" applyBorder="false" applyAlignment="true" applyProtection="false">
      <alignment horizontal="right"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9" fontId="11" fillId="8"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6"/>
      <c r="D5" s="6"/>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v>
      </c>
      <c r="C6" s="8" t="s">
        <v>5</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6</v>
      </c>
      <c r="C7" s="8" t="s">
        <v>7</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8</v>
      </c>
      <c r="C8" s="8" t="s">
        <v>9</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10</v>
      </c>
      <c r="C9" s="8" t="s">
        <v>11</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12</v>
      </c>
      <c r="C10" s="8" t="s">
        <v>13</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14</v>
      </c>
      <c r="C11" s="8"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16</v>
      </c>
      <c r="C13" s="6"/>
      <c r="D13" s="6"/>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9" t="s">
        <v>17</v>
      </c>
      <c r="C14" s="8" t="s">
        <v>18</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0" t="s">
        <v>19</v>
      </c>
      <c r="C15" s="8" t="s">
        <v>20</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1" t="s">
        <v>21</v>
      </c>
      <c r="C16" s="8" t="s">
        <v>22</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2" t="s">
        <v>23</v>
      </c>
      <c r="C17" s="8" t="s">
        <v>24</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3" t="s">
        <v>25</v>
      </c>
      <c r="C18" s="8" t="s">
        <v>26</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4" t="s">
        <v>27</v>
      </c>
      <c r="C19" s="8" t="s">
        <v>28</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9.5" hidden="false" customHeight="true" outlineLevel="0" collapsed="false">
      <c r="A22" s="5"/>
      <c r="B22" s="15" t="s">
        <v>29</v>
      </c>
      <c r="C22" s="16"/>
      <c r="D22" s="16"/>
      <c r="E22" s="16"/>
      <c r="F22" s="16"/>
      <c r="G22" s="16"/>
      <c r="H22" s="5"/>
      <c r="I22" s="5"/>
      <c r="J22" s="5"/>
      <c r="K22" s="5"/>
      <c r="L22" s="5"/>
      <c r="M22" s="5"/>
      <c r="N22" s="5"/>
      <c r="O22" s="5"/>
      <c r="P22" s="5"/>
      <c r="Q22" s="5"/>
      <c r="R22" s="5"/>
      <c r="S22" s="5"/>
      <c r="T22" s="5"/>
      <c r="U22" s="5"/>
      <c r="V22" s="5"/>
      <c r="W22" s="5"/>
      <c r="X22" s="5"/>
      <c r="Y22" s="5"/>
      <c r="Z22" s="5"/>
      <c r="AA22" s="5"/>
      <c r="AB22" s="5"/>
      <c r="AC22" s="5"/>
      <c r="AD22" s="5"/>
    </row>
    <row r="23" customFormat="false" ht="208.5" hidden="false" customHeight="true" outlineLevel="0" collapsed="false">
      <c r="A23" s="5"/>
      <c r="B23" s="17" t="s">
        <v>30</v>
      </c>
      <c r="C23" s="17"/>
      <c r="D23" s="17"/>
      <c r="E23" s="17"/>
      <c r="F23" s="17"/>
      <c r="G23" s="17"/>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9.5" hidden="false" customHeight="true" outlineLevel="0" collapsed="false">
      <c r="A25" s="5"/>
      <c r="B25" s="15" t="s">
        <v>31</v>
      </c>
      <c r="C25" s="16"/>
      <c r="D25" s="16"/>
      <c r="E25" s="16"/>
      <c r="F25" s="16"/>
      <c r="G25" s="16"/>
      <c r="H25" s="5"/>
      <c r="I25" s="5"/>
      <c r="J25" s="5"/>
      <c r="K25" s="5"/>
      <c r="L25" s="5"/>
      <c r="M25" s="5"/>
      <c r="N25" s="5"/>
      <c r="O25" s="5"/>
      <c r="P25" s="5"/>
      <c r="Q25" s="5"/>
      <c r="R25" s="5"/>
      <c r="S25" s="5"/>
      <c r="T25" s="5"/>
      <c r="U25" s="5"/>
      <c r="V25" s="5"/>
      <c r="W25" s="5"/>
      <c r="X25" s="5"/>
      <c r="Y25" s="5"/>
      <c r="Z25" s="5"/>
      <c r="AA25" s="5"/>
      <c r="AB25" s="5"/>
      <c r="AC25" s="5"/>
      <c r="AD25" s="5"/>
    </row>
    <row r="26" customFormat="false" ht="57" hidden="false" customHeight="true" outlineLevel="0" collapsed="false">
      <c r="A26" s="5"/>
      <c r="B26" s="17" t="s">
        <v>32</v>
      </c>
      <c r="C26" s="17"/>
      <c r="D26" s="17"/>
      <c r="E26" s="17"/>
      <c r="F26" s="17"/>
      <c r="G26" s="17"/>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8" t="s">
        <v>33</v>
      </c>
      <c r="C27" s="18"/>
      <c r="D27" s="18"/>
      <c r="E27" s="18"/>
      <c r="F27" s="18"/>
      <c r="G27" s="18"/>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9" t="s">
        <v>34</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sheetData>
  <mergeCells count="3">
    <mergeCell ref="B23:G23"/>
    <mergeCell ref="B26:G26"/>
    <mergeCell ref="B27:G2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6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10"/>
    <col collapsed="false" customWidth="true" hidden="false" outlineLevel="0" max="5" min="5"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36</v>
      </c>
      <c r="C5" s="6" t="s">
        <v>37</v>
      </c>
      <c r="D5" s="6" t="s">
        <v>38</v>
      </c>
      <c r="E5" s="6" t="s">
        <v>39</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0" t="s">
        <v>40</v>
      </c>
      <c r="C7" s="20"/>
      <c r="D7" s="20"/>
      <c r="E7" s="20"/>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8" t="s">
        <v>41</v>
      </c>
      <c r="C8" s="21" t="n">
        <v>200</v>
      </c>
      <c r="D8" s="22" t="s">
        <v>42</v>
      </c>
      <c r="E8" s="23" t="s">
        <v>43</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8" t="s">
        <v>44</v>
      </c>
      <c r="C9" s="24" t="n">
        <v>0.02</v>
      </c>
      <c r="D9" s="22" t="s">
        <v>45</v>
      </c>
      <c r="E9" s="23" t="s">
        <v>46</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8" t="s">
        <v>47</v>
      </c>
      <c r="C10" s="24" t="n">
        <v>0.2</v>
      </c>
      <c r="D10" s="22" t="s">
        <v>45</v>
      </c>
      <c r="E10" s="23" t="s">
        <v>48</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49</v>
      </c>
      <c r="C11" s="24" t="n">
        <v>0.08</v>
      </c>
      <c r="D11" s="22" t="s">
        <v>45</v>
      </c>
      <c r="E11" s="23" t="s">
        <v>50</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8" t="s">
        <v>51</v>
      </c>
      <c r="C12" s="24" t="n">
        <v>0.02</v>
      </c>
      <c r="D12" s="22" t="s">
        <v>45</v>
      </c>
      <c r="E12" s="23" t="s">
        <v>52</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8" t="s">
        <v>53</v>
      </c>
      <c r="C13" s="21" t="n">
        <v>5</v>
      </c>
      <c r="D13" s="22" t="s">
        <v>54</v>
      </c>
      <c r="E13" s="23" t="s">
        <v>55</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8" t="s">
        <v>56</v>
      </c>
      <c r="C14" s="21" t="n">
        <v>2026</v>
      </c>
      <c r="D14" s="22"/>
      <c r="E14" s="23" t="s">
        <v>57</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8" t="s">
        <v>58</v>
      </c>
      <c r="C15" s="24" t="n">
        <v>0.12</v>
      </c>
      <c r="D15" s="22" t="s">
        <v>45</v>
      </c>
      <c r="E15" s="23" t="s">
        <v>59</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8" t="s">
        <v>60</v>
      </c>
      <c r="C16" s="24" t="n">
        <v>0.005</v>
      </c>
      <c r="D16" s="22" t="s">
        <v>45</v>
      </c>
      <c r="E16" s="23" t="s">
        <v>61</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0" t="s">
        <v>62</v>
      </c>
      <c r="C18" s="20"/>
      <c r="D18" s="20"/>
      <c r="E18" s="20"/>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8" t="s">
        <v>63</v>
      </c>
      <c r="C20" s="25" t="s">
        <v>64</v>
      </c>
      <c r="D20" s="22" t="s">
        <v>65</v>
      </c>
      <c r="E20" s="23" t="s">
        <v>66</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8" t="s">
        <v>67</v>
      </c>
      <c r="C21" s="21" t="n">
        <v>50</v>
      </c>
      <c r="D21" s="22" t="s">
        <v>42</v>
      </c>
      <c r="E21" s="23" t="s">
        <v>68</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8" t="s">
        <v>69</v>
      </c>
      <c r="C22" s="24" t="n">
        <v>0.65</v>
      </c>
      <c r="D22" s="22" t="s">
        <v>70</v>
      </c>
      <c r="E22" s="23" t="s">
        <v>71</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8" t="s">
        <v>72</v>
      </c>
      <c r="C23" s="24" t="n">
        <v>0.06</v>
      </c>
      <c r="D23" s="22" t="s">
        <v>45</v>
      </c>
      <c r="E23" s="23" t="s">
        <v>73</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8" t="s">
        <v>74</v>
      </c>
      <c r="C24" s="24" t="n">
        <v>0.85</v>
      </c>
      <c r="D24" s="22" t="s">
        <v>45</v>
      </c>
      <c r="E24" s="23" t="s">
        <v>75</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8" t="s">
        <v>76</v>
      </c>
      <c r="C25" s="21" t="n">
        <v>2</v>
      </c>
      <c r="D25" s="22" t="s">
        <v>77</v>
      </c>
      <c r="E25" s="23" t="s">
        <v>78</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8" t="s">
        <v>79</v>
      </c>
      <c r="C26" s="25" t="s">
        <v>80</v>
      </c>
      <c r="D26" s="22" t="s">
        <v>65</v>
      </c>
      <c r="E26" s="23" t="s">
        <v>81</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0" t="s">
        <v>82</v>
      </c>
      <c r="C27" s="20"/>
      <c r="D27" s="20"/>
      <c r="E27" s="20"/>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8" t="s">
        <v>63</v>
      </c>
      <c r="C29" s="25" t="s">
        <v>83</v>
      </c>
      <c r="D29" s="22" t="s">
        <v>65</v>
      </c>
      <c r="E29" s="23" t="s">
        <v>84</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8" t="s">
        <v>67</v>
      </c>
      <c r="C30" s="21" t="n">
        <v>40</v>
      </c>
      <c r="D30" s="22" t="s">
        <v>42</v>
      </c>
      <c r="E30" s="23" t="s">
        <v>68</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8" t="s">
        <v>69</v>
      </c>
      <c r="C31" s="24" t="n">
        <v>0.45</v>
      </c>
      <c r="D31" s="22" t="s">
        <v>70</v>
      </c>
      <c r="E31" s="23" t="s">
        <v>71</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8" t="s">
        <v>72</v>
      </c>
      <c r="C32" s="24" t="n">
        <v>0.075</v>
      </c>
      <c r="D32" s="22" t="s">
        <v>45</v>
      </c>
      <c r="E32" s="23" t="s">
        <v>73</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8" t="s">
        <v>74</v>
      </c>
      <c r="C33" s="24" t="n">
        <v>0.7</v>
      </c>
      <c r="D33" s="22" t="s">
        <v>45</v>
      </c>
      <c r="E33" s="23" t="s">
        <v>75</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8" t="s">
        <v>76</v>
      </c>
      <c r="C34" s="21" t="n">
        <v>3</v>
      </c>
      <c r="D34" s="22" t="s">
        <v>77</v>
      </c>
      <c r="E34" s="23" t="s">
        <v>78</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8" t="s">
        <v>79</v>
      </c>
      <c r="C35" s="25" t="s">
        <v>85</v>
      </c>
      <c r="D35" s="22" t="s">
        <v>65</v>
      </c>
      <c r="E35" s="23" t="s">
        <v>86</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20" t="s">
        <v>87</v>
      </c>
      <c r="C36" s="20"/>
      <c r="D36" s="20"/>
      <c r="E36" s="20"/>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8" t="s">
        <v>63</v>
      </c>
      <c r="C38" s="25" t="s">
        <v>88</v>
      </c>
      <c r="D38" s="22" t="s">
        <v>65</v>
      </c>
      <c r="E38" s="23" t="s">
        <v>89</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8" t="s">
        <v>67</v>
      </c>
      <c r="C39" s="21" t="n">
        <v>35</v>
      </c>
      <c r="D39" s="22" t="s">
        <v>42</v>
      </c>
      <c r="E39" s="23" t="s">
        <v>68</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8" t="s">
        <v>69</v>
      </c>
      <c r="C40" s="24" t="n">
        <v>0.3</v>
      </c>
      <c r="D40" s="22" t="s">
        <v>70</v>
      </c>
      <c r="E40" s="23" t="s">
        <v>71</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8" t="s">
        <v>72</v>
      </c>
      <c r="C41" s="24" t="n">
        <v>0.09</v>
      </c>
      <c r="D41" s="22" t="s">
        <v>45</v>
      </c>
      <c r="E41" s="23" t="s">
        <v>90</v>
      </c>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8" t="s">
        <v>74</v>
      </c>
      <c r="C42" s="24" t="n">
        <v>0.55</v>
      </c>
      <c r="D42" s="22" t="s">
        <v>45</v>
      </c>
      <c r="E42" s="23" t="s">
        <v>75</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8" t="s">
        <v>76</v>
      </c>
      <c r="C43" s="21" t="n">
        <v>3</v>
      </c>
      <c r="D43" s="22" t="s">
        <v>77</v>
      </c>
      <c r="E43" s="23" t="s">
        <v>91</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8" t="s">
        <v>79</v>
      </c>
      <c r="C44" s="25" t="s">
        <v>92</v>
      </c>
      <c r="D44" s="22" t="s">
        <v>65</v>
      </c>
      <c r="E44" s="23" t="s">
        <v>93</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20" t="s">
        <v>94</v>
      </c>
      <c r="C45" s="20"/>
      <c r="D45" s="20"/>
      <c r="E45" s="20"/>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8" t="s">
        <v>63</v>
      </c>
      <c r="C47" s="25" t="s">
        <v>95</v>
      </c>
      <c r="D47" s="22" t="s">
        <v>65</v>
      </c>
      <c r="E47" s="23" t="s">
        <v>96</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8" t="s">
        <v>67</v>
      </c>
      <c r="C48" s="21" t="n">
        <v>25</v>
      </c>
      <c r="D48" s="22" t="s">
        <v>42</v>
      </c>
      <c r="E48" s="23" t="s">
        <v>97</v>
      </c>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8" t="s">
        <v>69</v>
      </c>
      <c r="C49" s="24" t="n">
        <v>0.4</v>
      </c>
      <c r="D49" s="22" t="s">
        <v>70</v>
      </c>
      <c r="E49" s="23" t="s">
        <v>71</v>
      </c>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8" t="s">
        <v>72</v>
      </c>
      <c r="C50" s="24" t="n">
        <v>0</v>
      </c>
      <c r="D50" s="22" t="s">
        <v>45</v>
      </c>
      <c r="E50" s="23" t="s">
        <v>98</v>
      </c>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8" t="s">
        <v>74</v>
      </c>
      <c r="C51" s="24" t="n">
        <v>0.6</v>
      </c>
      <c r="D51" s="22" t="s">
        <v>45</v>
      </c>
      <c r="E51" s="23" t="s">
        <v>75</v>
      </c>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8" t="s">
        <v>76</v>
      </c>
      <c r="C52" s="21" t="n">
        <v>2</v>
      </c>
      <c r="D52" s="22" t="s">
        <v>77</v>
      </c>
      <c r="E52" s="23" t="s">
        <v>99</v>
      </c>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8" t="s">
        <v>79</v>
      </c>
      <c r="C53" s="25" t="s">
        <v>100</v>
      </c>
      <c r="D53" s="22" t="s">
        <v>65</v>
      </c>
      <c r="E53" s="23" t="s">
        <v>101</v>
      </c>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20" t="s">
        <v>102</v>
      </c>
      <c r="C54" s="20"/>
      <c r="D54" s="20"/>
      <c r="E54" s="20"/>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8" t="s">
        <v>63</v>
      </c>
      <c r="C56" s="25" t="s">
        <v>103</v>
      </c>
      <c r="D56" s="22" t="s">
        <v>65</v>
      </c>
      <c r="E56" s="23" t="s">
        <v>104</v>
      </c>
      <c r="F56" s="5"/>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8" t="s">
        <v>67</v>
      </c>
      <c r="C57" s="21" t="n">
        <v>30</v>
      </c>
      <c r="D57" s="22" t="s">
        <v>42</v>
      </c>
      <c r="E57" s="23" t="s">
        <v>105</v>
      </c>
      <c r="F57" s="5"/>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8" t="s">
        <v>69</v>
      </c>
      <c r="C58" s="24" t="n">
        <v>0.95</v>
      </c>
      <c r="D58" s="22" t="s">
        <v>70</v>
      </c>
      <c r="E58" s="23" t="s">
        <v>106</v>
      </c>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8" t="s">
        <v>72</v>
      </c>
      <c r="C59" s="24" t="n">
        <v>0.12</v>
      </c>
      <c r="D59" s="22" t="s">
        <v>45</v>
      </c>
      <c r="E59" s="23" t="s">
        <v>107</v>
      </c>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8" t="s">
        <v>74</v>
      </c>
      <c r="C60" s="24" t="n">
        <v>1</v>
      </c>
      <c r="D60" s="22" t="s">
        <v>45</v>
      </c>
      <c r="E60" s="23" t="s">
        <v>108</v>
      </c>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8" t="s">
        <v>76</v>
      </c>
      <c r="C61" s="21" t="n">
        <v>1</v>
      </c>
      <c r="D61" s="22" t="s">
        <v>77</v>
      </c>
      <c r="E61" s="23" t="s">
        <v>109</v>
      </c>
      <c r="F61" s="5"/>
      <c r="G61" s="5"/>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8" t="s">
        <v>79</v>
      </c>
      <c r="C62" s="25" t="s">
        <v>110</v>
      </c>
      <c r="D62" s="22" t="s">
        <v>65</v>
      </c>
      <c r="E62" s="23" t="s">
        <v>111</v>
      </c>
      <c r="F62" s="5"/>
      <c r="G62" s="5"/>
      <c r="H62" s="5"/>
      <c r="I62" s="5"/>
      <c r="J62" s="5"/>
      <c r="K62" s="5"/>
      <c r="L62" s="5"/>
      <c r="M62" s="5"/>
      <c r="N62" s="5"/>
      <c r="O62" s="5"/>
      <c r="P62" s="5"/>
      <c r="Q62" s="5"/>
      <c r="R62" s="5"/>
      <c r="S62" s="5"/>
      <c r="T62" s="5"/>
      <c r="U62" s="5"/>
      <c r="V62" s="5"/>
      <c r="W62" s="5"/>
      <c r="X62" s="5"/>
      <c r="Y62" s="5"/>
      <c r="Z62" s="5"/>
      <c r="AA62" s="5"/>
      <c r="AB62" s="5"/>
      <c r="AC62" s="5"/>
      <c r="AD6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6" t="s">
        <v>112</v>
      </c>
    </row>
    <row r="3" customFormat="false" ht="3.75" hidden="false" customHeight="true" outlineLevel="0" collapsed="false">
      <c r="A3" s="5"/>
      <c r="B3" s="27"/>
    </row>
    <row r="4" customFormat="false" ht="15" hidden="false" customHeight="false" outlineLevel="0" collapsed="false">
      <c r="A4" s="5"/>
      <c r="B4" s="5"/>
    </row>
    <row r="5" customFormat="false" ht="19.5" hidden="false" customHeight="true" outlineLevel="0" collapsed="false">
      <c r="A5" s="5"/>
      <c r="B5" s="28" t="s">
        <v>113</v>
      </c>
    </row>
    <row r="6" customFormat="false" ht="48" hidden="false" customHeight="true" outlineLevel="0" collapsed="false">
      <c r="A6" s="5"/>
      <c r="B6" s="29" t="s">
        <v>114</v>
      </c>
    </row>
    <row r="7" customFormat="false" ht="15" hidden="false" customHeight="false" outlineLevel="0" collapsed="false">
      <c r="A7" s="5"/>
      <c r="B7" s="5"/>
    </row>
    <row r="8" customFormat="false" ht="19.5" hidden="false" customHeight="true" outlineLevel="0" collapsed="false">
      <c r="A8" s="5"/>
      <c r="B8" s="28" t="s">
        <v>115</v>
      </c>
    </row>
    <row r="9" customFormat="false" ht="61.5" hidden="false" customHeight="true" outlineLevel="0" collapsed="false">
      <c r="A9" s="5"/>
      <c r="B9" s="29" t="s">
        <v>116</v>
      </c>
    </row>
    <row r="10" customFormat="false" ht="15" hidden="false" customHeight="false" outlineLevel="0" collapsed="false">
      <c r="A10" s="5"/>
      <c r="B10" s="5"/>
    </row>
    <row r="11" customFormat="false" ht="19.5" hidden="false" customHeight="true" outlineLevel="0" collapsed="false">
      <c r="A11" s="5"/>
      <c r="B11" s="28" t="s">
        <v>117</v>
      </c>
    </row>
    <row r="12" customFormat="false" ht="75.75" hidden="false" customHeight="true" outlineLevel="0" collapsed="false">
      <c r="A12" s="5"/>
      <c r="B12" s="29" t="s">
        <v>118</v>
      </c>
    </row>
    <row r="13" customFormat="false" ht="15" hidden="false" customHeight="false" outlineLevel="0" collapsed="false">
      <c r="A13" s="5"/>
      <c r="B13" s="5"/>
    </row>
    <row r="14" customFormat="false" ht="19.5" hidden="false" customHeight="true" outlineLevel="0" collapsed="false">
      <c r="A14" s="5"/>
      <c r="B14" s="28" t="s">
        <v>119</v>
      </c>
    </row>
    <row r="15" customFormat="false" ht="61.5" hidden="false" customHeight="true" outlineLevel="0" collapsed="false">
      <c r="A15" s="5"/>
      <c r="B15" s="29" t="s">
        <v>120</v>
      </c>
    </row>
    <row r="16" customFormat="false" ht="15" hidden="false" customHeight="false" outlineLevel="0" collapsed="false">
      <c r="A16" s="5"/>
      <c r="B16" s="5"/>
    </row>
    <row r="17" customFormat="false" ht="19.5" hidden="false" customHeight="true" outlineLevel="0" collapsed="false">
      <c r="A17" s="5"/>
      <c r="B17" s="28" t="s">
        <v>121</v>
      </c>
    </row>
    <row r="18" customFormat="false" ht="33.75" hidden="false" customHeight="true" outlineLevel="0" collapsed="false">
      <c r="A18" s="5"/>
      <c r="B18" s="29" t="s">
        <v>122</v>
      </c>
    </row>
    <row r="19" customFormat="false" ht="15" hidden="false" customHeight="false" outlineLevel="0" collapsed="false">
      <c r="A19" s="5"/>
      <c r="B19" s="5"/>
    </row>
    <row r="20" customFormat="false" ht="19.5" hidden="false" customHeight="true" outlineLevel="0" collapsed="false">
      <c r="A20" s="5"/>
      <c r="B20" s="28" t="s">
        <v>123</v>
      </c>
    </row>
    <row r="21" customFormat="false" ht="33.75" hidden="false" customHeight="true" outlineLevel="0" collapsed="false">
      <c r="A21" s="5"/>
      <c r="B21" s="29" t="s">
        <v>124</v>
      </c>
    </row>
    <row r="22" customFormat="false" ht="15" hidden="false" customHeight="false" outlineLevel="0" collapsed="false">
      <c r="A22" s="5"/>
      <c r="B22" s="5"/>
    </row>
    <row r="23" customFormat="false" ht="21.75" hidden="false" customHeight="true" outlineLevel="0" collapsed="false">
      <c r="A23" s="5"/>
      <c r="B23" s="30" t="s">
        <v>125</v>
      </c>
    </row>
    <row r="24" customFormat="false" ht="15" hidden="false" customHeight="false" outlineLevel="0" collapsed="false">
      <c r="A24" s="5"/>
      <c r="B24" s="5"/>
    </row>
    <row r="25" customFormat="false" ht="18" hidden="false" customHeight="true" outlineLevel="0" collapsed="false">
      <c r="A25" s="5"/>
      <c r="B25" s="31" t="s">
        <v>126</v>
      </c>
    </row>
    <row r="26" customFormat="false" ht="201.75" hidden="false" customHeight="true" outlineLevel="0" collapsed="false">
      <c r="A26" s="5"/>
      <c r="B26" s="32" t="s">
        <v>127</v>
      </c>
    </row>
    <row r="27" customFormat="false" ht="15" hidden="false" customHeight="false" outlineLevel="0" collapsed="false">
      <c r="A27" s="5"/>
      <c r="B27" s="5"/>
    </row>
    <row r="28" customFormat="false" ht="18" hidden="false" customHeight="true" outlineLevel="0" collapsed="false">
      <c r="A28" s="5"/>
      <c r="B28" s="33" t="s">
        <v>128</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H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6"/>
  </cols>
  <sheetData>
    <row r="1" customFormat="false" ht="15" hidden="false" customHeight="false" outlineLevel="0" collapsed="false">
      <c r="A1" s="5"/>
      <c r="B1" s="5"/>
      <c r="C1" s="5"/>
      <c r="D1" s="5"/>
      <c r="E1" s="5"/>
      <c r="F1" s="5"/>
      <c r="G1" s="5"/>
      <c r="H1" s="5"/>
    </row>
    <row r="2" customFormat="false" ht="22.05" hidden="false" customHeight="false" outlineLevel="0" collapsed="false">
      <c r="A2" s="5"/>
      <c r="B2" s="34" t="s">
        <v>129</v>
      </c>
      <c r="C2" s="5"/>
      <c r="D2" s="5"/>
      <c r="E2" s="5"/>
      <c r="F2" s="5"/>
      <c r="G2" s="5"/>
      <c r="H2" s="5"/>
    </row>
    <row r="3" customFormat="false" ht="15" hidden="false" customHeight="false" outlineLevel="0" collapsed="false">
      <c r="A3" s="5"/>
      <c r="B3" s="23" t="s">
        <v>130</v>
      </c>
      <c r="C3" s="5"/>
      <c r="D3" s="5"/>
      <c r="E3" s="5"/>
      <c r="F3" s="5"/>
      <c r="G3" s="5"/>
      <c r="H3" s="5"/>
    </row>
    <row r="4" customFormat="false" ht="15" hidden="false" customHeight="false" outlineLevel="0" collapsed="false">
      <c r="A4" s="5"/>
      <c r="B4" s="5"/>
      <c r="C4" s="5"/>
      <c r="D4" s="5"/>
      <c r="E4" s="5"/>
      <c r="F4" s="5"/>
      <c r="G4" s="5"/>
      <c r="H4" s="5"/>
    </row>
    <row r="5" customFormat="false" ht="15" hidden="false" customHeight="false" outlineLevel="0" collapsed="false">
      <c r="A5" s="5"/>
      <c r="B5" s="35" t="s">
        <v>131</v>
      </c>
      <c r="C5" s="35" t="s">
        <v>132</v>
      </c>
      <c r="D5" s="35" t="s">
        <v>133</v>
      </c>
      <c r="E5" s="35" t="s">
        <v>69</v>
      </c>
      <c r="F5" s="35" t="s">
        <v>72</v>
      </c>
      <c r="G5" s="35" t="s">
        <v>74</v>
      </c>
      <c r="H5" s="35" t="s">
        <v>134</v>
      </c>
    </row>
    <row r="6" customFormat="false" ht="15" hidden="false" customHeight="false" outlineLevel="0" collapsed="false">
      <c r="A6" s="5"/>
      <c r="B6" s="36" t="s">
        <v>135</v>
      </c>
      <c r="C6" s="36"/>
      <c r="D6" s="36"/>
      <c r="E6" s="36"/>
      <c r="F6" s="36"/>
      <c r="G6" s="36"/>
      <c r="H6" s="36"/>
    </row>
    <row r="7" customFormat="false" ht="15" hidden="false" customHeight="false" outlineLevel="0" collapsed="false">
      <c r="A7" s="5"/>
      <c r="B7" s="8" t="str">
        <f aca="false">Assumptions!C20</f>
        <v>Acme Corp Sr Secured</v>
      </c>
      <c r="C7" s="37" t="n">
        <f aca="false">I1_Par</f>
        <v>50</v>
      </c>
      <c r="D7" s="38" t="n">
        <f aca="false">I1_Par*I1_Purchase</f>
        <v>32.5</v>
      </c>
      <c r="E7" s="39" t="n">
        <f aca="false">I1_Purchase</f>
        <v>0.65</v>
      </c>
      <c r="F7" s="39" t="n">
        <f aca="false">I1_Coupon</f>
        <v>0.06</v>
      </c>
      <c r="G7" s="39" t="n">
        <f aca="false">I1_Recovery</f>
        <v>0.85</v>
      </c>
      <c r="H7" s="37" t="n">
        <f aca="false">I1_Recovery_Yr</f>
        <v>2</v>
      </c>
    </row>
    <row r="8" customFormat="false" ht="15" hidden="false" customHeight="false" outlineLevel="0" collapsed="false">
      <c r="A8" s="5"/>
      <c r="B8" s="8" t="str">
        <f aca="false">Assumptions!C29</f>
        <v>Beta Inc Sr Unsecured</v>
      </c>
      <c r="C8" s="37" t="n">
        <f aca="false">I2_Par</f>
        <v>40</v>
      </c>
      <c r="D8" s="38" t="n">
        <f aca="false">I2_Par*I2_Purchase</f>
        <v>18</v>
      </c>
      <c r="E8" s="39" t="n">
        <f aca="false">I2_Purchase</f>
        <v>0.45</v>
      </c>
      <c r="F8" s="39" t="n">
        <f aca="false">I2_Coupon</f>
        <v>0.075</v>
      </c>
      <c r="G8" s="39" t="n">
        <f aca="false">I2_Recovery</f>
        <v>0.7</v>
      </c>
      <c r="H8" s="37" t="n">
        <f aca="false">I2_Recovery_Yr</f>
        <v>3</v>
      </c>
    </row>
    <row r="9" customFormat="false" ht="15" hidden="false" customHeight="false" outlineLevel="0" collapsed="false">
      <c r="A9" s="5"/>
      <c r="B9" s="8" t="str">
        <f aca="false">Assumptions!C38</f>
        <v>Gamma Ltd Sub Bond</v>
      </c>
      <c r="C9" s="37" t="n">
        <f aca="false">I3_Par</f>
        <v>35</v>
      </c>
      <c r="D9" s="38" t="n">
        <f aca="false">I3_Par*I3_Purchase</f>
        <v>10.5</v>
      </c>
      <c r="E9" s="39" t="n">
        <f aca="false">I3_Purchase</f>
        <v>0.3</v>
      </c>
      <c r="F9" s="39" t="n">
        <f aca="false">I3_Coupon</f>
        <v>0.09</v>
      </c>
      <c r="G9" s="39" t="n">
        <f aca="false">I3_Recovery</f>
        <v>0.55</v>
      </c>
      <c r="H9" s="37" t="n">
        <f aca="false">I3_Recovery_Yr</f>
        <v>3</v>
      </c>
    </row>
    <row r="10" customFormat="false" ht="15" hidden="false" customHeight="false" outlineLevel="0" collapsed="false">
      <c r="A10" s="5"/>
      <c r="B10" s="8" t="str">
        <f aca="false">Assumptions!C47</f>
        <v>Delta Corp Trade Claim</v>
      </c>
      <c r="C10" s="37" t="n">
        <f aca="false">I4_Par</f>
        <v>25</v>
      </c>
      <c r="D10" s="38" t="n">
        <f aca="false">I4_Par*I4_Purchase</f>
        <v>10</v>
      </c>
      <c r="E10" s="39" t="n">
        <f aca="false">I4_Purchase</f>
        <v>0.4</v>
      </c>
      <c r="F10" s="39" t="n">
        <f aca="false">I4_Coupon</f>
        <v>0</v>
      </c>
      <c r="G10" s="39" t="n">
        <f aca="false">I4_Recovery</f>
        <v>0.6</v>
      </c>
      <c r="H10" s="37" t="n">
        <f aca="false">I4_Recovery_Yr</f>
        <v>2</v>
      </c>
    </row>
    <row r="11" customFormat="false" ht="15" hidden="false" customHeight="false" outlineLevel="0" collapsed="false">
      <c r="A11" s="5"/>
      <c r="B11" s="8" t="str">
        <f aca="false">Assumptions!C56</f>
        <v>Epsilon DIP Facility</v>
      </c>
      <c r="C11" s="37" t="n">
        <f aca="false">I5_Par</f>
        <v>30</v>
      </c>
      <c r="D11" s="38" t="n">
        <f aca="false">I5_Par*I5_Purchase</f>
        <v>28.5</v>
      </c>
      <c r="E11" s="39" t="n">
        <f aca="false">I5_Purchase</f>
        <v>0.95</v>
      </c>
      <c r="F11" s="39" t="n">
        <f aca="false">I5_Coupon</f>
        <v>0.12</v>
      </c>
      <c r="G11" s="39" t="n">
        <f aca="false">I5_Recovery</f>
        <v>1</v>
      </c>
      <c r="H11" s="37" t="n">
        <f aca="false">I5_Recovery_Yr</f>
        <v>1</v>
      </c>
    </row>
    <row r="12" customFormat="false" ht="15" hidden="false" customHeight="false" outlineLevel="0" collapsed="false">
      <c r="A12" s="5"/>
      <c r="B12" s="5"/>
      <c r="C12" s="5"/>
      <c r="D12" s="5"/>
      <c r="E12" s="5"/>
      <c r="F12" s="5"/>
      <c r="G12" s="5"/>
      <c r="H12" s="5"/>
    </row>
    <row r="13" customFormat="false" ht="15" hidden="false" customHeight="false" outlineLevel="0" collapsed="false">
      <c r="A13" s="5"/>
      <c r="B13" s="40" t="s">
        <v>136</v>
      </c>
      <c r="C13" s="41" t="n">
        <f aca="false">SUM(C7:C11)</f>
        <v>180</v>
      </c>
      <c r="D13" s="42" t="n">
        <f aca="false">SUM(D7:D11)</f>
        <v>99.5</v>
      </c>
      <c r="E13" s="43"/>
      <c r="F13" s="43"/>
      <c r="G13" s="43"/>
      <c r="H13" s="43"/>
    </row>
    <row r="14" customFormat="false" ht="15" hidden="false" customHeight="false" outlineLevel="0" collapsed="false">
      <c r="A14" s="5"/>
      <c r="B14" s="5"/>
      <c r="C14" s="5"/>
      <c r="D14" s="5"/>
      <c r="E14" s="5"/>
      <c r="F14" s="5"/>
      <c r="G14" s="5"/>
      <c r="H14" s="5"/>
    </row>
    <row r="15" customFormat="false" ht="15" hidden="false" customHeight="false" outlineLevel="0" collapsed="false">
      <c r="A15" s="5"/>
      <c r="B15" s="8" t="s">
        <v>137</v>
      </c>
      <c r="C15" s="5"/>
      <c r="D15" s="39" t="n">
        <f aca="false">IFERROR(D13/C13,0)</f>
        <v>0.552777777777778</v>
      </c>
      <c r="E15" s="5"/>
      <c r="F15" s="5"/>
      <c r="G15" s="5"/>
      <c r="H15" s="5"/>
    </row>
    <row r="16" customFormat="false" ht="15" hidden="false" customHeight="false" outlineLevel="0" collapsed="false">
      <c r="A16" s="5"/>
      <c r="B16" s="8" t="s">
        <v>138</v>
      </c>
      <c r="C16" s="5"/>
      <c r="D16" s="39" t="n">
        <f aca="false">IFERROR((C7*G7+C8*G8+C9*G9+C10*G10+C11*G11)/C13,0)</f>
        <v>0.748611111111111</v>
      </c>
      <c r="E16" s="5"/>
      <c r="F16" s="5"/>
      <c r="G16" s="5"/>
      <c r="H16" s="5"/>
    </row>
    <row r="17" customFormat="false" ht="15" hidden="false" customHeight="false" outlineLevel="0" collapsed="false">
      <c r="A17" s="5"/>
      <c r="B17" s="8" t="s">
        <v>139</v>
      </c>
      <c r="C17" s="5"/>
      <c r="D17" s="39" t="n">
        <f aca="false">IFERROR((C7*F7+C8*F8+C9*F9+C10*F10+C11*F11)/C13,0)</f>
        <v>0.0708333333333333</v>
      </c>
      <c r="E17" s="5"/>
      <c r="F17" s="5"/>
      <c r="G17" s="5"/>
      <c r="H17"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4" t="s">
        <v>140</v>
      </c>
      <c r="C2" s="5"/>
      <c r="D2" s="5"/>
      <c r="E2" s="5"/>
      <c r="F2" s="5"/>
      <c r="G2" s="5"/>
    </row>
    <row r="3" customFormat="false" ht="15" hidden="false" customHeight="false" outlineLevel="0" collapsed="false">
      <c r="A3" s="5"/>
      <c r="B3" s="23" t="s">
        <v>141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5" t="s">
        <v>142</v>
      </c>
      <c r="C5" s="44" t="n">
        <f aca="false">Model_Start_Year+0</f>
        <v>2026</v>
      </c>
      <c r="D5" s="44" t="n">
        <f aca="false">Model_Start_Year+1</f>
        <v>2027</v>
      </c>
      <c r="E5" s="44" t="n">
        <f aca="false">Model_Start_Year+2</f>
        <v>2028</v>
      </c>
      <c r="F5" s="44" t="n">
        <f aca="false">Model_Start_Year+3</f>
        <v>2029</v>
      </c>
      <c r="G5" s="44" t="n">
        <f aca="false">Model_Start_Year+4</f>
        <v>2030</v>
      </c>
    </row>
    <row r="6" customFormat="false" ht="15" hidden="false" customHeight="false" outlineLevel="0" collapsed="false">
      <c r="A6" s="5"/>
      <c r="B6" s="8" t="s">
        <v>143</v>
      </c>
      <c r="C6" s="45" t="n">
        <f aca="false">COLUMN()-2</f>
        <v>1</v>
      </c>
      <c r="D6" s="45" t="n">
        <f aca="false">COLUMN()-2</f>
        <v>2</v>
      </c>
      <c r="E6" s="45" t="n">
        <f aca="false">COLUMN()-2</f>
        <v>3</v>
      </c>
      <c r="F6" s="45" t="n">
        <f aca="false">COLUMN()-2</f>
        <v>4</v>
      </c>
      <c r="G6" s="45" t="n">
        <f aca="false">COLUMN()-2</f>
        <v>5</v>
      </c>
    </row>
    <row r="7" customFormat="false" ht="15" hidden="false" customHeight="false" outlineLevel="0" collapsed="false">
      <c r="A7" s="5"/>
      <c r="B7" s="5"/>
      <c r="C7" s="5"/>
      <c r="D7" s="5"/>
      <c r="E7" s="5"/>
      <c r="F7" s="5"/>
      <c r="G7" s="5"/>
    </row>
    <row r="8" customFormat="false" ht="15" hidden="false" customHeight="false" outlineLevel="0" collapsed="false">
      <c r="A8" s="5"/>
      <c r="B8" s="36" t="s">
        <v>144</v>
      </c>
      <c r="C8" s="36"/>
      <c r="D8" s="36"/>
      <c r="E8" s="36"/>
      <c r="F8" s="36"/>
      <c r="G8" s="36"/>
    </row>
    <row r="9" customFormat="false" ht="15" hidden="false" customHeight="false" outlineLevel="0" collapsed="false">
      <c r="A9" s="5"/>
      <c r="B9" s="46" t="s">
        <v>145</v>
      </c>
      <c r="C9" s="37" t="n">
        <f aca="false">IF(C6&lt;=I1_Recovery_Yr,I1_Par*I1_Coupon,0)</f>
        <v>3</v>
      </c>
      <c r="D9" s="37" t="n">
        <f aca="false">IF(D6&lt;=I1_Recovery_Yr,I1_Par*I1_Coupon,0)</f>
        <v>3</v>
      </c>
      <c r="E9" s="37" t="n">
        <f aca="false">IF(E6&lt;=I1_Recovery_Yr,I1_Par*I1_Coupon,0)</f>
        <v>0</v>
      </c>
      <c r="F9" s="37" t="n">
        <f aca="false">IF(F6&lt;=I1_Recovery_Yr,I1_Par*I1_Coupon,0)</f>
        <v>0</v>
      </c>
      <c r="G9" s="37" t="n">
        <f aca="false">IF(G6&lt;=I1_Recovery_Yr,I1_Par*I1_Coupon,0)</f>
        <v>0</v>
      </c>
    </row>
    <row r="10" customFormat="false" ht="15" hidden="false" customHeight="false" outlineLevel="0" collapsed="false">
      <c r="A10" s="5"/>
      <c r="B10" s="46" t="s">
        <v>146</v>
      </c>
      <c r="C10" s="37" t="n">
        <f aca="false">IF(C6=I1_Recovery_Yr,I1_Par*I1_Recovery,0)</f>
        <v>0</v>
      </c>
      <c r="D10" s="37" t="n">
        <f aca="false">IF(D6=I1_Recovery_Yr,I1_Par*I1_Recovery,0)</f>
        <v>42.5</v>
      </c>
      <c r="E10" s="37" t="n">
        <f aca="false">IF(E6=I1_Recovery_Yr,I1_Par*I1_Recovery,0)</f>
        <v>0</v>
      </c>
      <c r="F10" s="37" t="n">
        <f aca="false">IF(F6=I1_Recovery_Yr,I1_Par*I1_Recovery,0)</f>
        <v>0</v>
      </c>
      <c r="G10" s="37" t="n">
        <f aca="false">IF(G6=I1_Recovery_Yr,I1_Par*I1_Recovery,0)</f>
        <v>0</v>
      </c>
    </row>
    <row r="11" customFormat="false" ht="15" hidden="false" customHeight="false" outlineLevel="0" collapsed="false">
      <c r="A11" s="5"/>
      <c r="B11" s="47" t="s">
        <v>147</v>
      </c>
      <c r="C11" s="48" t="n">
        <f aca="false">C9+C10</f>
        <v>3</v>
      </c>
      <c r="D11" s="48" t="n">
        <f aca="false">D9+D10</f>
        <v>45.5</v>
      </c>
      <c r="E11" s="48" t="n">
        <f aca="false">E9+E10</f>
        <v>0</v>
      </c>
      <c r="F11" s="48" t="n">
        <f aca="false">F9+F10</f>
        <v>0</v>
      </c>
      <c r="G11" s="48" t="n">
        <f aca="false">G9+G10</f>
        <v>0</v>
      </c>
    </row>
    <row r="12" customFormat="false" ht="15" hidden="false" customHeight="false" outlineLevel="0" collapsed="false">
      <c r="A12" s="5"/>
      <c r="B12" s="5"/>
      <c r="C12" s="5"/>
      <c r="D12" s="5"/>
      <c r="E12" s="5"/>
      <c r="F12" s="5"/>
      <c r="G12" s="5"/>
    </row>
    <row r="13" customFormat="false" ht="15" hidden="false" customHeight="false" outlineLevel="0" collapsed="false">
      <c r="A13" s="5"/>
      <c r="B13" s="36" t="s">
        <v>148</v>
      </c>
      <c r="C13" s="36"/>
      <c r="D13" s="36"/>
      <c r="E13" s="36"/>
      <c r="F13" s="36"/>
      <c r="G13" s="36"/>
    </row>
    <row r="14" customFormat="false" ht="15" hidden="false" customHeight="false" outlineLevel="0" collapsed="false">
      <c r="A14" s="5"/>
      <c r="B14" s="46" t="s">
        <v>145</v>
      </c>
      <c r="C14" s="37" t="n">
        <f aca="false">IF(C6&lt;=I2_Recovery_Yr,I2_Par*I2_Coupon,0)</f>
        <v>3</v>
      </c>
      <c r="D14" s="37" t="n">
        <f aca="false">IF(D6&lt;=I2_Recovery_Yr,I2_Par*I2_Coupon,0)</f>
        <v>3</v>
      </c>
      <c r="E14" s="37" t="n">
        <f aca="false">IF(E6&lt;=I2_Recovery_Yr,I2_Par*I2_Coupon,0)</f>
        <v>3</v>
      </c>
      <c r="F14" s="37" t="n">
        <f aca="false">IF(F6&lt;=I2_Recovery_Yr,I2_Par*I2_Coupon,0)</f>
        <v>0</v>
      </c>
      <c r="G14" s="37" t="n">
        <f aca="false">IF(G6&lt;=I2_Recovery_Yr,I2_Par*I2_Coupon,0)</f>
        <v>0</v>
      </c>
    </row>
    <row r="15" customFormat="false" ht="15" hidden="false" customHeight="false" outlineLevel="0" collapsed="false">
      <c r="A15" s="5"/>
      <c r="B15" s="46" t="s">
        <v>146</v>
      </c>
      <c r="C15" s="37" t="n">
        <f aca="false">IF(C6=I2_Recovery_Yr,I2_Par*I2_Recovery,0)</f>
        <v>0</v>
      </c>
      <c r="D15" s="37" t="n">
        <f aca="false">IF(D6=I2_Recovery_Yr,I2_Par*I2_Recovery,0)</f>
        <v>0</v>
      </c>
      <c r="E15" s="37" t="n">
        <f aca="false">IF(E6=I2_Recovery_Yr,I2_Par*I2_Recovery,0)</f>
        <v>28</v>
      </c>
      <c r="F15" s="37" t="n">
        <f aca="false">IF(F6=I2_Recovery_Yr,I2_Par*I2_Recovery,0)</f>
        <v>0</v>
      </c>
      <c r="G15" s="37" t="n">
        <f aca="false">IF(G6=I2_Recovery_Yr,I2_Par*I2_Recovery,0)</f>
        <v>0</v>
      </c>
    </row>
    <row r="16" customFormat="false" ht="15" hidden="false" customHeight="false" outlineLevel="0" collapsed="false">
      <c r="A16" s="5"/>
      <c r="B16" s="47" t="s">
        <v>147</v>
      </c>
      <c r="C16" s="48" t="n">
        <f aca="false">C14+C15</f>
        <v>3</v>
      </c>
      <c r="D16" s="48" t="n">
        <f aca="false">D14+D15</f>
        <v>3</v>
      </c>
      <c r="E16" s="48" t="n">
        <f aca="false">E14+E15</f>
        <v>31</v>
      </c>
      <c r="F16" s="48" t="n">
        <f aca="false">F14+F15</f>
        <v>0</v>
      </c>
      <c r="G16" s="48" t="n">
        <f aca="false">G14+G15</f>
        <v>0</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6" t="s">
        <v>149</v>
      </c>
      <c r="C18" s="36"/>
      <c r="D18" s="36"/>
      <c r="E18" s="36"/>
      <c r="F18" s="36"/>
      <c r="G18" s="36"/>
    </row>
    <row r="19" customFormat="false" ht="15" hidden="false" customHeight="false" outlineLevel="0" collapsed="false">
      <c r="A19" s="5"/>
      <c r="B19" s="46" t="s">
        <v>145</v>
      </c>
      <c r="C19" s="37" t="n">
        <f aca="false">IF(C6&lt;=I3_Recovery_Yr,I3_Par*I3_Coupon,0)</f>
        <v>3.15</v>
      </c>
      <c r="D19" s="37" t="n">
        <f aca="false">IF(D6&lt;=I3_Recovery_Yr,I3_Par*I3_Coupon,0)</f>
        <v>3.15</v>
      </c>
      <c r="E19" s="37" t="n">
        <f aca="false">IF(E6&lt;=I3_Recovery_Yr,I3_Par*I3_Coupon,0)</f>
        <v>3.15</v>
      </c>
      <c r="F19" s="37" t="n">
        <f aca="false">IF(F6&lt;=I3_Recovery_Yr,I3_Par*I3_Coupon,0)</f>
        <v>0</v>
      </c>
      <c r="G19" s="37" t="n">
        <f aca="false">IF(G6&lt;=I3_Recovery_Yr,I3_Par*I3_Coupon,0)</f>
        <v>0</v>
      </c>
    </row>
    <row r="20" customFormat="false" ht="15" hidden="false" customHeight="false" outlineLevel="0" collapsed="false">
      <c r="A20" s="5"/>
      <c r="B20" s="46" t="s">
        <v>146</v>
      </c>
      <c r="C20" s="37" t="n">
        <f aca="false">IF(C6=I3_Recovery_Yr,I3_Par*I3_Recovery,0)</f>
        <v>0</v>
      </c>
      <c r="D20" s="37" t="n">
        <f aca="false">IF(D6=I3_Recovery_Yr,I3_Par*I3_Recovery,0)</f>
        <v>0</v>
      </c>
      <c r="E20" s="37" t="n">
        <f aca="false">IF(E6=I3_Recovery_Yr,I3_Par*I3_Recovery,0)</f>
        <v>19.25</v>
      </c>
      <c r="F20" s="37" t="n">
        <f aca="false">IF(F6=I3_Recovery_Yr,I3_Par*I3_Recovery,0)</f>
        <v>0</v>
      </c>
      <c r="G20" s="37" t="n">
        <f aca="false">IF(G6=I3_Recovery_Yr,I3_Par*I3_Recovery,0)</f>
        <v>0</v>
      </c>
    </row>
    <row r="21" customFormat="false" ht="15" hidden="false" customHeight="false" outlineLevel="0" collapsed="false">
      <c r="A21" s="5"/>
      <c r="B21" s="47" t="s">
        <v>147</v>
      </c>
      <c r="C21" s="48" t="n">
        <f aca="false">C19+C20</f>
        <v>3.15</v>
      </c>
      <c r="D21" s="48" t="n">
        <f aca="false">D19+D20</f>
        <v>3.15</v>
      </c>
      <c r="E21" s="48" t="n">
        <f aca="false">E19+E20</f>
        <v>22.4</v>
      </c>
      <c r="F21" s="48" t="n">
        <f aca="false">F19+F20</f>
        <v>0</v>
      </c>
      <c r="G21" s="48" t="n">
        <f aca="false">G19+G20</f>
        <v>0</v>
      </c>
    </row>
    <row r="22" customFormat="false" ht="15" hidden="false" customHeight="false" outlineLevel="0" collapsed="false">
      <c r="A22" s="5"/>
      <c r="B22" s="5"/>
      <c r="C22" s="5"/>
      <c r="D22" s="5"/>
      <c r="E22" s="5"/>
      <c r="F22" s="5"/>
      <c r="G22" s="5"/>
    </row>
    <row r="23" customFormat="false" ht="15" hidden="false" customHeight="false" outlineLevel="0" collapsed="false">
      <c r="A23" s="5"/>
      <c r="B23" s="36" t="s">
        <v>150</v>
      </c>
      <c r="C23" s="36"/>
      <c r="D23" s="36"/>
      <c r="E23" s="36"/>
      <c r="F23" s="36"/>
      <c r="G23" s="36"/>
    </row>
    <row r="24" customFormat="false" ht="15" hidden="false" customHeight="false" outlineLevel="0" collapsed="false">
      <c r="A24" s="5"/>
      <c r="B24" s="46" t="s">
        <v>145</v>
      </c>
      <c r="C24" s="37" t="n">
        <f aca="false">IF(C6&lt;=I4_Recovery_Yr,I4_Par*I4_Coupon,0)</f>
        <v>0</v>
      </c>
      <c r="D24" s="37" t="n">
        <f aca="false">IF(D6&lt;=I4_Recovery_Yr,I4_Par*I4_Coupon,0)</f>
        <v>0</v>
      </c>
      <c r="E24" s="37" t="n">
        <f aca="false">IF(E6&lt;=I4_Recovery_Yr,I4_Par*I4_Coupon,0)</f>
        <v>0</v>
      </c>
      <c r="F24" s="37" t="n">
        <f aca="false">IF(F6&lt;=I4_Recovery_Yr,I4_Par*I4_Coupon,0)</f>
        <v>0</v>
      </c>
      <c r="G24" s="37" t="n">
        <f aca="false">IF(G6&lt;=I4_Recovery_Yr,I4_Par*I4_Coupon,0)</f>
        <v>0</v>
      </c>
    </row>
    <row r="25" customFormat="false" ht="15" hidden="false" customHeight="false" outlineLevel="0" collapsed="false">
      <c r="A25" s="5"/>
      <c r="B25" s="46" t="s">
        <v>146</v>
      </c>
      <c r="C25" s="37" t="n">
        <f aca="false">IF(C6=I4_Recovery_Yr,I4_Par*I4_Recovery,0)</f>
        <v>0</v>
      </c>
      <c r="D25" s="37" t="n">
        <f aca="false">IF(D6=I4_Recovery_Yr,I4_Par*I4_Recovery,0)</f>
        <v>15</v>
      </c>
      <c r="E25" s="37" t="n">
        <f aca="false">IF(E6=I4_Recovery_Yr,I4_Par*I4_Recovery,0)</f>
        <v>0</v>
      </c>
      <c r="F25" s="37" t="n">
        <f aca="false">IF(F6=I4_Recovery_Yr,I4_Par*I4_Recovery,0)</f>
        <v>0</v>
      </c>
      <c r="G25" s="37" t="n">
        <f aca="false">IF(G6=I4_Recovery_Yr,I4_Par*I4_Recovery,0)</f>
        <v>0</v>
      </c>
    </row>
    <row r="26" customFormat="false" ht="15" hidden="false" customHeight="false" outlineLevel="0" collapsed="false">
      <c r="A26" s="5"/>
      <c r="B26" s="47" t="s">
        <v>147</v>
      </c>
      <c r="C26" s="48" t="n">
        <f aca="false">C24+C25</f>
        <v>0</v>
      </c>
      <c r="D26" s="48" t="n">
        <f aca="false">D24+D25</f>
        <v>15</v>
      </c>
      <c r="E26" s="48" t="n">
        <f aca="false">E24+E25</f>
        <v>0</v>
      </c>
      <c r="F26" s="48" t="n">
        <f aca="false">F24+F25</f>
        <v>0</v>
      </c>
      <c r="G26" s="48" t="n">
        <f aca="false">G24+G25</f>
        <v>0</v>
      </c>
    </row>
    <row r="27" customFormat="false" ht="15" hidden="false" customHeight="false" outlineLevel="0" collapsed="false">
      <c r="A27" s="5"/>
      <c r="B27" s="5"/>
      <c r="C27" s="5"/>
      <c r="D27" s="5"/>
      <c r="E27" s="5"/>
      <c r="F27" s="5"/>
      <c r="G27" s="5"/>
    </row>
    <row r="28" customFormat="false" ht="15" hidden="false" customHeight="false" outlineLevel="0" collapsed="false">
      <c r="A28" s="5"/>
      <c r="B28" s="36" t="s">
        <v>151</v>
      </c>
      <c r="C28" s="36"/>
      <c r="D28" s="36"/>
      <c r="E28" s="36"/>
      <c r="F28" s="36"/>
      <c r="G28" s="36"/>
    </row>
    <row r="29" customFormat="false" ht="15" hidden="false" customHeight="false" outlineLevel="0" collapsed="false">
      <c r="A29" s="5"/>
      <c r="B29" s="46" t="s">
        <v>145</v>
      </c>
      <c r="C29" s="37" t="n">
        <f aca="false">IF(C6&lt;=I5_Recovery_Yr,I5_Par*I5_Coupon,0)</f>
        <v>3.6</v>
      </c>
      <c r="D29" s="37" t="n">
        <f aca="false">IF(D6&lt;=I5_Recovery_Yr,I5_Par*I5_Coupon,0)</f>
        <v>0</v>
      </c>
      <c r="E29" s="37" t="n">
        <f aca="false">IF(E6&lt;=I5_Recovery_Yr,I5_Par*I5_Coupon,0)</f>
        <v>0</v>
      </c>
      <c r="F29" s="37" t="n">
        <f aca="false">IF(F6&lt;=I5_Recovery_Yr,I5_Par*I5_Coupon,0)</f>
        <v>0</v>
      </c>
      <c r="G29" s="37" t="n">
        <f aca="false">IF(G6&lt;=I5_Recovery_Yr,I5_Par*I5_Coupon,0)</f>
        <v>0</v>
      </c>
    </row>
    <row r="30" customFormat="false" ht="15" hidden="false" customHeight="false" outlineLevel="0" collapsed="false">
      <c r="A30" s="5"/>
      <c r="B30" s="46" t="s">
        <v>146</v>
      </c>
      <c r="C30" s="37" t="n">
        <f aca="false">IF(C6=I5_Recovery_Yr,I5_Par*I5_Recovery,0)</f>
        <v>30</v>
      </c>
      <c r="D30" s="37" t="n">
        <f aca="false">IF(D6=I5_Recovery_Yr,I5_Par*I5_Recovery,0)</f>
        <v>0</v>
      </c>
      <c r="E30" s="37" t="n">
        <f aca="false">IF(E6=I5_Recovery_Yr,I5_Par*I5_Recovery,0)</f>
        <v>0</v>
      </c>
      <c r="F30" s="37" t="n">
        <f aca="false">IF(F6=I5_Recovery_Yr,I5_Par*I5_Recovery,0)</f>
        <v>0</v>
      </c>
      <c r="G30" s="37" t="n">
        <f aca="false">IF(G6=I5_Recovery_Yr,I5_Par*I5_Recovery,0)</f>
        <v>0</v>
      </c>
    </row>
    <row r="31" customFormat="false" ht="15" hidden="false" customHeight="false" outlineLevel="0" collapsed="false">
      <c r="A31" s="5"/>
      <c r="B31" s="47" t="s">
        <v>147</v>
      </c>
      <c r="C31" s="48" t="n">
        <f aca="false">C29+C30</f>
        <v>33.6</v>
      </c>
      <c r="D31" s="48" t="n">
        <f aca="false">D29+D30</f>
        <v>0</v>
      </c>
      <c r="E31" s="48" t="n">
        <f aca="false">E29+E30</f>
        <v>0</v>
      </c>
      <c r="F31" s="48" t="n">
        <f aca="false">F29+F30</f>
        <v>0</v>
      </c>
      <c r="G31" s="48" t="n">
        <f aca="false">G29+G30</f>
        <v>0</v>
      </c>
    </row>
    <row r="32" customFormat="false" ht="15" hidden="false" customHeight="false" outlineLevel="0" collapsed="false">
      <c r="A32" s="5"/>
      <c r="B32" s="5"/>
      <c r="C32" s="5"/>
      <c r="D32" s="5"/>
      <c r="E32" s="5"/>
      <c r="F32" s="5"/>
      <c r="G32" s="5"/>
    </row>
    <row r="33" customFormat="false" ht="15" hidden="false" customHeight="false" outlineLevel="0" collapsed="false">
      <c r="A33" s="5"/>
      <c r="B33" s="36" t="s">
        <v>152</v>
      </c>
      <c r="C33" s="36"/>
      <c r="D33" s="36"/>
      <c r="E33" s="36"/>
      <c r="F33" s="36"/>
      <c r="G33" s="36"/>
    </row>
    <row r="34" customFormat="false" ht="15" hidden="false" customHeight="false" outlineLevel="0" collapsed="false">
      <c r="A34" s="5"/>
      <c r="B34" s="46" t="s">
        <v>153</v>
      </c>
      <c r="C34" s="37" t="n">
        <f aca="false">C9+C14+C19+C24+C29</f>
        <v>12.75</v>
      </c>
      <c r="D34" s="37" t="n">
        <f aca="false">D9+D14+D19+D24+D29</f>
        <v>9.15</v>
      </c>
      <c r="E34" s="37" t="n">
        <f aca="false">E9+E14+E19+E24+E29</f>
        <v>6.15</v>
      </c>
      <c r="F34" s="37" t="n">
        <f aca="false">F9+F14+F19+F24+F29</f>
        <v>0</v>
      </c>
      <c r="G34" s="37" t="n">
        <f aca="false">G9+G14+G19+G24+G29</f>
        <v>0</v>
      </c>
    </row>
    <row r="35" customFormat="false" ht="15" hidden="false" customHeight="false" outlineLevel="0" collapsed="false">
      <c r="A35" s="5"/>
      <c r="B35" s="46" t="s">
        <v>154</v>
      </c>
      <c r="C35" s="37" t="n">
        <f aca="false">C10+C15+C20+C25+C30</f>
        <v>30</v>
      </c>
      <c r="D35" s="37" t="n">
        <f aca="false">D10+D15+D20+D25+D30</f>
        <v>57.5</v>
      </c>
      <c r="E35" s="37" t="n">
        <f aca="false">E10+E15+E20+E25+E30</f>
        <v>47.25</v>
      </c>
      <c r="F35" s="37" t="n">
        <f aca="false">F10+F15+F20+F25+F30</f>
        <v>0</v>
      </c>
      <c r="G35" s="37" t="n">
        <f aca="false">G10+G15+G20+G25+G30</f>
        <v>0</v>
      </c>
    </row>
    <row r="36" customFormat="false" ht="15" hidden="false" customHeight="false" outlineLevel="0" collapsed="false">
      <c r="A36" s="5"/>
      <c r="B36" s="40" t="s">
        <v>155</v>
      </c>
      <c r="C36" s="41" t="n">
        <f aca="false">C34+C35</f>
        <v>42.75</v>
      </c>
      <c r="D36" s="41" t="n">
        <f aca="false">D34+D35</f>
        <v>66.65</v>
      </c>
      <c r="E36" s="41" t="n">
        <f aca="false">E34+E35</f>
        <v>53.4</v>
      </c>
      <c r="F36" s="41" t="n">
        <f aca="false">F34+F35</f>
        <v>0</v>
      </c>
      <c r="G36" s="41" t="n">
        <f aca="false">G34+G35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4" t="s">
        <v>156</v>
      </c>
      <c r="C2" s="5"/>
      <c r="D2" s="5"/>
      <c r="E2" s="5"/>
      <c r="F2" s="5"/>
      <c r="G2" s="5"/>
    </row>
    <row r="3" customFormat="false" ht="15" hidden="false" customHeight="false" outlineLevel="0" collapsed="false">
      <c r="A3" s="5"/>
      <c r="B3" s="23" t="s">
        <v>157</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5" t="s">
        <v>142</v>
      </c>
      <c r="C5" s="44" t="n">
        <f aca="false">Model_Start_Year+0</f>
        <v>2026</v>
      </c>
      <c r="D5" s="44" t="n">
        <f aca="false">Model_Start_Year+1</f>
        <v>2027</v>
      </c>
      <c r="E5" s="44" t="n">
        <f aca="false">Model_Start_Year+2</f>
        <v>2028</v>
      </c>
      <c r="F5" s="44" t="n">
        <f aca="false">Model_Start_Year+3</f>
        <v>2029</v>
      </c>
      <c r="G5" s="44" t="n">
        <f aca="false">Model_Start_Year+4</f>
        <v>2030</v>
      </c>
    </row>
    <row r="6" customFormat="false" ht="15" hidden="false" customHeight="false" outlineLevel="0" collapsed="false">
      <c r="A6" s="5"/>
      <c r="B6" s="8" t="s">
        <v>143</v>
      </c>
      <c r="C6" s="45" t="n">
        <f aca="false">COLUMN()-2</f>
        <v>1</v>
      </c>
      <c r="D6" s="45" t="n">
        <f aca="false">COLUMN()-2</f>
        <v>2</v>
      </c>
      <c r="E6" s="45" t="n">
        <f aca="false">COLUMN()-2</f>
        <v>3</v>
      </c>
      <c r="F6" s="45" t="n">
        <f aca="false">COLUMN()-2</f>
        <v>4</v>
      </c>
      <c r="G6" s="45" t="n">
        <f aca="false">COLUMN()-2</f>
        <v>5</v>
      </c>
    </row>
    <row r="7" customFormat="false" ht="15" hidden="false" customHeight="false" outlineLevel="0" collapsed="false">
      <c r="A7" s="5"/>
      <c r="B7" s="5"/>
      <c r="C7" s="5"/>
      <c r="D7" s="5"/>
      <c r="E7" s="5"/>
      <c r="F7" s="5"/>
      <c r="G7" s="5"/>
    </row>
    <row r="8" customFormat="false" ht="15" hidden="false" customHeight="false" outlineLevel="0" collapsed="false">
      <c r="A8" s="5"/>
      <c r="B8" s="36" t="s">
        <v>158</v>
      </c>
      <c r="C8" s="36"/>
      <c r="D8" s="36"/>
      <c r="E8" s="36"/>
      <c r="F8" s="36"/>
      <c r="G8" s="36"/>
    </row>
    <row r="9" customFormat="false" ht="15" hidden="false" customHeight="false" outlineLevel="0" collapsed="false">
      <c r="A9" s="5"/>
      <c r="B9" s="46" t="s">
        <v>159</v>
      </c>
      <c r="C9" s="37" t="n">
        <f aca="false">IF(C6=1,-(I1_Par*I1_Purchase+I2_Par*I2_Purchase+I3_Par*I3_Purchase+I4_Par*I4_Purchase+I5_Par*I5_Purchase),0)</f>
        <v>-99.5</v>
      </c>
      <c r="D9" s="37" t="n">
        <f aca="false">IF(D6=1,-(I1_Par*I1_Purchase+I2_Par*I2_Purchase+I3_Par*I3_Purchase+I4_Par*I4_Purchase+I5_Par*I5_Purchase),0)</f>
        <v>0</v>
      </c>
      <c r="E9" s="37" t="n">
        <f aca="false">IF(E6=1,-(I1_Par*I1_Purchase+I2_Par*I2_Purchase+I3_Par*I3_Purchase+I4_Par*I4_Purchase+I5_Par*I5_Purchase),0)</f>
        <v>0</v>
      </c>
      <c r="F9" s="37" t="n">
        <f aca="false">IF(F6=1,-(I1_Par*I1_Purchase+I2_Par*I2_Purchase+I3_Par*I3_Purchase+I4_Par*I4_Purchase+I5_Par*I5_Purchase),0)</f>
        <v>0</v>
      </c>
      <c r="G9" s="37" t="n">
        <f aca="false">IF(G6=1,-(I1_Par*I1_Purchase+I2_Par*I2_Purchase+I3_Par*I3_Purchase+I4_Par*I4_Purchase+I5_Par*I5_Purchase),0)</f>
        <v>0</v>
      </c>
    </row>
    <row r="10" customFormat="false" ht="15" hidden="false" customHeight="false" outlineLevel="0" collapsed="false">
      <c r="A10" s="5"/>
      <c r="B10" s="36" t="s">
        <v>160</v>
      </c>
      <c r="C10" s="36"/>
      <c r="D10" s="36"/>
      <c r="E10" s="36"/>
      <c r="F10" s="36"/>
      <c r="G10" s="36"/>
    </row>
    <row r="11" customFormat="false" ht="15" hidden="false" customHeight="false" outlineLevel="0" collapsed="false">
      <c r="A11" s="5"/>
      <c r="B11" s="46" t="s">
        <v>145</v>
      </c>
      <c r="C11" s="37" t="n">
        <f aca="false">Recovery_Analysis!C34</f>
        <v>12.75</v>
      </c>
      <c r="D11" s="37" t="n">
        <f aca="false">Recovery_Analysis!D34</f>
        <v>9.15</v>
      </c>
      <c r="E11" s="37" t="n">
        <f aca="false">Recovery_Analysis!E34</f>
        <v>6.15</v>
      </c>
      <c r="F11" s="37" t="n">
        <f aca="false">Recovery_Analysis!F34</f>
        <v>0</v>
      </c>
      <c r="G11" s="37" t="n">
        <f aca="false">Recovery_Analysis!G34</f>
        <v>0</v>
      </c>
    </row>
    <row r="12" customFormat="false" ht="15" hidden="false" customHeight="false" outlineLevel="0" collapsed="false">
      <c r="A12" s="5"/>
      <c r="B12" s="46" t="s">
        <v>146</v>
      </c>
      <c r="C12" s="37" t="n">
        <f aca="false">Recovery_Analysis!C35</f>
        <v>30</v>
      </c>
      <c r="D12" s="37" t="n">
        <f aca="false">Recovery_Analysis!D35</f>
        <v>57.5</v>
      </c>
      <c r="E12" s="37" t="n">
        <f aca="false">Recovery_Analysis!E35</f>
        <v>47.25</v>
      </c>
      <c r="F12" s="37" t="n">
        <f aca="false">Recovery_Analysis!F35</f>
        <v>0</v>
      </c>
      <c r="G12" s="37" t="n">
        <f aca="false">Recovery_Analysis!G35</f>
        <v>0</v>
      </c>
    </row>
    <row r="13" customFormat="false" ht="15" hidden="false" customHeight="false" outlineLevel="0" collapsed="false">
      <c r="A13" s="5"/>
      <c r="B13" s="47" t="s">
        <v>161</v>
      </c>
      <c r="C13" s="48" t="n">
        <f aca="false">C11+C12</f>
        <v>42.75</v>
      </c>
      <c r="D13" s="48" t="n">
        <f aca="false">D11+D12</f>
        <v>66.65</v>
      </c>
      <c r="E13" s="48" t="n">
        <f aca="false">E11+E12</f>
        <v>53.4</v>
      </c>
      <c r="F13" s="48" t="n">
        <f aca="false">F11+F12</f>
        <v>0</v>
      </c>
      <c r="G13" s="48" t="n">
        <f aca="false">G11+G12</f>
        <v>0</v>
      </c>
    </row>
    <row r="14" customFormat="false" ht="15" hidden="false" customHeight="false" outlineLevel="0" collapsed="false">
      <c r="A14" s="5"/>
      <c r="B14" s="36" t="s">
        <v>162</v>
      </c>
      <c r="C14" s="36"/>
      <c r="D14" s="36"/>
      <c r="E14" s="36"/>
      <c r="F14" s="36"/>
      <c r="G14" s="36"/>
    </row>
    <row r="15" customFormat="false" ht="15" hidden="false" customHeight="false" outlineLevel="0" collapsed="false">
      <c r="A15" s="5"/>
      <c r="B15" s="46" t="s">
        <v>44</v>
      </c>
      <c r="C15" s="37" t="n">
        <f aca="false">-Fund_Size*Mgmt_Fee_Pct</f>
        <v>-4</v>
      </c>
      <c r="D15" s="37" t="n">
        <f aca="false">-Fund_Size*Mgmt_Fee_Pct</f>
        <v>-4</v>
      </c>
      <c r="E15" s="37" t="n">
        <f aca="false">-Fund_Size*Mgmt_Fee_Pct</f>
        <v>-4</v>
      </c>
      <c r="F15" s="37" t="n">
        <f aca="false">-Fund_Size*Mgmt_Fee_Pct</f>
        <v>-4</v>
      </c>
      <c r="G15" s="37" t="n">
        <f aca="false">-Fund_Size*Mgmt_Fee_Pct</f>
        <v>-4</v>
      </c>
    </row>
    <row r="16" customFormat="false" ht="15" hidden="false" customHeight="false" outlineLevel="0" collapsed="false">
      <c r="A16" s="5"/>
      <c r="B16" s="46" t="s">
        <v>60</v>
      </c>
      <c r="C16" s="37" t="n">
        <f aca="false">-Fund_Size*Fund_Expenses_Pct</f>
        <v>-1</v>
      </c>
      <c r="D16" s="37" t="n">
        <f aca="false">-Fund_Size*Fund_Expenses_Pct</f>
        <v>-1</v>
      </c>
      <c r="E16" s="37" t="n">
        <f aca="false">-Fund_Size*Fund_Expenses_Pct</f>
        <v>-1</v>
      </c>
      <c r="F16" s="37" t="n">
        <f aca="false">-Fund_Size*Fund_Expenses_Pct</f>
        <v>-1</v>
      </c>
      <c r="G16" s="37" t="n">
        <f aca="false">-Fund_Size*Fund_Expenses_Pct</f>
        <v>-1</v>
      </c>
    </row>
    <row r="17" customFormat="false" ht="15" hidden="false" customHeight="false" outlineLevel="0" collapsed="false">
      <c r="A17" s="5"/>
      <c r="B17" s="47" t="s">
        <v>163</v>
      </c>
      <c r="C17" s="48" t="n">
        <f aca="false">C15+C16</f>
        <v>-5</v>
      </c>
      <c r="D17" s="48" t="n">
        <f aca="false">D15+D16</f>
        <v>-5</v>
      </c>
      <c r="E17" s="48" t="n">
        <f aca="false">E15+E16</f>
        <v>-5</v>
      </c>
      <c r="F17" s="48" t="n">
        <f aca="false">F15+F16</f>
        <v>-5</v>
      </c>
      <c r="G17" s="48" t="n">
        <f aca="false">G15+G16</f>
        <v>-5</v>
      </c>
    </row>
    <row r="18" customFormat="false" ht="15" hidden="false" customHeight="false" outlineLevel="0" collapsed="false">
      <c r="A18" s="5"/>
      <c r="B18" s="5"/>
      <c r="C18" s="5"/>
      <c r="D18" s="5"/>
      <c r="E18" s="5"/>
      <c r="F18" s="5"/>
      <c r="G18" s="5"/>
    </row>
    <row r="19" customFormat="false" ht="15" hidden="false" customHeight="false" outlineLevel="0" collapsed="false">
      <c r="A19" s="5"/>
      <c r="B19" s="40" t="s">
        <v>164</v>
      </c>
      <c r="C19" s="41" t="n">
        <f aca="false">C9+C13+C17</f>
        <v>-61.75</v>
      </c>
      <c r="D19" s="41" t="n">
        <f aca="false">D9+D13+D17</f>
        <v>61.65</v>
      </c>
      <c r="E19" s="41" t="n">
        <f aca="false">E9+E13+E17</f>
        <v>48.4</v>
      </c>
      <c r="F19" s="41" t="n">
        <f aca="false">F9+F13+F17</f>
        <v>-5</v>
      </c>
      <c r="G19" s="41" t="n">
        <f aca="false">G9+G13+G17</f>
        <v>-5</v>
      </c>
    </row>
    <row r="20" customFormat="false" ht="15" hidden="false" customHeight="false" outlineLevel="0" collapsed="false">
      <c r="A20" s="5"/>
      <c r="B20" s="46" t="s">
        <v>165</v>
      </c>
      <c r="C20" s="37" t="n">
        <f aca="false">C19</f>
        <v>-61.75</v>
      </c>
      <c r="D20" s="37" t="n">
        <f aca="false">C20+D19</f>
        <v>-0.0999999999999943</v>
      </c>
      <c r="E20" s="37" t="n">
        <f aca="false">D20+E19</f>
        <v>48.3</v>
      </c>
      <c r="F20" s="37" t="n">
        <f aca="false">E20+F19</f>
        <v>43.3</v>
      </c>
      <c r="G20" s="37" t="n">
        <f aca="false">F20+G19</f>
        <v>38.3</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46" t="s">
        <v>166</v>
      </c>
      <c r="C22" s="37" t="n">
        <f aca="false">C9+C13</f>
        <v>-56.75</v>
      </c>
      <c r="D22" s="37" t="n">
        <f aca="false">D9+D13</f>
        <v>66.65</v>
      </c>
      <c r="E22" s="37" t="n">
        <f aca="false">E9+E13</f>
        <v>53.4</v>
      </c>
      <c r="F22" s="37" t="n">
        <f aca="false">F9+F13</f>
        <v>0</v>
      </c>
      <c r="G22" s="37" t="n">
        <f aca="false">G9+G13</f>
        <v>0</v>
      </c>
    </row>
    <row r="23" customFormat="false" ht="15" hidden="false" customHeight="false" outlineLevel="0" collapsed="false">
      <c r="A23" s="5"/>
      <c r="B23" s="8" t="s">
        <v>167</v>
      </c>
      <c r="C23" s="49" t="n">
        <f aca="false">IFERROR(SUM($C13:C13)/ABS(SUM($C9:$G9)),0)</f>
        <v>0.42964824120603</v>
      </c>
      <c r="D23" s="49" t="n">
        <f aca="false">IFERROR(SUM($C13:D13)/ABS(SUM($C9:$G9)),0)</f>
        <v>1.09949748743719</v>
      </c>
      <c r="E23" s="49" t="n">
        <f aca="false">IFERROR(SUM($C13:E13)/ABS(SUM($C9:$G9)),0)</f>
        <v>1.63618090452261</v>
      </c>
      <c r="F23" s="49" t="n">
        <f aca="false">IFERROR(SUM($C13:F13)/ABS(SUM($C9:$G9)),0)</f>
        <v>1.63618090452261</v>
      </c>
      <c r="G23" s="49" t="n">
        <f aca="false">IFERROR(SUM($C13:G13)/ABS(SUM($C9:$G9)),0)</f>
        <v>1.63618090452261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4" min="3" style="0" width="18"/>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4" t="s">
        <v>168</v>
      </c>
      <c r="C2" s="5"/>
      <c r="D2" s="5"/>
      <c r="E2" s="5"/>
      <c r="F2" s="5"/>
      <c r="G2" s="5"/>
    </row>
    <row r="3" customFormat="false" ht="15" hidden="false" customHeight="false" outlineLevel="0" collapsed="false">
      <c r="A3" s="5"/>
      <c r="B3" s="23" t="s">
        <v>169</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5" t="s">
        <v>170</v>
      </c>
      <c r="C5" s="35" t="s">
        <v>37</v>
      </c>
      <c r="D5" s="5"/>
      <c r="E5" s="5"/>
      <c r="F5" s="5"/>
      <c r="G5" s="5"/>
    </row>
    <row r="6" customFormat="false" ht="15" hidden="false" customHeight="false" outlineLevel="0" collapsed="false">
      <c r="A6" s="5"/>
      <c r="B6" s="5"/>
      <c r="C6" s="5"/>
      <c r="D6" s="5"/>
      <c r="E6" s="5"/>
      <c r="F6" s="5"/>
      <c r="G6" s="5"/>
    </row>
    <row r="7" customFormat="false" ht="15" hidden="false" customHeight="false" outlineLevel="0" collapsed="false">
      <c r="A7" s="5"/>
      <c r="B7" s="36" t="s">
        <v>171</v>
      </c>
      <c r="C7" s="36"/>
      <c r="D7" s="5"/>
      <c r="E7" s="5"/>
      <c r="F7" s="5"/>
      <c r="G7" s="5"/>
    </row>
    <row r="8" customFormat="false" ht="15" hidden="false" customHeight="false" outlineLevel="0" collapsed="false">
      <c r="A8" s="5"/>
      <c r="B8" s="8" t="s">
        <v>172</v>
      </c>
      <c r="C8" s="38" t="n">
        <f aca="false">-SUM(Cash_Flow!C9:G9)</f>
        <v>99.5</v>
      </c>
      <c r="D8" s="5"/>
      <c r="E8" s="5"/>
      <c r="F8" s="5"/>
      <c r="G8" s="5"/>
    </row>
    <row r="9" customFormat="false" ht="15" hidden="false" customHeight="false" outlineLevel="0" collapsed="false">
      <c r="A9" s="5"/>
      <c r="B9" s="8" t="s">
        <v>154</v>
      </c>
      <c r="C9" s="38" t="n">
        <f aca="false">SUM(Cash_Flow!C12:G12)</f>
        <v>134.75</v>
      </c>
      <c r="D9" s="5"/>
      <c r="E9" s="5"/>
      <c r="F9" s="5"/>
      <c r="G9" s="5"/>
    </row>
    <row r="10" customFormat="false" ht="15" hidden="false" customHeight="false" outlineLevel="0" collapsed="false">
      <c r="A10" s="5"/>
      <c r="B10" s="8" t="s">
        <v>173</v>
      </c>
      <c r="C10" s="38" t="n">
        <f aca="false">SUM(Cash_Flow!C11:G11)</f>
        <v>28.05</v>
      </c>
      <c r="D10" s="5"/>
      <c r="E10" s="5"/>
      <c r="F10" s="5"/>
      <c r="G10" s="5"/>
    </row>
    <row r="11" customFormat="false" ht="15" hidden="false" customHeight="false" outlineLevel="0" collapsed="false">
      <c r="A11" s="5"/>
      <c r="B11" s="47" t="s">
        <v>174</v>
      </c>
      <c r="C11" s="50" t="n">
        <f aca="false">C9+C10</f>
        <v>162.8</v>
      </c>
      <c r="D11" s="5"/>
      <c r="E11" s="5"/>
      <c r="F11" s="5"/>
      <c r="G11" s="5"/>
    </row>
    <row r="12" customFormat="false" ht="15" hidden="false" customHeight="false" outlineLevel="0" collapsed="false">
      <c r="A12" s="5"/>
      <c r="B12" s="5"/>
      <c r="C12" s="5"/>
      <c r="D12" s="5"/>
      <c r="E12" s="5"/>
      <c r="F12" s="5"/>
      <c r="G12" s="5"/>
    </row>
    <row r="13" customFormat="false" ht="15" hidden="false" customHeight="false" outlineLevel="0" collapsed="false">
      <c r="A13" s="5"/>
      <c r="B13" s="8" t="s">
        <v>166</v>
      </c>
      <c r="C13" s="38" t="n">
        <f aca="false">C11-C8</f>
        <v>63.3</v>
      </c>
      <c r="D13" s="5"/>
      <c r="E13" s="5"/>
      <c r="F13" s="5"/>
      <c r="G13" s="5"/>
    </row>
    <row r="14" customFormat="false" ht="15" hidden="false" customHeight="false" outlineLevel="0" collapsed="false">
      <c r="A14" s="5"/>
      <c r="B14" s="8" t="s">
        <v>175</v>
      </c>
      <c r="C14" s="49" t="n">
        <f aca="false">IFERROR(C11/C8,0)</f>
        <v>1.63618090452261</v>
      </c>
      <c r="D14" s="5"/>
      <c r="E14" s="5"/>
      <c r="F14" s="5"/>
      <c r="G14" s="5"/>
    </row>
    <row r="15" customFormat="false" ht="15" hidden="false" customHeight="false" outlineLevel="0" collapsed="false">
      <c r="A15" s="5"/>
      <c r="B15" s="7" t="s">
        <v>176</v>
      </c>
      <c r="C15" s="51" t="n">
        <f aca="false">IFERROR(IRR(C39:G39),0)</f>
        <v>0.721156755571005</v>
      </c>
      <c r="D15" s="5"/>
      <c r="E15" s="5"/>
      <c r="F15" s="5"/>
      <c r="G15" s="5"/>
    </row>
    <row r="16" customFormat="false" ht="15" hidden="false" customHeight="false" outlineLevel="0" collapsed="false">
      <c r="A16" s="5"/>
      <c r="B16" s="5"/>
      <c r="C16" s="5"/>
      <c r="D16" s="5"/>
      <c r="E16" s="5"/>
      <c r="F16" s="5"/>
      <c r="G16" s="5"/>
    </row>
    <row r="17" customFormat="false" ht="15" hidden="false" customHeight="false" outlineLevel="0" collapsed="false">
      <c r="A17" s="5"/>
      <c r="B17" s="36" t="s">
        <v>177</v>
      </c>
      <c r="C17" s="36"/>
      <c r="D17" s="5"/>
      <c r="E17" s="5"/>
      <c r="F17" s="5"/>
      <c r="G17" s="5"/>
    </row>
    <row r="18" customFormat="false" ht="15" hidden="false" customHeight="false" outlineLevel="0" collapsed="false">
      <c r="A18" s="5"/>
      <c r="B18" s="8" t="s">
        <v>178</v>
      </c>
      <c r="C18" s="38" t="n">
        <f aca="false">Fund_Size*Mgmt_Fee_Pct*Fund_Life</f>
        <v>20</v>
      </c>
      <c r="D18" s="5"/>
      <c r="E18" s="5"/>
      <c r="F18" s="5"/>
      <c r="G18" s="5"/>
    </row>
    <row r="19" customFormat="false" ht="15" hidden="false" customHeight="false" outlineLevel="0" collapsed="false">
      <c r="A19" s="5"/>
      <c r="B19" s="8" t="s">
        <v>179</v>
      </c>
      <c r="C19" s="38" t="n">
        <f aca="false">Fund_Size*Fund_Expenses_Pct*Fund_Life</f>
        <v>5</v>
      </c>
      <c r="D19" s="5"/>
      <c r="E19" s="5"/>
      <c r="F19" s="5"/>
      <c r="G19" s="5"/>
    </row>
    <row r="20" customFormat="false" ht="15" hidden="false" customHeight="false" outlineLevel="0" collapsed="false">
      <c r="A20" s="5"/>
      <c r="B20" s="47" t="s">
        <v>163</v>
      </c>
      <c r="C20" s="50" t="n">
        <f aca="false">C18+C19</f>
        <v>25</v>
      </c>
      <c r="D20" s="5"/>
      <c r="E20" s="5"/>
      <c r="F20" s="5"/>
      <c r="G20" s="5"/>
    </row>
    <row r="21" customFormat="false" ht="15" hidden="false" customHeight="false" outlineLevel="0" collapsed="false">
      <c r="A21" s="5"/>
      <c r="B21" s="5"/>
      <c r="C21" s="5"/>
      <c r="D21" s="5"/>
      <c r="E21" s="5"/>
      <c r="F21" s="5"/>
      <c r="G21" s="5"/>
    </row>
    <row r="22" customFormat="false" ht="15" hidden="false" customHeight="false" outlineLevel="0" collapsed="false">
      <c r="A22" s="5"/>
      <c r="B22" s="8" t="s">
        <v>180</v>
      </c>
      <c r="C22" s="38" t="n">
        <f aca="false">C11-C20</f>
        <v>137.8</v>
      </c>
      <c r="D22" s="5"/>
      <c r="E22" s="5"/>
      <c r="F22" s="5"/>
      <c r="G22" s="5"/>
    </row>
    <row r="23" customFormat="false" ht="15" hidden="false" customHeight="false" outlineLevel="0" collapsed="false">
      <c r="A23" s="5"/>
      <c r="B23" s="8" t="s">
        <v>181</v>
      </c>
      <c r="C23" s="38" t="n">
        <f aca="false">C22-C8</f>
        <v>38.3</v>
      </c>
      <c r="D23" s="5"/>
      <c r="E23" s="5"/>
      <c r="F23" s="5"/>
      <c r="G23" s="5"/>
    </row>
    <row r="24" customFormat="false" ht="15" hidden="false" customHeight="false" outlineLevel="0" collapsed="false">
      <c r="A24" s="5"/>
      <c r="B24" s="8" t="s">
        <v>182</v>
      </c>
      <c r="C24" s="49" t="n">
        <f aca="false">IFERROR(C22/C8,0)</f>
        <v>1.38492462311558</v>
      </c>
      <c r="D24" s="5"/>
      <c r="E24" s="5"/>
      <c r="F24" s="5"/>
      <c r="G24" s="5"/>
    </row>
    <row r="25" customFormat="false" ht="15" hidden="false" customHeight="false" outlineLevel="0" collapsed="false">
      <c r="A25" s="5"/>
      <c r="B25" s="7" t="s">
        <v>183</v>
      </c>
      <c r="C25" s="51" t="n">
        <f aca="false">IFERROR(IRR(C40:G40),0)</f>
        <v>0.468904458859554</v>
      </c>
      <c r="D25" s="5"/>
      <c r="E25" s="5"/>
      <c r="F25" s="5"/>
      <c r="G25" s="5"/>
    </row>
    <row r="26" customFormat="false" ht="15" hidden="false" customHeight="false" outlineLevel="0" collapsed="false">
      <c r="A26" s="5"/>
      <c r="B26" s="5"/>
      <c r="C26" s="5"/>
      <c r="D26" s="5"/>
      <c r="E26" s="5"/>
      <c r="F26" s="5"/>
      <c r="G26" s="5"/>
    </row>
    <row r="27" customFormat="false" ht="15" hidden="false" customHeight="false" outlineLevel="0" collapsed="false">
      <c r="A27" s="5"/>
      <c r="B27" s="36" t="s">
        <v>184</v>
      </c>
      <c r="C27" s="36"/>
      <c r="D27" s="5"/>
      <c r="E27" s="5"/>
      <c r="F27" s="5"/>
      <c r="G27" s="5"/>
    </row>
    <row r="28" customFormat="false" ht="15" hidden="false" customHeight="false" outlineLevel="0" collapsed="false">
      <c r="A28" s="5"/>
      <c r="B28" s="8" t="s">
        <v>185</v>
      </c>
      <c r="C28" s="38" t="n">
        <f aca="false">MAX(0,(C22-C8*(1+Hurdle_Rate)^Fund_Life)*Carried_Int_Pct)</f>
        <v>0</v>
      </c>
      <c r="D28" s="5"/>
      <c r="E28" s="5"/>
      <c r="F28" s="5"/>
      <c r="G28" s="5"/>
    </row>
    <row r="29" customFormat="false" ht="15" hidden="false" customHeight="false" outlineLevel="0" collapsed="false">
      <c r="A29" s="5"/>
      <c r="B29" s="8" t="s">
        <v>186</v>
      </c>
      <c r="C29" s="38" t="n">
        <f aca="false">C22-C28</f>
        <v>137.8</v>
      </c>
      <c r="D29" s="5"/>
      <c r="E29" s="5"/>
      <c r="F29" s="5"/>
      <c r="G29" s="5"/>
    </row>
    <row r="30" customFormat="false" ht="15" hidden="false" customHeight="false" outlineLevel="0" collapsed="false">
      <c r="A30" s="5"/>
      <c r="B30" s="7" t="s">
        <v>187</v>
      </c>
      <c r="C30" s="52" t="n">
        <f aca="false">IFERROR(C29/C8,0)</f>
        <v>1.38492462311558</v>
      </c>
      <c r="D30" s="5"/>
      <c r="E30" s="5"/>
      <c r="F30" s="5"/>
      <c r="G30" s="5"/>
    </row>
    <row r="31" customFormat="false" ht="15" hidden="false" customHeight="false" outlineLevel="0" collapsed="false">
      <c r="A31" s="5"/>
      <c r="B31" s="8" t="s">
        <v>51</v>
      </c>
      <c r="C31" s="38" t="n">
        <f aca="false">Fund_Size*GP_Commit_Pct</f>
        <v>4</v>
      </c>
      <c r="D31" s="5"/>
      <c r="E31" s="5"/>
      <c r="F31" s="5"/>
      <c r="G31" s="5"/>
    </row>
    <row r="32" customFormat="false" ht="15" hidden="false" customHeight="false" outlineLevel="0" collapsed="false">
      <c r="A32" s="5"/>
      <c r="B32" s="5"/>
      <c r="C32" s="5"/>
      <c r="D32" s="5"/>
      <c r="E32" s="5"/>
      <c r="F32" s="5"/>
      <c r="G32" s="5"/>
    </row>
    <row r="33" customFormat="false" ht="15" hidden="false" customHeight="false" outlineLevel="0" collapsed="false">
      <c r="A33" s="5"/>
      <c r="B33" s="5"/>
      <c r="C33" s="5"/>
      <c r="D33" s="5"/>
      <c r="E33" s="5"/>
      <c r="F33" s="5"/>
      <c r="G33" s="5"/>
    </row>
    <row r="34" customFormat="false" ht="15" hidden="false" customHeight="false" outlineLevel="0" collapsed="false">
      <c r="A34" s="5"/>
      <c r="B34" s="5"/>
      <c r="C34" s="5"/>
      <c r="D34" s="5"/>
      <c r="E34" s="5"/>
      <c r="F34" s="5"/>
      <c r="G34" s="5"/>
    </row>
    <row r="35" customFormat="false" ht="15" hidden="false" customHeight="false" outlineLevel="0" collapsed="false">
      <c r="A35" s="5"/>
      <c r="B35" s="36" t="s">
        <v>188</v>
      </c>
      <c r="C35" s="36"/>
      <c r="D35" s="5"/>
      <c r="E35" s="5"/>
      <c r="F35" s="5"/>
      <c r="G35" s="5"/>
    </row>
    <row r="36" customFormat="false" ht="15" hidden="false" customHeight="false" outlineLevel="0" collapsed="false">
      <c r="A36" s="5"/>
      <c r="B36" s="7" t="s">
        <v>189</v>
      </c>
      <c r="C36" s="53" t="n">
        <f aca="false">NPV(Discount_Rate,D40:G40)+C40</f>
        <v>25.142334899521</v>
      </c>
      <c r="D36" s="5"/>
      <c r="E36" s="5"/>
      <c r="F36" s="5"/>
      <c r="G36" s="5"/>
    </row>
    <row r="37" customFormat="false" ht="15" hidden="false" customHeight="false" outlineLevel="0" collapsed="false">
      <c r="A37" s="5"/>
      <c r="B37" s="5"/>
      <c r="C37" s="5"/>
      <c r="D37" s="5"/>
      <c r="E37" s="5"/>
      <c r="F37" s="5"/>
      <c r="G37" s="5"/>
    </row>
    <row r="38" customFormat="false" ht="15" hidden="false" customHeight="false" outlineLevel="0" collapsed="false">
      <c r="A38" s="5"/>
      <c r="B38" s="36" t="s">
        <v>190</v>
      </c>
      <c r="C38" s="54" t="n">
        <f aca="false">Model_Start_Year+0</f>
        <v>2026</v>
      </c>
      <c r="D38" s="54" t="n">
        <f aca="false">Model_Start_Year+1</f>
        <v>2027</v>
      </c>
      <c r="E38" s="54" t="n">
        <f aca="false">Model_Start_Year+2</f>
        <v>2028</v>
      </c>
      <c r="F38" s="54" t="n">
        <f aca="false">Model_Start_Year+3</f>
        <v>2029</v>
      </c>
      <c r="G38" s="54" t="n">
        <f aca="false">Model_Start_Year+4</f>
        <v>2030</v>
      </c>
    </row>
    <row r="39" customFormat="false" ht="15" hidden="false" customHeight="false" outlineLevel="0" collapsed="false">
      <c r="A39" s="5"/>
      <c r="B39" s="8" t="s">
        <v>191</v>
      </c>
      <c r="C39" s="37" t="n">
        <f aca="false">Cash_Flow!C9+Cash_Flow!C13</f>
        <v>-56.75</v>
      </c>
      <c r="D39" s="37" t="n">
        <f aca="false">Cash_Flow!D9+Cash_Flow!D13</f>
        <v>66.65</v>
      </c>
      <c r="E39" s="37" t="n">
        <f aca="false">Cash_Flow!E9+Cash_Flow!E13</f>
        <v>53.4</v>
      </c>
      <c r="F39" s="37" t="n">
        <f aca="false">Cash_Flow!F9+Cash_Flow!F13</f>
        <v>0</v>
      </c>
      <c r="G39" s="37" t="n">
        <f aca="false">Cash_Flow!G9+Cash_Flow!G13</f>
        <v>0</v>
      </c>
    </row>
    <row r="40" customFormat="false" ht="15" hidden="false" customHeight="false" outlineLevel="0" collapsed="false">
      <c r="A40" s="5"/>
      <c r="B40" s="8" t="s">
        <v>192</v>
      </c>
      <c r="C40" s="37" t="n">
        <f aca="false">Cash_Flow!C19</f>
        <v>-61.75</v>
      </c>
      <c r="D40" s="37" t="n">
        <f aca="false">Cash_Flow!D19</f>
        <v>61.65</v>
      </c>
      <c r="E40" s="37" t="n">
        <f aca="false">Cash_Flow!E19</f>
        <v>48.4</v>
      </c>
      <c r="F40" s="37" t="n">
        <f aca="false">Cash_Flow!F19</f>
        <v>-5</v>
      </c>
      <c r="G40" s="37" t="n">
        <f aca="false">Cash_Flow!G19</f>
        <v>-5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4"/>
  </cols>
  <sheetData>
    <row r="1" customFormat="false" ht="15" hidden="false" customHeight="false" outlineLevel="0" collapsed="false">
      <c r="A1" s="5"/>
      <c r="B1" s="5"/>
      <c r="C1" s="5"/>
      <c r="D1" s="5"/>
    </row>
    <row r="2" customFormat="false" ht="22.05" hidden="false" customHeight="false" outlineLevel="0" collapsed="false">
      <c r="A2" s="5"/>
      <c r="B2" s="34" t="s">
        <v>193</v>
      </c>
      <c r="C2" s="5"/>
      <c r="D2" s="5"/>
    </row>
    <row r="3" customFormat="false" ht="15" hidden="false" customHeight="false" outlineLevel="0" collapsed="false">
      <c r="A3" s="5"/>
      <c r="B3" s="23" t="s">
        <v>194</v>
      </c>
      <c r="C3" s="5"/>
      <c r="D3" s="5"/>
    </row>
    <row r="4" customFormat="false" ht="15" hidden="false" customHeight="false" outlineLevel="0" collapsed="false">
      <c r="A4" s="5"/>
      <c r="B4" s="5"/>
      <c r="C4" s="5"/>
      <c r="D4" s="5"/>
    </row>
    <row r="5" customFormat="false" ht="15" hidden="false" customHeight="false" outlineLevel="0" collapsed="false">
      <c r="A5" s="5"/>
      <c r="B5" s="35" t="s">
        <v>195</v>
      </c>
      <c r="C5" s="35" t="s">
        <v>196</v>
      </c>
      <c r="D5" s="35" t="s">
        <v>197</v>
      </c>
    </row>
    <row r="6" customFormat="false" ht="15" hidden="false" customHeight="false" outlineLevel="0" collapsed="false">
      <c r="A6" s="5"/>
      <c r="B6" s="36" t="s">
        <v>198</v>
      </c>
      <c r="C6" s="36"/>
      <c r="D6" s="36"/>
    </row>
    <row r="7" customFormat="false" ht="15" hidden="false" customHeight="false" outlineLevel="0" collapsed="false">
      <c r="A7" s="5"/>
      <c r="B7" s="8" t="s">
        <v>199</v>
      </c>
      <c r="C7" s="39" t="n">
        <f aca="false">MAX(I1_Purchase,I2_Purchase,I3_Purchase,I4_Purchase,I5_Purchase)</f>
        <v>0.95</v>
      </c>
      <c r="D7" s="55" t="str">
        <f aca="false">IF(C7&lt;=1,"PASS","FAIL")</f>
        <v>PASS</v>
      </c>
    </row>
    <row r="8" customFormat="false" ht="15" hidden="false" customHeight="false" outlineLevel="0" collapsed="false">
      <c r="A8" s="5"/>
      <c r="B8" s="8" t="s">
        <v>200</v>
      </c>
      <c r="C8" s="39" t="n">
        <f aca="false">MIN(I1_Recovery-I1_Purchase,I2_Recovery-I2_Purchase,I3_Recovery-I3_Purchase,I4_Recovery-I4_Purchase,I5_Recovery-I5_Purchase)</f>
        <v>0.05</v>
      </c>
      <c r="D8" s="55" t="str">
        <f aca="false">IF(C8&gt;0,"PASS","WARN")</f>
        <v>PASS</v>
      </c>
    </row>
    <row r="9" customFormat="false" ht="15" hidden="false" customHeight="false" outlineLevel="0" collapsed="false">
      <c r="A9" s="5"/>
      <c r="B9" s="8" t="s">
        <v>201</v>
      </c>
      <c r="C9" s="49" t="n">
        <f aca="false">Returns_Analysis!C14</f>
        <v>1.63618090452261</v>
      </c>
      <c r="D9" s="55" t="str">
        <f aca="false">IF(C9&gt;1,"PASS","FAIL")</f>
        <v>PASS</v>
      </c>
    </row>
    <row r="10" customFormat="false" ht="15" hidden="false" customHeight="false" outlineLevel="0" collapsed="false">
      <c r="A10" s="5"/>
      <c r="B10" s="8" t="s">
        <v>202</v>
      </c>
      <c r="C10" s="49" t="n">
        <f aca="false">Returns_Analysis!C24</f>
        <v>1.38492462311558</v>
      </c>
      <c r="D10" s="55" t="str">
        <f aca="false">IF(C10&gt;1,"PASS","FAIL")</f>
        <v>PASS</v>
      </c>
    </row>
    <row r="11" customFormat="false" ht="15" hidden="false" customHeight="false" outlineLevel="0" collapsed="false">
      <c r="A11" s="5"/>
      <c r="B11" s="8" t="s">
        <v>203</v>
      </c>
      <c r="C11" s="39" t="n">
        <f aca="false">Returns_Analysis!C15</f>
        <v>0.721156755571005</v>
      </c>
      <c r="D11" s="55" t="str">
        <f aca="false">IF(C11&gt;0,"PASS","FAIL")</f>
        <v>PASS</v>
      </c>
    </row>
    <row r="12" customFormat="false" ht="15" hidden="false" customHeight="false" outlineLevel="0" collapsed="false">
      <c r="A12" s="5"/>
      <c r="B12" s="8" t="s">
        <v>204</v>
      </c>
      <c r="C12" s="38" t="n">
        <f aca="false">Returns_Analysis!C8</f>
        <v>99.5</v>
      </c>
      <c r="D12" s="55" t="str">
        <f aca="false">IF(C12&lt;=Fund_Size,"PASS","FAIL")</f>
        <v>PASS</v>
      </c>
    </row>
    <row r="13" customFormat="false" ht="15" hidden="false" customHeight="false" outlineLevel="0" collapsed="false">
      <c r="A13" s="5"/>
      <c r="B13" s="8" t="s">
        <v>205</v>
      </c>
      <c r="C13" s="39" t="n">
        <f aca="false">IFERROR(Returns_Analysis!C8/Fund_Size,0)</f>
        <v>0.4975</v>
      </c>
      <c r="D13" s="55" t="str">
        <f aca="false">IF(AND(C13&gt;=0.5,C13&lt;=1),"PASS","WARN")</f>
        <v>WARN</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2026-05-15T18:53:03Z</dcterms:created>
  <dc:creator>openpyxl</dc:creator>
  <dc:description/>
  <dc:language>en-GB</dc:language>
  <cp:lastModifiedBy/>
  <dcterms:modified xsi:type="dcterms:W3CDTF">2026-05-15T18:53:04Z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