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Asset_Allocation" sheetId="3" state="visible" r:id="rId5"/>
    <sheet name="Investment_Returns" sheetId="4" state="visible" r:id="rId6"/>
    <sheet name="Fee_Schedule" sheetId="5" state="visible" r:id="rId7"/>
    <sheet name="Donations" sheetId="6" state="visible" r:id="rId8"/>
    <sheet name="Spending_Policy" sheetId="7" state="visible" r:id="rId9"/>
    <sheet name="AUM_Rollforward" sheetId="8" state="visible" r:id="rId10"/>
    <sheet name="Cash_Flow" sheetId="9" state="visible" r:id="rId11"/>
    <sheet name="Performance" sheetId="10" state="visible" r:id="rId12"/>
    <sheet name="Checks" sheetId="11" state="visible" r:id="rId13"/>
    <sheet name="Disclaimer" sheetId="12" state="visible" r:id="rId14"/>
  </sheets>
  <definedNames>
    <definedName function="false" hidden="false" name="AA_Beg_Cash" vbProcedure="false">Asset_Allocation!$C$13:$L$13</definedName>
    <definedName function="false" hidden="false" name="AA_Beg_FI" vbProcedure="false">Asset_Allocation!$C$9:$L$9</definedName>
    <definedName function="false" hidden="false" name="AA_Beg_HF" vbProcedure="false">Asset_Allocation!$C$12:$L$12</definedName>
    <definedName function="false" hidden="false" name="AA_Beg_PE" vbProcedure="false">Asset_Allocation!$C$10:$L$10</definedName>
    <definedName function="false" hidden="false" name="AA_Beg_Pub_Eq" vbProcedure="false">Asset_Allocation!$C$8:$L$8</definedName>
    <definedName function="false" hidden="false" name="AA_Beg_Real" vbProcedure="false">Asset_Allocation!$C$11:$L$11</definedName>
    <definedName function="false" hidden="false" name="AA_Beg_Total" vbProcedure="false">Asset_Allocation!$C$7:$L$7</definedName>
    <definedName function="false" hidden="false" name="AA_End_Total" vbProcedure="false">Asset_Allocation!$C$18:$L$18</definedName>
    <definedName function="false" hidden="false" name="AR_Beg_AUM" vbProcedure="false">AUM_Rollforward!$C$7:$L$7</definedName>
    <definedName function="false" hidden="false" name="AR_Donations" vbProcedure="false">AUM_Rollforward!$C$8:$L$8</definedName>
    <definedName function="false" hidden="false" name="AR_Ending_AUM" vbProcedure="false">AUM_Rollforward!$C$14:$L$14</definedName>
    <definedName function="false" hidden="false" name="AR_Fees" vbProcedure="false">AUM_Rollforward!$C$10:$L$10</definedName>
    <definedName function="false" hidden="false" name="AR_Gross_Ret" vbProcedure="false">AUM_Rollforward!$C$12:$L$12</definedName>
    <definedName function="false" hidden="false" name="AR_Opex" vbProcedure="false">AUM_Rollforward!$C$11:$L$11</definedName>
    <definedName function="false" hidden="false" name="AR_Spending" vbProcedure="false">AUM_Rollforward!$C$9:$L$9</definedName>
    <definedName function="false" hidden="false" name="Beginning_AUM" vbProcedure="false">Assumptions!$C$6</definedName>
    <definedName function="false" hidden="false" name="CF_End_Cash" vbProcedure="false">Cash_Flow!$C$20:$L$20</definedName>
    <definedName function="false" hidden="false" name="CF_Net" vbProcedure="false">Cash_Flow!$C$17:$L$17</definedName>
    <definedName function="false" hidden="false" name="DN_Annual" vbProcedure="false">Donations!$C$9:$L$9</definedName>
    <definedName function="false" hidden="false" name="Donation_Base" vbProcedure="false">Assumptions!$C$37</definedName>
    <definedName function="false" hidden="false" name="Donation_Growth" vbProcedure="false">Assumptions!$C$38</definedName>
    <definedName function="false" hidden="false" name="Fee_FI" vbProcedure="false">Assumptions!$C$27</definedName>
    <definedName function="false" hidden="false" name="Fee_HF" vbProcedure="false">Assumptions!$C$30</definedName>
    <definedName function="false" hidden="false" name="Fee_PE" vbProcedure="false">Assumptions!$C$28</definedName>
    <definedName function="false" hidden="false" name="Fee_Pub_Eq" vbProcedure="false">Assumptions!$C$26</definedName>
    <definedName function="false" hidden="false" name="Fee_Real" vbProcedure="false">Assumptions!$C$29</definedName>
    <definedName function="false" hidden="false" name="FS_TER" vbProcedure="false">Fee_Schedule!$C$20:$L$20</definedName>
    <definedName function="false" hidden="false" name="FS_Total_Fees" vbProcedure="false">Fee_Schedule!$C$18:$L$18</definedName>
    <definedName function="false" hidden="false" name="Inflation_Rate" vbProcedure="false">Assumptions!$C$7</definedName>
    <definedName function="false" hidden="false" name="Internal_Opex_Rate" vbProcedure="false">Assumptions!$C$41</definedName>
    <definedName function="false" hidden="false" name="IR_Total" vbProcedure="false">Investment_Returns!$C$13:$L$13</definedName>
    <definedName function="false" hidden="false" name="IR_Weighted_Ret" vbProcedure="false">Investment_Returns!$C$15:$L$15</definedName>
    <definedName function="false" hidden="false" name="PE_Carry" vbProcedure="false">Assumptions!$C$31</definedName>
    <definedName function="false" hidden="false" name="PE_Hurdle" vbProcedure="false">Assumptions!$C$32</definedName>
    <definedName function="false" hidden="false" name="Ret_Cash" vbProcedure="false">Assumptions!$C$23</definedName>
    <definedName function="false" hidden="false" name="Ret_FI" vbProcedure="false">Assumptions!$C$19</definedName>
    <definedName function="false" hidden="false" name="Ret_HF" vbProcedure="false">Assumptions!$C$22</definedName>
    <definedName function="false" hidden="false" name="Ret_PE" vbProcedure="false">Assumptions!$C$20</definedName>
    <definedName function="false" hidden="false" name="Ret_Pub_Eq" vbProcedure="false">Assumptions!$C$18</definedName>
    <definedName function="false" hidden="false" name="Ret_Real" vbProcedure="false">Assumptions!$C$21</definedName>
    <definedName function="false" hidden="false" name="Spending_Rate" vbProcedure="false">Assumptions!$C$35</definedName>
    <definedName function="false" hidden="false" name="SP_Payout" vbProcedure="false">Spending_Policy!$C$12:$L$12</definedName>
    <definedName function="false" hidden="false" name="Wt_Cash" vbProcedure="false">Assumptions!$C$15</definedName>
    <definedName function="false" hidden="false" name="Wt_FI" vbProcedure="false">Assumptions!$C$11</definedName>
    <definedName function="false" hidden="false" name="Wt_HF" vbProcedure="false">Assumptions!$C$14</definedName>
    <definedName function="false" hidden="false" name="Wt_PE" vbProcedure="false">Assumptions!$C$12</definedName>
    <definedName function="false" hidden="false" name="Wt_Pub_Eq" vbProcedure="false">Assumptions!$C$10</definedName>
    <definedName function="false" hidden="false" name="Wt_Real" vbProcedure="false">Assumptions!$C$13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<sst xmlns="http://schemas.openxmlformats.org/spreadsheetml/2006/main" count="334" uniqueCount="183">
  <si>
    <t xml:space="preserve">Endowment Fund</t>
  </si>
  <si>
    <t xml:space="preserve">FINAMODEL.com</t>
  </si>
  <si>
    <t xml:space="preserve">10-Year Financial Model</t>
  </si>
  <si>
    <t xml:space="preserve">Model Overview</t>
  </si>
  <si>
    <t xml:space="preserve">Entity</t>
  </si>
  <si>
    <t xml:space="preserve">University Endowment Fund</t>
  </si>
  <si>
    <t xml:space="preserve">Projection Period</t>
  </si>
  <si>
    <t xml:space="preserve">10 Years (Annual)</t>
  </si>
  <si>
    <t xml:space="preserve">Currency</t>
  </si>
  <si>
    <t xml:space="preserve">USD ($M)</t>
  </si>
  <si>
    <t xml:space="preserve">Starting AUM</t>
  </si>
  <si>
    <t xml:space="preserve">$1,000M</t>
  </si>
  <si>
    <t xml:space="preserve">Model Version</t>
  </si>
  <si>
    <t xml:space="preserve">v19</t>
  </si>
  <si>
    <t xml:space="preserve">Tab Colour Legend</t>
  </si>
  <si>
    <t xml:space="preserve">Dark Blue</t>
  </si>
  <si>
    <t xml:space="preserve">Cover</t>
  </si>
  <si>
    <t xml:space="preserve">Light Blue</t>
  </si>
  <si>
    <t xml:space="preserve">Assumptions / Inputs</t>
  </si>
  <si>
    <t xml:space="preserve">Green</t>
  </si>
  <si>
    <t xml:space="preserve">Revenue Drivers</t>
  </si>
  <si>
    <t xml:space="preserve">Orange</t>
  </si>
  <si>
    <t xml:space="preserve">Costs &amp; Fees</t>
  </si>
  <si>
    <t xml:space="preserve">Grey</t>
  </si>
  <si>
    <t xml:space="preserve">Summary / Output</t>
  </si>
  <si>
    <t xml:space="preserve">Red</t>
  </si>
  <si>
    <t xml:space="preserve">Checks &amp; Validation</t>
  </si>
  <si>
    <t xml:space="preserve">About this model</t>
  </si>
  <si>
    <t xml:space="preserve">An endowment fund financial model projects the growth and sustainability of a perpetual investment portfolio funding annual distributions to operating budgets. For a university or foundation with $1 billion in assets, the model allocates capital across public equities (40%), fixed income (20%), private equity (18%), real assets (10%), hedge funds (10%), and cash (2%), applies multi-asset-class return assumptions (7.5% equities, 4.5% bonds, 11% private equity), and compounds the portfolio year-over-year. Against this growing asset base, a spending policy (typically 4â5% of a trailing three-year average) funds annual distributions to the institution's operating budget, with inflation adjustments to preserve real purchasing power.
The model validates that the endowment's real corpus (inflation-adjusted value) is preserved or grows over the projection horizon. Key risks include sequence-of-returns (a bad market early in a spending cycle can force forced selling at low prices), high fees in private assets (which drag net returns), and the temptation to increase spending when markets are strong. The workbook shows how different spending rates and return assumptions affect long-term sustainability, making it clear that a 3% spending rate on a poorly-allocated portfolio is more sustainable than 5% spending on a well-diversified one.
This template is standard for institutional wealth managers, university treasurers, and foundation boards evaluating endowment policy and asset allocation targets.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</si>
  <si>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</si>
  <si>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</si>
  <si>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</si>
  <si>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</si>
  <si>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</si>
  <si>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t>
  </si>
  <si>
    <t xml:space="preserve">Portfolio</t>
  </si>
  <si>
    <t xml:space="preserve">Beginning AUM</t>
  </si>
  <si>
    <t xml:space="preserve">$M</t>
  </si>
  <si>
    <t xml:space="preserve">Mid-size endowment</t>
  </si>
  <si>
    <t xml:space="preserve">Inflation Rate</t>
  </si>
  <si>
    <t xml:space="preserve">%</t>
  </si>
  <si>
    <t xml:space="preserve">Long-term CPI target</t>
  </si>
  <si>
    <t xml:space="preserve">Asset Allocation Weights</t>
  </si>
  <si>
    <t xml:space="preserve">Public Equities</t>
  </si>
  <si>
    <t xml:space="preserve">Fixed Income</t>
  </si>
  <si>
    <t xml:space="preserve">Private Equity</t>
  </si>
  <si>
    <t xml:space="preserve">Real Assets</t>
  </si>
  <si>
    <t xml:space="preserve">Hedge Funds</t>
  </si>
  <si>
    <t xml:space="preserve">Cash</t>
  </si>
  <si>
    <t xml:space="preserve">Expected Returns</t>
  </si>
  <si>
    <t xml:space="preserve">Long-term ERP</t>
  </si>
  <si>
    <t xml:space="preserve">Agg bond yield</t>
  </si>
  <si>
    <t xml:space="preserve">Illiquidity premium</t>
  </si>
  <si>
    <t xml:space="preserve">Yield + appreciation</t>
  </si>
  <si>
    <t xml:space="preserve">Absolute return</t>
  </si>
  <si>
    <t xml:space="preserve">Money market rate</t>
  </si>
  <si>
    <t xml:space="preserve">Investment Fees</t>
  </si>
  <si>
    <t xml:space="preserve">Public Equities Fee</t>
  </si>
  <si>
    <t xml:space="preserve">Passive index</t>
  </si>
  <si>
    <t xml:space="preserve">Fixed Income Fee</t>
  </si>
  <si>
    <t xml:space="preserve">Active FI</t>
  </si>
  <si>
    <t xml:space="preserve">Private Equity Fee</t>
  </si>
  <si>
    <t xml:space="preserve">Standard alt fee</t>
  </si>
  <si>
    <t xml:space="preserve">Real Assets Fee</t>
  </si>
  <si>
    <t xml:space="preserve">Blended real asset</t>
  </si>
  <si>
    <t xml:space="preserve">Hedge Funds Fee</t>
  </si>
  <si>
    <t xml:space="preserve">Standard HF base</t>
  </si>
  <si>
    <t xml:space="preserve">PE Carried Interest</t>
  </si>
  <si>
    <t xml:space="preserve">20% above hurdle</t>
  </si>
  <si>
    <t xml:space="preserve">PE Hurdle Rate</t>
  </si>
  <si>
    <t xml:space="preserve">Typical preferred return</t>
  </si>
  <si>
    <t xml:space="preserve">Spending Policy</t>
  </si>
  <si>
    <t xml:space="preserve">Spending Rate</t>
  </si>
  <si>
    <t xml:space="preserve">3-yr trailing avg, NACUBO</t>
  </si>
  <si>
    <t xml:space="preserve">Donations</t>
  </si>
  <si>
    <t xml:space="preserve">Year 1 Donations</t>
  </si>
  <si>
    <t xml:space="preserve">4% of AUM giving rate</t>
  </si>
  <si>
    <t xml:space="preserve">Donation Growth</t>
  </si>
  <si>
    <t xml:space="preserve">Tracks nominal GDP</t>
  </si>
  <si>
    <t xml:space="preserve">Operating Expenses</t>
  </si>
  <si>
    <t xml:space="preserve">Internal Opex Rate</t>
  </si>
  <si>
    <t xml:space="preserve">Staff, systems, audit</t>
  </si>
  <si>
    <t xml:space="preserve">Asset Allocation</t>
  </si>
  <si>
    <t xml:space="preserve">Annual Rebalancing</t>
  </si>
  <si>
    <t xml:space="preserve">Year 1</t>
  </si>
  <si>
    <t xml:space="preserve">Year 2</t>
  </si>
  <si>
    <t xml:space="preserve">Year 3</t>
  </si>
  <si>
    <t xml:space="preserve">Year 4</t>
  </si>
  <si>
    <t xml:space="preserve">Year 5</t>
  </si>
  <si>
    <t xml:space="preserve">Year 6</t>
  </si>
  <si>
    <t xml:space="preserve">Year 7</t>
  </si>
  <si>
    <t xml:space="preserve">Year 8</t>
  </si>
  <si>
    <t xml:space="preserve">Year 9</t>
  </si>
  <si>
    <t xml:space="preserve">Year 10</t>
  </si>
  <si>
    <t xml:space="preserve">Beginning AUM ($M)</t>
  </si>
  <si>
    <t xml:space="preserve">TOTAL AUM</t>
  </si>
  <si>
    <t xml:space="preserve">Weight Check</t>
  </si>
  <si>
    <t xml:space="preserve">Pre-Rebalance AUM ($M)</t>
  </si>
  <si>
    <t xml:space="preserve">TOTAL PRE-REBAL</t>
  </si>
  <si>
    <t xml:space="preserve">Rebalancing ($M)</t>
  </si>
  <si>
    <t xml:space="preserve">Rebalance Check</t>
  </si>
  <si>
    <t xml:space="preserve">Investment Returns</t>
  </si>
  <si>
    <t xml:space="preserve">Gross Returns</t>
  </si>
  <si>
    <t xml:space="preserve">Gross Returns ($M)</t>
  </si>
  <si>
    <t xml:space="preserve">TOTAL GROSS RETURN</t>
  </si>
  <si>
    <t xml:space="preserve">Weighted Avg Return</t>
  </si>
  <si>
    <t xml:space="preserve">Fee Schedule</t>
  </si>
  <si>
    <t xml:space="preserve">Investment Costs</t>
  </si>
  <si>
    <t xml:space="preserve">Base Management Fees ($M)</t>
  </si>
  <si>
    <t xml:space="preserve">Total Base Fees</t>
  </si>
  <si>
    <t xml:space="preserve">Performance Fees ($M)</t>
  </si>
  <si>
    <t xml:space="preserve">PE Excess Return</t>
  </si>
  <si>
    <t xml:space="preserve">PE Performance Fee</t>
  </si>
  <si>
    <t xml:space="preserve">TOTAL FEES</t>
  </si>
  <si>
    <t xml:space="preserve">Total Expense Ratio</t>
  </si>
  <si>
    <t xml:space="preserve">Annual Inflows</t>
  </si>
  <si>
    <t xml:space="preserve">Donation Projections ($M)</t>
  </si>
  <si>
    <t xml:space="preserve">Prior Year Base</t>
  </si>
  <si>
    <t xml:space="preserve">Growth Rate</t>
  </si>
  <si>
    <t xml:space="preserve">Annual Donations</t>
  </si>
  <si>
    <t xml:space="preserve">Cumulative Donations</t>
  </si>
  <si>
    <t xml:space="preserve">Trailing Average</t>
  </si>
  <si>
    <t xml:space="preserve">Trailing AUM for Smoothing ($M)</t>
  </si>
  <si>
    <t xml:space="preserve">AUM (Y-1)</t>
  </si>
  <si>
    <t xml:space="preserve">AUM (Y-2)</t>
  </si>
  <si>
    <t xml:space="preserve">AUM (Y-3)</t>
  </si>
  <si>
    <t xml:space="preserve">Spending Distribution ($M)</t>
  </si>
  <si>
    <t xml:space="preserve">Annual Payout</t>
  </si>
  <si>
    <t xml:space="preserve">Cumulative Payout</t>
  </si>
  <si>
    <t xml:space="preserve">AUM Rollforward</t>
  </si>
  <si>
    <t xml:space="preserve">Core Engine</t>
  </si>
  <si>
    <t xml:space="preserve">AUM Rollforward ($M)</t>
  </si>
  <si>
    <t xml:space="preserve">Spending Payout</t>
  </si>
  <si>
    <t xml:space="preserve">Total Fees</t>
  </si>
  <si>
    <t xml:space="preserve">Internal Opex</t>
  </si>
  <si>
    <t xml:space="preserve">Gross Return</t>
  </si>
  <si>
    <t xml:space="preserve">ENDING AUM</t>
  </si>
  <si>
    <t xml:space="preserve">Cash Flow</t>
  </si>
  <si>
    <t xml:space="preserve">Annual Movements</t>
  </si>
  <si>
    <t xml:space="preserve">Cash Inflows ($M)</t>
  </si>
  <si>
    <t xml:space="preserve">Total Inflows</t>
  </si>
  <si>
    <t xml:space="preserve">Cash Outflows ($M)</t>
  </si>
  <si>
    <t xml:space="preserve">Total Outflows</t>
  </si>
  <si>
    <t xml:space="preserve">NET CASH FLOW</t>
  </si>
  <si>
    <t xml:space="preserve">Beginning Cash</t>
  </si>
  <si>
    <t xml:space="preserve">Ending Cash</t>
  </si>
  <si>
    <t xml:space="preserve">Performance</t>
  </si>
  <si>
    <t xml:space="preserve">Key Metrics</t>
  </si>
  <si>
    <t xml:space="preserve">Return Metrics</t>
  </si>
  <si>
    <t xml:space="preserve">Nominal Gross Return</t>
  </si>
  <si>
    <t xml:space="preserve">Nominal Net Return</t>
  </si>
  <si>
    <t xml:space="preserve">Real Net Return</t>
  </si>
  <si>
    <t xml:space="preserve">Growth of $1 (Net)</t>
  </si>
  <si>
    <t xml:space="preserve">Efficiency Metrics</t>
  </si>
  <si>
    <t xml:space="preserve">Spending / AUM</t>
  </si>
  <si>
    <t xml:space="preserve">Sustainability</t>
  </si>
  <si>
    <t xml:space="preserve">Real Preservation</t>
  </si>
  <si>
    <t xml:space="preserve">AUM Growth</t>
  </si>
  <si>
    <t xml:space="preserve">Validation Checks</t>
  </si>
  <si>
    <t xml:space="preserve">Model Integrity</t>
  </si>
  <si>
    <t xml:space="preserve">Checks</t>
  </si>
  <si>
    <t xml:space="preserve">Weights = 100%</t>
  </si>
  <si>
    <t xml:space="preserve">Cash &gt;= 0</t>
  </si>
  <si>
    <t xml:space="preserve">TER 0.2%-2.0%</t>
  </si>
  <si>
    <t xml:space="preserve">Rebalance = 0</t>
  </si>
  <si>
    <t xml:space="preserve">Perf Fee Logic</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</si>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</sst>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4">
    <numFmt numFmtId="164" formatCode="General"/>
    <numFmt numFmtId="165" formatCode="#,##0.0"/>
    <numFmt numFmtId="166" formatCode="0.00%"/>
    <numFmt numFmtId="167" formatCode="0.00"/>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sz val="11"/>
      <color rgb="FF00000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1"/>
      <color theme="0"/>
      <name val="Arial"/>
      <family val="0"/>
      <charset val="1"/>
    </font>
    <font>
      <sz val="11"/>
      <color rgb="FF006100"/>
      <name val="Arial"/>
      <family val="0"/>
      <charset val="1"/>
    </font>
    <font>
      <sz val="11"/>
      <color rgb="FF9C0006"/>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C0006"/>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4" fontId="11" fillId="6"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2" fillId="8" borderId="0" xfId="0" applyFont="true" applyBorder="false" applyAlignment="true" applyProtection="false">
      <alignment horizontal="left" vertical="center" textRotation="0" wrapText="false" indent="0" shrinkToFit="false"/>
      <protection locked="true" hidden="false"/>
    </xf>
    <xf numFmtId="164" fontId="13" fillId="8"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9" borderId="0" xfId="0" applyFont="true" applyBorder="false" applyAlignment="false" applyProtection="false">
      <alignment horizontal="general" vertical="bottom" textRotation="0" wrapText="false" indent="0" shrinkToFit="false"/>
      <protection locked="true" hidden="false"/>
    </xf>
    <xf numFmtId="164" fontId="9" fillId="9" borderId="0" xfId="0" applyFont="true" applyBorder="false" applyAlignment="false" applyProtection="false">
      <alignment horizontal="general"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4" fontId="20" fillId="2" borderId="0" xfId="0" applyFont="true" applyBorder="false" applyAlignment="false" applyProtection="false">
      <alignment horizontal="general" vertical="bottom" textRotation="0" wrapText="false" indent="0" shrinkToFit="false"/>
      <protection locked="true" hidden="false"/>
    </xf>
    <xf numFmtId="164" fontId="20" fillId="2" borderId="0" xfId="0" applyFont="true" applyBorder="false" applyAlignment="true" applyProtection="false">
      <alignment horizontal="center" vertical="bottom" textRotation="0" wrapText="false" indent="0" shrinkToFit="false"/>
      <protection locked="true" hidden="false"/>
    </xf>
    <xf numFmtId="164" fontId="17" fillId="9" borderId="0" xfId="0" applyFont="true" applyBorder="false" applyAlignment="true" applyProtection="false">
      <alignment horizontal="left" vertical="bottom" textRotation="0" wrapText="false" indent="0" shrinkToFit="false"/>
      <protection locked="true" hidden="false"/>
    </xf>
    <xf numFmtId="165" fontId="1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1" shrinkToFit="false"/>
      <protection locked="true" hidden="false"/>
    </xf>
    <xf numFmtId="165" fontId="11" fillId="0" borderId="0" xfId="0" applyFont="true" applyBorder="false" applyAlignment="true" applyProtection="false">
      <alignment horizontal="right" vertical="bottom" textRotation="0" wrapText="false" indent="0" shrinkToFit="false"/>
      <protection locked="true" hidden="false"/>
    </xf>
    <xf numFmtId="166" fontId="10" fillId="0" borderId="0" xfId="0" applyFont="true" applyBorder="false" applyAlignment="true" applyProtection="false">
      <alignment horizontal="right" vertical="bottom" textRotation="0" wrapText="false" indent="0" shrinkToFit="false"/>
      <protection locked="true" hidden="false"/>
    </xf>
    <xf numFmtId="164" fontId="10" fillId="0" borderId="1" xfId="0" applyFont="true" applyBorder="true" applyAlignment="true" applyProtection="false">
      <alignment horizontal="left" vertical="bottom" textRotation="0" wrapText="false" indent="0" shrinkToFit="false"/>
      <protection locked="true" hidden="false"/>
    </xf>
    <xf numFmtId="165" fontId="10" fillId="0" borderId="1" xfId="0" applyFont="true" applyBorder="true" applyAlignment="true" applyProtection="false">
      <alignment horizontal="right"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4" fontId="10" fillId="0" borderId="2" xfId="0" applyFont="true" applyBorder="true" applyAlignment="true" applyProtection="false">
      <alignment horizontal="left" vertical="bottom" textRotation="0" wrapText="false" indent="0" shrinkToFit="false"/>
      <protection locked="true" hidden="false"/>
    </xf>
    <xf numFmtId="165" fontId="10" fillId="0" borderId="2" xfId="0" applyFont="true" applyBorder="true" applyAlignment="true" applyProtection="false">
      <alignment horizontal="right" vertical="bottom" textRotation="0" wrapText="false" indent="0" shrinkToFit="false"/>
      <protection locked="true" hidden="false"/>
    </xf>
    <xf numFmtId="165" fontId="21" fillId="0" borderId="0" xfId="0" applyFont="true" applyBorder="false" applyAlignment="true" applyProtection="false">
      <alignment horizontal="right" vertical="bottom" textRotation="0" wrapText="false" indent="0" shrinkToFit="false"/>
      <protection locked="true" hidden="false"/>
    </xf>
    <xf numFmtId="165" fontId="22" fillId="0" borderId="0" xfId="0" applyFont="true" applyBorder="false" applyAlignment="true" applyProtection="false">
      <alignment horizontal="right" vertical="bottom" textRotation="0" wrapText="false" indent="0" shrinkToFit="false"/>
      <protection locked="true" hidden="false"/>
    </xf>
    <xf numFmtId="167" fontId="11"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4" fillId="11"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7" fillId="12"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35"/>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6"/>
    </row>
    <row r="6" customFormat="false" ht="15" hidden="false" customHeight="false" outlineLevel="0" collapsed="false">
      <c r="A6" s="6"/>
      <c r="B6" s="6"/>
      <c r="C6" s="6"/>
    </row>
    <row r="7" customFormat="false" ht="15" hidden="false" customHeight="false" outlineLevel="0" collapsed="false">
      <c r="A7" s="6"/>
      <c r="B7" s="8" t="s">
        <v>4</v>
      </c>
      <c r="C7" s="8" t="s">
        <v>5</v>
      </c>
    </row>
    <row r="8" customFormat="false" ht="15" hidden="false" customHeight="false" outlineLevel="0" collapsed="false">
      <c r="A8" s="6"/>
      <c r="B8" s="8" t="s">
        <v>6</v>
      </c>
      <c r="C8" s="8" t="s">
        <v>7</v>
      </c>
    </row>
    <row r="9" customFormat="false" ht="15" hidden="false" customHeight="false" outlineLevel="0" collapsed="false">
      <c r="A9" s="6"/>
      <c r="B9" s="8" t="s">
        <v>8</v>
      </c>
      <c r="C9" s="8" t="s">
        <v>9</v>
      </c>
    </row>
    <row r="10" customFormat="false" ht="15" hidden="false" customHeight="false" outlineLevel="0" collapsed="false">
      <c r="A10" s="6"/>
      <c r="B10" s="8" t="s">
        <v>10</v>
      </c>
      <c r="C10" s="8" t="s">
        <v>11</v>
      </c>
    </row>
    <row r="11" customFormat="false" ht="15" hidden="false" customHeight="false" outlineLevel="0" collapsed="false">
      <c r="A11" s="6"/>
      <c r="B11" s="8" t="s">
        <v>12</v>
      </c>
      <c r="C11" s="8" t="s">
        <v>13</v>
      </c>
    </row>
    <row r="12" customFormat="false" ht="15" hidden="false" customHeight="false" outlineLevel="0" collapsed="false">
      <c r="A12" s="6"/>
      <c r="B12" s="6"/>
      <c r="C12" s="6"/>
    </row>
    <row r="13" customFormat="false" ht="15" hidden="false" customHeight="false" outlineLevel="0" collapsed="false">
      <c r="A13" s="6"/>
      <c r="B13" s="6"/>
      <c r="C13" s="6"/>
    </row>
    <row r="14" customFormat="false" ht="15" hidden="false" customHeight="false" outlineLevel="0" collapsed="false">
      <c r="A14" s="6"/>
      <c r="B14" s="9" t="s">
        <v>14</v>
      </c>
      <c r="C14" s="6"/>
    </row>
    <row r="15" customFormat="false" ht="15" hidden="false" customHeight="false" outlineLevel="0" collapsed="false">
      <c r="A15" s="6"/>
      <c r="B15" s="6"/>
      <c r="C15" s="6"/>
    </row>
    <row r="16" customFormat="false" ht="15" hidden="false" customHeight="false" outlineLevel="0" collapsed="false">
      <c r="A16" s="6"/>
      <c r="B16" s="1" t="s">
        <v>15</v>
      </c>
      <c r="C16" s="10" t="s">
        <v>16</v>
      </c>
    </row>
    <row r="17" customFormat="false" ht="15" hidden="false" customHeight="false" outlineLevel="0" collapsed="false">
      <c r="A17" s="6"/>
      <c r="B17" s="11" t="s">
        <v>17</v>
      </c>
      <c r="C17" s="10" t="s">
        <v>18</v>
      </c>
    </row>
    <row r="18" customFormat="false" ht="15" hidden="false" customHeight="false" outlineLevel="0" collapsed="false">
      <c r="A18" s="6"/>
      <c r="B18" s="12" t="s">
        <v>19</v>
      </c>
      <c r="C18" s="10" t="s">
        <v>20</v>
      </c>
    </row>
    <row r="19" customFormat="false" ht="15" hidden="false" customHeight="false" outlineLevel="0" collapsed="false">
      <c r="A19" s="6"/>
      <c r="B19" s="13" t="s">
        <v>21</v>
      </c>
      <c r="C19" s="10" t="s">
        <v>22</v>
      </c>
    </row>
    <row r="20" customFormat="false" ht="15" hidden="false" customHeight="false" outlineLevel="0" collapsed="false">
      <c r="A20" s="6"/>
      <c r="B20" s="14" t="s">
        <v>23</v>
      </c>
      <c r="C20" s="10" t="s">
        <v>24</v>
      </c>
    </row>
    <row r="21" customFormat="false" ht="15" hidden="false" customHeight="false" outlineLevel="0" collapsed="false">
      <c r="A21" s="6"/>
      <c r="B21" s="15" t="s">
        <v>25</v>
      </c>
      <c r="C21" s="10" t="s">
        <v>26</v>
      </c>
    </row>
    <row r="24" customFormat="false" ht="19.5" hidden="false" customHeight="true" outlineLevel="0" collapsed="false">
      <c r="B24" s="16" t="s">
        <v>27</v>
      </c>
      <c r="C24" s="17"/>
      <c r="D24" s="17"/>
      <c r="E24" s="17"/>
      <c r="F24" s="17"/>
      <c r="G24" s="17"/>
    </row>
    <row r="25" customFormat="false" ht="220.5" hidden="false" customHeight="true" outlineLevel="0" collapsed="false">
      <c r="B25" s="18" t="s">
        <v>28</v>
      </c>
      <c r="C25" s="18"/>
      <c r="D25" s="18"/>
      <c r="E25" s="18"/>
      <c r="F25" s="18"/>
      <c r="G25" s="18"/>
    </row>
    <row r="27" customFormat="false" ht="19.5" hidden="false" customHeight="true" outlineLevel="0" collapsed="false">
      <c r="B27" s="16" t="s">
        <v>29</v>
      </c>
      <c r="C27" s="17"/>
      <c r="D27" s="17"/>
      <c r="E27" s="17"/>
      <c r="F27" s="17"/>
      <c r="G27" s="17"/>
    </row>
    <row r="28" customFormat="false" ht="57" hidden="false" customHeight="true" outlineLevel="0" collapsed="false">
      <c r="B28" s="18" t="s">
        <v>30</v>
      </c>
      <c r="C28" s="18"/>
      <c r="D28" s="18"/>
      <c r="E28" s="18"/>
      <c r="F28" s="18"/>
      <c r="G28" s="18"/>
    </row>
    <row r="29" customFormat="false" ht="15" hidden="false" customHeight="false" outlineLevel="0" collapsed="false">
      <c r="B29" s="19" t="s">
        <v>31</v>
      </c>
      <c r="C29" s="19"/>
      <c r="D29" s="19"/>
      <c r="E29" s="19"/>
      <c r="F29" s="19"/>
      <c r="G29" s="19"/>
    </row>
    <row r="30" customFormat="false" ht="15" hidden="false" customHeight="false" outlineLevel="0" collapsed="false">
      <c r="B30" s="20" t="s">
        <v>32</v>
      </c>
    </row>
  </sheetData>
  <mergeCells count="3">
    <mergeCell ref="B25:G25"/>
    <mergeCell ref="B28:G28"/>
    <mergeCell ref="B29:G29"/>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146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147</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148</v>
      </c>
      <c r="C6" s="22"/>
      <c r="D6" s="22"/>
      <c r="E6" s="22"/>
      <c r="F6" s="22"/>
      <c r="G6" s="22"/>
      <c r="H6" s="22"/>
      <c r="I6" s="22"/>
      <c r="J6" s="22"/>
      <c r="K6" s="22"/>
      <c r="L6" s="22"/>
    </row>
    <row r="7" customFormat="false" ht="15" hidden="false" customHeight="false" outlineLevel="0" collapsed="false">
      <c r="A7" s="6"/>
      <c r="B7" s="30" t="s">
        <v>149</v>
      </c>
      <c r="C7" s="35" t="n">
        <f aca="false">Investment_Returns!C15</f>
        <v>0.0712</v>
      </c>
      <c r="D7" s="35" t="n">
        <f aca="false">Investment_Returns!D15</f>
        <v>0.0712</v>
      </c>
      <c r="E7" s="35" t="n">
        <f aca="false">Investment_Returns!E15</f>
        <v>0.0712</v>
      </c>
      <c r="F7" s="35" t="n">
        <f aca="false">Investment_Returns!F15</f>
        <v>0.0712</v>
      </c>
      <c r="G7" s="35" t="n">
        <f aca="false">Investment_Returns!G15</f>
        <v>0.0712</v>
      </c>
      <c r="H7" s="35" t="n">
        <f aca="false">Investment_Returns!H15</f>
        <v>0.0712</v>
      </c>
      <c r="I7" s="35" t="n">
        <f aca="false">Investment_Returns!I15</f>
        <v>0.0712</v>
      </c>
      <c r="J7" s="35" t="n">
        <f aca="false">Investment_Returns!J15</f>
        <v>0.0712</v>
      </c>
      <c r="K7" s="35" t="n">
        <f aca="false">Investment_Returns!K15</f>
        <v>0.0712</v>
      </c>
      <c r="L7" s="35" t="n">
        <f aca="false">Investment_Returns!L15</f>
        <v>0.0712</v>
      </c>
    </row>
    <row r="8" customFormat="false" ht="15" hidden="false" customHeight="false" outlineLevel="0" collapsed="false">
      <c r="A8" s="6"/>
      <c r="B8" s="30" t="s">
        <v>150</v>
      </c>
      <c r="C8" s="35" t="n">
        <f aca="false">IFERROR((Investment_Returns!C13-Fee_Schedule!C18)/AUM_Rollforward!C7,0)</f>
        <v>0.06487</v>
      </c>
      <c r="D8" s="35" t="n">
        <f aca="false">IFERROR((Investment_Returns!D13-Fee_Schedule!D18)/AUM_Rollforward!D7,0)</f>
        <v>0.06487</v>
      </c>
      <c r="E8" s="35" t="n">
        <f aca="false">IFERROR((Investment_Returns!E13-Fee_Schedule!E18)/AUM_Rollforward!E7,0)</f>
        <v>0.06487</v>
      </c>
      <c r="F8" s="35" t="n">
        <f aca="false">IFERROR((Investment_Returns!F13-Fee_Schedule!F18)/AUM_Rollforward!F7,0)</f>
        <v>0.06487</v>
      </c>
      <c r="G8" s="35" t="n">
        <f aca="false">IFERROR((Investment_Returns!G13-Fee_Schedule!G18)/AUM_Rollforward!G7,0)</f>
        <v>0.06487</v>
      </c>
      <c r="H8" s="35" t="n">
        <f aca="false">IFERROR((Investment_Returns!H13-Fee_Schedule!H18)/AUM_Rollforward!H7,0)</f>
        <v>0.06487</v>
      </c>
      <c r="I8" s="35" t="n">
        <f aca="false">IFERROR((Investment_Returns!I13-Fee_Schedule!I18)/AUM_Rollforward!I7,0)</f>
        <v>0.06487</v>
      </c>
      <c r="J8" s="35" t="n">
        <f aca="false">IFERROR((Investment_Returns!J13-Fee_Schedule!J18)/AUM_Rollforward!J7,0)</f>
        <v>0.06487</v>
      </c>
      <c r="K8" s="35" t="n">
        <f aca="false">IFERROR((Investment_Returns!K13-Fee_Schedule!K18)/AUM_Rollforward!K7,0)</f>
        <v>0.06487</v>
      </c>
      <c r="L8" s="35" t="n">
        <f aca="false">IFERROR((Investment_Returns!L13-Fee_Schedule!L18)/AUM_Rollforward!L7,0)</f>
        <v>0.06487</v>
      </c>
    </row>
    <row r="9" customFormat="false" ht="15" hidden="false" customHeight="false" outlineLevel="0" collapsed="false">
      <c r="A9" s="6"/>
      <c r="B9" s="30" t="s">
        <v>151</v>
      </c>
      <c r="C9" s="35" t="n">
        <f aca="false">(1+C8)/(1+Inflation_Rate)-1</f>
        <v>0.0388975609756099</v>
      </c>
      <c r="D9" s="35" t="n">
        <f aca="false">(1+D8)/(1+Inflation_Rate)-1</f>
        <v>0.0388975609756099</v>
      </c>
      <c r="E9" s="35" t="n">
        <f aca="false">(1+E8)/(1+Inflation_Rate)-1</f>
        <v>0.0388975609756099</v>
      </c>
      <c r="F9" s="35" t="n">
        <f aca="false">(1+F8)/(1+Inflation_Rate)-1</f>
        <v>0.0388975609756099</v>
      </c>
      <c r="G9" s="35" t="n">
        <f aca="false">(1+G8)/(1+Inflation_Rate)-1</f>
        <v>0.0388975609756099</v>
      </c>
      <c r="H9" s="35" t="n">
        <f aca="false">(1+H8)/(1+Inflation_Rate)-1</f>
        <v>0.0388975609756099</v>
      </c>
      <c r="I9" s="35" t="n">
        <f aca="false">(1+I8)/(1+Inflation_Rate)-1</f>
        <v>0.0388975609756099</v>
      </c>
      <c r="J9" s="35" t="n">
        <f aca="false">(1+J8)/(1+Inflation_Rate)-1</f>
        <v>0.0388975609756099</v>
      </c>
      <c r="K9" s="35" t="n">
        <f aca="false">(1+K8)/(1+Inflation_Rate)-1</f>
        <v>0.0388975609756099</v>
      </c>
      <c r="L9" s="35" t="n">
        <f aca="false">(1+L8)/(1+Inflation_Rate)-1</f>
        <v>0.0388975609756099</v>
      </c>
    </row>
    <row r="10" customFormat="false" ht="15" hidden="false" customHeight="false" outlineLevel="0" collapsed="false">
      <c r="A10" s="6"/>
      <c r="B10" s="28"/>
      <c r="C10" s="22"/>
      <c r="D10" s="22"/>
      <c r="E10" s="22"/>
      <c r="F10" s="22"/>
      <c r="G10" s="22"/>
      <c r="H10" s="22"/>
      <c r="I10" s="22"/>
      <c r="J10" s="22"/>
      <c r="K10" s="22"/>
      <c r="L10" s="22"/>
    </row>
    <row r="11" customFormat="false" ht="15" hidden="false" customHeight="false" outlineLevel="0" collapsed="false">
      <c r="A11" s="6"/>
      <c r="B11" s="30" t="s">
        <v>152</v>
      </c>
      <c r="C11" s="40" t="n">
        <f aca="false">1+C8</f>
        <v>1.06487</v>
      </c>
      <c r="D11" s="40" t="n">
        <f aca="false">C11*(1+D8)</f>
        <v>1.1339481169</v>
      </c>
      <c r="E11" s="40" t="n">
        <f aca="false">D11*(1+E8)</f>
        <v>1.2075073312433</v>
      </c>
      <c r="F11" s="40" t="n">
        <f aca="false">E11*(1+F8)</f>
        <v>1.28583833182106</v>
      </c>
      <c r="G11" s="40" t="n">
        <f aca="false">F11*(1+G8)</f>
        <v>1.36925066440629</v>
      </c>
      <c r="H11" s="40" t="n">
        <f aca="false">G11*(1+H8)</f>
        <v>1.45807395500632</v>
      </c>
      <c r="I11" s="40" t="n">
        <f aca="false">H11*(1+I8)</f>
        <v>1.55265921246758</v>
      </c>
      <c r="J11" s="40" t="n">
        <f aca="false">I11*(1+J8)</f>
        <v>1.65338021558036</v>
      </c>
      <c r="K11" s="40" t="n">
        <f aca="false">J11*(1+K8)</f>
        <v>1.76063499016505</v>
      </c>
      <c r="L11" s="40" t="n">
        <f aca="false">K11*(1+L8)</f>
        <v>1.87484738197706</v>
      </c>
    </row>
    <row r="12" customFormat="false" ht="15" hidden="false" customHeight="false" outlineLevel="0" collapsed="false">
      <c r="A12" s="6"/>
      <c r="B12" s="28" t="s">
        <v>153</v>
      </c>
      <c r="C12" s="22"/>
      <c r="D12" s="22"/>
      <c r="E12" s="22"/>
      <c r="F12" s="22"/>
      <c r="G12" s="22"/>
      <c r="H12" s="22"/>
      <c r="I12" s="22"/>
      <c r="J12" s="22"/>
      <c r="K12" s="22"/>
      <c r="L12" s="22"/>
    </row>
    <row r="13" customFormat="false" ht="15" hidden="false" customHeight="false" outlineLevel="0" collapsed="false">
      <c r="A13" s="6"/>
      <c r="B13" s="30" t="s">
        <v>154</v>
      </c>
      <c r="C13" s="35" t="n">
        <f aca="false">IFERROR(Spending_Policy!C12/AUM_Rollforward!C7,0)</f>
        <v>0.045</v>
      </c>
      <c r="D13" s="35" t="n">
        <f aca="false">IFERROR(Spending_Policy!D12/AUM_Rollforward!D7,0)</f>
        <v>0.0433133724057873</v>
      </c>
      <c r="E13" s="35" t="n">
        <f aca="false">IFERROR(Spending_Policy!E12/AUM_Rollforward!E7,0)</f>
        <v>0.0425035356769044</v>
      </c>
      <c r="F13" s="35" t="n">
        <f aca="false">IFERROR(Spending_Policy!F12/AUM_Rollforward!F7,0)</f>
        <v>0.0425052725762077</v>
      </c>
      <c r="G13" s="35" t="n">
        <f aca="false">IFERROR(Spending_Policy!G12/AUM_Rollforward!G7,0)</f>
        <v>0.0425378569135239</v>
      </c>
      <c r="H13" s="35" t="n">
        <f aca="false">IFERROR(Spending_Policy!H12/AUM_Rollforward!H7,0)</f>
        <v>0.0425792292262238</v>
      </c>
      <c r="I13" s="35" t="n">
        <f aca="false">IFERROR(Spending_Policy!I12/AUM_Rollforward!I7,0)</f>
        <v>0.0426188005476868</v>
      </c>
      <c r="J13" s="35" t="n">
        <f aca="false">IFERROR(Spending_Policy!J12/AUM_Rollforward!J7,0)</f>
        <v>0.0426562044922709</v>
      </c>
      <c r="K13" s="35" t="n">
        <f aca="false">IFERROR(Spending_Policy!K12/AUM_Rollforward!K7,0)</f>
        <v>0.0426914812583869</v>
      </c>
      <c r="L13" s="35" t="n">
        <f aca="false">IFERROR(Spending_Policy!L12/AUM_Rollforward!L7,0)</f>
        <v>0.0427247957033373</v>
      </c>
    </row>
    <row r="14" customFormat="false" ht="15" hidden="false" customHeight="false" outlineLevel="0" collapsed="false">
      <c r="A14" s="6"/>
      <c r="B14" s="30" t="s">
        <v>114</v>
      </c>
      <c r="C14" s="35" t="n">
        <f aca="false">Fee_Schedule!C20</f>
        <v>0.00633</v>
      </c>
      <c r="D14" s="35" t="n">
        <f aca="false">Fee_Schedule!D20</f>
        <v>0.00633</v>
      </c>
      <c r="E14" s="35" t="n">
        <f aca="false">Fee_Schedule!E20</f>
        <v>0.00633</v>
      </c>
      <c r="F14" s="35" t="n">
        <f aca="false">Fee_Schedule!F20</f>
        <v>0.00633</v>
      </c>
      <c r="G14" s="35" t="n">
        <f aca="false">Fee_Schedule!G20</f>
        <v>0.00633</v>
      </c>
      <c r="H14" s="35" t="n">
        <f aca="false">Fee_Schedule!H20</f>
        <v>0.00633</v>
      </c>
      <c r="I14" s="35" t="n">
        <f aca="false">Fee_Schedule!I20</f>
        <v>0.00633</v>
      </c>
      <c r="J14" s="35" t="n">
        <f aca="false">Fee_Schedule!J20</f>
        <v>0.00633</v>
      </c>
      <c r="K14" s="35" t="n">
        <f aca="false">Fee_Schedule!K20</f>
        <v>0.00633</v>
      </c>
      <c r="L14" s="35" t="n">
        <f aca="false">Fee_Schedule!L20</f>
        <v>0.00633</v>
      </c>
    </row>
    <row r="15" customFormat="false" ht="15" hidden="false" customHeight="false" outlineLevel="0" collapsed="false">
      <c r="A15" s="6"/>
      <c r="B15" s="28" t="s">
        <v>155</v>
      </c>
      <c r="C15" s="22"/>
      <c r="D15" s="22"/>
      <c r="E15" s="22"/>
      <c r="F15" s="22"/>
      <c r="G15" s="22"/>
      <c r="H15" s="22"/>
      <c r="I15" s="22"/>
      <c r="J15" s="22"/>
      <c r="K15" s="22"/>
      <c r="L15" s="22"/>
    </row>
    <row r="16" customFormat="false" ht="15" hidden="false" customHeight="false" outlineLevel="0" collapsed="false">
      <c r="A16" s="6"/>
      <c r="B16" s="30" t="s">
        <v>156</v>
      </c>
      <c r="C16" s="40" t="n">
        <f aca="false">IFERROR(AUM_Rollforward!C14/(Beginning_AUM*(1+Inflation_Rate)^1),0)</f>
        <v>1.03372682926829</v>
      </c>
      <c r="D16" s="40" t="n">
        <f aca="false">IFERROR(AUM_Rollforward!D14/(Beginning_AUM*(1+Inflation_Rate)^2),0)</f>
        <v>1.06913256480666</v>
      </c>
      <c r="E16" s="40" t="n">
        <f aca="false">IFERROR(AUM_Rollforward!E14/(Beginning_AUM*(1+Inflation_Rate)^3),0)</f>
        <v>1.10540928089288</v>
      </c>
      <c r="F16" s="40" t="n">
        <f aca="false">IFERROR(AUM_Rollforward!F14/(Beginning_AUM*(1+Inflation_Rate)^4),0)</f>
        <v>1.14173582141315</v>
      </c>
      <c r="G16" s="40" t="n">
        <f aca="false">IFERROR(AUM_Rollforward!G14/(Beginning_AUM*(1+Inflation_Rate)^5),0)</f>
        <v>1.17807846752805</v>
      </c>
      <c r="H16" s="40" t="n">
        <f aca="false">IFERROR(AUM_Rollforward!H14/(Beginning_AUM*(1+Inflation_Rate)^6),0)</f>
        <v>1.2144257137333</v>
      </c>
      <c r="I16" s="40" t="n">
        <f aca="false">IFERROR(AUM_Rollforward!I14/(Beginning_AUM*(1+Inflation_Rate)^7),0)</f>
        <v>1.25077771622078</v>
      </c>
      <c r="J16" s="40" t="n">
        <f aca="false">IFERROR(AUM_Rollforward!J14/(Beginning_AUM*(1+Inflation_Rate)^8),0)</f>
        <v>1.28713527343689</v>
      </c>
      <c r="K16" s="40" t="n">
        <f aca="false">IFERROR(AUM_Rollforward!K14/(Beginning_AUM*(1+Inflation_Rate)^9),0)</f>
        <v>1.32349936484324</v>
      </c>
      <c r="L16" s="40" t="n">
        <f aca="false">IFERROR(AUM_Rollforward!L14/(Beginning_AUM*(1+Inflation_Rate)^10),0)</f>
        <v>1.35987098346185</v>
      </c>
    </row>
    <row r="17" customFormat="false" ht="15" hidden="false" customHeight="false" outlineLevel="0" collapsed="false">
      <c r="A17" s="6"/>
      <c r="B17" s="6"/>
      <c r="C17" s="6"/>
      <c r="D17" s="6"/>
      <c r="E17" s="6"/>
      <c r="F17" s="6"/>
      <c r="G17" s="6"/>
      <c r="H17" s="6"/>
      <c r="I17" s="6"/>
      <c r="J17" s="6"/>
      <c r="K17" s="6"/>
      <c r="L17" s="6"/>
    </row>
    <row r="18" customFormat="false" ht="15" hidden="false" customHeight="false" outlineLevel="0" collapsed="false">
      <c r="A18" s="6"/>
      <c r="B18" s="30" t="s">
        <v>157</v>
      </c>
      <c r="C18" s="35" t="n">
        <f aca="false">IFERROR(AUM_Rollforward!C14/AUM_Rollforward!C7-1,0)</f>
        <v>0.0595699999999999</v>
      </c>
      <c r="D18" s="35" t="n">
        <f aca="false">IFERROR(AUM_Rollforward!D14/AUM_Rollforward!D7-1,0)</f>
        <v>0.0601068366412791</v>
      </c>
      <c r="E18" s="35" t="n">
        <f aca="false">IFERROR(AUM_Rollforward!E14/AUM_Rollforward!E7-1,0)</f>
        <v>0.0597792548953888</v>
      </c>
      <c r="F18" s="35" t="n">
        <f aca="false">IFERROR(AUM_Rollforward!F14/AUM_Rollforward!F7-1,0)</f>
        <v>0.0586840884882041</v>
      </c>
      <c r="G18" s="35" t="n">
        <f aca="false">IFERROR(AUM_Rollforward!G14/AUM_Rollforward!G7-1,0)</f>
        <v>0.0576268227457974</v>
      </c>
      <c r="H18" s="35" t="n">
        <f aca="false">IFERROR(AUM_Rollforward!H14/AUM_Rollforward!H7-1,0)</f>
        <v>0.0566243173840155</v>
      </c>
      <c r="I18" s="35" t="n">
        <f aca="false">IFERROR(AUM_Rollforward!I14/AUM_Rollforward!I7-1,0)</f>
        <v>0.0556818293851211</v>
      </c>
      <c r="J18" s="35" t="n">
        <f aca="false">IFERROR(AUM_Rollforward!J14/AUM_Rollforward!J7-1,0)</f>
        <v>0.0547946594852284</v>
      </c>
      <c r="K18" s="35" t="n">
        <f aca="false">IFERROR(AUM_Rollforward!K14/AUM_Rollforward!K7-1,0)</f>
        <v>0.0539582567277304</v>
      </c>
      <c r="L18" s="35" t="n">
        <f aca="false">IFERROR(AUM_Rollforward!L14/AUM_Rollforward!L7-1,0)</f>
        <v>0.0531684374578372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158</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159</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28" t="s">
        <v>160</v>
      </c>
      <c r="C5" s="22"/>
      <c r="D5" s="22"/>
      <c r="E5" s="22"/>
      <c r="F5" s="22"/>
      <c r="G5" s="22"/>
      <c r="H5" s="22"/>
      <c r="I5" s="22"/>
      <c r="J5" s="22"/>
      <c r="K5" s="22"/>
      <c r="L5" s="22"/>
    </row>
    <row r="6" customFormat="false" ht="15" hidden="false" customHeight="false" outlineLevel="0" collapsed="false">
      <c r="A6" s="6"/>
      <c r="B6" s="7" t="s">
        <v>161</v>
      </c>
      <c r="C6" s="41" t="str">
        <f aca="false">IF(ABS(Asset_Allocation!C15-1)&lt;0.001,"PASS","FAIL")</f>
        <v>PASS</v>
      </c>
      <c r="D6" s="41" t="str">
        <f aca="false">IF(ABS(Asset_Allocation!D15-1)&lt;0.001,"PASS","FAIL")</f>
        <v>PASS</v>
      </c>
      <c r="E6" s="41" t="str">
        <f aca="false">IF(ABS(Asset_Allocation!E15-1)&lt;0.001,"PASS","FAIL")</f>
        <v>PASS</v>
      </c>
      <c r="F6" s="41" t="str">
        <f aca="false">IF(ABS(Asset_Allocation!F15-1)&lt;0.001,"PASS","FAIL")</f>
        <v>PASS</v>
      </c>
      <c r="G6" s="41" t="str">
        <f aca="false">IF(ABS(Asset_Allocation!G15-1)&lt;0.001,"PASS","FAIL")</f>
        <v>PASS</v>
      </c>
      <c r="H6" s="41" t="str">
        <f aca="false">IF(ABS(Asset_Allocation!H15-1)&lt;0.001,"PASS","FAIL")</f>
        <v>PASS</v>
      </c>
      <c r="I6" s="41" t="str">
        <f aca="false">IF(ABS(Asset_Allocation!I15-1)&lt;0.001,"PASS","FAIL")</f>
        <v>PASS</v>
      </c>
      <c r="J6" s="41" t="str">
        <f aca="false">IF(ABS(Asset_Allocation!J15-1)&lt;0.001,"PASS","FAIL")</f>
        <v>PASS</v>
      </c>
      <c r="K6" s="41" t="str">
        <f aca="false">IF(ABS(Asset_Allocation!K15-1)&lt;0.001,"PASS","FAIL")</f>
        <v>PASS</v>
      </c>
      <c r="L6" s="41" t="str">
        <f aca="false">IF(ABS(Asset_Allocation!L15-1)&lt;0.001,"PASS","FAIL")</f>
        <v>PASS</v>
      </c>
    </row>
    <row r="7" customFormat="false" ht="15" hidden="false" customHeight="false" outlineLevel="0" collapsed="false">
      <c r="A7" s="6"/>
      <c r="B7" s="7" t="s">
        <v>129</v>
      </c>
      <c r="C7" s="41" t="str">
        <f aca="false">IF(ABS(AUM_Rollforward!C14-SUM(AUM_Rollforward!C7:C12))&lt;0.01,"PASS","FAIL")</f>
        <v>PASS</v>
      </c>
      <c r="D7" s="41" t="str">
        <f aca="false">IF(ABS(AUM_Rollforward!D14-SUM(AUM_Rollforward!D7:D12))&lt;0.01,"PASS","FAIL")</f>
        <v>PASS</v>
      </c>
      <c r="E7" s="41" t="str">
        <f aca="false">IF(ABS(AUM_Rollforward!E14-SUM(AUM_Rollforward!E7:E12))&lt;0.01,"PASS","FAIL")</f>
        <v>PASS</v>
      </c>
      <c r="F7" s="41" t="str">
        <f aca="false">IF(ABS(AUM_Rollforward!F14-SUM(AUM_Rollforward!F7:F12))&lt;0.01,"PASS","FAIL")</f>
        <v>PASS</v>
      </c>
      <c r="G7" s="41" t="str">
        <f aca="false">IF(ABS(AUM_Rollforward!G14-SUM(AUM_Rollforward!G7:G12))&lt;0.01,"PASS","FAIL")</f>
        <v>PASS</v>
      </c>
      <c r="H7" s="41" t="str">
        <f aca="false">IF(ABS(AUM_Rollforward!H14-SUM(AUM_Rollforward!H7:H12))&lt;0.01,"PASS","FAIL")</f>
        <v>PASS</v>
      </c>
      <c r="I7" s="41" t="str">
        <f aca="false">IF(ABS(AUM_Rollforward!I14-SUM(AUM_Rollforward!I7:I12))&lt;0.01,"PASS","FAIL")</f>
        <v>PASS</v>
      </c>
      <c r="J7" s="41" t="str">
        <f aca="false">IF(ABS(AUM_Rollforward!J14-SUM(AUM_Rollforward!J7:J12))&lt;0.01,"PASS","FAIL")</f>
        <v>PASS</v>
      </c>
      <c r="K7" s="41" t="str">
        <f aca="false">IF(ABS(AUM_Rollforward!K14-SUM(AUM_Rollforward!K7:K12))&lt;0.01,"PASS","FAIL")</f>
        <v>PASS</v>
      </c>
      <c r="L7" s="41" t="str">
        <f aca="false">IF(ABS(AUM_Rollforward!L14-SUM(AUM_Rollforward!L7:L12))&lt;0.01,"PASS","FAIL")</f>
        <v>PASS</v>
      </c>
    </row>
    <row r="8" customFormat="false" ht="15" hidden="false" customHeight="false" outlineLevel="0" collapsed="false">
      <c r="A8" s="6"/>
      <c r="B8" s="7" t="s">
        <v>162</v>
      </c>
      <c r="C8" s="41" t="str">
        <f aca="false">IF(Cash_Flow!C20&gt;=0,"PASS","FAIL")</f>
        <v>PASS</v>
      </c>
      <c r="D8" s="41" t="str">
        <f aca="false">IF(Cash_Flow!D20&gt;=0,"PASS","FAIL")</f>
        <v>PASS</v>
      </c>
      <c r="E8" s="41" t="str">
        <f aca="false">IF(Cash_Flow!E20&gt;=0,"PASS","FAIL")</f>
        <v>PASS</v>
      </c>
      <c r="F8" s="41" t="str">
        <f aca="false">IF(Cash_Flow!F20&gt;=0,"PASS","FAIL")</f>
        <v>PASS</v>
      </c>
      <c r="G8" s="41" t="str">
        <f aca="false">IF(Cash_Flow!G20&gt;=0,"PASS","FAIL")</f>
        <v>PASS</v>
      </c>
      <c r="H8" s="41" t="str">
        <f aca="false">IF(Cash_Flow!H20&gt;=0,"PASS","FAIL")</f>
        <v>PASS</v>
      </c>
      <c r="I8" s="41" t="str">
        <f aca="false">IF(Cash_Flow!I20&gt;=0,"PASS","FAIL")</f>
        <v>PASS</v>
      </c>
      <c r="J8" s="41" t="str">
        <f aca="false">IF(Cash_Flow!J20&gt;=0,"PASS","FAIL")</f>
        <v>PASS</v>
      </c>
      <c r="K8" s="41" t="str">
        <f aca="false">IF(Cash_Flow!K20&gt;=0,"PASS","FAIL")</f>
        <v>PASS</v>
      </c>
      <c r="L8" s="41" t="str">
        <f aca="false">IF(Cash_Flow!L20&gt;=0,"PASS","FAIL")</f>
        <v>PASS</v>
      </c>
    </row>
    <row r="9" customFormat="false" ht="15" hidden="false" customHeight="false" outlineLevel="0" collapsed="false">
      <c r="A9" s="6"/>
      <c r="B9" s="7" t="s">
        <v>163</v>
      </c>
      <c r="C9" s="41" t="str">
        <f aca="false">IF(AND(Fee_Schedule!C20&gt;=0.002,Fee_Schedule!C20&lt;=0.02),"PASS","FAIL")</f>
        <v>PASS</v>
      </c>
      <c r="D9" s="41" t="str">
        <f aca="false">IF(AND(Fee_Schedule!D20&gt;=0.002,Fee_Schedule!D20&lt;=0.02),"PASS","FAIL")</f>
        <v>PASS</v>
      </c>
      <c r="E9" s="41" t="str">
        <f aca="false">IF(AND(Fee_Schedule!E20&gt;=0.002,Fee_Schedule!E20&lt;=0.02),"PASS","FAIL")</f>
        <v>PASS</v>
      </c>
      <c r="F9" s="41" t="str">
        <f aca="false">IF(AND(Fee_Schedule!F20&gt;=0.002,Fee_Schedule!F20&lt;=0.02),"PASS","FAIL")</f>
        <v>PASS</v>
      </c>
      <c r="G9" s="41" t="str">
        <f aca="false">IF(AND(Fee_Schedule!G20&gt;=0.002,Fee_Schedule!G20&lt;=0.02),"PASS","FAIL")</f>
        <v>PASS</v>
      </c>
      <c r="H9" s="41" t="str">
        <f aca="false">IF(AND(Fee_Schedule!H20&gt;=0.002,Fee_Schedule!H20&lt;=0.02),"PASS","FAIL")</f>
        <v>PASS</v>
      </c>
      <c r="I9" s="41" t="str">
        <f aca="false">IF(AND(Fee_Schedule!I20&gt;=0.002,Fee_Schedule!I20&lt;=0.02),"PASS","FAIL")</f>
        <v>PASS</v>
      </c>
      <c r="J9" s="41" t="str">
        <f aca="false">IF(AND(Fee_Schedule!J20&gt;=0.002,Fee_Schedule!J20&lt;=0.02),"PASS","FAIL")</f>
        <v>PASS</v>
      </c>
      <c r="K9" s="41" t="str">
        <f aca="false">IF(AND(Fee_Schedule!K20&gt;=0.002,Fee_Schedule!K20&lt;=0.02),"PASS","FAIL")</f>
        <v>PASS</v>
      </c>
      <c r="L9" s="41" t="str">
        <f aca="false">IF(AND(Fee_Schedule!L20&gt;=0.002,Fee_Schedule!L20&lt;=0.02),"PASS","FAIL")</f>
        <v>PASS</v>
      </c>
    </row>
    <row r="10" customFormat="false" ht="15" hidden="false" customHeight="false" outlineLevel="0" collapsed="false">
      <c r="A10" s="6"/>
      <c r="B10" s="7" t="s">
        <v>156</v>
      </c>
      <c r="C10" s="41" t="str">
        <f aca="false">IF(Performance!C16&gt;=1,"PASS","WATCH")</f>
        <v>PASS</v>
      </c>
      <c r="D10" s="41" t="str">
        <f aca="false">IF(Performance!D16&gt;=1,"PASS","WATCH")</f>
        <v>PASS</v>
      </c>
      <c r="E10" s="41" t="str">
        <f aca="false">IF(Performance!E16&gt;=1,"PASS","WATCH")</f>
        <v>PASS</v>
      </c>
      <c r="F10" s="41" t="str">
        <f aca="false">IF(Performance!F16&gt;=1,"PASS","WATCH")</f>
        <v>PASS</v>
      </c>
      <c r="G10" s="41" t="str">
        <f aca="false">IF(Performance!G16&gt;=1,"PASS","WATCH")</f>
        <v>PASS</v>
      </c>
      <c r="H10" s="41" t="str">
        <f aca="false">IF(Performance!H16&gt;=1,"PASS","WATCH")</f>
        <v>PASS</v>
      </c>
      <c r="I10" s="41" t="str">
        <f aca="false">IF(Performance!I16&gt;=1,"PASS","WATCH")</f>
        <v>PASS</v>
      </c>
      <c r="J10" s="41" t="str">
        <f aca="false">IF(Performance!J16&gt;=1,"PASS","WATCH")</f>
        <v>PASS</v>
      </c>
      <c r="K10" s="41" t="str">
        <f aca="false">IF(Performance!K16&gt;=1,"PASS","WATCH")</f>
        <v>PASS</v>
      </c>
      <c r="L10" s="41" t="str">
        <f aca="false">IF(Performance!L16&gt;=1,"PASS","WATCH")</f>
        <v>PASS</v>
      </c>
    </row>
    <row r="11" customFormat="false" ht="15" hidden="false" customHeight="false" outlineLevel="0" collapsed="false">
      <c r="A11" s="6"/>
      <c r="B11" s="7" t="s">
        <v>164</v>
      </c>
      <c r="C11" s="41" t="str">
        <f aca="false">IF(ABS(Asset_Allocation!C33)&lt;0.01,"PASS","FAIL")</f>
        <v>PASS</v>
      </c>
      <c r="D11" s="41" t="str">
        <f aca="false">IF(ABS(Asset_Allocation!D33)&lt;0.01,"PASS","FAIL")</f>
        <v>PASS</v>
      </c>
      <c r="E11" s="41" t="str">
        <f aca="false">IF(ABS(Asset_Allocation!E33)&lt;0.01,"PASS","FAIL")</f>
        <v>PASS</v>
      </c>
      <c r="F11" s="41" t="str">
        <f aca="false">IF(ABS(Asset_Allocation!F33)&lt;0.01,"PASS","FAIL")</f>
        <v>PASS</v>
      </c>
      <c r="G11" s="41" t="str">
        <f aca="false">IF(ABS(Asset_Allocation!G33)&lt;0.01,"PASS","FAIL")</f>
        <v>PASS</v>
      </c>
      <c r="H11" s="41" t="str">
        <f aca="false">IF(ABS(Asset_Allocation!H33)&lt;0.01,"PASS","FAIL")</f>
        <v>PASS</v>
      </c>
      <c r="I11" s="41" t="str">
        <f aca="false">IF(ABS(Asset_Allocation!I33)&lt;0.01,"PASS","FAIL")</f>
        <v>PASS</v>
      </c>
      <c r="J11" s="41" t="str">
        <f aca="false">IF(ABS(Asset_Allocation!J33)&lt;0.01,"PASS","FAIL")</f>
        <v>PASS</v>
      </c>
      <c r="K11" s="41" t="str">
        <f aca="false">IF(ABS(Asset_Allocation!K33)&lt;0.01,"PASS","FAIL")</f>
        <v>PASS</v>
      </c>
      <c r="L11" s="41" t="str">
        <f aca="false">IF(ABS(Asset_Allocation!L33)&lt;0.01,"PASS","FAIL")</f>
        <v>PASS</v>
      </c>
    </row>
    <row r="12" customFormat="false" ht="15" hidden="false" customHeight="false" outlineLevel="0" collapsed="false">
      <c r="A12" s="6"/>
      <c r="B12" s="7" t="s">
        <v>165</v>
      </c>
      <c r="C12" s="41" t="str">
        <f aca="false">IF(OR(Fee_Schedule!C15&gt;0,Fee_Schedule!C16=0),"PASS","FAIL")</f>
        <v>PASS</v>
      </c>
      <c r="D12" s="41" t="str">
        <f aca="false">IF(OR(Fee_Schedule!D15&gt;0,Fee_Schedule!D16=0),"PASS","FAIL")</f>
        <v>PASS</v>
      </c>
      <c r="E12" s="41" t="str">
        <f aca="false">IF(OR(Fee_Schedule!E15&gt;0,Fee_Schedule!E16=0),"PASS","FAIL")</f>
        <v>PASS</v>
      </c>
      <c r="F12" s="41" t="str">
        <f aca="false">IF(OR(Fee_Schedule!F15&gt;0,Fee_Schedule!F16=0),"PASS","FAIL")</f>
        <v>PASS</v>
      </c>
      <c r="G12" s="41" t="str">
        <f aca="false">IF(OR(Fee_Schedule!G15&gt;0,Fee_Schedule!G16=0),"PASS","FAIL")</f>
        <v>PASS</v>
      </c>
      <c r="H12" s="41" t="str">
        <f aca="false">IF(OR(Fee_Schedule!H15&gt;0,Fee_Schedule!H16=0),"PASS","FAIL")</f>
        <v>PASS</v>
      </c>
      <c r="I12" s="41" t="str">
        <f aca="false">IF(OR(Fee_Schedule!I15&gt;0,Fee_Schedule!I16=0),"PASS","FAIL")</f>
        <v>PASS</v>
      </c>
      <c r="J12" s="41" t="str">
        <f aca="false">IF(OR(Fee_Schedule!J15&gt;0,Fee_Schedule!J16=0),"PASS","FAIL")</f>
        <v>PASS</v>
      </c>
      <c r="K12" s="41" t="str">
        <f aca="false">IF(OR(Fee_Schedule!K15&gt;0,Fee_Schedule!K16=0),"PASS","FAIL")</f>
        <v>PASS</v>
      </c>
      <c r="L12" s="41" t="str">
        <f aca="false">IF(OR(Fee_Schedule!L15&gt;0,Fee_Schedule!L16=0),"PASS","FAIL")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2" t="s">
        <v>166</v>
      </c>
    </row>
    <row r="3" customFormat="false" ht="3.75" hidden="false" customHeight="true" outlineLevel="0" collapsed="false">
      <c r="B3" s="43"/>
    </row>
    <row r="5" customFormat="false" ht="19.5" hidden="false" customHeight="true" outlineLevel="0" collapsed="false">
      <c r="B5" s="44" t="s">
        <v>167</v>
      </c>
    </row>
    <row r="6" customFormat="false" ht="48" hidden="false" customHeight="true" outlineLevel="0" collapsed="false">
      <c r="B6" s="45" t="s">
        <v>168</v>
      </c>
    </row>
    <row r="8" customFormat="false" ht="19.5" hidden="false" customHeight="true" outlineLevel="0" collapsed="false">
      <c r="B8" s="44" t="s">
        <v>169</v>
      </c>
    </row>
    <row r="9" customFormat="false" ht="61.5" hidden="false" customHeight="true" outlineLevel="0" collapsed="false">
      <c r="B9" s="45" t="s">
        <v>170</v>
      </c>
    </row>
    <row r="11" customFormat="false" ht="19.5" hidden="false" customHeight="true" outlineLevel="0" collapsed="false">
      <c r="B11" s="44" t="s">
        <v>171</v>
      </c>
    </row>
    <row r="12" customFormat="false" ht="75.75" hidden="false" customHeight="true" outlineLevel="0" collapsed="false">
      <c r="B12" s="45" t="s">
        <v>172</v>
      </c>
    </row>
    <row r="14" customFormat="false" ht="19.5" hidden="false" customHeight="true" outlineLevel="0" collapsed="false">
      <c r="B14" s="44" t="s">
        <v>173</v>
      </c>
    </row>
    <row r="15" customFormat="false" ht="61.5" hidden="false" customHeight="true" outlineLevel="0" collapsed="false">
      <c r="B15" s="45" t="s">
        <v>174</v>
      </c>
    </row>
    <row r="17" customFormat="false" ht="19.5" hidden="false" customHeight="true" outlineLevel="0" collapsed="false">
      <c r="B17" s="44" t="s">
        <v>175</v>
      </c>
    </row>
    <row r="18" customFormat="false" ht="33.75" hidden="false" customHeight="true" outlineLevel="0" collapsed="false">
      <c r="B18" s="45" t="s">
        <v>176</v>
      </c>
    </row>
    <row r="20" customFormat="false" ht="19.5" hidden="false" customHeight="true" outlineLevel="0" collapsed="false">
      <c r="B20" s="44" t="s">
        <v>177</v>
      </c>
    </row>
    <row r="21" customFormat="false" ht="33.75" hidden="false" customHeight="true" outlineLevel="0" collapsed="false">
      <c r="B21" s="45" t="s">
        <v>178</v>
      </c>
    </row>
    <row r="23" customFormat="false" ht="21.75" hidden="false" customHeight="true" outlineLevel="0" collapsed="false">
      <c r="B23" s="46" t="s">
        <v>179</v>
      </c>
    </row>
    <row r="25" customFormat="false" ht="18" hidden="false" customHeight="true" outlineLevel="0" collapsed="false">
      <c r="B25" s="47" t="s">
        <v>180</v>
      </c>
    </row>
    <row r="26" customFormat="false" ht="201.75" hidden="false" customHeight="true" outlineLevel="0" collapsed="false">
      <c r="B26" s="48" t="s">
        <v>181</v>
      </c>
    </row>
    <row r="28" customFormat="false" ht="18" hidden="false" customHeight="true" outlineLevel="0" collapsed="false">
      <c r="B28" s="49" t="s">
        <v>182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4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15"/>
    <col collapsed="false" customWidth="true" hidden="false" outlineLevel="0" max="4" min="4" style="0" width="8"/>
    <col collapsed="false" customWidth="true" hidden="false" outlineLevel="0" max="5" min="5" style="0" width="30"/>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33</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34</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1" t="s">
        <v>35</v>
      </c>
      <c r="C5" s="22"/>
      <c r="D5" s="22"/>
      <c r="E5" s="22"/>
    </row>
    <row r="6" customFormat="false" ht="15" hidden="false" customHeight="false" outlineLevel="0" collapsed="false">
      <c r="A6" s="6"/>
      <c r="B6" s="8" t="s">
        <v>36</v>
      </c>
      <c r="C6" s="23" t="n">
        <v>1000</v>
      </c>
      <c r="D6" s="24" t="s">
        <v>37</v>
      </c>
      <c r="E6" s="24" t="s">
        <v>38</v>
      </c>
    </row>
    <row r="7" customFormat="false" ht="15" hidden="false" customHeight="false" outlineLevel="0" collapsed="false">
      <c r="A7" s="6"/>
      <c r="B7" s="8" t="s">
        <v>39</v>
      </c>
      <c r="C7" s="25" t="n">
        <v>0.025</v>
      </c>
      <c r="D7" s="24" t="s">
        <v>40</v>
      </c>
      <c r="E7" s="24" t="s">
        <v>41</v>
      </c>
    </row>
    <row r="8" customFormat="false" ht="15" hidden="false" customHeight="false" outlineLevel="0" collapsed="false">
      <c r="A8" s="6"/>
      <c r="B8" s="6"/>
      <c r="C8" s="6"/>
      <c r="D8" s="6"/>
      <c r="E8" s="6"/>
    </row>
    <row r="9" customFormat="false" ht="15" hidden="false" customHeight="false" outlineLevel="0" collapsed="false">
      <c r="A9" s="6"/>
      <c r="B9" s="21" t="s">
        <v>42</v>
      </c>
      <c r="C9" s="22"/>
      <c r="D9" s="22"/>
      <c r="E9" s="22"/>
    </row>
    <row r="10" customFormat="false" ht="15" hidden="false" customHeight="false" outlineLevel="0" collapsed="false">
      <c r="A10" s="6"/>
      <c r="B10" s="8" t="s">
        <v>43</v>
      </c>
      <c r="C10" s="25" t="n">
        <v>0.4</v>
      </c>
      <c r="D10" s="24" t="s">
        <v>40</v>
      </c>
      <c r="E10" s="6"/>
    </row>
    <row r="11" customFormat="false" ht="15" hidden="false" customHeight="false" outlineLevel="0" collapsed="false">
      <c r="A11" s="6"/>
      <c r="B11" s="8" t="s">
        <v>44</v>
      </c>
      <c r="C11" s="25" t="n">
        <v>0.2</v>
      </c>
      <c r="D11" s="24" t="s">
        <v>40</v>
      </c>
      <c r="E11" s="6"/>
    </row>
    <row r="12" customFormat="false" ht="15" hidden="false" customHeight="false" outlineLevel="0" collapsed="false">
      <c r="A12" s="6"/>
      <c r="B12" s="8" t="s">
        <v>45</v>
      </c>
      <c r="C12" s="25" t="n">
        <v>0.18</v>
      </c>
      <c r="D12" s="24" t="s">
        <v>40</v>
      </c>
      <c r="E12" s="6"/>
    </row>
    <row r="13" customFormat="false" ht="15" hidden="false" customHeight="false" outlineLevel="0" collapsed="false">
      <c r="A13" s="6"/>
      <c r="B13" s="8" t="s">
        <v>46</v>
      </c>
      <c r="C13" s="25" t="n">
        <v>0.1</v>
      </c>
      <c r="D13" s="24" t="s">
        <v>40</v>
      </c>
      <c r="E13" s="6"/>
    </row>
    <row r="14" customFormat="false" ht="15" hidden="false" customHeight="false" outlineLevel="0" collapsed="false">
      <c r="A14" s="6"/>
      <c r="B14" s="8" t="s">
        <v>47</v>
      </c>
      <c r="C14" s="25" t="n">
        <v>0.1</v>
      </c>
      <c r="D14" s="24" t="s">
        <v>40</v>
      </c>
      <c r="E14" s="6"/>
    </row>
    <row r="15" customFormat="false" ht="15" hidden="false" customHeight="false" outlineLevel="0" collapsed="false">
      <c r="A15" s="6"/>
      <c r="B15" s="8" t="s">
        <v>48</v>
      </c>
      <c r="C15" s="25" t="n">
        <v>0.02</v>
      </c>
      <c r="D15" s="24" t="s">
        <v>40</v>
      </c>
      <c r="E15" s="6"/>
    </row>
    <row r="16" customFormat="false" ht="15" hidden="false" customHeight="false" outlineLevel="0" collapsed="false">
      <c r="A16" s="6"/>
      <c r="B16" s="6"/>
      <c r="C16" s="6"/>
      <c r="D16" s="6"/>
      <c r="E16" s="6"/>
    </row>
    <row r="17" customFormat="false" ht="15" hidden="false" customHeight="false" outlineLevel="0" collapsed="false">
      <c r="A17" s="6"/>
      <c r="B17" s="21" t="s">
        <v>49</v>
      </c>
      <c r="C17" s="22"/>
      <c r="D17" s="22"/>
      <c r="E17" s="22"/>
    </row>
    <row r="18" customFormat="false" ht="15" hidden="false" customHeight="false" outlineLevel="0" collapsed="false">
      <c r="A18" s="6"/>
      <c r="B18" s="8" t="s">
        <v>43</v>
      </c>
      <c r="C18" s="25" t="n">
        <v>0.075</v>
      </c>
      <c r="D18" s="24" t="s">
        <v>40</v>
      </c>
      <c r="E18" s="24" t="s">
        <v>50</v>
      </c>
    </row>
    <row r="19" customFormat="false" ht="15" hidden="false" customHeight="false" outlineLevel="0" collapsed="false">
      <c r="A19" s="6"/>
      <c r="B19" s="8" t="s">
        <v>44</v>
      </c>
      <c r="C19" s="25" t="n">
        <v>0.045</v>
      </c>
      <c r="D19" s="24" t="s">
        <v>40</v>
      </c>
      <c r="E19" s="24" t="s">
        <v>51</v>
      </c>
    </row>
    <row r="20" customFormat="false" ht="15" hidden="false" customHeight="false" outlineLevel="0" collapsed="false">
      <c r="A20" s="6"/>
      <c r="B20" s="8" t="s">
        <v>45</v>
      </c>
      <c r="C20" s="25" t="n">
        <v>0.11</v>
      </c>
      <c r="D20" s="24" t="s">
        <v>40</v>
      </c>
      <c r="E20" s="24" t="s">
        <v>52</v>
      </c>
    </row>
    <row r="21" customFormat="false" ht="15" hidden="false" customHeight="false" outlineLevel="0" collapsed="false">
      <c r="A21" s="6"/>
      <c r="B21" s="8" t="s">
        <v>46</v>
      </c>
      <c r="C21" s="25" t="n">
        <v>0.065</v>
      </c>
      <c r="D21" s="24" t="s">
        <v>40</v>
      </c>
      <c r="E21" s="24" t="s">
        <v>53</v>
      </c>
    </row>
    <row r="22" customFormat="false" ht="15" hidden="false" customHeight="false" outlineLevel="0" collapsed="false">
      <c r="A22" s="6"/>
      <c r="B22" s="8" t="s">
        <v>47</v>
      </c>
      <c r="C22" s="25" t="n">
        <v>0.055</v>
      </c>
      <c r="D22" s="24" t="s">
        <v>40</v>
      </c>
      <c r="E22" s="24" t="s">
        <v>54</v>
      </c>
    </row>
    <row r="23" customFormat="false" ht="15" hidden="false" customHeight="false" outlineLevel="0" collapsed="false">
      <c r="A23" s="6"/>
      <c r="B23" s="8" t="s">
        <v>48</v>
      </c>
      <c r="C23" s="25" t="n">
        <v>0.02</v>
      </c>
      <c r="D23" s="24" t="s">
        <v>40</v>
      </c>
      <c r="E23" s="24" t="s">
        <v>55</v>
      </c>
    </row>
    <row r="24" customFormat="false" ht="15" hidden="false" customHeight="false" outlineLevel="0" collapsed="false">
      <c r="A24" s="6"/>
      <c r="B24" s="6"/>
      <c r="C24" s="6"/>
      <c r="D24" s="6"/>
      <c r="E24" s="6"/>
    </row>
    <row r="25" customFormat="false" ht="15" hidden="false" customHeight="false" outlineLevel="0" collapsed="false">
      <c r="A25" s="6"/>
      <c r="B25" s="21" t="s">
        <v>56</v>
      </c>
      <c r="C25" s="22"/>
      <c r="D25" s="22"/>
      <c r="E25" s="22"/>
    </row>
    <row r="26" customFormat="false" ht="15" hidden="false" customHeight="false" outlineLevel="0" collapsed="false">
      <c r="A26" s="6"/>
      <c r="B26" s="8" t="s">
        <v>57</v>
      </c>
      <c r="C26" s="25" t="n">
        <v>0.0005</v>
      </c>
      <c r="D26" s="24" t="s">
        <v>40</v>
      </c>
      <c r="E26" s="24" t="s">
        <v>58</v>
      </c>
    </row>
    <row r="27" customFormat="false" ht="15" hidden="false" customHeight="false" outlineLevel="0" collapsed="false">
      <c r="A27" s="6"/>
      <c r="B27" s="8" t="s">
        <v>59</v>
      </c>
      <c r="C27" s="25" t="n">
        <v>0.0015</v>
      </c>
      <c r="D27" s="24" t="s">
        <v>40</v>
      </c>
      <c r="E27" s="24" t="s">
        <v>60</v>
      </c>
    </row>
    <row r="28" customFormat="false" ht="15" hidden="false" customHeight="false" outlineLevel="0" collapsed="false">
      <c r="A28" s="6"/>
      <c r="B28" s="8" t="s">
        <v>61</v>
      </c>
      <c r="C28" s="25" t="n">
        <v>0.015</v>
      </c>
      <c r="D28" s="24" t="s">
        <v>40</v>
      </c>
      <c r="E28" s="24" t="s">
        <v>62</v>
      </c>
    </row>
    <row r="29" customFormat="false" ht="15" hidden="false" customHeight="false" outlineLevel="0" collapsed="false">
      <c r="A29" s="6"/>
      <c r="B29" s="8" t="s">
        <v>63</v>
      </c>
      <c r="C29" s="25" t="n">
        <v>0.008</v>
      </c>
      <c r="D29" s="24" t="s">
        <v>40</v>
      </c>
      <c r="E29" s="24" t="s">
        <v>64</v>
      </c>
    </row>
    <row r="30" customFormat="false" ht="15" hidden="false" customHeight="false" outlineLevel="0" collapsed="false">
      <c r="A30" s="6"/>
      <c r="B30" s="8" t="s">
        <v>65</v>
      </c>
      <c r="C30" s="25" t="n">
        <v>0.0125</v>
      </c>
      <c r="D30" s="24" t="s">
        <v>40</v>
      </c>
      <c r="E30" s="24" t="s">
        <v>66</v>
      </c>
    </row>
    <row r="31" customFormat="false" ht="15" hidden="false" customHeight="false" outlineLevel="0" collapsed="false">
      <c r="A31" s="6"/>
      <c r="B31" s="8" t="s">
        <v>67</v>
      </c>
      <c r="C31" s="25" t="n">
        <v>0.2</v>
      </c>
      <c r="D31" s="24" t="s">
        <v>40</v>
      </c>
      <c r="E31" s="24" t="s">
        <v>68</v>
      </c>
    </row>
    <row r="32" customFormat="false" ht="15" hidden="false" customHeight="false" outlineLevel="0" collapsed="false">
      <c r="A32" s="6"/>
      <c r="B32" s="8" t="s">
        <v>69</v>
      </c>
      <c r="C32" s="25" t="n">
        <v>0.08</v>
      </c>
      <c r="D32" s="24" t="s">
        <v>40</v>
      </c>
      <c r="E32" s="24" t="s">
        <v>70</v>
      </c>
    </row>
    <row r="33" customFormat="false" ht="15" hidden="false" customHeight="false" outlineLevel="0" collapsed="false">
      <c r="A33" s="6"/>
      <c r="B33" s="6"/>
      <c r="C33" s="6"/>
      <c r="D33" s="6"/>
      <c r="E33" s="6"/>
    </row>
    <row r="34" customFormat="false" ht="15" hidden="false" customHeight="false" outlineLevel="0" collapsed="false">
      <c r="A34" s="6"/>
      <c r="B34" s="21" t="s">
        <v>71</v>
      </c>
      <c r="C34" s="22"/>
      <c r="D34" s="22"/>
      <c r="E34" s="22"/>
    </row>
    <row r="35" customFormat="false" ht="15" hidden="false" customHeight="false" outlineLevel="0" collapsed="false">
      <c r="A35" s="6"/>
      <c r="B35" s="8" t="s">
        <v>72</v>
      </c>
      <c r="C35" s="25" t="n">
        <v>0.045</v>
      </c>
      <c r="D35" s="24" t="s">
        <v>40</v>
      </c>
      <c r="E35" s="24" t="s">
        <v>73</v>
      </c>
    </row>
    <row r="36" customFormat="false" ht="15" hidden="false" customHeight="false" outlineLevel="0" collapsed="false">
      <c r="A36" s="6"/>
      <c r="B36" s="21" t="s">
        <v>74</v>
      </c>
      <c r="C36" s="22"/>
      <c r="D36" s="22"/>
      <c r="E36" s="22"/>
    </row>
    <row r="37" customFormat="false" ht="15" hidden="false" customHeight="false" outlineLevel="0" collapsed="false">
      <c r="A37" s="6"/>
      <c r="B37" s="8" t="s">
        <v>75</v>
      </c>
      <c r="C37" s="23" t="n">
        <v>40</v>
      </c>
      <c r="D37" s="24" t="s">
        <v>37</v>
      </c>
      <c r="E37" s="24" t="s">
        <v>76</v>
      </c>
    </row>
    <row r="38" customFormat="false" ht="15" hidden="false" customHeight="false" outlineLevel="0" collapsed="false">
      <c r="A38" s="6"/>
      <c r="B38" s="8" t="s">
        <v>77</v>
      </c>
      <c r="C38" s="25" t="n">
        <v>0.03</v>
      </c>
      <c r="D38" s="24" t="s">
        <v>40</v>
      </c>
      <c r="E38" s="24" t="s">
        <v>78</v>
      </c>
    </row>
    <row r="39" customFormat="false" ht="15" hidden="false" customHeight="false" outlineLevel="0" collapsed="false">
      <c r="A39" s="6"/>
      <c r="B39" s="6"/>
      <c r="C39" s="6"/>
      <c r="D39" s="6"/>
      <c r="E39" s="6"/>
    </row>
    <row r="40" customFormat="false" ht="15" hidden="false" customHeight="false" outlineLevel="0" collapsed="false">
      <c r="A40" s="6"/>
      <c r="B40" s="21" t="s">
        <v>79</v>
      </c>
      <c r="C40" s="22"/>
      <c r="D40" s="22"/>
      <c r="E40" s="22"/>
    </row>
    <row r="41" customFormat="false" ht="15" hidden="false" customHeight="false" outlineLevel="0" collapsed="false">
      <c r="A41" s="6"/>
      <c r="B41" s="8" t="s">
        <v>80</v>
      </c>
      <c r="C41" s="25" t="n">
        <v>0.0015</v>
      </c>
      <c r="D41" s="24" t="s">
        <v>40</v>
      </c>
      <c r="E41" s="24" t="s">
        <v>81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82</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83</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94</v>
      </c>
      <c r="C6" s="22"/>
      <c r="D6" s="22"/>
      <c r="E6" s="22"/>
      <c r="F6" s="22"/>
      <c r="G6" s="22"/>
      <c r="H6" s="22"/>
      <c r="I6" s="22"/>
      <c r="J6" s="22"/>
      <c r="K6" s="22"/>
      <c r="L6" s="22"/>
    </row>
    <row r="7" customFormat="false" ht="15" hidden="false" customHeight="false" outlineLevel="0" collapsed="false">
      <c r="A7" s="6"/>
      <c r="B7" s="7" t="s">
        <v>95</v>
      </c>
      <c r="C7" s="29" t="n">
        <f aca="false">Beginning_AUM</f>
        <v>1000</v>
      </c>
      <c r="D7" s="29" t="n">
        <f aca="false">AUM_Rollforward!C14</f>
        <v>1059.57</v>
      </c>
      <c r="E7" s="29" t="n">
        <f aca="false">AUM_Rollforward!D14</f>
        <v>1123.2574009</v>
      </c>
      <c r="F7" s="29" t="n">
        <f aca="false">AUM_Rollforward!E14</f>
        <v>1190.40489138153</v>
      </c>
      <c r="G7" s="29" t="n">
        <f aca="false">AUM_Rollforward!F14</f>
        <v>1260.26271736416</v>
      </c>
      <c r="H7" s="29" t="n">
        <f aca="false">AUM_Rollforward!G14</f>
        <v>1332.88765359084</v>
      </c>
      <c r="I7" s="29" t="n">
        <f aca="false">AUM_Rollforward!H14</f>
        <v>1408.361507125</v>
      </c>
      <c r="J7" s="29" t="n">
        <f aca="false">AUM_Rollforward!I14</f>
        <v>1486.78165227731</v>
      </c>
      <c r="K7" s="29" t="n">
        <f aca="false">AUM_Rollforward!J14</f>
        <v>1568.24934664273</v>
      </c>
      <c r="L7" s="29" t="n">
        <f aca="false">AUM_Rollforward!K14</f>
        <v>1652.86934750197</v>
      </c>
    </row>
    <row r="8" customFormat="false" ht="15" hidden="false" customHeight="false" outlineLevel="0" collapsed="false">
      <c r="A8" s="6"/>
      <c r="B8" s="30" t="s">
        <v>43</v>
      </c>
      <c r="C8" s="31" t="n">
        <f aca="false">C7*Wt_Pub_Eq</f>
        <v>400</v>
      </c>
      <c r="D8" s="31" t="n">
        <f aca="false">D7*Wt_Pub_Eq</f>
        <v>423.828</v>
      </c>
      <c r="E8" s="31" t="n">
        <f aca="false">E7*Wt_Pub_Eq</f>
        <v>449.30296036</v>
      </c>
      <c r="F8" s="31" t="n">
        <f aca="false">F7*Wt_Pub_Eq</f>
        <v>476.161956552613</v>
      </c>
      <c r="G8" s="31" t="n">
        <f aca="false">G7*Wt_Pub_Eq</f>
        <v>504.105086945663</v>
      </c>
      <c r="H8" s="31" t="n">
        <f aca="false">H7*Wt_Pub_Eq</f>
        <v>533.155061436336</v>
      </c>
      <c r="I8" s="31" t="n">
        <f aca="false">I7*Wt_Pub_Eq</f>
        <v>563.344602850001</v>
      </c>
      <c r="J8" s="31" t="n">
        <f aca="false">J7*Wt_Pub_Eq</f>
        <v>594.712660910924</v>
      </c>
      <c r="K8" s="31" t="n">
        <f aca="false">K7*Wt_Pub_Eq</f>
        <v>627.299738657092</v>
      </c>
      <c r="L8" s="31" t="n">
        <f aca="false">L7*Wt_Pub_Eq</f>
        <v>661.147739000789</v>
      </c>
    </row>
    <row r="9" customFormat="false" ht="15" hidden="false" customHeight="false" outlineLevel="0" collapsed="false">
      <c r="A9" s="6"/>
      <c r="B9" s="30" t="s">
        <v>44</v>
      </c>
      <c r="C9" s="31" t="n">
        <f aca="false">C7*Wt_FI</f>
        <v>200</v>
      </c>
      <c r="D9" s="31" t="n">
        <f aca="false">D7*Wt_FI</f>
        <v>211.914</v>
      </c>
      <c r="E9" s="31" t="n">
        <f aca="false">E7*Wt_FI</f>
        <v>224.65148018</v>
      </c>
      <c r="F9" s="31" t="n">
        <f aca="false">F7*Wt_FI</f>
        <v>238.080978276307</v>
      </c>
      <c r="G9" s="31" t="n">
        <f aca="false">G7*Wt_FI</f>
        <v>252.052543472832</v>
      </c>
      <c r="H9" s="31" t="n">
        <f aca="false">H7*Wt_FI</f>
        <v>266.577530718168</v>
      </c>
      <c r="I9" s="31" t="n">
        <f aca="false">I7*Wt_FI</f>
        <v>281.672301425001</v>
      </c>
      <c r="J9" s="31" t="n">
        <f aca="false">J7*Wt_FI</f>
        <v>297.356330455462</v>
      </c>
      <c r="K9" s="31" t="n">
        <f aca="false">K7*Wt_FI</f>
        <v>313.649869328546</v>
      </c>
      <c r="L9" s="31" t="n">
        <f aca="false">L7*Wt_FI</f>
        <v>330.573869500395</v>
      </c>
    </row>
    <row r="10" customFormat="false" ht="15" hidden="false" customHeight="false" outlineLevel="0" collapsed="false">
      <c r="A10" s="6"/>
      <c r="B10" s="30" t="s">
        <v>45</v>
      </c>
      <c r="C10" s="31" t="n">
        <f aca="false">C7*Wt_PE</f>
        <v>180</v>
      </c>
      <c r="D10" s="31" t="n">
        <f aca="false">D7*Wt_PE</f>
        <v>190.7226</v>
      </c>
      <c r="E10" s="31" t="n">
        <f aca="false">E7*Wt_PE</f>
        <v>202.186332162</v>
      </c>
      <c r="F10" s="31" t="n">
        <f aca="false">F7*Wt_PE</f>
        <v>214.272880448676</v>
      </c>
      <c r="G10" s="31" t="n">
        <f aca="false">G7*Wt_PE</f>
        <v>226.847289125548</v>
      </c>
      <c r="H10" s="31" t="n">
        <f aca="false">H7*Wt_PE</f>
        <v>239.919777646351</v>
      </c>
      <c r="I10" s="31" t="n">
        <f aca="false">I7*Wt_PE</f>
        <v>253.5050712825</v>
      </c>
      <c r="J10" s="31" t="n">
        <f aca="false">J7*Wt_PE</f>
        <v>267.620697409916</v>
      </c>
      <c r="K10" s="31" t="n">
        <f aca="false">K7*Wt_PE</f>
        <v>282.284882395691</v>
      </c>
      <c r="L10" s="31" t="n">
        <f aca="false">L7*Wt_PE</f>
        <v>297.516482550355</v>
      </c>
    </row>
    <row r="11" customFormat="false" ht="15" hidden="false" customHeight="false" outlineLevel="0" collapsed="false">
      <c r="A11" s="6"/>
      <c r="B11" s="30" t="s">
        <v>46</v>
      </c>
      <c r="C11" s="31" t="n">
        <f aca="false">C7*Wt_Real</f>
        <v>100</v>
      </c>
      <c r="D11" s="31" t="n">
        <f aca="false">D7*Wt_Real</f>
        <v>105.957</v>
      </c>
      <c r="E11" s="31" t="n">
        <f aca="false">E7*Wt_Real</f>
        <v>112.32574009</v>
      </c>
      <c r="F11" s="31" t="n">
        <f aca="false">F7*Wt_Real</f>
        <v>119.040489138153</v>
      </c>
      <c r="G11" s="31" t="n">
        <f aca="false">G7*Wt_Real</f>
        <v>126.026271736416</v>
      </c>
      <c r="H11" s="31" t="n">
        <f aca="false">H7*Wt_Real</f>
        <v>133.288765359084</v>
      </c>
      <c r="I11" s="31" t="n">
        <f aca="false">I7*Wt_Real</f>
        <v>140.8361507125</v>
      </c>
      <c r="J11" s="31" t="n">
        <f aca="false">J7*Wt_Real</f>
        <v>148.678165227731</v>
      </c>
      <c r="K11" s="31" t="n">
        <f aca="false">K7*Wt_Real</f>
        <v>156.824934664273</v>
      </c>
      <c r="L11" s="31" t="n">
        <f aca="false">L7*Wt_Real</f>
        <v>165.286934750197</v>
      </c>
    </row>
    <row r="12" customFormat="false" ht="15" hidden="false" customHeight="false" outlineLevel="0" collapsed="false">
      <c r="A12" s="6"/>
      <c r="B12" s="30" t="s">
        <v>47</v>
      </c>
      <c r="C12" s="31" t="n">
        <f aca="false">C7*Wt_HF</f>
        <v>100</v>
      </c>
      <c r="D12" s="31" t="n">
        <f aca="false">D7*Wt_HF</f>
        <v>105.957</v>
      </c>
      <c r="E12" s="31" t="n">
        <f aca="false">E7*Wt_HF</f>
        <v>112.32574009</v>
      </c>
      <c r="F12" s="31" t="n">
        <f aca="false">F7*Wt_HF</f>
        <v>119.040489138153</v>
      </c>
      <c r="G12" s="31" t="n">
        <f aca="false">G7*Wt_HF</f>
        <v>126.026271736416</v>
      </c>
      <c r="H12" s="31" t="n">
        <f aca="false">H7*Wt_HF</f>
        <v>133.288765359084</v>
      </c>
      <c r="I12" s="31" t="n">
        <f aca="false">I7*Wt_HF</f>
        <v>140.8361507125</v>
      </c>
      <c r="J12" s="31" t="n">
        <f aca="false">J7*Wt_HF</f>
        <v>148.678165227731</v>
      </c>
      <c r="K12" s="31" t="n">
        <f aca="false">K7*Wt_HF</f>
        <v>156.824934664273</v>
      </c>
      <c r="L12" s="31" t="n">
        <f aca="false">L7*Wt_HF</f>
        <v>165.286934750197</v>
      </c>
    </row>
    <row r="13" customFormat="false" ht="15" hidden="false" customHeight="false" outlineLevel="0" collapsed="false">
      <c r="A13" s="6"/>
      <c r="B13" s="30" t="s">
        <v>48</v>
      </c>
      <c r="C13" s="31" t="n">
        <f aca="false">C7*Wt_Cash</f>
        <v>20</v>
      </c>
      <c r="D13" s="31" t="n">
        <f aca="false">D7*Wt_Cash</f>
        <v>21.1914</v>
      </c>
      <c r="E13" s="31" t="n">
        <f aca="false">E7*Wt_Cash</f>
        <v>22.465148018</v>
      </c>
      <c r="F13" s="31" t="n">
        <f aca="false">F7*Wt_Cash</f>
        <v>23.8080978276307</v>
      </c>
      <c r="G13" s="31" t="n">
        <f aca="false">G7*Wt_Cash</f>
        <v>25.2052543472832</v>
      </c>
      <c r="H13" s="31" t="n">
        <f aca="false">H7*Wt_Cash</f>
        <v>26.6577530718168</v>
      </c>
      <c r="I13" s="31" t="n">
        <f aca="false">I7*Wt_Cash</f>
        <v>28.1672301425001</v>
      </c>
      <c r="J13" s="31" t="n">
        <f aca="false">J7*Wt_Cash</f>
        <v>29.7356330455462</v>
      </c>
      <c r="K13" s="31" t="n">
        <f aca="false">K7*Wt_Cash</f>
        <v>31.3649869328546</v>
      </c>
      <c r="L13" s="31" t="n">
        <f aca="false">L7*Wt_Cash</f>
        <v>33.0573869500395</v>
      </c>
    </row>
    <row r="14" customFormat="false" ht="15" hidden="false" customHeight="false" outlineLevel="0" collapsed="false">
      <c r="A14" s="6"/>
      <c r="B14" s="6"/>
      <c r="C14" s="6"/>
      <c r="D14" s="6"/>
      <c r="E14" s="6"/>
      <c r="F14" s="6"/>
      <c r="G14" s="6"/>
      <c r="H14" s="6"/>
      <c r="I14" s="6"/>
      <c r="J14" s="6"/>
      <c r="K14" s="6"/>
      <c r="L14" s="6"/>
    </row>
    <row r="15" customFormat="false" ht="15" hidden="false" customHeight="false" outlineLevel="0" collapsed="false">
      <c r="A15" s="6"/>
      <c r="B15" s="7" t="s">
        <v>96</v>
      </c>
      <c r="C15" s="32" t="n">
        <f aca="false">Wt_Pub_Eq+Wt_FI+Wt_PE+Wt_Real+Wt_HF+Wt_Cash</f>
        <v>1</v>
      </c>
      <c r="D15" s="32" t="n">
        <f aca="false">Wt_Pub_Eq+Wt_FI+Wt_PE+Wt_Real+Wt_HF+Wt_Cash</f>
        <v>1</v>
      </c>
      <c r="E15" s="32" t="n">
        <f aca="false">Wt_Pub_Eq+Wt_FI+Wt_PE+Wt_Real+Wt_HF+Wt_Cash</f>
        <v>1</v>
      </c>
      <c r="F15" s="32" t="n">
        <f aca="false">Wt_Pub_Eq+Wt_FI+Wt_PE+Wt_Real+Wt_HF+Wt_Cash</f>
        <v>1</v>
      </c>
      <c r="G15" s="32" t="n">
        <f aca="false">Wt_Pub_Eq+Wt_FI+Wt_PE+Wt_Real+Wt_HF+Wt_Cash</f>
        <v>1</v>
      </c>
      <c r="H15" s="32" t="n">
        <f aca="false">Wt_Pub_Eq+Wt_FI+Wt_PE+Wt_Real+Wt_HF+Wt_Cash</f>
        <v>1</v>
      </c>
      <c r="I15" s="32" t="n">
        <f aca="false">Wt_Pub_Eq+Wt_FI+Wt_PE+Wt_Real+Wt_HF+Wt_Cash</f>
        <v>1</v>
      </c>
      <c r="J15" s="32" t="n">
        <f aca="false">Wt_Pub_Eq+Wt_FI+Wt_PE+Wt_Real+Wt_HF+Wt_Cash</f>
        <v>1</v>
      </c>
      <c r="K15" s="32" t="n">
        <f aca="false">Wt_Pub_Eq+Wt_FI+Wt_PE+Wt_Real+Wt_HF+Wt_Cash</f>
        <v>1</v>
      </c>
      <c r="L15" s="32" t="n">
        <f aca="false">Wt_Pub_Eq+Wt_FI+Wt_PE+Wt_Real+Wt_HF+Wt_Cash</f>
        <v>1</v>
      </c>
    </row>
    <row r="16" customFormat="false" ht="15" hidden="false" customHeight="false" outlineLevel="0" collapsed="false">
      <c r="A16" s="6"/>
      <c r="B16" s="6"/>
      <c r="C16" s="6"/>
      <c r="D16" s="6"/>
      <c r="E16" s="6"/>
      <c r="F16" s="6"/>
      <c r="G16" s="6"/>
      <c r="H16" s="6"/>
      <c r="I16" s="6"/>
      <c r="J16" s="6"/>
      <c r="K16" s="6"/>
      <c r="L16" s="6"/>
    </row>
    <row r="17" customFormat="false" ht="15" hidden="false" customHeight="false" outlineLevel="0" collapsed="false">
      <c r="A17" s="6"/>
      <c r="B17" s="28" t="s">
        <v>97</v>
      </c>
      <c r="C17" s="22"/>
      <c r="D17" s="22"/>
      <c r="E17" s="22"/>
      <c r="F17" s="22"/>
      <c r="G17" s="22"/>
      <c r="H17" s="22"/>
      <c r="I17" s="22"/>
      <c r="J17" s="22"/>
      <c r="K17" s="22"/>
      <c r="L17" s="22"/>
    </row>
    <row r="18" customFormat="false" ht="15" hidden="false" customHeight="false" outlineLevel="0" collapsed="false">
      <c r="A18" s="6"/>
      <c r="B18" s="33" t="s">
        <v>98</v>
      </c>
      <c r="C18" s="34" t="n">
        <f aca="false">SUM(C19:C24)</f>
        <v>1071.2</v>
      </c>
      <c r="D18" s="34" t="n">
        <f aca="false">SUM(D19:D24)</f>
        <v>1135.011384</v>
      </c>
      <c r="E18" s="34" t="n">
        <f aca="false">SUM(E19:E24)</f>
        <v>1203.23332784408</v>
      </c>
      <c r="F18" s="34" t="n">
        <f aca="false">SUM(F19:F24)</f>
        <v>1275.1617196479</v>
      </c>
      <c r="G18" s="34" t="n">
        <f aca="false">SUM(G19:G24)</f>
        <v>1349.99342284049</v>
      </c>
      <c r="H18" s="34" t="n">
        <f aca="false">SUM(H19:H24)</f>
        <v>1427.78925452651</v>
      </c>
      <c r="I18" s="34" t="n">
        <f aca="false">SUM(I19:I24)</f>
        <v>1508.6368464323</v>
      </c>
      <c r="J18" s="34" t="n">
        <f aca="false">SUM(J19:J24)</f>
        <v>1592.64050591945</v>
      </c>
      <c r="K18" s="34" t="n">
        <f aca="false">SUM(K19:K24)</f>
        <v>1679.90870012369</v>
      </c>
      <c r="L18" s="34" t="n">
        <f aca="false">SUM(L19:L24)</f>
        <v>1770.55364504411</v>
      </c>
    </row>
    <row r="19" customFormat="false" ht="15" hidden="false" customHeight="false" outlineLevel="0" collapsed="false">
      <c r="A19" s="6"/>
      <c r="B19" s="30" t="s">
        <v>43</v>
      </c>
      <c r="C19" s="31" t="n">
        <f aca="false">C8+Investment_Returns!C7</f>
        <v>430</v>
      </c>
      <c r="D19" s="31" t="n">
        <f aca="false">D8+Investment_Returns!D7</f>
        <v>455.6151</v>
      </c>
      <c r="E19" s="31" t="n">
        <f aca="false">E8+Investment_Returns!E7</f>
        <v>483.000682387</v>
      </c>
      <c r="F19" s="31" t="n">
        <f aca="false">F8+Investment_Returns!F7</f>
        <v>511.874103294059</v>
      </c>
      <c r="G19" s="31" t="n">
        <f aca="false">G8+Investment_Returns!G7</f>
        <v>541.912968466588</v>
      </c>
      <c r="H19" s="31" t="n">
        <f aca="false">H8+Investment_Returns!H7</f>
        <v>573.141691044061</v>
      </c>
      <c r="I19" s="31" t="n">
        <f aca="false">I8+Investment_Returns!I7</f>
        <v>605.595448063751</v>
      </c>
      <c r="J19" s="31" t="n">
        <f aca="false">J8+Investment_Returns!J7</f>
        <v>639.316110479243</v>
      </c>
      <c r="K19" s="31" t="n">
        <f aca="false">K8+Investment_Returns!K7</f>
        <v>674.347219056374</v>
      </c>
      <c r="L19" s="31" t="n">
        <f aca="false">L8+Investment_Returns!L7</f>
        <v>710.733819425848</v>
      </c>
    </row>
    <row r="20" customFormat="false" ht="15" hidden="false" customHeight="false" outlineLevel="0" collapsed="false">
      <c r="A20" s="6"/>
      <c r="B20" s="30" t="s">
        <v>44</v>
      </c>
      <c r="C20" s="31" t="n">
        <f aca="false">C9+Investment_Returns!C8</f>
        <v>209</v>
      </c>
      <c r="D20" s="31" t="n">
        <f aca="false">D9+Investment_Returns!D8</f>
        <v>221.45013</v>
      </c>
      <c r="E20" s="31" t="n">
        <f aca="false">E9+Investment_Returns!E8</f>
        <v>234.7607967881</v>
      </c>
      <c r="F20" s="31" t="n">
        <f aca="false">F9+Investment_Returns!F8</f>
        <v>248.79462229874</v>
      </c>
      <c r="G20" s="31" t="n">
        <f aca="false">G9+Investment_Returns!G8</f>
        <v>263.394907929109</v>
      </c>
      <c r="H20" s="31" t="n">
        <f aca="false">H9+Investment_Returns!H8</f>
        <v>278.573519600485</v>
      </c>
      <c r="I20" s="31" t="n">
        <f aca="false">I9+Investment_Returns!I8</f>
        <v>294.347554989126</v>
      </c>
      <c r="J20" s="31" t="n">
        <f aca="false">J9+Investment_Returns!J8</f>
        <v>310.737365325958</v>
      </c>
      <c r="K20" s="31" t="n">
        <f aca="false">K9+Investment_Returns!K8</f>
        <v>327.76411344833</v>
      </c>
      <c r="L20" s="31" t="n">
        <f aca="false">L9+Investment_Returns!L8</f>
        <v>345.449693627912</v>
      </c>
    </row>
    <row r="21" customFormat="false" ht="15" hidden="false" customHeight="false" outlineLevel="0" collapsed="false">
      <c r="A21" s="6"/>
      <c r="B21" s="30" t="s">
        <v>45</v>
      </c>
      <c r="C21" s="31" t="n">
        <f aca="false">C10+Investment_Returns!C9</f>
        <v>199.8</v>
      </c>
      <c r="D21" s="31" t="n">
        <f aca="false">D10+Investment_Returns!D9</f>
        <v>211.702086</v>
      </c>
      <c r="E21" s="31" t="n">
        <f aca="false">E10+Investment_Returns!E9</f>
        <v>224.42682869982</v>
      </c>
      <c r="F21" s="31" t="n">
        <f aca="false">F10+Investment_Returns!F9</f>
        <v>237.84289729803</v>
      </c>
      <c r="G21" s="31" t="n">
        <f aca="false">G10+Investment_Returns!G9</f>
        <v>251.800490929359</v>
      </c>
      <c r="H21" s="31" t="n">
        <f aca="false">H10+Investment_Returns!H9</f>
        <v>266.31095318745</v>
      </c>
      <c r="I21" s="31" t="n">
        <f aca="false">I10+Investment_Returns!I9</f>
        <v>281.390629123576</v>
      </c>
      <c r="J21" s="31" t="n">
        <f aca="false">J10+Investment_Returns!J9</f>
        <v>297.058974125006</v>
      </c>
      <c r="K21" s="31" t="n">
        <f aca="false">K10+Investment_Returns!K9</f>
        <v>313.336219459217</v>
      </c>
      <c r="L21" s="31" t="n">
        <f aca="false">L10+Investment_Returns!L9</f>
        <v>330.243295630894</v>
      </c>
    </row>
    <row r="22" customFormat="false" ht="15" hidden="false" customHeight="false" outlineLevel="0" collapsed="false">
      <c r="A22" s="6"/>
      <c r="B22" s="30" t="s">
        <v>46</v>
      </c>
      <c r="C22" s="31" t="n">
        <f aca="false">C11+Investment_Returns!C10</f>
        <v>106.5</v>
      </c>
      <c r="D22" s="31" t="n">
        <f aca="false">D11+Investment_Returns!D10</f>
        <v>112.844205</v>
      </c>
      <c r="E22" s="31" t="n">
        <f aca="false">E11+Investment_Returns!E10</f>
        <v>119.62691319585</v>
      </c>
      <c r="F22" s="31" t="n">
        <f aca="false">F11+Investment_Returns!F10</f>
        <v>126.778120932133</v>
      </c>
      <c r="G22" s="31" t="n">
        <f aca="false">G11+Investment_Returns!G10</f>
        <v>134.217979399283</v>
      </c>
      <c r="H22" s="31" t="n">
        <f aca="false">H11+Investment_Returns!H10</f>
        <v>141.952535107424</v>
      </c>
      <c r="I22" s="31" t="n">
        <f aca="false">I11+Investment_Returns!I10</f>
        <v>149.990500508813</v>
      </c>
      <c r="J22" s="31" t="n">
        <f aca="false">J11+Investment_Returns!J10</f>
        <v>158.342245967533</v>
      </c>
      <c r="K22" s="31" t="n">
        <f aca="false">K11+Investment_Returns!K10</f>
        <v>167.018555417451</v>
      </c>
      <c r="L22" s="31" t="n">
        <f aca="false">L11+Investment_Returns!L10</f>
        <v>176.03058550896</v>
      </c>
    </row>
    <row r="23" customFormat="false" ht="15" hidden="false" customHeight="false" outlineLevel="0" collapsed="false">
      <c r="A23" s="6"/>
      <c r="B23" s="30" t="s">
        <v>47</v>
      </c>
      <c r="C23" s="31" t="n">
        <f aca="false">C12+Investment_Returns!C11</f>
        <v>105.5</v>
      </c>
      <c r="D23" s="31" t="n">
        <f aca="false">D12+Investment_Returns!D11</f>
        <v>111.784635</v>
      </c>
      <c r="E23" s="31" t="n">
        <f aca="false">E12+Investment_Returns!E11</f>
        <v>118.50365579495</v>
      </c>
      <c r="F23" s="31" t="n">
        <f aca="false">F12+Investment_Returns!F11</f>
        <v>125.587716040752</v>
      </c>
      <c r="G23" s="31" t="n">
        <f aca="false">G12+Investment_Returns!G11</f>
        <v>132.957716681919</v>
      </c>
      <c r="H23" s="31" t="n">
        <f aca="false">H12+Investment_Returns!H11</f>
        <v>140.619647453834</v>
      </c>
      <c r="I23" s="31" t="n">
        <f aca="false">I12+Investment_Returns!I11</f>
        <v>148.582139001688</v>
      </c>
      <c r="J23" s="31" t="n">
        <f aca="false">J12+Investment_Returns!J11</f>
        <v>156.855464315256</v>
      </c>
      <c r="K23" s="31" t="n">
        <f aca="false">K12+Investment_Returns!K11</f>
        <v>165.450306070808</v>
      </c>
      <c r="L23" s="31" t="n">
        <f aca="false">L12+Investment_Returns!L11</f>
        <v>174.377716161458</v>
      </c>
    </row>
    <row r="24" customFormat="false" ht="15" hidden="false" customHeight="false" outlineLevel="0" collapsed="false">
      <c r="A24" s="6"/>
      <c r="B24" s="30" t="s">
        <v>48</v>
      </c>
      <c r="C24" s="31" t="n">
        <f aca="false">C13+Investment_Returns!C12</f>
        <v>20.4</v>
      </c>
      <c r="D24" s="31" t="n">
        <f aca="false">D13+Investment_Returns!D12</f>
        <v>21.615228</v>
      </c>
      <c r="E24" s="31" t="n">
        <f aca="false">E13+Investment_Returns!E12</f>
        <v>22.91445097836</v>
      </c>
      <c r="F24" s="31" t="n">
        <f aca="false">F13+Investment_Returns!F12</f>
        <v>24.2842597841833</v>
      </c>
      <c r="G24" s="31" t="n">
        <f aca="false">G13+Investment_Returns!G12</f>
        <v>25.7093594342288</v>
      </c>
      <c r="H24" s="31" t="n">
        <f aca="false">H13+Investment_Returns!H12</f>
        <v>27.1909081332531</v>
      </c>
      <c r="I24" s="31" t="n">
        <f aca="false">I13+Investment_Returns!I12</f>
        <v>28.7305747453501</v>
      </c>
      <c r="J24" s="31" t="n">
        <f aca="false">J13+Investment_Returns!J12</f>
        <v>30.3303457064571</v>
      </c>
      <c r="K24" s="31" t="n">
        <f aca="false">K13+Investment_Returns!K12</f>
        <v>31.9922866715117</v>
      </c>
      <c r="L24" s="31" t="n">
        <f aca="false">L13+Investment_Returns!L12</f>
        <v>33.7185346890403</v>
      </c>
    </row>
    <row r="25" customFormat="false" ht="15" hidden="false" customHeight="false" outlineLevel="0" collapsed="false">
      <c r="A25" s="6"/>
      <c r="B25" s="6"/>
      <c r="C25" s="6"/>
      <c r="D25" s="6"/>
      <c r="E25" s="6"/>
      <c r="F25" s="6"/>
      <c r="G25" s="6"/>
      <c r="H25" s="6"/>
      <c r="I25" s="6"/>
      <c r="J25" s="6"/>
      <c r="K25" s="6"/>
      <c r="L25" s="6"/>
    </row>
    <row r="26" customFormat="false" ht="15" hidden="false" customHeight="false" outlineLevel="0" collapsed="false">
      <c r="A26" s="6"/>
      <c r="B26" s="28" t="s">
        <v>99</v>
      </c>
      <c r="C26" s="22"/>
      <c r="D26" s="22"/>
      <c r="E26" s="22"/>
      <c r="F26" s="22"/>
      <c r="G26" s="22"/>
      <c r="H26" s="22"/>
      <c r="I26" s="22"/>
      <c r="J26" s="22"/>
      <c r="K26" s="22"/>
      <c r="L26" s="22"/>
    </row>
    <row r="27" customFormat="false" ht="15" hidden="false" customHeight="false" outlineLevel="0" collapsed="false">
      <c r="A27" s="6"/>
      <c r="B27" s="30" t="s">
        <v>43</v>
      </c>
      <c r="C27" s="31" t="n">
        <f aca="false">(Wt_Pub_Eq*C18)-C19</f>
        <v>-1.51999999999998</v>
      </c>
      <c r="D27" s="31" t="n">
        <f aca="false">(Wt_Pub_Eq*D18)-D19</f>
        <v>-1.61054639999998</v>
      </c>
      <c r="E27" s="31" t="n">
        <f aca="false">(Wt_Pub_Eq*E18)-E19</f>
        <v>-1.70735124936795</v>
      </c>
      <c r="F27" s="31" t="n">
        <f aca="false">(Wt_Pub_Eq*F18)-F19</f>
        <v>-1.80941543489996</v>
      </c>
      <c r="G27" s="31" t="n">
        <f aca="false">(Wt_Pub_Eq*G18)-G19</f>
        <v>-1.91559933039355</v>
      </c>
      <c r="H27" s="31" t="n">
        <f aca="false">(Wt_Pub_Eq*H18)-H19</f>
        <v>-2.02598923345806</v>
      </c>
      <c r="I27" s="31" t="n">
        <f aca="false">(Wt_Pub_Eq*I18)-I19</f>
        <v>-2.14070949082998</v>
      </c>
      <c r="J27" s="31" t="n">
        <f aca="false">(Wt_Pub_Eq*J18)-J19</f>
        <v>-2.25990811146153</v>
      </c>
      <c r="K27" s="31" t="n">
        <f aca="false">(Wt_Pub_Eq*K18)-K19</f>
        <v>-2.38373900689692</v>
      </c>
      <c r="L27" s="31" t="n">
        <f aca="false">(Wt_Pub_Eq*L18)-L19</f>
        <v>-2.51236140820288</v>
      </c>
    </row>
    <row r="28" customFormat="false" ht="15" hidden="false" customHeight="false" outlineLevel="0" collapsed="false">
      <c r="A28" s="6"/>
      <c r="B28" s="30" t="s">
        <v>44</v>
      </c>
      <c r="C28" s="31" t="n">
        <f aca="false">(Wt_FI*C18)-C20</f>
        <v>5.24000000000001</v>
      </c>
      <c r="D28" s="31" t="n">
        <f aca="false">(Wt_FI*D18)-D20</f>
        <v>5.55214680000003</v>
      </c>
      <c r="E28" s="31" t="n">
        <f aca="false">(Wt_FI*E18)-E20</f>
        <v>5.88586878071604</v>
      </c>
      <c r="F28" s="31" t="n">
        <f aca="false">(Wt_FI*F18)-F20</f>
        <v>6.23772163083919</v>
      </c>
      <c r="G28" s="31" t="n">
        <f aca="false">(Wt_FI*G18)-G20</f>
        <v>6.60377663898817</v>
      </c>
      <c r="H28" s="31" t="n">
        <f aca="false">(Wt_FI*H18)-H20</f>
        <v>6.98433130481601</v>
      </c>
      <c r="I28" s="31" t="n">
        <f aca="false">(Wt_FI*I18)-I20</f>
        <v>7.37981429733503</v>
      </c>
      <c r="J28" s="31" t="n">
        <f aca="false">(Wt_FI*J18)-J20</f>
        <v>7.79073585793304</v>
      </c>
      <c r="K28" s="31" t="n">
        <f aca="false">(Wt_FI*K18)-K20</f>
        <v>8.2176265764079</v>
      </c>
      <c r="L28" s="31" t="n">
        <f aca="false">(Wt_FI*L18)-L20</f>
        <v>8.66103538091039</v>
      </c>
    </row>
    <row r="29" customFormat="false" ht="15" hidden="false" customHeight="false" outlineLevel="0" collapsed="false">
      <c r="A29" s="6"/>
      <c r="B29" s="30" t="s">
        <v>45</v>
      </c>
      <c r="C29" s="31" t="n">
        <f aca="false">(Wt_PE*C18)-C21</f>
        <v>-6.98400000000001</v>
      </c>
      <c r="D29" s="31" t="n">
        <f aca="false">(Wt_PE*D18)-D21</f>
        <v>-7.40003688000002</v>
      </c>
      <c r="E29" s="31" t="n">
        <f aca="false">(Wt_PE*E18)-E21</f>
        <v>-7.84482968788558</v>
      </c>
      <c r="F29" s="31" t="n">
        <f aca="false">(Wt_PE*F18)-F21</f>
        <v>-8.31378776140863</v>
      </c>
      <c r="G29" s="31" t="n">
        <f aca="false">(Wt_PE*G18)-G21</f>
        <v>-8.80167481807129</v>
      </c>
      <c r="H29" s="31" t="n">
        <f aca="false">(Wt_PE*H18)-H21</f>
        <v>-9.30888737267844</v>
      </c>
      <c r="I29" s="31" t="n">
        <f aca="false">(Wt_PE*I18)-I21</f>
        <v>-9.83599676576102</v>
      </c>
      <c r="J29" s="31" t="n">
        <f aca="false">(Wt_PE*J18)-J21</f>
        <v>-10.3836830595047</v>
      </c>
      <c r="K29" s="31" t="n">
        <f aca="false">(Wt_PE*K18)-K21</f>
        <v>-10.9526534369528</v>
      </c>
      <c r="L29" s="31" t="n">
        <f aca="false">(Wt_PE*L18)-L21</f>
        <v>-11.5436395229538</v>
      </c>
    </row>
    <row r="30" customFormat="false" ht="15" hidden="false" customHeight="false" outlineLevel="0" collapsed="false">
      <c r="A30" s="6"/>
      <c r="B30" s="30" t="s">
        <v>46</v>
      </c>
      <c r="C30" s="31" t="n">
        <f aca="false">(Wt_Real*C18)-C22</f>
        <v>0.620000000000005</v>
      </c>
      <c r="D30" s="31" t="n">
        <f aca="false">(Wt_Real*D18)-D22</f>
        <v>0.656933400000014</v>
      </c>
      <c r="E30" s="31" t="n">
        <f aca="false">(Wt_Real*E18)-E22</f>
        <v>0.696419588558015</v>
      </c>
      <c r="F30" s="31" t="n">
        <f aca="false">(Wt_Real*F18)-F22</f>
        <v>0.738051032656529</v>
      </c>
      <c r="G30" s="31" t="n">
        <f aca="false">(Wt_Real*G18)-G22</f>
        <v>0.78136288476577</v>
      </c>
      <c r="H30" s="31" t="n">
        <f aca="false">(Wt_Real*H18)-H22</f>
        <v>0.826390345226315</v>
      </c>
      <c r="I30" s="31" t="n">
        <f aca="false">(Wt_Real*I18)-I22</f>
        <v>0.8731841344175</v>
      </c>
      <c r="J30" s="31" t="n">
        <f aca="false">(Wt_Real*J18)-J22</f>
        <v>0.921804624411919</v>
      </c>
      <c r="K30" s="31" t="n">
        <f aca="false">(Wt_Real*K18)-K22</f>
        <v>0.972314594918487</v>
      </c>
      <c r="L30" s="31" t="n">
        <f aca="false">(Wt_Real*L18)-L22</f>
        <v>1.02477899545124</v>
      </c>
    </row>
    <row r="31" customFormat="false" ht="15" hidden="false" customHeight="false" outlineLevel="0" collapsed="false">
      <c r="A31" s="6"/>
      <c r="B31" s="30" t="s">
        <v>47</v>
      </c>
      <c r="C31" s="31" t="n">
        <f aca="false">(Wt_HF*C18)-C23</f>
        <v>1.62</v>
      </c>
      <c r="D31" s="31" t="n">
        <f aca="false">(Wt_HF*D18)-D23</f>
        <v>1.71650340000001</v>
      </c>
      <c r="E31" s="31" t="n">
        <f aca="false">(Wt_HF*E18)-E23</f>
        <v>1.81967698945802</v>
      </c>
      <c r="F31" s="31" t="n">
        <f aca="false">(Wt_HF*F18)-F23</f>
        <v>1.92845592403808</v>
      </c>
      <c r="G31" s="31" t="n">
        <f aca="false">(Wt_HF*G18)-G23</f>
        <v>2.04162560212993</v>
      </c>
      <c r="H31" s="31" t="n">
        <f aca="false">(Wt_HF*H18)-H23</f>
        <v>2.15927799881715</v>
      </c>
      <c r="I31" s="31" t="n">
        <f aca="false">(Wt_HF*I18)-I23</f>
        <v>2.28154564154249</v>
      </c>
      <c r="J31" s="31" t="n">
        <f aca="false">(Wt_HF*J18)-J23</f>
        <v>2.40858627668922</v>
      </c>
      <c r="K31" s="31" t="n">
        <f aca="false">(Wt_HF*K18)-K23</f>
        <v>2.54056394156123</v>
      </c>
      <c r="L31" s="31" t="n">
        <f aca="false">(Wt_HF*L18)-L23</f>
        <v>2.67764834295323</v>
      </c>
    </row>
    <row r="32" customFormat="false" ht="15" hidden="false" customHeight="false" outlineLevel="0" collapsed="false">
      <c r="A32" s="6"/>
      <c r="B32" s="30" t="s">
        <v>48</v>
      </c>
      <c r="C32" s="31" t="n">
        <f aca="false">(Wt_Cash*C18)-C24</f>
        <v>1.024</v>
      </c>
      <c r="D32" s="31" t="n">
        <f aca="false">(Wt_Cash*D18)-D24</f>
        <v>1.08499968</v>
      </c>
      <c r="E32" s="31" t="n">
        <f aca="false">(Wt_Cash*E18)-E24</f>
        <v>1.1502155785216</v>
      </c>
      <c r="F32" s="31" t="n">
        <f aca="false">(Wt_Cash*F18)-F24</f>
        <v>1.21897460877469</v>
      </c>
      <c r="G32" s="31" t="n">
        <f aca="false">(Wt_Cash*G18)-G24</f>
        <v>1.2905090225809</v>
      </c>
      <c r="H32" s="31" t="n">
        <f aca="false">(Wt_Cash*H18)-H24</f>
        <v>1.36487695727702</v>
      </c>
      <c r="I32" s="31" t="n">
        <f aca="false">(Wt_Cash*I18)-I24</f>
        <v>1.44216218329601</v>
      </c>
      <c r="J32" s="31" t="n">
        <f aca="false">(Wt_Cash*J18)-J24</f>
        <v>1.52246441193197</v>
      </c>
      <c r="K32" s="31" t="n">
        <f aca="false">(Wt_Cash*K18)-K24</f>
        <v>1.60588733096216</v>
      </c>
      <c r="L32" s="31" t="n">
        <f aca="false">(Wt_Cash*L18)-L24</f>
        <v>1.69253821184203</v>
      </c>
    </row>
    <row r="33" customFormat="false" ht="15" hidden="false" customHeight="false" outlineLevel="0" collapsed="false">
      <c r="A33" s="6"/>
      <c r="B33" s="7" t="s">
        <v>100</v>
      </c>
      <c r="C33" s="29" t="n">
        <f aca="false">SUM(C27:C32)</f>
        <v>3.19744231092045E-014</v>
      </c>
      <c r="D33" s="29" t="n">
        <f aca="false">SUM(D27:D32)</f>
        <v>6.03961325396085E-014</v>
      </c>
      <c r="E33" s="29" t="n">
        <f aca="false">SUM(E27:E32)</f>
        <v>1.49213974509621E-013</v>
      </c>
      <c r="F33" s="29" t="n">
        <f aca="false">SUM(F27:F32)</f>
        <v>-1.10134124042816E-013</v>
      </c>
      <c r="G33" s="29" t="n">
        <f aca="false">SUM(G27:G32)</f>
        <v>-8.17124146124115E-014</v>
      </c>
      <c r="H33" s="29" t="n">
        <f aca="false">SUM(H27:H32)</f>
        <v>-1.06581410364015E-014</v>
      </c>
      <c r="I33" s="29" t="n">
        <f aca="false">SUM(I27:I32)</f>
        <v>2.8421709430404E-014</v>
      </c>
      <c r="J33" s="29" t="n">
        <f aca="false">SUM(J27:J32)</f>
        <v>-1.10134124042816E-013</v>
      </c>
      <c r="K33" s="29" t="n">
        <f aca="false">SUM(K27:K32)</f>
        <v>5.6843418860808E-014</v>
      </c>
      <c r="L33" s="29" t="n">
        <f aca="false">SUM(L27:L32)</f>
        <v>2.62900812231237E-013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101</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102</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103</v>
      </c>
      <c r="C6" s="22"/>
      <c r="D6" s="22"/>
      <c r="E6" s="22"/>
      <c r="F6" s="22"/>
      <c r="G6" s="22"/>
      <c r="H6" s="22"/>
      <c r="I6" s="22"/>
      <c r="J6" s="22"/>
      <c r="K6" s="22"/>
      <c r="L6" s="22"/>
    </row>
    <row r="7" customFormat="false" ht="15" hidden="false" customHeight="false" outlineLevel="0" collapsed="false">
      <c r="A7" s="6"/>
      <c r="B7" s="30" t="s">
        <v>43</v>
      </c>
      <c r="C7" s="31" t="n">
        <f aca="false">Asset_Allocation!C8*Ret_Pub_Eq</f>
        <v>30</v>
      </c>
      <c r="D7" s="31" t="n">
        <f aca="false">Asset_Allocation!D8*Ret_Pub_Eq</f>
        <v>31.7871</v>
      </c>
      <c r="E7" s="31" t="n">
        <f aca="false">Asset_Allocation!E8*Ret_Pub_Eq</f>
        <v>33.697722027</v>
      </c>
      <c r="F7" s="31" t="n">
        <f aca="false">Asset_Allocation!F8*Ret_Pub_Eq</f>
        <v>35.712146741446</v>
      </c>
      <c r="G7" s="31" t="n">
        <f aca="false">Asset_Allocation!G8*Ret_Pub_Eq</f>
        <v>37.8078815209247</v>
      </c>
      <c r="H7" s="31" t="n">
        <f aca="false">Asset_Allocation!H8*Ret_Pub_Eq</f>
        <v>39.9866296077252</v>
      </c>
      <c r="I7" s="31" t="n">
        <f aca="false">Asset_Allocation!I8*Ret_Pub_Eq</f>
        <v>42.2508452137501</v>
      </c>
      <c r="J7" s="31" t="n">
        <f aca="false">Asset_Allocation!J8*Ret_Pub_Eq</f>
        <v>44.6034495683193</v>
      </c>
      <c r="K7" s="31" t="n">
        <f aca="false">Asset_Allocation!K8*Ret_Pub_Eq</f>
        <v>47.0474803992819</v>
      </c>
      <c r="L7" s="31" t="n">
        <f aca="false">Asset_Allocation!L8*Ret_Pub_Eq</f>
        <v>49.5860804250592</v>
      </c>
    </row>
    <row r="8" customFormat="false" ht="15" hidden="false" customHeight="false" outlineLevel="0" collapsed="false">
      <c r="A8" s="6"/>
      <c r="B8" s="30" t="s">
        <v>44</v>
      </c>
      <c r="C8" s="31" t="n">
        <f aca="false">Asset_Allocation!C9*Ret_FI</f>
        <v>9</v>
      </c>
      <c r="D8" s="31" t="n">
        <f aca="false">Asset_Allocation!D9*Ret_FI</f>
        <v>9.53613</v>
      </c>
      <c r="E8" s="31" t="n">
        <f aca="false">Asset_Allocation!E9*Ret_FI</f>
        <v>10.1093166081</v>
      </c>
      <c r="F8" s="31" t="n">
        <f aca="false">Asset_Allocation!F9*Ret_FI</f>
        <v>10.7136440224338</v>
      </c>
      <c r="G8" s="31" t="n">
        <f aca="false">Asset_Allocation!G9*Ret_FI</f>
        <v>11.3423644562774</v>
      </c>
      <c r="H8" s="31" t="n">
        <f aca="false">Asset_Allocation!H9*Ret_FI</f>
        <v>11.9959888823176</v>
      </c>
      <c r="I8" s="31" t="n">
        <f aca="false">Asset_Allocation!I9*Ret_FI</f>
        <v>12.675253564125</v>
      </c>
      <c r="J8" s="31" t="n">
        <f aca="false">Asset_Allocation!J9*Ret_FI</f>
        <v>13.3810348704958</v>
      </c>
      <c r="K8" s="31" t="n">
        <f aca="false">Asset_Allocation!K9*Ret_FI</f>
        <v>14.1142441197846</v>
      </c>
      <c r="L8" s="31" t="n">
        <f aca="false">Asset_Allocation!L9*Ret_FI</f>
        <v>14.8758241275178</v>
      </c>
    </row>
    <row r="9" customFormat="false" ht="15" hidden="false" customHeight="false" outlineLevel="0" collapsed="false">
      <c r="A9" s="6"/>
      <c r="B9" s="30" t="s">
        <v>45</v>
      </c>
      <c r="C9" s="31" t="n">
        <f aca="false">Asset_Allocation!C10*Ret_PE</f>
        <v>19.8</v>
      </c>
      <c r="D9" s="31" t="n">
        <f aca="false">Asset_Allocation!D10*Ret_PE</f>
        <v>20.979486</v>
      </c>
      <c r="E9" s="31" t="n">
        <f aca="false">Asset_Allocation!E10*Ret_PE</f>
        <v>22.24049653782</v>
      </c>
      <c r="F9" s="31" t="n">
        <f aca="false">Asset_Allocation!F10*Ret_PE</f>
        <v>23.5700168493544</v>
      </c>
      <c r="G9" s="31" t="n">
        <f aca="false">Asset_Allocation!G10*Ret_PE</f>
        <v>24.9532018038103</v>
      </c>
      <c r="H9" s="31" t="n">
        <f aca="false">Asset_Allocation!H10*Ret_PE</f>
        <v>26.3911755410986</v>
      </c>
      <c r="I9" s="31" t="n">
        <f aca="false">Asset_Allocation!I10*Ret_PE</f>
        <v>27.885557841075</v>
      </c>
      <c r="J9" s="31" t="n">
        <f aca="false">Asset_Allocation!J10*Ret_PE</f>
        <v>29.4382767150907</v>
      </c>
      <c r="K9" s="31" t="n">
        <f aca="false">Asset_Allocation!K10*Ret_PE</f>
        <v>31.051337063526</v>
      </c>
      <c r="L9" s="31" t="n">
        <f aca="false">Asset_Allocation!L10*Ret_PE</f>
        <v>32.7268130805391</v>
      </c>
    </row>
    <row r="10" customFormat="false" ht="15" hidden="false" customHeight="false" outlineLevel="0" collapsed="false">
      <c r="A10" s="6"/>
      <c r="B10" s="30" t="s">
        <v>46</v>
      </c>
      <c r="C10" s="31" t="n">
        <f aca="false">Asset_Allocation!C11*Ret_Real</f>
        <v>6.5</v>
      </c>
      <c r="D10" s="31" t="n">
        <f aca="false">Asset_Allocation!D11*Ret_Real</f>
        <v>6.887205</v>
      </c>
      <c r="E10" s="31" t="n">
        <f aca="false">Asset_Allocation!E11*Ret_Real</f>
        <v>7.30117310585</v>
      </c>
      <c r="F10" s="31" t="n">
        <f aca="false">Asset_Allocation!F11*Ret_Real</f>
        <v>7.73763179397997</v>
      </c>
      <c r="G10" s="31" t="n">
        <f aca="false">Asset_Allocation!G11*Ret_Real</f>
        <v>8.19170766286702</v>
      </c>
      <c r="H10" s="31" t="n">
        <f aca="false">Asset_Allocation!H11*Ret_Real</f>
        <v>8.66376974834045</v>
      </c>
      <c r="I10" s="31" t="n">
        <f aca="false">Asset_Allocation!I11*Ret_Real</f>
        <v>9.15434979631252</v>
      </c>
      <c r="J10" s="31" t="n">
        <f aca="false">Asset_Allocation!J11*Ret_Real</f>
        <v>9.66408073980251</v>
      </c>
      <c r="K10" s="31" t="n">
        <f aca="false">Asset_Allocation!K11*Ret_Real</f>
        <v>10.1936207531777</v>
      </c>
      <c r="L10" s="31" t="n">
        <f aca="false">Asset_Allocation!L11*Ret_Real</f>
        <v>10.7436507587628</v>
      </c>
    </row>
    <row r="11" customFormat="false" ht="15" hidden="false" customHeight="false" outlineLevel="0" collapsed="false">
      <c r="A11" s="6"/>
      <c r="B11" s="30" t="s">
        <v>47</v>
      </c>
      <c r="C11" s="31" t="n">
        <f aca="false">Asset_Allocation!C12*Ret_HF</f>
        <v>5.5</v>
      </c>
      <c r="D11" s="31" t="n">
        <f aca="false">Asset_Allocation!D12*Ret_HF</f>
        <v>5.827635</v>
      </c>
      <c r="E11" s="31" t="n">
        <f aca="false">Asset_Allocation!E12*Ret_HF</f>
        <v>6.17791570495</v>
      </c>
      <c r="F11" s="31" t="n">
        <f aca="false">Asset_Allocation!F12*Ret_HF</f>
        <v>6.54722690259843</v>
      </c>
      <c r="G11" s="31" t="n">
        <f aca="false">Asset_Allocation!G12*Ret_HF</f>
        <v>6.93144494550287</v>
      </c>
      <c r="H11" s="31" t="n">
        <f aca="false">Asset_Allocation!H12*Ret_HF</f>
        <v>7.33088209474961</v>
      </c>
      <c r="I11" s="31" t="n">
        <f aca="false">Asset_Allocation!I12*Ret_HF</f>
        <v>7.74598828918751</v>
      </c>
      <c r="J11" s="31" t="n">
        <f aca="false">Asset_Allocation!J12*Ret_HF</f>
        <v>8.1772990875252</v>
      </c>
      <c r="K11" s="31" t="n">
        <f aca="false">Asset_Allocation!K12*Ret_HF</f>
        <v>8.62537140653501</v>
      </c>
      <c r="L11" s="31" t="n">
        <f aca="false">Asset_Allocation!L12*Ret_HF</f>
        <v>9.09078141126085</v>
      </c>
    </row>
    <row r="12" customFormat="false" ht="15" hidden="false" customHeight="false" outlineLevel="0" collapsed="false">
      <c r="A12" s="6"/>
      <c r="B12" s="30" t="s">
        <v>48</v>
      </c>
      <c r="C12" s="31" t="n">
        <f aca="false">Asset_Allocation!C13*Ret_Cash</f>
        <v>0.4</v>
      </c>
      <c r="D12" s="31" t="n">
        <f aca="false">Asset_Allocation!D13*Ret_Cash</f>
        <v>0.423828</v>
      </c>
      <c r="E12" s="31" t="n">
        <f aca="false">Asset_Allocation!E13*Ret_Cash</f>
        <v>0.44930296036</v>
      </c>
      <c r="F12" s="31" t="n">
        <f aca="false">Asset_Allocation!F13*Ret_Cash</f>
        <v>0.476161956552613</v>
      </c>
      <c r="G12" s="31" t="n">
        <f aca="false">Asset_Allocation!G13*Ret_Cash</f>
        <v>0.504105086945663</v>
      </c>
      <c r="H12" s="31" t="n">
        <f aca="false">Asset_Allocation!H13*Ret_Cash</f>
        <v>0.533155061436336</v>
      </c>
      <c r="I12" s="31" t="n">
        <f aca="false">Asset_Allocation!I13*Ret_Cash</f>
        <v>0.563344602850001</v>
      </c>
      <c r="J12" s="31" t="n">
        <f aca="false">Asset_Allocation!J13*Ret_Cash</f>
        <v>0.594712660910924</v>
      </c>
      <c r="K12" s="31" t="n">
        <f aca="false">Asset_Allocation!K13*Ret_Cash</f>
        <v>0.627299738657092</v>
      </c>
      <c r="L12" s="31" t="n">
        <f aca="false">Asset_Allocation!L13*Ret_Cash</f>
        <v>0.661147739000789</v>
      </c>
    </row>
    <row r="13" customFormat="false" ht="15" hidden="false" customHeight="false" outlineLevel="0" collapsed="false">
      <c r="A13" s="6"/>
      <c r="B13" s="33" t="s">
        <v>104</v>
      </c>
      <c r="C13" s="34" t="n">
        <f aca="false">SUM(C7:C12)</f>
        <v>71.2</v>
      </c>
      <c r="D13" s="34" t="n">
        <f aca="false">SUM(D7:D12)</f>
        <v>75.441384</v>
      </c>
      <c r="E13" s="34" t="n">
        <f aca="false">SUM(E7:E12)</f>
        <v>79.97592694408</v>
      </c>
      <c r="F13" s="34" t="n">
        <f aca="false">SUM(F7:F12)</f>
        <v>84.7568282663652</v>
      </c>
      <c r="G13" s="34" t="n">
        <f aca="false">SUM(G7:G12)</f>
        <v>89.730705476328</v>
      </c>
      <c r="H13" s="34" t="n">
        <f aca="false">SUM(H7:H12)</f>
        <v>94.9016009356677</v>
      </c>
      <c r="I13" s="34" t="n">
        <f aca="false">SUM(I7:I12)</f>
        <v>100.2753393073</v>
      </c>
      <c r="J13" s="34" t="n">
        <f aca="false">SUM(J7:J12)</f>
        <v>105.858853642144</v>
      </c>
      <c r="K13" s="34" t="n">
        <f aca="false">SUM(K7:K12)</f>
        <v>111.659353480962</v>
      </c>
      <c r="L13" s="34" t="n">
        <f aca="false">SUM(L7:L12)</f>
        <v>117.68429754214</v>
      </c>
    </row>
    <row r="14" customFormat="false" ht="15" hidden="false" customHeight="false" outlineLevel="0" collapsed="false">
      <c r="A14" s="6"/>
      <c r="B14" s="6"/>
      <c r="C14" s="6"/>
      <c r="D14" s="6"/>
      <c r="E14" s="6"/>
      <c r="F14" s="6"/>
      <c r="G14" s="6"/>
      <c r="H14" s="6"/>
      <c r="I14" s="6"/>
      <c r="J14" s="6"/>
      <c r="K14" s="6"/>
      <c r="L14" s="6"/>
    </row>
    <row r="15" customFormat="false" ht="15" hidden="false" customHeight="false" outlineLevel="0" collapsed="false">
      <c r="A15" s="6"/>
      <c r="B15" s="7" t="s">
        <v>105</v>
      </c>
      <c r="C15" s="32" t="n">
        <f aca="false">IFERROR(C13/Asset_Allocation!C7,0)</f>
        <v>0.0712</v>
      </c>
      <c r="D15" s="32" t="n">
        <f aca="false">IFERROR(D13/Asset_Allocation!D7,0)</f>
        <v>0.0712</v>
      </c>
      <c r="E15" s="32" t="n">
        <f aca="false">IFERROR(E13/Asset_Allocation!E7,0)</f>
        <v>0.0712</v>
      </c>
      <c r="F15" s="32" t="n">
        <f aca="false">IFERROR(F13/Asset_Allocation!F7,0)</f>
        <v>0.0712</v>
      </c>
      <c r="G15" s="32" t="n">
        <f aca="false">IFERROR(G13/Asset_Allocation!G7,0)</f>
        <v>0.0712</v>
      </c>
      <c r="H15" s="32" t="n">
        <f aca="false">IFERROR(H13/Asset_Allocation!H7,0)</f>
        <v>0.0712</v>
      </c>
      <c r="I15" s="32" t="n">
        <f aca="false">IFERROR(I13/Asset_Allocation!I7,0)</f>
        <v>0.0712</v>
      </c>
      <c r="J15" s="32" t="n">
        <f aca="false">IFERROR(J13/Asset_Allocation!J7,0)</f>
        <v>0.0712</v>
      </c>
      <c r="K15" s="32" t="n">
        <f aca="false">IFERROR(K13/Asset_Allocation!K7,0)</f>
        <v>0.0712</v>
      </c>
      <c r="L15" s="32" t="n">
        <f aca="false">IFERROR(L13/Asset_Allocation!L7,0)</f>
        <v>0.0712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106</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107</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108</v>
      </c>
      <c r="C6" s="22"/>
      <c r="D6" s="22"/>
      <c r="E6" s="22"/>
      <c r="F6" s="22"/>
      <c r="G6" s="22"/>
      <c r="H6" s="22"/>
      <c r="I6" s="22"/>
      <c r="J6" s="22"/>
      <c r="K6" s="22"/>
      <c r="L6" s="22"/>
    </row>
    <row r="7" customFormat="false" ht="15" hidden="false" customHeight="false" outlineLevel="0" collapsed="false">
      <c r="A7" s="6"/>
      <c r="B7" s="30" t="s">
        <v>43</v>
      </c>
      <c r="C7" s="31" t="n">
        <f aca="false">Asset_Allocation!C8*Fee_Pub_Eq</f>
        <v>0.2</v>
      </c>
      <c r="D7" s="31" t="n">
        <f aca="false">Asset_Allocation!D8*Fee_Pub_Eq</f>
        <v>0.211914</v>
      </c>
      <c r="E7" s="31" t="n">
        <f aca="false">Asset_Allocation!E8*Fee_Pub_Eq</f>
        <v>0.22465148018</v>
      </c>
      <c r="F7" s="31" t="n">
        <f aca="false">Asset_Allocation!F8*Fee_Pub_Eq</f>
        <v>0.238080978276307</v>
      </c>
      <c r="G7" s="31" t="n">
        <f aca="false">Asset_Allocation!G8*Fee_Pub_Eq</f>
        <v>0.252052543472832</v>
      </c>
      <c r="H7" s="31" t="n">
        <f aca="false">Asset_Allocation!H8*Fee_Pub_Eq</f>
        <v>0.266577530718168</v>
      </c>
      <c r="I7" s="31" t="n">
        <f aca="false">Asset_Allocation!I8*Fee_Pub_Eq</f>
        <v>0.281672301425001</v>
      </c>
      <c r="J7" s="31" t="n">
        <f aca="false">Asset_Allocation!J8*Fee_Pub_Eq</f>
        <v>0.297356330455462</v>
      </c>
      <c r="K7" s="31" t="n">
        <f aca="false">Asset_Allocation!K8*Fee_Pub_Eq</f>
        <v>0.313649869328546</v>
      </c>
      <c r="L7" s="31" t="n">
        <f aca="false">Asset_Allocation!L8*Fee_Pub_Eq</f>
        <v>0.330573869500395</v>
      </c>
    </row>
    <row r="8" customFormat="false" ht="15" hidden="false" customHeight="false" outlineLevel="0" collapsed="false">
      <c r="A8" s="6"/>
      <c r="B8" s="30" t="s">
        <v>44</v>
      </c>
      <c r="C8" s="31" t="n">
        <f aca="false">Asset_Allocation!C9*Fee_FI</f>
        <v>0.3</v>
      </c>
      <c r="D8" s="31" t="n">
        <f aca="false">Asset_Allocation!D9*Fee_FI</f>
        <v>0.317871</v>
      </c>
      <c r="E8" s="31" t="n">
        <f aca="false">Asset_Allocation!E9*Fee_FI</f>
        <v>0.33697722027</v>
      </c>
      <c r="F8" s="31" t="n">
        <f aca="false">Asset_Allocation!F9*Fee_FI</f>
        <v>0.35712146741446</v>
      </c>
      <c r="G8" s="31" t="n">
        <f aca="false">Asset_Allocation!G9*Fee_FI</f>
        <v>0.378078815209247</v>
      </c>
      <c r="H8" s="31" t="n">
        <f aca="false">Asset_Allocation!H9*Fee_FI</f>
        <v>0.399866296077252</v>
      </c>
      <c r="I8" s="31" t="n">
        <f aca="false">Asset_Allocation!I9*Fee_FI</f>
        <v>0.422508452137501</v>
      </c>
      <c r="J8" s="31" t="n">
        <f aca="false">Asset_Allocation!J9*Fee_FI</f>
        <v>0.446034495683193</v>
      </c>
      <c r="K8" s="31" t="n">
        <f aca="false">Asset_Allocation!K9*Fee_FI</f>
        <v>0.470474803992819</v>
      </c>
      <c r="L8" s="31" t="n">
        <f aca="false">Asset_Allocation!L9*Fee_FI</f>
        <v>0.495860804250592</v>
      </c>
    </row>
    <row r="9" customFormat="false" ht="15" hidden="false" customHeight="false" outlineLevel="0" collapsed="false">
      <c r="A9" s="6"/>
      <c r="B9" s="30" t="s">
        <v>45</v>
      </c>
      <c r="C9" s="31" t="n">
        <f aca="false">Asset_Allocation!C10*Fee_PE</f>
        <v>2.7</v>
      </c>
      <c r="D9" s="31" t="n">
        <f aca="false">Asset_Allocation!D10*Fee_PE</f>
        <v>2.860839</v>
      </c>
      <c r="E9" s="31" t="n">
        <f aca="false">Asset_Allocation!E10*Fee_PE</f>
        <v>3.03279498243</v>
      </c>
      <c r="F9" s="31" t="n">
        <f aca="false">Asset_Allocation!F10*Fee_PE</f>
        <v>3.21409320673014</v>
      </c>
      <c r="G9" s="31" t="n">
        <f aca="false">Asset_Allocation!G10*Fee_PE</f>
        <v>3.40270933688323</v>
      </c>
      <c r="H9" s="31" t="n">
        <f aca="false">Asset_Allocation!H10*Fee_PE</f>
        <v>3.59879666469527</v>
      </c>
      <c r="I9" s="31" t="n">
        <f aca="false">Asset_Allocation!I10*Fee_PE</f>
        <v>3.80257606923751</v>
      </c>
      <c r="J9" s="31" t="n">
        <f aca="false">Asset_Allocation!J10*Fee_PE</f>
        <v>4.01431046114873</v>
      </c>
      <c r="K9" s="31" t="n">
        <f aca="false">Asset_Allocation!K10*Fee_PE</f>
        <v>4.23427323593537</v>
      </c>
      <c r="L9" s="31" t="n">
        <f aca="false">Asset_Allocation!L10*Fee_PE</f>
        <v>4.46274723825533</v>
      </c>
    </row>
    <row r="10" customFormat="false" ht="15" hidden="false" customHeight="false" outlineLevel="0" collapsed="false">
      <c r="A10" s="6"/>
      <c r="B10" s="30" t="s">
        <v>46</v>
      </c>
      <c r="C10" s="31" t="n">
        <f aca="false">Asset_Allocation!C11*Fee_Real</f>
        <v>0.8</v>
      </c>
      <c r="D10" s="31" t="n">
        <f aca="false">Asset_Allocation!D11*Fee_Real</f>
        <v>0.847656</v>
      </c>
      <c r="E10" s="31" t="n">
        <f aca="false">Asset_Allocation!E11*Fee_Real</f>
        <v>0.89860592072</v>
      </c>
      <c r="F10" s="31" t="n">
        <f aca="false">Asset_Allocation!F11*Fee_Real</f>
        <v>0.952323913105227</v>
      </c>
      <c r="G10" s="31" t="n">
        <f aca="false">Asset_Allocation!G11*Fee_Real</f>
        <v>1.00821017389133</v>
      </c>
      <c r="H10" s="31" t="n">
        <f aca="false">Asset_Allocation!H11*Fee_Real</f>
        <v>1.06631012287267</v>
      </c>
      <c r="I10" s="31" t="n">
        <f aca="false">Asset_Allocation!I11*Fee_Real</f>
        <v>1.1266892057</v>
      </c>
      <c r="J10" s="31" t="n">
        <f aca="false">Asset_Allocation!J11*Fee_Real</f>
        <v>1.18942532182185</v>
      </c>
      <c r="K10" s="31" t="n">
        <f aca="false">Asset_Allocation!K11*Fee_Real</f>
        <v>1.25459947731418</v>
      </c>
      <c r="L10" s="31" t="n">
        <f aca="false">Asset_Allocation!L11*Fee_Real</f>
        <v>1.32229547800158</v>
      </c>
    </row>
    <row r="11" customFormat="false" ht="15" hidden="false" customHeight="false" outlineLevel="0" collapsed="false">
      <c r="A11" s="6"/>
      <c r="B11" s="30" t="s">
        <v>47</v>
      </c>
      <c r="C11" s="31" t="n">
        <f aca="false">Asset_Allocation!C12*Fee_HF</f>
        <v>1.25</v>
      </c>
      <c r="D11" s="31" t="n">
        <f aca="false">Asset_Allocation!D12*Fee_HF</f>
        <v>1.3244625</v>
      </c>
      <c r="E11" s="31" t="n">
        <f aca="false">Asset_Allocation!E12*Fee_HF</f>
        <v>1.404071751125</v>
      </c>
      <c r="F11" s="31" t="n">
        <f aca="false">Asset_Allocation!F12*Fee_HF</f>
        <v>1.48800611422692</v>
      </c>
      <c r="G11" s="31" t="n">
        <f aca="false">Asset_Allocation!G12*Fee_HF</f>
        <v>1.5753283967052</v>
      </c>
      <c r="H11" s="31" t="n">
        <f aca="false">Asset_Allocation!H12*Fee_HF</f>
        <v>1.66610956698855</v>
      </c>
      <c r="I11" s="31" t="n">
        <f aca="false">Asset_Allocation!I12*Fee_HF</f>
        <v>1.76045188390625</v>
      </c>
      <c r="J11" s="31" t="n">
        <f aca="false">Asset_Allocation!J12*Fee_HF</f>
        <v>1.85847706534664</v>
      </c>
      <c r="K11" s="31" t="n">
        <f aca="false">Asset_Allocation!K12*Fee_HF</f>
        <v>1.96031168330341</v>
      </c>
      <c r="L11" s="31" t="n">
        <f aca="false">Asset_Allocation!L12*Fee_HF</f>
        <v>2.06608668437747</v>
      </c>
    </row>
    <row r="12" customFormat="false" ht="15" hidden="false" customHeight="false" outlineLevel="0" collapsed="false">
      <c r="A12" s="6"/>
      <c r="B12" s="33" t="s">
        <v>109</v>
      </c>
      <c r="C12" s="34" t="n">
        <f aca="false">SUM(C7:C11)</f>
        <v>5.25</v>
      </c>
      <c r="D12" s="34" t="n">
        <f aca="false">SUM(D7:D11)</f>
        <v>5.5627425</v>
      </c>
      <c r="E12" s="34" t="n">
        <f aca="false">SUM(E7:E11)</f>
        <v>5.897101354725</v>
      </c>
      <c r="F12" s="34" t="n">
        <f aca="false">SUM(F7:F11)</f>
        <v>6.24962567975305</v>
      </c>
      <c r="G12" s="34" t="n">
        <f aca="false">SUM(G7:G11)</f>
        <v>6.61637926616183</v>
      </c>
      <c r="H12" s="34" t="n">
        <f aca="false">SUM(H7:H11)</f>
        <v>6.99766018135191</v>
      </c>
      <c r="I12" s="34" t="n">
        <f aca="false">SUM(I7:I11)</f>
        <v>7.39389791240626</v>
      </c>
      <c r="J12" s="34" t="n">
        <f aca="false">SUM(J7:J11)</f>
        <v>7.80560367445587</v>
      </c>
      <c r="K12" s="34" t="n">
        <f aca="false">SUM(K7:K11)</f>
        <v>8.23330906987433</v>
      </c>
      <c r="L12" s="34" t="n">
        <f aca="false">SUM(L7:L11)</f>
        <v>8.67756407438536</v>
      </c>
    </row>
    <row r="13" customFormat="false" ht="15" hidden="false" customHeight="false" outlineLevel="0" collapsed="false">
      <c r="A13" s="6"/>
      <c r="B13" s="6"/>
      <c r="C13" s="6"/>
      <c r="D13" s="6"/>
      <c r="E13" s="6"/>
      <c r="F13" s="6"/>
      <c r="G13" s="6"/>
      <c r="H13" s="6"/>
      <c r="I13" s="6"/>
      <c r="J13" s="6"/>
      <c r="K13" s="6"/>
      <c r="L13" s="6"/>
    </row>
    <row r="14" customFormat="false" ht="15" hidden="false" customHeight="false" outlineLevel="0" collapsed="false">
      <c r="A14" s="6"/>
      <c r="B14" s="28" t="s">
        <v>110</v>
      </c>
      <c r="C14" s="22"/>
      <c r="D14" s="22"/>
      <c r="E14" s="22"/>
      <c r="F14" s="22"/>
      <c r="G14" s="22"/>
      <c r="H14" s="22"/>
      <c r="I14" s="22"/>
      <c r="J14" s="22"/>
      <c r="K14" s="22"/>
      <c r="L14" s="22"/>
    </row>
    <row r="15" customFormat="false" ht="15" hidden="false" customHeight="false" outlineLevel="0" collapsed="false">
      <c r="A15" s="6"/>
      <c r="B15" s="30" t="s">
        <v>111</v>
      </c>
      <c r="C15" s="35" t="n">
        <f aca="false">MAX(0,IFERROR(Investment_Returns!C9/Asset_Allocation!C10,0)-PE_Hurdle)</f>
        <v>0.03</v>
      </c>
      <c r="D15" s="35" t="n">
        <f aca="false">MAX(0,IFERROR(Investment_Returns!D9/Asset_Allocation!D10,0)-PE_Hurdle)</f>
        <v>0.03</v>
      </c>
      <c r="E15" s="35" t="n">
        <f aca="false">MAX(0,IFERROR(Investment_Returns!E9/Asset_Allocation!E10,0)-PE_Hurdle)</f>
        <v>0.03</v>
      </c>
      <c r="F15" s="35" t="n">
        <f aca="false">MAX(0,IFERROR(Investment_Returns!F9/Asset_Allocation!F10,0)-PE_Hurdle)</f>
        <v>0.03</v>
      </c>
      <c r="G15" s="35" t="n">
        <f aca="false">MAX(0,IFERROR(Investment_Returns!G9/Asset_Allocation!G10,0)-PE_Hurdle)</f>
        <v>0.03</v>
      </c>
      <c r="H15" s="35" t="n">
        <f aca="false">MAX(0,IFERROR(Investment_Returns!H9/Asset_Allocation!H10,0)-PE_Hurdle)</f>
        <v>0.03</v>
      </c>
      <c r="I15" s="35" t="n">
        <f aca="false">MAX(0,IFERROR(Investment_Returns!I9/Asset_Allocation!I10,0)-PE_Hurdle)</f>
        <v>0.03</v>
      </c>
      <c r="J15" s="35" t="n">
        <f aca="false">MAX(0,IFERROR(Investment_Returns!J9/Asset_Allocation!J10,0)-PE_Hurdle)</f>
        <v>0.03</v>
      </c>
      <c r="K15" s="35" t="n">
        <f aca="false">MAX(0,IFERROR(Investment_Returns!K9/Asset_Allocation!K10,0)-PE_Hurdle)</f>
        <v>0.03</v>
      </c>
      <c r="L15" s="35" t="n">
        <f aca="false">MAX(0,IFERROR(Investment_Returns!L9/Asset_Allocation!L10,0)-PE_Hurdle)</f>
        <v>0.03</v>
      </c>
    </row>
    <row r="16" customFormat="false" ht="15" hidden="false" customHeight="false" outlineLevel="0" collapsed="false">
      <c r="A16" s="6"/>
      <c r="B16" s="30" t="s">
        <v>112</v>
      </c>
      <c r="C16" s="31" t="n">
        <f aca="false">Asset_Allocation!C10*C15*PE_Carry</f>
        <v>1.08</v>
      </c>
      <c r="D16" s="31" t="n">
        <f aca="false">Asset_Allocation!D10*D15*PE_Carry</f>
        <v>1.1443356</v>
      </c>
      <c r="E16" s="31" t="n">
        <f aca="false">Asset_Allocation!E10*E15*PE_Carry</f>
        <v>1.213117992972</v>
      </c>
      <c r="F16" s="31" t="n">
        <f aca="false">Asset_Allocation!F10*F15*PE_Carry</f>
        <v>1.28563728269206</v>
      </c>
      <c r="G16" s="31" t="n">
        <f aca="false">Asset_Allocation!G10*G15*PE_Carry</f>
        <v>1.36108373475329</v>
      </c>
      <c r="H16" s="31" t="n">
        <f aca="false">Asset_Allocation!H10*H15*PE_Carry</f>
        <v>1.43951866587811</v>
      </c>
      <c r="I16" s="31" t="n">
        <f aca="false">Asset_Allocation!I10*I15*PE_Carry</f>
        <v>1.521030427695</v>
      </c>
      <c r="J16" s="31" t="n">
        <f aca="false">Asset_Allocation!J10*J15*PE_Carry</f>
        <v>1.60572418445949</v>
      </c>
      <c r="K16" s="31" t="n">
        <f aca="false">Asset_Allocation!K10*K15*PE_Carry</f>
        <v>1.69370929437415</v>
      </c>
      <c r="L16" s="31" t="n">
        <f aca="false">Asset_Allocation!L10*L15*PE_Carry</f>
        <v>1.78509889530213</v>
      </c>
    </row>
    <row r="17" customFormat="false" ht="15" hidden="false" customHeight="false" outlineLevel="0" collapsed="false">
      <c r="A17" s="6"/>
      <c r="B17" s="28"/>
      <c r="C17" s="22"/>
      <c r="D17" s="22"/>
      <c r="E17" s="22"/>
      <c r="F17" s="22"/>
      <c r="G17" s="22"/>
      <c r="H17" s="22"/>
      <c r="I17" s="22"/>
      <c r="J17" s="22"/>
      <c r="K17" s="22"/>
      <c r="L17" s="22"/>
    </row>
    <row r="18" customFormat="false" ht="15" hidden="false" customHeight="false" outlineLevel="0" collapsed="false">
      <c r="A18" s="6"/>
      <c r="B18" s="36" t="s">
        <v>113</v>
      </c>
      <c r="C18" s="37" t="n">
        <f aca="false">C12+C16</f>
        <v>6.33</v>
      </c>
      <c r="D18" s="37" t="n">
        <f aca="false">D12+D16</f>
        <v>6.7070781</v>
      </c>
      <c r="E18" s="37" t="n">
        <f aca="false">E12+E16</f>
        <v>7.110219347697</v>
      </c>
      <c r="F18" s="37" t="n">
        <f aca="false">F12+F16</f>
        <v>7.5352629624451</v>
      </c>
      <c r="G18" s="37" t="n">
        <f aca="false">G12+G16</f>
        <v>7.97746300091512</v>
      </c>
      <c r="H18" s="37" t="n">
        <f aca="false">H12+H16</f>
        <v>8.43717884723001</v>
      </c>
      <c r="I18" s="37" t="n">
        <f aca="false">I12+I16</f>
        <v>8.91492834010127</v>
      </c>
      <c r="J18" s="37" t="n">
        <f aca="false">J12+J16</f>
        <v>9.41132785891536</v>
      </c>
      <c r="K18" s="37" t="n">
        <f aca="false">K12+K16</f>
        <v>9.92701836424848</v>
      </c>
      <c r="L18" s="37" t="n">
        <f aca="false">L12+L16</f>
        <v>10.4626629696875</v>
      </c>
    </row>
    <row r="19" customFormat="false" ht="15" hidden="false" customHeight="false" outlineLevel="0" collapsed="false">
      <c r="A19" s="6"/>
      <c r="B19" s="6"/>
      <c r="C19" s="6"/>
      <c r="D19" s="6"/>
      <c r="E19" s="6"/>
      <c r="F19" s="6"/>
      <c r="G19" s="6"/>
      <c r="H19" s="6"/>
      <c r="I19" s="6"/>
      <c r="J19" s="6"/>
      <c r="K19" s="6"/>
      <c r="L19" s="6"/>
    </row>
    <row r="20" customFormat="false" ht="15" hidden="false" customHeight="false" outlineLevel="0" collapsed="false">
      <c r="A20" s="6"/>
      <c r="B20" s="7" t="s">
        <v>114</v>
      </c>
      <c r="C20" s="32" t="n">
        <f aca="false">IFERROR(C18/Asset_Allocation!C7,0)</f>
        <v>0.00633</v>
      </c>
      <c r="D20" s="32" t="n">
        <f aca="false">IFERROR(D18/Asset_Allocation!D7,0)</f>
        <v>0.00633</v>
      </c>
      <c r="E20" s="32" t="n">
        <f aca="false">IFERROR(E18/Asset_Allocation!E7,0)</f>
        <v>0.00633</v>
      </c>
      <c r="F20" s="32" t="n">
        <f aca="false">IFERROR(F18/Asset_Allocation!F7,0)</f>
        <v>0.00633</v>
      </c>
      <c r="G20" s="32" t="n">
        <f aca="false">IFERROR(G18/Asset_Allocation!G7,0)</f>
        <v>0.00633</v>
      </c>
      <c r="H20" s="32" t="n">
        <f aca="false">IFERROR(H18/Asset_Allocation!H7,0)</f>
        <v>0.00633</v>
      </c>
      <c r="I20" s="32" t="n">
        <f aca="false">IFERROR(I18/Asset_Allocation!I7,0)</f>
        <v>0.00633</v>
      </c>
      <c r="J20" s="32" t="n">
        <f aca="false">IFERROR(J18/Asset_Allocation!J7,0)</f>
        <v>0.00633</v>
      </c>
      <c r="K20" s="32" t="n">
        <f aca="false">IFERROR(K18/Asset_Allocation!K7,0)</f>
        <v>0.00633</v>
      </c>
      <c r="L20" s="32" t="n">
        <f aca="false">IFERROR(L18/Asset_Allocation!L7,0)</f>
        <v>0.00633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74</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115</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116</v>
      </c>
      <c r="C6" s="22"/>
      <c r="D6" s="22"/>
      <c r="E6" s="22"/>
      <c r="F6" s="22"/>
      <c r="G6" s="22"/>
      <c r="H6" s="22"/>
      <c r="I6" s="22"/>
      <c r="J6" s="22"/>
      <c r="K6" s="22"/>
      <c r="L6" s="22"/>
    </row>
    <row r="7" customFormat="false" ht="15" hidden="false" customHeight="false" outlineLevel="0" collapsed="false">
      <c r="A7" s="6"/>
      <c r="B7" s="30" t="s">
        <v>117</v>
      </c>
      <c r="C7" s="31" t="n">
        <f aca="false">Donation_Base</f>
        <v>40</v>
      </c>
      <c r="D7" s="31" t="n">
        <f aca="false">C9</f>
        <v>41.2</v>
      </c>
      <c r="E7" s="31" t="n">
        <f aca="false">D9</f>
        <v>42.436</v>
      </c>
      <c r="F7" s="31" t="n">
        <f aca="false">E9</f>
        <v>43.70908</v>
      </c>
      <c r="G7" s="31" t="n">
        <f aca="false">F9</f>
        <v>45.0203524</v>
      </c>
      <c r="H7" s="31" t="n">
        <f aca="false">G9</f>
        <v>46.370962972</v>
      </c>
      <c r="I7" s="31" t="n">
        <f aca="false">H9</f>
        <v>47.76209186116</v>
      </c>
      <c r="J7" s="31" t="n">
        <f aca="false">I9</f>
        <v>49.1949546169948</v>
      </c>
      <c r="K7" s="31" t="n">
        <f aca="false">J9</f>
        <v>50.6708032555047</v>
      </c>
      <c r="L7" s="31" t="n">
        <f aca="false">K9</f>
        <v>52.1909273531698</v>
      </c>
    </row>
    <row r="8" customFormat="false" ht="15" hidden="false" customHeight="false" outlineLevel="0" collapsed="false">
      <c r="A8" s="6"/>
      <c r="B8" s="30" t="s">
        <v>118</v>
      </c>
      <c r="C8" s="35" t="n">
        <f aca="false">Donation_Growth</f>
        <v>0.03</v>
      </c>
      <c r="D8" s="35" t="n">
        <f aca="false">Donation_Growth</f>
        <v>0.03</v>
      </c>
      <c r="E8" s="35" t="n">
        <f aca="false">Donation_Growth</f>
        <v>0.03</v>
      </c>
      <c r="F8" s="35" t="n">
        <f aca="false">Donation_Growth</f>
        <v>0.03</v>
      </c>
      <c r="G8" s="35" t="n">
        <f aca="false">Donation_Growth</f>
        <v>0.03</v>
      </c>
      <c r="H8" s="35" t="n">
        <f aca="false">Donation_Growth</f>
        <v>0.03</v>
      </c>
      <c r="I8" s="35" t="n">
        <f aca="false">Donation_Growth</f>
        <v>0.03</v>
      </c>
      <c r="J8" s="35" t="n">
        <f aca="false">Donation_Growth</f>
        <v>0.03</v>
      </c>
      <c r="K8" s="35" t="n">
        <f aca="false">Donation_Growth</f>
        <v>0.03</v>
      </c>
      <c r="L8" s="35" t="n">
        <f aca="false">Donation_Growth</f>
        <v>0.03</v>
      </c>
    </row>
    <row r="9" customFormat="false" ht="15" hidden="false" customHeight="false" outlineLevel="0" collapsed="false">
      <c r="A9" s="6"/>
      <c r="B9" s="33" t="s">
        <v>119</v>
      </c>
      <c r="C9" s="34" t="n">
        <f aca="false">C7*(1+C8)</f>
        <v>41.2</v>
      </c>
      <c r="D9" s="34" t="n">
        <f aca="false">D7*(1+D8)</f>
        <v>42.436</v>
      </c>
      <c r="E9" s="34" t="n">
        <f aca="false">E7*(1+E8)</f>
        <v>43.70908</v>
      </c>
      <c r="F9" s="34" t="n">
        <f aca="false">F7*(1+F8)</f>
        <v>45.0203524</v>
      </c>
      <c r="G9" s="34" t="n">
        <f aca="false">G7*(1+G8)</f>
        <v>46.370962972</v>
      </c>
      <c r="H9" s="34" t="n">
        <f aca="false">H7*(1+H8)</f>
        <v>47.76209186116</v>
      </c>
      <c r="I9" s="34" t="n">
        <f aca="false">I7*(1+I8)</f>
        <v>49.1949546169948</v>
      </c>
      <c r="J9" s="34" t="n">
        <f aca="false">J7*(1+J8)</f>
        <v>50.6708032555047</v>
      </c>
      <c r="K9" s="34" t="n">
        <f aca="false">K7*(1+K8)</f>
        <v>52.1909273531698</v>
      </c>
      <c r="L9" s="34" t="n">
        <f aca="false">L7*(1+L8)</f>
        <v>53.7566551737649</v>
      </c>
    </row>
    <row r="10" customFormat="false" ht="15" hidden="false" customHeight="false" outlineLevel="0" collapsed="false">
      <c r="A10" s="6"/>
      <c r="B10" s="30" t="s">
        <v>120</v>
      </c>
      <c r="C10" s="31" t="n">
        <f aca="false">C9</f>
        <v>41.2</v>
      </c>
      <c r="D10" s="31" t="n">
        <f aca="false">C10+D9</f>
        <v>83.636</v>
      </c>
      <c r="E10" s="31" t="n">
        <f aca="false">D10+E9</f>
        <v>127.34508</v>
      </c>
      <c r="F10" s="31" t="n">
        <f aca="false">E10+F9</f>
        <v>172.3654324</v>
      </c>
      <c r="G10" s="31" t="n">
        <f aca="false">F10+G9</f>
        <v>218.736395372</v>
      </c>
      <c r="H10" s="31" t="n">
        <f aca="false">G10+H9</f>
        <v>266.49848723316</v>
      </c>
      <c r="I10" s="31" t="n">
        <f aca="false">H10+I9</f>
        <v>315.693441850155</v>
      </c>
      <c r="J10" s="31" t="n">
        <f aca="false">I10+J9</f>
        <v>366.36424510566</v>
      </c>
      <c r="K10" s="31" t="n">
        <f aca="false">J10+K9</f>
        <v>418.555172458829</v>
      </c>
      <c r="L10" s="31" t="n">
        <f aca="false">K10+L9</f>
        <v>472.311827632594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71</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121</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122</v>
      </c>
      <c r="C6" s="22"/>
      <c r="D6" s="22"/>
      <c r="E6" s="22"/>
      <c r="F6" s="22"/>
      <c r="G6" s="22"/>
      <c r="H6" s="22"/>
      <c r="I6" s="22"/>
      <c r="J6" s="22"/>
      <c r="K6" s="22"/>
      <c r="L6" s="22"/>
    </row>
    <row r="7" customFormat="false" ht="15" hidden="false" customHeight="false" outlineLevel="0" collapsed="false">
      <c r="A7" s="6"/>
      <c r="B7" s="30" t="s">
        <v>123</v>
      </c>
      <c r="C7" s="31" t="n">
        <f aca="false">Beginning_AUM</f>
        <v>1000</v>
      </c>
      <c r="D7" s="31" t="n">
        <f aca="false">AUM_Rollforward!C14</f>
        <v>1059.57</v>
      </c>
      <c r="E7" s="31" t="n">
        <f aca="false">AUM_Rollforward!D14</f>
        <v>1123.2574009</v>
      </c>
      <c r="F7" s="31" t="n">
        <f aca="false">AUM_Rollforward!E14</f>
        <v>1190.40489138153</v>
      </c>
      <c r="G7" s="31" t="n">
        <f aca="false">AUM_Rollforward!F14</f>
        <v>1260.26271736416</v>
      </c>
      <c r="H7" s="31" t="n">
        <f aca="false">AUM_Rollforward!G14</f>
        <v>1332.88765359084</v>
      </c>
      <c r="I7" s="31" t="n">
        <f aca="false">AUM_Rollforward!H14</f>
        <v>1408.361507125</v>
      </c>
      <c r="J7" s="31" t="n">
        <f aca="false">AUM_Rollforward!I14</f>
        <v>1486.78165227731</v>
      </c>
      <c r="K7" s="31" t="n">
        <f aca="false">AUM_Rollforward!J14</f>
        <v>1568.24934664273</v>
      </c>
      <c r="L7" s="31" t="n">
        <f aca="false">AUM_Rollforward!K14</f>
        <v>1652.86934750197</v>
      </c>
    </row>
    <row r="8" customFormat="false" ht="15" hidden="false" customHeight="false" outlineLevel="0" collapsed="false">
      <c r="A8" s="6"/>
      <c r="B8" s="30" t="s">
        <v>124</v>
      </c>
      <c r="C8" s="31" t="n">
        <f aca="false">Beginning_AUM</f>
        <v>1000</v>
      </c>
      <c r="D8" s="31" t="n">
        <f aca="false">Beginning_AUM</f>
        <v>1000</v>
      </c>
      <c r="E8" s="31" t="n">
        <f aca="false">AUM_Rollforward!C14</f>
        <v>1059.57</v>
      </c>
      <c r="F8" s="31" t="n">
        <f aca="false">AUM_Rollforward!D14</f>
        <v>1123.2574009</v>
      </c>
      <c r="G8" s="31" t="n">
        <f aca="false">AUM_Rollforward!E14</f>
        <v>1190.40489138153</v>
      </c>
      <c r="H8" s="31" t="n">
        <f aca="false">AUM_Rollforward!F14</f>
        <v>1260.26271736416</v>
      </c>
      <c r="I8" s="31" t="n">
        <f aca="false">AUM_Rollforward!G14</f>
        <v>1332.88765359084</v>
      </c>
      <c r="J8" s="31" t="n">
        <f aca="false">AUM_Rollforward!H14</f>
        <v>1408.361507125</v>
      </c>
      <c r="K8" s="31" t="n">
        <f aca="false">AUM_Rollforward!I14</f>
        <v>1486.78165227731</v>
      </c>
      <c r="L8" s="31" t="n">
        <f aca="false">AUM_Rollforward!J14</f>
        <v>1568.24934664273</v>
      </c>
    </row>
    <row r="9" customFormat="false" ht="15" hidden="false" customHeight="false" outlineLevel="0" collapsed="false">
      <c r="A9" s="6"/>
      <c r="B9" s="30" t="s">
        <v>125</v>
      </c>
      <c r="C9" s="31" t="n">
        <f aca="false">Beginning_AUM</f>
        <v>1000</v>
      </c>
      <c r="D9" s="31" t="n">
        <f aca="false">Beginning_AUM</f>
        <v>1000</v>
      </c>
      <c r="E9" s="31" t="n">
        <f aca="false">Beginning_AUM</f>
        <v>1000</v>
      </c>
      <c r="F9" s="31" t="n">
        <f aca="false">AUM_Rollforward!C14</f>
        <v>1059.57</v>
      </c>
      <c r="G9" s="31" t="n">
        <f aca="false">AUM_Rollforward!D14</f>
        <v>1123.2574009</v>
      </c>
      <c r="H9" s="31" t="n">
        <f aca="false">AUM_Rollforward!E14</f>
        <v>1190.40489138153</v>
      </c>
      <c r="I9" s="31" t="n">
        <f aca="false">AUM_Rollforward!F14</f>
        <v>1260.26271736416</v>
      </c>
      <c r="J9" s="31" t="n">
        <f aca="false">AUM_Rollforward!G14</f>
        <v>1332.88765359084</v>
      </c>
      <c r="K9" s="31" t="n">
        <f aca="false">AUM_Rollforward!H14</f>
        <v>1408.361507125</v>
      </c>
      <c r="L9" s="31" t="n">
        <f aca="false">AUM_Rollforward!I14</f>
        <v>1486.78165227731</v>
      </c>
    </row>
    <row r="10" customFormat="false" ht="15" hidden="false" customHeight="false" outlineLevel="0" collapsed="false">
      <c r="A10" s="6"/>
      <c r="B10" s="33" t="s">
        <v>121</v>
      </c>
      <c r="C10" s="34" t="n">
        <f aca="false">(C7+C8+C9)/3</f>
        <v>1000</v>
      </c>
      <c r="D10" s="34" t="n">
        <f aca="false">(D7+D8+D9)/3</f>
        <v>1019.85666666667</v>
      </c>
      <c r="E10" s="34" t="n">
        <f aca="false">(E7+E8+E9)/3</f>
        <v>1060.94246696667</v>
      </c>
      <c r="F10" s="34" t="n">
        <f aca="false">(F7+F8+F9)/3</f>
        <v>1124.41076409384</v>
      </c>
      <c r="G10" s="34" t="n">
        <f aca="false">(G7+G8+G9)/3</f>
        <v>1191.30833654856</v>
      </c>
      <c r="H10" s="34" t="n">
        <f aca="false">(H7+H8+H9)/3</f>
        <v>1261.18508744551</v>
      </c>
      <c r="I10" s="34" t="n">
        <f aca="false">(I7+I8+I9)/3</f>
        <v>1333.83729269333</v>
      </c>
      <c r="J10" s="34" t="n">
        <f aca="false">(J7+J8+J9)/3</f>
        <v>1409.34360433105</v>
      </c>
      <c r="K10" s="34" t="n">
        <f aca="false">(K7+K8+K9)/3</f>
        <v>1487.79750201501</v>
      </c>
      <c r="L10" s="34" t="n">
        <f aca="false">(L7+L8+L9)/3</f>
        <v>1569.300115474</v>
      </c>
    </row>
    <row r="11" customFormat="false" ht="15" hidden="false" customHeight="false" outlineLevel="0" collapsed="false">
      <c r="A11" s="6"/>
      <c r="B11" s="28" t="s">
        <v>126</v>
      </c>
      <c r="C11" s="22"/>
      <c r="D11" s="22"/>
      <c r="E11" s="22"/>
      <c r="F11" s="22"/>
      <c r="G11" s="22"/>
      <c r="H11" s="22"/>
      <c r="I11" s="22"/>
      <c r="J11" s="22"/>
      <c r="K11" s="22"/>
      <c r="L11" s="22"/>
    </row>
    <row r="12" customFormat="false" ht="15" hidden="false" customHeight="false" outlineLevel="0" collapsed="false">
      <c r="A12" s="6"/>
      <c r="B12" s="7" t="s">
        <v>127</v>
      </c>
      <c r="C12" s="29" t="n">
        <f aca="false">C10*Spending_Rate</f>
        <v>45</v>
      </c>
      <c r="D12" s="29" t="n">
        <f aca="false">D10*Spending_Rate</f>
        <v>45.89355</v>
      </c>
      <c r="E12" s="29" t="n">
        <f aca="false">E10*Spending_Rate</f>
        <v>47.7424110135</v>
      </c>
      <c r="F12" s="29" t="n">
        <f aca="false">F10*Spending_Rate</f>
        <v>50.598484384223</v>
      </c>
      <c r="G12" s="29" t="n">
        <f aca="false">G10*Spending_Rate</f>
        <v>53.6088751446854</v>
      </c>
      <c r="H12" s="29" t="n">
        <f aca="false">H10*Spending_Rate</f>
        <v>56.7533289350479</v>
      </c>
      <c r="I12" s="29" t="n">
        <f aca="false">I10*Spending_Rate</f>
        <v>60.0226781712</v>
      </c>
      <c r="J12" s="29" t="n">
        <f aca="false">J10*Spending_Rate</f>
        <v>63.4204621948973</v>
      </c>
      <c r="K12" s="29" t="n">
        <f aca="false">K10*Spending_Rate</f>
        <v>66.9508875906756</v>
      </c>
      <c r="L12" s="29" t="n">
        <f aca="false">L10*Spending_Rate</f>
        <v>70.6185051963302</v>
      </c>
    </row>
    <row r="13" customFormat="false" ht="15" hidden="false" customHeight="false" outlineLevel="0" collapsed="false">
      <c r="A13" s="6"/>
      <c r="B13" s="30" t="s">
        <v>128</v>
      </c>
      <c r="C13" s="31" t="n">
        <f aca="false">C12</f>
        <v>45</v>
      </c>
      <c r="D13" s="31" t="n">
        <f aca="false">C13+D12</f>
        <v>90.89355</v>
      </c>
      <c r="E13" s="31" t="n">
        <f aca="false">D13+E12</f>
        <v>138.6359610135</v>
      </c>
      <c r="F13" s="31" t="n">
        <f aca="false">E13+F12</f>
        <v>189.234445397723</v>
      </c>
      <c r="G13" s="31" t="n">
        <f aca="false">F13+G12</f>
        <v>242.843320542408</v>
      </c>
      <c r="H13" s="31" t="n">
        <f aca="false">G13+H12</f>
        <v>299.596649477456</v>
      </c>
      <c r="I13" s="31" t="n">
        <f aca="false">H13+I12</f>
        <v>359.619327648656</v>
      </c>
      <c r="J13" s="31" t="n">
        <f aca="false">I13+J12</f>
        <v>423.039789843554</v>
      </c>
      <c r="K13" s="31" t="n">
        <f aca="false">J13+K12</f>
        <v>489.990677434229</v>
      </c>
      <c r="L13" s="31" t="n">
        <f aca="false">K13+L12</f>
        <v>560.609182630559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129</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130</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131</v>
      </c>
      <c r="C6" s="22"/>
      <c r="D6" s="22"/>
      <c r="E6" s="22"/>
      <c r="F6" s="22"/>
      <c r="G6" s="22"/>
      <c r="H6" s="22"/>
      <c r="I6" s="22"/>
      <c r="J6" s="22"/>
      <c r="K6" s="22"/>
      <c r="L6" s="22"/>
    </row>
    <row r="7" customFormat="false" ht="15" hidden="false" customHeight="false" outlineLevel="0" collapsed="false">
      <c r="A7" s="6"/>
      <c r="B7" s="7" t="s">
        <v>36</v>
      </c>
      <c r="C7" s="29" t="n">
        <f aca="false">Asset_Allocation!C7</f>
        <v>1000</v>
      </c>
      <c r="D7" s="29" t="n">
        <f aca="false">Asset_Allocation!D7</f>
        <v>1059.57</v>
      </c>
      <c r="E7" s="29" t="n">
        <f aca="false">Asset_Allocation!E7</f>
        <v>1123.2574009</v>
      </c>
      <c r="F7" s="29" t="n">
        <f aca="false">Asset_Allocation!F7</f>
        <v>1190.40489138153</v>
      </c>
      <c r="G7" s="29" t="n">
        <f aca="false">Asset_Allocation!G7</f>
        <v>1260.26271736416</v>
      </c>
      <c r="H7" s="29" t="n">
        <f aca="false">Asset_Allocation!H7</f>
        <v>1332.88765359084</v>
      </c>
      <c r="I7" s="29" t="n">
        <f aca="false">Asset_Allocation!I7</f>
        <v>1408.361507125</v>
      </c>
      <c r="J7" s="29" t="n">
        <f aca="false">Asset_Allocation!J7</f>
        <v>1486.78165227731</v>
      </c>
      <c r="K7" s="29" t="n">
        <f aca="false">Asset_Allocation!K7</f>
        <v>1568.24934664273</v>
      </c>
      <c r="L7" s="29" t="n">
        <f aca="false">Asset_Allocation!L7</f>
        <v>1652.86934750197</v>
      </c>
    </row>
    <row r="8" customFormat="false" ht="15" hidden="false" customHeight="false" outlineLevel="0" collapsed="false">
      <c r="A8" s="6"/>
      <c r="B8" s="30" t="s">
        <v>74</v>
      </c>
      <c r="C8" s="38" t="n">
        <f aca="false">Donations!C9</f>
        <v>41.2</v>
      </c>
      <c r="D8" s="38" t="n">
        <f aca="false">Donations!D9</f>
        <v>42.436</v>
      </c>
      <c r="E8" s="38" t="n">
        <f aca="false">Donations!E9</f>
        <v>43.70908</v>
      </c>
      <c r="F8" s="38" t="n">
        <f aca="false">Donations!F9</f>
        <v>45.0203524</v>
      </c>
      <c r="G8" s="38" t="n">
        <f aca="false">Donations!G9</f>
        <v>46.370962972</v>
      </c>
      <c r="H8" s="38" t="n">
        <f aca="false">Donations!H9</f>
        <v>47.76209186116</v>
      </c>
      <c r="I8" s="38" t="n">
        <f aca="false">Donations!I9</f>
        <v>49.1949546169948</v>
      </c>
      <c r="J8" s="38" t="n">
        <f aca="false">Donations!J9</f>
        <v>50.6708032555047</v>
      </c>
      <c r="K8" s="38" t="n">
        <f aca="false">Donations!K9</f>
        <v>52.1909273531698</v>
      </c>
      <c r="L8" s="38" t="n">
        <f aca="false">Donations!L9</f>
        <v>53.7566551737649</v>
      </c>
    </row>
    <row r="9" customFormat="false" ht="15" hidden="false" customHeight="false" outlineLevel="0" collapsed="false">
      <c r="A9" s="6"/>
      <c r="B9" s="30" t="s">
        <v>132</v>
      </c>
      <c r="C9" s="39" t="n">
        <f aca="false">-Spending_Policy!C12</f>
        <v>-45</v>
      </c>
      <c r="D9" s="39" t="n">
        <f aca="false">-Spending_Policy!D12</f>
        <v>-45.89355</v>
      </c>
      <c r="E9" s="39" t="n">
        <f aca="false">-Spending_Policy!E12</f>
        <v>-47.7424110135</v>
      </c>
      <c r="F9" s="39" t="n">
        <f aca="false">-Spending_Policy!F12</f>
        <v>-50.598484384223</v>
      </c>
      <c r="G9" s="39" t="n">
        <f aca="false">-Spending_Policy!G12</f>
        <v>-53.6088751446854</v>
      </c>
      <c r="H9" s="39" t="n">
        <f aca="false">-Spending_Policy!H12</f>
        <v>-56.7533289350479</v>
      </c>
      <c r="I9" s="39" t="n">
        <f aca="false">-Spending_Policy!I12</f>
        <v>-60.0226781712</v>
      </c>
      <c r="J9" s="39" t="n">
        <f aca="false">-Spending_Policy!J12</f>
        <v>-63.4204621948973</v>
      </c>
      <c r="K9" s="39" t="n">
        <f aca="false">-Spending_Policy!K12</f>
        <v>-66.9508875906756</v>
      </c>
      <c r="L9" s="39" t="n">
        <f aca="false">-Spending_Policy!L12</f>
        <v>-70.6185051963302</v>
      </c>
    </row>
    <row r="10" customFormat="false" ht="15" hidden="false" customHeight="false" outlineLevel="0" collapsed="false">
      <c r="A10" s="6"/>
      <c r="B10" s="30" t="s">
        <v>133</v>
      </c>
      <c r="C10" s="39" t="n">
        <f aca="false">-Fee_Schedule!C18</f>
        <v>-6.33</v>
      </c>
      <c r="D10" s="39" t="n">
        <f aca="false">-Fee_Schedule!D18</f>
        <v>-6.7070781</v>
      </c>
      <c r="E10" s="39" t="n">
        <f aca="false">-Fee_Schedule!E18</f>
        <v>-7.110219347697</v>
      </c>
      <c r="F10" s="39" t="n">
        <f aca="false">-Fee_Schedule!F18</f>
        <v>-7.5352629624451</v>
      </c>
      <c r="G10" s="39" t="n">
        <f aca="false">-Fee_Schedule!G18</f>
        <v>-7.97746300091512</v>
      </c>
      <c r="H10" s="39" t="n">
        <f aca="false">-Fee_Schedule!H18</f>
        <v>-8.43717884723001</v>
      </c>
      <c r="I10" s="39" t="n">
        <f aca="false">-Fee_Schedule!I18</f>
        <v>-8.91492834010127</v>
      </c>
      <c r="J10" s="39" t="n">
        <f aca="false">-Fee_Schedule!J18</f>
        <v>-9.41132785891536</v>
      </c>
      <c r="K10" s="39" t="n">
        <f aca="false">-Fee_Schedule!K18</f>
        <v>-9.92701836424848</v>
      </c>
      <c r="L10" s="39" t="n">
        <f aca="false">-Fee_Schedule!L18</f>
        <v>-10.4626629696875</v>
      </c>
    </row>
    <row r="11" customFormat="false" ht="15" hidden="false" customHeight="false" outlineLevel="0" collapsed="false">
      <c r="A11" s="6"/>
      <c r="B11" s="30" t="s">
        <v>134</v>
      </c>
      <c r="C11" s="39" t="n">
        <f aca="false">-C7*Internal_Opex_Rate</f>
        <v>-1.5</v>
      </c>
      <c r="D11" s="39" t="n">
        <f aca="false">-D7*Internal_Opex_Rate</f>
        <v>-1.589355</v>
      </c>
      <c r="E11" s="39" t="n">
        <f aca="false">-E7*Internal_Opex_Rate</f>
        <v>-1.68488610135</v>
      </c>
      <c r="F11" s="39" t="n">
        <f aca="false">-F7*Internal_Opex_Rate</f>
        <v>-1.7856073370723</v>
      </c>
      <c r="G11" s="39" t="n">
        <f aca="false">-G7*Internal_Opex_Rate</f>
        <v>-1.89039407604624</v>
      </c>
      <c r="H11" s="39" t="n">
        <f aca="false">-H7*Internal_Opex_Rate</f>
        <v>-1.99933148038626</v>
      </c>
      <c r="I11" s="39" t="n">
        <f aca="false">-I7*Internal_Opex_Rate</f>
        <v>-2.1125422606875</v>
      </c>
      <c r="J11" s="39" t="n">
        <f aca="false">-J7*Internal_Opex_Rate</f>
        <v>-2.23017247841596</v>
      </c>
      <c r="K11" s="39" t="n">
        <f aca="false">-K7*Internal_Opex_Rate</f>
        <v>-2.35237401996409</v>
      </c>
      <c r="L11" s="39" t="n">
        <f aca="false">-L7*Internal_Opex_Rate</f>
        <v>-2.47930402125296</v>
      </c>
    </row>
    <row r="12" customFormat="false" ht="15" hidden="false" customHeight="false" outlineLevel="0" collapsed="false">
      <c r="A12" s="6"/>
      <c r="B12" s="30" t="s">
        <v>135</v>
      </c>
      <c r="C12" s="38" t="n">
        <f aca="false">Investment_Returns!C13</f>
        <v>71.2</v>
      </c>
      <c r="D12" s="38" t="n">
        <f aca="false">Investment_Returns!D13</f>
        <v>75.441384</v>
      </c>
      <c r="E12" s="38" t="n">
        <f aca="false">Investment_Returns!E13</f>
        <v>79.97592694408</v>
      </c>
      <c r="F12" s="38" t="n">
        <f aca="false">Investment_Returns!F13</f>
        <v>84.7568282663652</v>
      </c>
      <c r="G12" s="38" t="n">
        <f aca="false">Investment_Returns!G13</f>
        <v>89.730705476328</v>
      </c>
      <c r="H12" s="38" t="n">
        <f aca="false">Investment_Returns!H13</f>
        <v>94.9016009356677</v>
      </c>
      <c r="I12" s="38" t="n">
        <f aca="false">Investment_Returns!I13</f>
        <v>100.2753393073</v>
      </c>
      <c r="J12" s="38" t="n">
        <f aca="false">Investment_Returns!J13</f>
        <v>105.858853642144</v>
      </c>
      <c r="K12" s="38" t="n">
        <f aca="false">Investment_Returns!K13</f>
        <v>111.659353480962</v>
      </c>
      <c r="L12" s="38" t="n">
        <f aca="false">Investment_Returns!L13</f>
        <v>117.68429754214</v>
      </c>
    </row>
    <row r="13" customFormat="false" ht="15" hidden="false" customHeight="false" outlineLevel="0" collapsed="false">
      <c r="A13" s="6"/>
      <c r="B13" s="6"/>
      <c r="C13" s="6"/>
      <c r="D13" s="6"/>
      <c r="E13" s="6"/>
      <c r="F13" s="6"/>
      <c r="G13" s="6"/>
      <c r="H13" s="6"/>
      <c r="I13" s="6"/>
      <c r="J13" s="6"/>
      <c r="K13" s="6"/>
      <c r="L13" s="6"/>
    </row>
    <row r="14" customFormat="false" ht="15" hidden="false" customHeight="false" outlineLevel="0" collapsed="false">
      <c r="A14" s="6"/>
      <c r="B14" s="36" t="s">
        <v>136</v>
      </c>
      <c r="C14" s="37" t="n">
        <f aca="false">SUM(C7:C12)</f>
        <v>1059.57</v>
      </c>
      <c r="D14" s="37" t="n">
        <f aca="false">SUM(D7:D12)</f>
        <v>1123.2574009</v>
      </c>
      <c r="E14" s="37" t="n">
        <f aca="false">SUM(E7:E12)</f>
        <v>1190.40489138153</v>
      </c>
      <c r="F14" s="37" t="n">
        <f aca="false">SUM(F7:F12)</f>
        <v>1260.26271736416</v>
      </c>
      <c r="G14" s="37" t="n">
        <f aca="false">SUM(G7:G12)</f>
        <v>1332.88765359084</v>
      </c>
      <c r="H14" s="37" t="n">
        <f aca="false">SUM(H7:H12)</f>
        <v>1408.361507125</v>
      </c>
      <c r="I14" s="37" t="n">
        <f aca="false">SUM(I7:I12)</f>
        <v>1486.78165227731</v>
      </c>
      <c r="J14" s="37" t="n">
        <f aca="false">SUM(J7:J12)</f>
        <v>1568.24934664273</v>
      </c>
      <c r="K14" s="37" t="n">
        <f aca="false">SUM(K7:K12)</f>
        <v>1652.86934750197</v>
      </c>
      <c r="L14" s="37" t="n">
        <f aca="false">SUM(L7:L12)</f>
        <v>1740.74982803061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2"/>
    <col collapsed="false" customWidth="true" hidden="false" outlineLevel="0" max="12" min="3" style="0" width="14"/>
  </cols>
  <sheetData>
    <row r="1" customFormat="false" ht="15" hidden="false" customHeight="false" outlineLevel="0" collapsed="false">
      <c r="A1" s="1"/>
      <c r="B1" s="1"/>
      <c r="C1" s="1"/>
      <c r="D1" s="1"/>
      <c r="E1" s="1"/>
      <c r="F1" s="1"/>
      <c r="G1" s="1"/>
      <c r="H1" s="1"/>
      <c r="I1" s="1"/>
      <c r="J1" s="1"/>
      <c r="K1" s="1"/>
      <c r="L1" s="1"/>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137</v>
      </c>
      <c r="C2" s="1"/>
      <c r="D2" s="1"/>
      <c r="E2" s="1"/>
      <c r="F2" s="1"/>
      <c r="G2" s="1"/>
      <c r="H2" s="1"/>
      <c r="I2" s="1"/>
      <c r="J2" s="1"/>
      <c r="K2" s="1"/>
      <c r="L2" s="1"/>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138</v>
      </c>
      <c r="C3" s="1"/>
      <c r="D3" s="1"/>
      <c r="E3" s="1"/>
      <c r="F3" s="1"/>
      <c r="G3" s="1"/>
      <c r="H3" s="1"/>
      <c r="I3" s="1"/>
      <c r="J3" s="1"/>
      <c r="K3" s="1"/>
      <c r="L3" s="1"/>
      <c r="M3" s="2"/>
      <c r="N3" s="2"/>
      <c r="O3" s="2"/>
      <c r="P3" s="2"/>
      <c r="Q3" s="2"/>
      <c r="R3" s="2"/>
      <c r="S3" s="2"/>
      <c r="T3" s="2"/>
      <c r="U3" s="2"/>
      <c r="V3" s="2"/>
      <c r="W3" s="2"/>
      <c r="X3" s="2"/>
      <c r="Y3" s="2"/>
      <c r="Z3" s="2"/>
      <c r="AA3" s="2"/>
      <c r="AB3" s="2"/>
      <c r="AC3" s="2"/>
      <c r="AD3" s="2"/>
    </row>
    <row r="4" customFormat="false" ht="15" hidden="false" customHeight="false" outlineLevel="0" collapsed="false">
      <c r="A4" s="6"/>
      <c r="B4" s="26"/>
      <c r="C4" s="27" t="s">
        <v>84</v>
      </c>
      <c r="D4" s="27" t="s">
        <v>85</v>
      </c>
      <c r="E4" s="27" t="s">
        <v>86</v>
      </c>
      <c r="F4" s="27" t="s">
        <v>87</v>
      </c>
      <c r="G4" s="27" t="s">
        <v>88</v>
      </c>
      <c r="H4" s="27" t="s">
        <v>89</v>
      </c>
      <c r="I4" s="27" t="s">
        <v>90</v>
      </c>
      <c r="J4" s="27" t="s">
        <v>91</v>
      </c>
      <c r="K4" s="27" t="s">
        <v>92</v>
      </c>
      <c r="L4" s="27" t="s">
        <v>93</v>
      </c>
    </row>
    <row r="5" customFormat="false" ht="15" hidden="false" customHeight="false" outlineLevel="0" collapsed="false">
      <c r="A5" s="6"/>
      <c r="B5" s="6"/>
      <c r="C5" s="6"/>
      <c r="D5" s="6"/>
      <c r="E5" s="6"/>
      <c r="F5" s="6"/>
      <c r="G5" s="6"/>
      <c r="H5" s="6"/>
      <c r="I5" s="6"/>
      <c r="J5" s="6"/>
      <c r="K5" s="6"/>
      <c r="L5" s="6"/>
    </row>
    <row r="6" customFormat="false" ht="15" hidden="false" customHeight="false" outlineLevel="0" collapsed="false">
      <c r="A6" s="6"/>
      <c r="B6" s="28" t="s">
        <v>139</v>
      </c>
      <c r="C6" s="22"/>
      <c r="D6" s="22"/>
      <c r="E6" s="22"/>
      <c r="F6" s="22"/>
      <c r="G6" s="22"/>
      <c r="H6" s="22"/>
      <c r="I6" s="22"/>
      <c r="J6" s="22"/>
      <c r="K6" s="22"/>
      <c r="L6" s="22"/>
    </row>
    <row r="7" customFormat="false" ht="15" hidden="false" customHeight="false" outlineLevel="0" collapsed="false">
      <c r="A7" s="6"/>
      <c r="B7" s="30" t="s">
        <v>74</v>
      </c>
      <c r="C7" s="31" t="n">
        <f aca="false">Donations!C9</f>
        <v>41.2</v>
      </c>
      <c r="D7" s="31" t="n">
        <f aca="false">Donations!D9</f>
        <v>42.436</v>
      </c>
      <c r="E7" s="31" t="n">
        <f aca="false">Donations!E9</f>
        <v>43.70908</v>
      </c>
      <c r="F7" s="31" t="n">
        <f aca="false">Donations!F9</f>
        <v>45.0203524</v>
      </c>
      <c r="G7" s="31" t="n">
        <f aca="false">Donations!G9</f>
        <v>46.370962972</v>
      </c>
      <c r="H7" s="31" t="n">
        <f aca="false">Donations!H9</f>
        <v>47.76209186116</v>
      </c>
      <c r="I7" s="31" t="n">
        <f aca="false">Donations!I9</f>
        <v>49.1949546169948</v>
      </c>
      <c r="J7" s="31" t="n">
        <f aca="false">Donations!J9</f>
        <v>50.6708032555047</v>
      </c>
      <c r="K7" s="31" t="n">
        <f aca="false">Donations!K9</f>
        <v>52.1909273531698</v>
      </c>
      <c r="L7" s="31" t="n">
        <f aca="false">Donations!L9</f>
        <v>53.7566551737649</v>
      </c>
    </row>
    <row r="8" customFormat="false" ht="15" hidden="false" customHeight="false" outlineLevel="0" collapsed="false">
      <c r="A8" s="6"/>
      <c r="B8" s="30" t="s">
        <v>101</v>
      </c>
      <c r="C8" s="31" t="n">
        <f aca="false">Investment_Returns!C13</f>
        <v>71.2</v>
      </c>
      <c r="D8" s="31" t="n">
        <f aca="false">Investment_Returns!D13</f>
        <v>75.441384</v>
      </c>
      <c r="E8" s="31" t="n">
        <f aca="false">Investment_Returns!E13</f>
        <v>79.97592694408</v>
      </c>
      <c r="F8" s="31" t="n">
        <f aca="false">Investment_Returns!F13</f>
        <v>84.7568282663652</v>
      </c>
      <c r="G8" s="31" t="n">
        <f aca="false">Investment_Returns!G13</f>
        <v>89.730705476328</v>
      </c>
      <c r="H8" s="31" t="n">
        <f aca="false">Investment_Returns!H13</f>
        <v>94.9016009356677</v>
      </c>
      <c r="I8" s="31" t="n">
        <f aca="false">Investment_Returns!I13</f>
        <v>100.2753393073</v>
      </c>
      <c r="J8" s="31" t="n">
        <f aca="false">Investment_Returns!J13</f>
        <v>105.858853642144</v>
      </c>
      <c r="K8" s="31" t="n">
        <f aca="false">Investment_Returns!K13</f>
        <v>111.659353480962</v>
      </c>
      <c r="L8" s="31" t="n">
        <f aca="false">Investment_Returns!L13</f>
        <v>117.68429754214</v>
      </c>
    </row>
    <row r="9" customFormat="false" ht="15" hidden="false" customHeight="false" outlineLevel="0" collapsed="false">
      <c r="A9" s="6"/>
      <c r="B9" s="33" t="s">
        <v>140</v>
      </c>
      <c r="C9" s="34" t="n">
        <f aca="false">C7+C8</f>
        <v>112.4</v>
      </c>
      <c r="D9" s="34" t="n">
        <f aca="false">D7+D8</f>
        <v>117.877384</v>
      </c>
      <c r="E9" s="34" t="n">
        <f aca="false">E7+E8</f>
        <v>123.68500694408</v>
      </c>
      <c r="F9" s="34" t="n">
        <f aca="false">F7+F8</f>
        <v>129.777180666365</v>
      </c>
      <c r="G9" s="34" t="n">
        <f aca="false">G7+G8</f>
        <v>136.101668448328</v>
      </c>
      <c r="H9" s="34" t="n">
        <f aca="false">H7+H8</f>
        <v>142.663692796828</v>
      </c>
      <c r="I9" s="34" t="n">
        <f aca="false">I7+I8</f>
        <v>149.470293924295</v>
      </c>
      <c r="J9" s="34" t="n">
        <f aca="false">J7+J8</f>
        <v>156.529656897649</v>
      </c>
      <c r="K9" s="34" t="n">
        <f aca="false">K7+K8</f>
        <v>163.850280834132</v>
      </c>
      <c r="L9" s="34" t="n">
        <f aca="false">L7+L8</f>
        <v>171.440952715905</v>
      </c>
    </row>
    <row r="10" customFormat="false" ht="15" hidden="false" customHeight="false" outlineLevel="0" collapsed="false">
      <c r="A10" s="6"/>
      <c r="B10" s="6"/>
      <c r="C10" s="6"/>
      <c r="D10" s="6"/>
      <c r="E10" s="6"/>
      <c r="F10" s="6"/>
      <c r="G10" s="6"/>
      <c r="H10" s="6"/>
      <c r="I10" s="6"/>
      <c r="J10" s="6"/>
      <c r="K10" s="6"/>
      <c r="L10" s="6"/>
    </row>
    <row r="11" customFormat="false" ht="15" hidden="false" customHeight="false" outlineLevel="0" collapsed="false">
      <c r="A11" s="6"/>
      <c r="B11" s="28" t="s">
        <v>141</v>
      </c>
      <c r="C11" s="22"/>
      <c r="D11" s="22"/>
      <c r="E11" s="22"/>
      <c r="F11" s="22"/>
      <c r="G11" s="22"/>
      <c r="H11" s="22"/>
      <c r="I11" s="22"/>
      <c r="J11" s="22"/>
      <c r="K11" s="22"/>
      <c r="L11" s="22"/>
    </row>
    <row r="12" customFormat="false" ht="15" hidden="false" customHeight="false" outlineLevel="0" collapsed="false">
      <c r="A12" s="6"/>
      <c r="B12" s="30" t="s">
        <v>132</v>
      </c>
      <c r="C12" s="31" t="n">
        <f aca="false">Spending_Policy!C12</f>
        <v>45</v>
      </c>
      <c r="D12" s="31" t="n">
        <f aca="false">Spending_Policy!D12</f>
        <v>45.89355</v>
      </c>
      <c r="E12" s="31" t="n">
        <f aca="false">Spending_Policy!E12</f>
        <v>47.7424110135</v>
      </c>
      <c r="F12" s="31" t="n">
        <f aca="false">Spending_Policy!F12</f>
        <v>50.598484384223</v>
      </c>
      <c r="G12" s="31" t="n">
        <f aca="false">Spending_Policy!G12</f>
        <v>53.6088751446854</v>
      </c>
      <c r="H12" s="31" t="n">
        <f aca="false">Spending_Policy!H12</f>
        <v>56.7533289350479</v>
      </c>
      <c r="I12" s="31" t="n">
        <f aca="false">Spending_Policy!I12</f>
        <v>60.0226781712</v>
      </c>
      <c r="J12" s="31" t="n">
        <f aca="false">Spending_Policy!J12</f>
        <v>63.4204621948973</v>
      </c>
      <c r="K12" s="31" t="n">
        <f aca="false">Spending_Policy!K12</f>
        <v>66.9508875906756</v>
      </c>
      <c r="L12" s="31" t="n">
        <f aca="false">Spending_Policy!L12</f>
        <v>70.6185051963302</v>
      </c>
    </row>
    <row r="13" customFormat="false" ht="15" hidden="false" customHeight="false" outlineLevel="0" collapsed="false">
      <c r="A13" s="6"/>
      <c r="B13" s="30" t="s">
        <v>133</v>
      </c>
      <c r="C13" s="31" t="n">
        <f aca="false">Fee_Schedule!C18</f>
        <v>6.33</v>
      </c>
      <c r="D13" s="31" t="n">
        <f aca="false">Fee_Schedule!D18</f>
        <v>6.7070781</v>
      </c>
      <c r="E13" s="31" t="n">
        <f aca="false">Fee_Schedule!E18</f>
        <v>7.110219347697</v>
      </c>
      <c r="F13" s="31" t="n">
        <f aca="false">Fee_Schedule!F18</f>
        <v>7.5352629624451</v>
      </c>
      <c r="G13" s="31" t="n">
        <f aca="false">Fee_Schedule!G18</f>
        <v>7.97746300091512</v>
      </c>
      <c r="H13" s="31" t="n">
        <f aca="false">Fee_Schedule!H18</f>
        <v>8.43717884723001</v>
      </c>
      <c r="I13" s="31" t="n">
        <f aca="false">Fee_Schedule!I18</f>
        <v>8.91492834010127</v>
      </c>
      <c r="J13" s="31" t="n">
        <f aca="false">Fee_Schedule!J18</f>
        <v>9.41132785891536</v>
      </c>
      <c r="K13" s="31" t="n">
        <f aca="false">Fee_Schedule!K18</f>
        <v>9.92701836424848</v>
      </c>
      <c r="L13" s="31" t="n">
        <f aca="false">Fee_Schedule!L18</f>
        <v>10.4626629696875</v>
      </c>
    </row>
    <row r="14" customFormat="false" ht="15" hidden="false" customHeight="false" outlineLevel="0" collapsed="false">
      <c r="A14" s="6"/>
      <c r="B14" s="30" t="s">
        <v>134</v>
      </c>
      <c r="C14" s="31" t="n">
        <f aca="false">-AUM_Rollforward!C11</f>
        <v>1.5</v>
      </c>
      <c r="D14" s="31" t="n">
        <f aca="false">-AUM_Rollforward!D11</f>
        <v>1.589355</v>
      </c>
      <c r="E14" s="31" t="n">
        <f aca="false">-AUM_Rollforward!E11</f>
        <v>1.68488610135</v>
      </c>
      <c r="F14" s="31" t="n">
        <f aca="false">-AUM_Rollforward!F11</f>
        <v>1.7856073370723</v>
      </c>
      <c r="G14" s="31" t="n">
        <f aca="false">-AUM_Rollforward!G11</f>
        <v>1.89039407604624</v>
      </c>
      <c r="H14" s="31" t="n">
        <f aca="false">-AUM_Rollforward!H11</f>
        <v>1.99933148038626</v>
      </c>
      <c r="I14" s="31" t="n">
        <f aca="false">-AUM_Rollforward!I11</f>
        <v>2.1125422606875</v>
      </c>
      <c r="J14" s="31" t="n">
        <f aca="false">-AUM_Rollforward!J11</f>
        <v>2.23017247841596</v>
      </c>
      <c r="K14" s="31" t="n">
        <f aca="false">-AUM_Rollforward!K11</f>
        <v>2.35237401996409</v>
      </c>
      <c r="L14" s="31" t="n">
        <f aca="false">-AUM_Rollforward!L11</f>
        <v>2.47930402125296</v>
      </c>
    </row>
    <row r="15" customFormat="false" ht="15" hidden="false" customHeight="false" outlineLevel="0" collapsed="false">
      <c r="A15" s="6"/>
      <c r="B15" s="33" t="s">
        <v>142</v>
      </c>
      <c r="C15" s="34" t="n">
        <f aca="false">C12+C13+C14</f>
        <v>52.83</v>
      </c>
      <c r="D15" s="34" t="n">
        <f aca="false">D12+D13+D14</f>
        <v>54.1899831</v>
      </c>
      <c r="E15" s="34" t="n">
        <f aca="false">E12+E13+E14</f>
        <v>56.537516462547</v>
      </c>
      <c r="F15" s="34" t="n">
        <f aca="false">F12+F13+F14</f>
        <v>59.9193546837404</v>
      </c>
      <c r="G15" s="34" t="n">
        <f aca="false">G12+G13+G14</f>
        <v>63.4767322216467</v>
      </c>
      <c r="H15" s="34" t="n">
        <f aca="false">H12+H13+H14</f>
        <v>67.1898392626642</v>
      </c>
      <c r="I15" s="34" t="n">
        <f aca="false">I12+I13+I14</f>
        <v>71.0501487719888</v>
      </c>
      <c r="J15" s="34" t="n">
        <f aca="false">J12+J13+J14</f>
        <v>75.0619625322286</v>
      </c>
      <c r="K15" s="34" t="n">
        <f aca="false">K12+K13+K14</f>
        <v>79.2302799748882</v>
      </c>
      <c r="L15" s="34" t="n">
        <f aca="false">L12+L13+L14</f>
        <v>83.5604721872706</v>
      </c>
    </row>
    <row r="16" customFormat="false" ht="15" hidden="false" customHeight="false" outlineLevel="0" collapsed="false">
      <c r="A16" s="6"/>
      <c r="B16" s="28"/>
      <c r="C16" s="22"/>
      <c r="D16" s="22"/>
      <c r="E16" s="22"/>
      <c r="F16" s="22"/>
      <c r="G16" s="22"/>
      <c r="H16" s="22"/>
      <c r="I16" s="22"/>
      <c r="J16" s="22"/>
      <c r="K16" s="22"/>
      <c r="L16" s="22"/>
    </row>
    <row r="17" customFormat="false" ht="15" hidden="false" customHeight="false" outlineLevel="0" collapsed="false">
      <c r="A17" s="6"/>
      <c r="B17" s="36" t="s">
        <v>143</v>
      </c>
      <c r="C17" s="37" t="n">
        <f aca="false">C9-C15</f>
        <v>59.57</v>
      </c>
      <c r="D17" s="37" t="n">
        <f aca="false">D9-D15</f>
        <v>63.6874009</v>
      </c>
      <c r="E17" s="37" t="n">
        <f aca="false">E9-E15</f>
        <v>67.147490481533</v>
      </c>
      <c r="F17" s="37" t="n">
        <f aca="false">F9-F15</f>
        <v>69.8578259826248</v>
      </c>
      <c r="G17" s="37" t="n">
        <f aca="false">G9-G15</f>
        <v>72.6249362266813</v>
      </c>
      <c r="H17" s="37" t="n">
        <f aca="false">H9-H15</f>
        <v>75.4738535341635</v>
      </c>
      <c r="I17" s="37" t="n">
        <f aca="false">I9-I15</f>
        <v>78.4201451523062</v>
      </c>
      <c r="J17" s="37" t="n">
        <f aca="false">J9-J15</f>
        <v>81.4676943654204</v>
      </c>
      <c r="K17" s="37" t="n">
        <f aca="false">K9-K15</f>
        <v>84.6200008592439</v>
      </c>
      <c r="L17" s="37" t="n">
        <f aca="false">L9-L15</f>
        <v>87.8804805286347</v>
      </c>
    </row>
    <row r="18" customFormat="false" ht="15" hidden="false" customHeight="false" outlineLevel="0" collapsed="false">
      <c r="A18" s="6"/>
      <c r="B18" s="6"/>
      <c r="C18" s="6"/>
      <c r="D18" s="6"/>
      <c r="E18" s="6"/>
      <c r="F18" s="6"/>
      <c r="G18" s="6"/>
      <c r="H18" s="6"/>
      <c r="I18" s="6"/>
      <c r="J18" s="6"/>
      <c r="K18" s="6"/>
      <c r="L18" s="6"/>
    </row>
    <row r="19" customFormat="false" ht="15" hidden="false" customHeight="false" outlineLevel="0" collapsed="false">
      <c r="A19" s="6"/>
      <c r="B19" s="30" t="s">
        <v>144</v>
      </c>
      <c r="C19" s="31" t="n">
        <f aca="false">Beginning_AUM*Wt_Cash</f>
        <v>20</v>
      </c>
      <c r="D19" s="31" t="n">
        <f aca="false">C20</f>
        <v>79.57</v>
      </c>
      <c r="E19" s="31" t="n">
        <f aca="false">D20</f>
        <v>143.2574009</v>
      </c>
      <c r="F19" s="31" t="n">
        <f aca="false">E20</f>
        <v>210.404891381533</v>
      </c>
      <c r="G19" s="31" t="n">
        <f aca="false">F20</f>
        <v>280.262717364158</v>
      </c>
      <c r="H19" s="31" t="n">
        <f aca="false">G20</f>
        <v>352.887653590839</v>
      </c>
      <c r="I19" s="31" t="n">
        <f aca="false">H20</f>
        <v>428.361507125003</v>
      </c>
      <c r="J19" s="31" t="n">
        <f aca="false">I20</f>
        <v>506.781652277309</v>
      </c>
      <c r="K19" s="31" t="n">
        <f aca="false">J20</f>
        <v>588.249346642729</v>
      </c>
      <c r="L19" s="31" t="n">
        <f aca="false">K20</f>
        <v>672.869347501973</v>
      </c>
    </row>
    <row r="20" customFormat="false" ht="15" hidden="false" customHeight="false" outlineLevel="0" collapsed="false">
      <c r="A20" s="6"/>
      <c r="B20" s="7" t="s">
        <v>145</v>
      </c>
      <c r="C20" s="29" t="n">
        <f aca="false">C19+C17</f>
        <v>79.57</v>
      </c>
      <c r="D20" s="29" t="n">
        <f aca="false">D19+D17</f>
        <v>143.2574009</v>
      </c>
      <c r="E20" s="29" t="n">
        <f aca="false">E19+E17</f>
        <v>210.404891381533</v>
      </c>
      <c r="F20" s="29" t="n">
        <f aca="false">F19+F17</f>
        <v>280.262717364158</v>
      </c>
      <c r="G20" s="29" t="n">
        <f aca="false">G19+G17</f>
        <v>352.887653590839</v>
      </c>
      <c r="H20" s="29" t="n">
        <f aca="false">H19+H17</f>
        <v>428.361507125003</v>
      </c>
      <c r="I20" s="29" t="n">
        <f aca="false">I19+I17</f>
        <v>506.781652277309</v>
      </c>
      <c r="J20" s="29" t="n">
        <f aca="false">J19+J17</f>
        <v>588.249346642729</v>
      </c>
      <c r="K20" s="29" t="n">
        <f aca="false">K19+K17</f>
        <v>672.869347501973</v>
      </c>
      <c r="L20" s="29" t="n">
        <f aca="false">L19+L17</f>
        <v>760.749828030608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2026-05-15T18:53:05Z</dcterms:created>
  <dc:creator>openpyxl</dc:creator>
  <dc:description/>
  <dc:language>en-GB</dc:language>
  <cp:lastModifiedBy/>
  <dcterms:modified xsi:type="dcterms:W3CDTF">2026-05-15T18:53:05Z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