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ortfolio_Positions" sheetId="3" state="visible" r:id="rId5"/>
    <sheet name="Returns_Summary" sheetId="4" state="visible" r:id="rId6"/>
    <sheet name="Fee_Schedule" sheetId="5" state="visible" r:id="rId7"/>
    <sheet name="Dividend_Schedule" sheetId="6" state="visible" r:id="rId8"/>
    <sheet name="Checks" sheetId="7" state="visible" r:id="rId9"/>
    <sheet name="Disclaimer" sheetId="8" state="visible" r:id="rId10"/>
  </sheets>
  <definedNames>
    <definedName function="false" hidden="false" name="AAPL_Alloc" vbProcedure="false">Assumptions!$D$25</definedName>
    <definedName function="false" hidden="false" name="AAPL_DPS_Growth" vbProcedure="false">Assumptions!$H$25</definedName>
    <definedName function="false" hidden="false" name="AAPL_DPS_Y0" vbProcedure="false">Assumptions!$G$25</definedName>
    <definedName function="false" hidden="false" name="AAPL_Entry_Price" vbProcedure="false">Assumptions!$E$25</definedName>
    <definedName function="false" hidden="false" name="AAPL_Exp_Return" vbProcedure="false">Assumptions!$I$25</definedName>
    <definedName function="false" hidden="false" name="AAPL_Shares_Y0" vbProcedure="false">Assumptions!$F$25</definedName>
    <definedName function="false" hidden="false" name="Benchmark_Return" vbProcedure="false">Assumptions!$C$13</definedName>
    <definedName function="false" hidden="false" name="BRK_Alloc" vbProcedure="false">Assumptions!$D$31</definedName>
    <definedName function="false" hidden="false" name="BRK_DPS_Growth" vbProcedure="false">Assumptions!$H$31</definedName>
    <definedName function="false" hidden="false" name="BRK_DPS_Y0" vbProcedure="false">Assumptions!$G$31</definedName>
    <definedName function="false" hidden="false" name="BRK_Entry_Price" vbProcedure="false">Assumptions!$E$31</definedName>
    <definedName function="false" hidden="false" name="BRK_Exp_Return" vbProcedure="false">Assumptions!$I$31</definedName>
    <definedName function="false" hidden="false" name="BRK_Shares_Y0" vbProcedure="false">Assumptions!$F$31</definedName>
    <definedName function="false" hidden="false" name="CG_Rate" vbProcedure="false">Assumptions!$C$9</definedName>
    <definedName function="false" hidden="false" name="DS_Net_Y1" vbProcedure="false">Dividend_Schedule!$C$70</definedName>
    <definedName function="false" hidden="false" name="DS_Net_Y2" vbProcedure="false">Dividend_Schedule!$D$70</definedName>
    <definedName function="false" hidden="false" name="DS_Net_Y3" vbProcedure="false">Dividend_Schedule!$E$70</definedName>
    <definedName function="false" hidden="false" name="DS_Net_Y4" vbProcedure="false">Dividend_Schedule!$F$70</definedName>
    <definedName function="false" hidden="false" name="DS_Net_Y5" vbProcedure="false">Dividend_Schedule!$G$70</definedName>
    <definedName function="false" hidden="false" name="HD_Alloc" vbProcedure="false">Assumptions!$D$33</definedName>
    <definedName function="false" hidden="false" name="HD_DPS_Growth" vbProcedure="false">Assumptions!$H$33</definedName>
    <definedName function="false" hidden="false" name="HD_DPS_Y0" vbProcedure="false">Assumptions!$G$33</definedName>
    <definedName function="false" hidden="false" name="HD_Entry_Price" vbProcedure="false">Assumptions!$E$33</definedName>
    <definedName function="false" hidden="false" name="HD_Exp_Return" vbProcedure="false">Assumptions!$I$33</definedName>
    <definedName function="false" hidden="false" name="HD_Shares_Y0" vbProcedure="false">Assumptions!$F$33</definedName>
    <definedName function="false" hidden="false" name="Horizon" vbProcedure="false">Assumptions!$C$8</definedName>
    <definedName function="false" hidden="false" name="Initial_Capital" vbProcedure="false">Assumptions!$C$7</definedName>
    <definedName function="false" hidden="false" name="JNJ_Alloc" vbProcedure="false">Assumptions!$D$27</definedName>
    <definedName function="false" hidden="false" name="JNJ_DPS_Growth" vbProcedure="false">Assumptions!$H$27</definedName>
    <definedName function="false" hidden="false" name="JNJ_DPS_Y0" vbProcedure="false">Assumptions!$G$27</definedName>
    <definedName function="false" hidden="false" name="JNJ_Entry_Price" vbProcedure="false">Assumptions!$E$27</definedName>
    <definedName function="false" hidden="false" name="JNJ_Exp_Return" vbProcedure="false">Assumptions!$I$27</definedName>
    <definedName function="false" hidden="false" name="JNJ_Shares_Y0" vbProcedure="false">Assumptions!$F$27</definedName>
    <definedName function="false" hidden="false" name="JPM_Alloc" vbProcedure="false">Assumptions!$D$28</definedName>
    <definedName function="false" hidden="false" name="JPM_DPS_Growth" vbProcedure="false">Assumptions!$H$28</definedName>
    <definedName function="false" hidden="false" name="JPM_DPS_Y0" vbProcedure="false">Assumptions!$G$28</definedName>
    <definedName function="false" hidden="false" name="JPM_Entry_Price" vbProcedure="false">Assumptions!$E$28</definedName>
    <definedName function="false" hidden="false" name="JPM_Exp_Return" vbProcedure="false">Assumptions!$I$28</definedName>
    <definedName function="false" hidden="false" name="JPM_Shares_Y0" vbProcedure="false">Assumptions!$F$28</definedName>
    <definedName function="false" hidden="false" name="Mgmt_Fee_Rate" vbProcedure="false">Assumptions!$C$11</definedName>
    <definedName function="false" hidden="false" name="MSFT_Alloc" vbProcedure="false">Assumptions!$D$26</definedName>
    <definedName function="false" hidden="false" name="MSFT_DPS_Growth" vbProcedure="false">Assumptions!$H$26</definedName>
    <definedName function="false" hidden="false" name="MSFT_DPS_Y0" vbProcedure="false">Assumptions!$G$26</definedName>
    <definedName function="false" hidden="false" name="MSFT_Entry_Price" vbProcedure="false">Assumptions!$E$26</definedName>
    <definedName function="false" hidden="false" name="MSFT_Exp_Return" vbProcedure="false">Assumptions!$I$26</definedName>
    <definedName function="false" hidden="false" name="MSFT_Shares_Y0" vbProcedure="false">Assumptions!$F$26</definedName>
    <definedName function="false" hidden="false" name="NEE_Alloc" vbProcedure="false">Assumptions!$D$34</definedName>
    <definedName function="false" hidden="false" name="NEE_DPS_Growth" vbProcedure="false">Assumptions!$H$34</definedName>
    <definedName function="false" hidden="false" name="NEE_DPS_Y0" vbProcedure="false">Assumptions!$G$34</definedName>
    <definedName function="false" hidden="false" name="NEE_Entry_Price" vbProcedure="false">Assumptions!$E$34</definedName>
    <definedName function="false" hidden="false" name="NEE_Exp_Return" vbProcedure="false">Assumptions!$I$34</definedName>
    <definedName function="false" hidden="false" name="NEE_Shares_Y0" vbProcedure="false">Assumptions!$F$34</definedName>
    <definedName function="false" hidden="false" name="PG_Alloc" vbProcedure="false">Assumptions!$D$29</definedName>
    <definedName function="false" hidden="false" name="PG_DPS_Growth" vbProcedure="false">Assumptions!$H$29</definedName>
    <definedName function="false" hidden="false" name="PG_DPS_Y0" vbProcedure="false">Assumptions!$G$29</definedName>
    <definedName function="false" hidden="false" name="PG_Entry_Price" vbProcedure="false">Assumptions!$E$29</definedName>
    <definedName function="false" hidden="false" name="PG_Exp_Return" vbProcedure="false">Assumptions!$I$29</definedName>
    <definedName function="false" hidden="false" name="PG_Shares_Y0" vbProcedure="false">Assumptions!$F$29</definedName>
    <definedName function="false" hidden="false" name="Portfolio_Volatility" vbProcedure="false">Assumptions!$C$15</definedName>
    <definedName function="false" hidden="false" name="PP_AAPL_MV_Y1" vbProcedure="false">Portfolio_Positions!$C$8</definedName>
    <definedName function="false" hidden="false" name="PP_AAPL_MV_Y2" vbProcedure="false">Portfolio_Positions!$D$8</definedName>
    <definedName function="false" hidden="false" name="PP_AAPL_MV_Y3" vbProcedure="false">Portfolio_Positions!$E$8</definedName>
    <definedName function="false" hidden="false" name="PP_AAPL_MV_Y4" vbProcedure="false">Portfolio_Positions!$F$8</definedName>
    <definedName function="false" hidden="false" name="PP_AAPL_MV_Y5" vbProcedure="false">Portfolio_Positions!$G$8</definedName>
    <definedName function="false" hidden="false" name="PP_AAPL_NetDiv_Y1" vbProcedure="false">Portfolio_Positions!$C$14</definedName>
    <definedName function="false" hidden="false" name="PP_AAPL_NetDiv_Y2" vbProcedure="false">Portfolio_Positions!$D$14</definedName>
    <definedName function="false" hidden="false" name="PP_AAPL_NetDiv_Y3" vbProcedure="false">Portfolio_Positions!$E$14</definedName>
    <definedName function="false" hidden="false" name="PP_AAPL_NetDiv_Y4" vbProcedure="false">Portfolio_Positions!$F$14</definedName>
    <definedName function="false" hidden="false" name="PP_AAPL_NetDiv_Y5" vbProcedure="false">Portfolio_Positions!$G$14</definedName>
    <definedName function="false" hidden="false" name="PP_AAPL_Price_Y1" vbProcedure="false">Portfolio_Positions!$C$6</definedName>
    <definedName function="false" hidden="false" name="PP_AAPL_Price_Y2" vbProcedure="false">Portfolio_Positions!$D$6</definedName>
    <definedName function="false" hidden="false" name="PP_AAPL_Price_Y3" vbProcedure="false">Portfolio_Positions!$E$6</definedName>
    <definedName function="false" hidden="false" name="PP_AAPL_Price_Y4" vbProcedure="false">Portfolio_Positions!$F$6</definedName>
    <definedName function="false" hidden="false" name="PP_AAPL_Price_Y5" vbProcedure="false">Portfolio_Positions!$G$6</definedName>
    <definedName function="false" hidden="false" name="PP_AAPL_Shares_Y1" vbProcedure="false">Portfolio_Positions!$C$7</definedName>
    <definedName function="false" hidden="false" name="PP_AAPL_Shares_Y2" vbProcedure="false">Portfolio_Positions!$D$7</definedName>
    <definedName function="false" hidden="false" name="PP_AAPL_Shares_Y3" vbProcedure="false">Portfolio_Positions!$E$7</definedName>
    <definedName function="false" hidden="false" name="PP_AAPL_Shares_Y4" vbProcedure="false">Portfolio_Positions!$F$7</definedName>
    <definedName function="false" hidden="false" name="PP_AAPL_Shares_Y5" vbProcedure="false">Portfolio_Positions!$G$7</definedName>
    <definedName function="false" hidden="false" name="PP_BRK_MV_Y1" vbProcedure="false">Portfolio_Positions!$C$68</definedName>
    <definedName function="false" hidden="false" name="PP_BRK_MV_Y2" vbProcedure="false">Portfolio_Positions!$D$68</definedName>
    <definedName function="false" hidden="false" name="PP_BRK_MV_Y3" vbProcedure="false">Portfolio_Positions!$E$68</definedName>
    <definedName function="false" hidden="false" name="PP_BRK_MV_Y4" vbProcedure="false">Portfolio_Positions!$F$68</definedName>
    <definedName function="false" hidden="false" name="PP_BRK_MV_Y5" vbProcedure="false">Portfolio_Positions!$G$68</definedName>
    <definedName function="false" hidden="false" name="PP_BRK_NetDiv_Y1" vbProcedure="false">Portfolio_Positions!$C$74</definedName>
    <definedName function="false" hidden="false" name="PP_BRK_NetDiv_Y2" vbProcedure="false">Portfolio_Positions!$D$74</definedName>
    <definedName function="false" hidden="false" name="PP_BRK_NetDiv_Y3" vbProcedure="false">Portfolio_Positions!$E$74</definedName>
    <definedName function="false" hidden="false" name="PP_BRK_NetDiv_Y4" vbProcedure="false">Portfolio_Positions!$F$74</definedName>
    <definedName function="false" hidden="false" name="PP_BRK_NetDiv_Y5" vbProcedure="false">Portfolio_Positions!$G$74</definedName>
    <definedName function="false" hidden="false" name="PP_BRK_Price_Y1" vbProcedure="false">Portfolio_Positions!$C$66</definedName>
    <definedName function="false" hidden="false" name="PP_BRK_Price_Y2" vbProcedure="false">Portfolio_Positions!$D$66</definedName>
    <definedName function="false" hidden="false" name="PP_BRK_Price_Y3" vbProcedure="false">Portfolio_Positions!$E$66</definedName>
    <definedName function="false" hidden="false" name="PP_BRK_Price_Y4" vbProcedure="false">Portfolio_Positions!$F$66</definedName>
    <definedName function="false" hidden="false" name="PP_BRK_Price_Y5" vbProcedure="false">Portfolio_Positions!$G$66</definedName>
    <definedName function="false" hidden="false" name="PP_BRK_Shares_Y1" vbProcedure="false">Portfolio_Positions!$C$67</definedName>
    <definedName function="false" hidden="false" name="PP_BRK_Shares_Y2" vbProcedure="false">Portfolio_Positions!$D$67</definedName>
    <definedName function="false" hidden="false" name="PP_BRK_Shares_Y3" vbProcedure="false">Portfolio_Positions!$E$67</definedName>
    <definedName function="false" hidden="false" name="PP_BRK_Shares_Y4" vbProcedure="false">Portfolio_Positions!$F$67</definedName>
    <definedName function="false" hidden="false" name="PP_BRK_Shares_Y5" vbProcedure="false">Portfolio_Positions!$G$67</definedName>
    <definedName function="false" hidden="false" name="PP_CG_Tax_Y1" vbProcedure="false">Portfolio_Positions!$C$108</definedName>
    <definedName function="false" hidden="false" name="PP_CG_Tax_Y2" vbProcedure="false">Portfolio_Positions!$D$108</definedName>
    <definedName function="false" hidden="false" name="PP_CG_Tax_Y3" vbProcedure="false">Portfolio_Positions!$E$108</definedName>
    <definedName function="false" hidden="false" name="PP_CG_Tax_Y4" vbProcedure="false">Portfolio_Positions!$F$108</definedName>
    <definedName function="false" hidden="false" name="PP_CG_Tax_Y5" vbProcedure="false">Portfolio_Positions!$G$108</definedName>
    <definedName function="false" hidden="false" name="PP_HD_MV_Y1" vbProcedure="false">Portfolio_Positions!$C$88</definedName>
    <definedName function="false" hidden="false" name="PP_HD_MV_Y2" vbProcedure="false">Portfolio_Positions!$D$88</definedName>
    <definedName function="false" hidden="false" name="PP_HD_MV_Y3" vbProcedure="false">Portfolio_Positions!$E$88</definedName>
    <definedName function="false" hidden="false" name="PP_HD_MV_Y4" vbProcedure="false">Portfolio_Positions!$F$88</definedName>
    <definedName function="false" hidden="false" name="PP_HD_MV_Y5" vbProcedure="false">Portfolio_Positions!$G$88</definedName>
    <definedName function="false" hidden="false" name="PP_HD_NetDiv_Y1" vbProcedure="false">Portfolio_Positions!$C$94</definedName>
    <definedName function="false" hidden="false" name="PP_HD_NetDiv_Y2" vbProcedure="false">Portfolio_Positions!$D$94</definedName>
    <definedName function="false" hidden="false" name="PP_HD_NetDiv_Y3" vbProcedure="false">Portfolio_Positions!$E$94</definedName>
    <definedName function="false" hidden="false" name="PP_HD_NetDiv_Y4" vbProcedure="false">Portfolio_Positions!$F$94</definedName>
    <definedName function="false" hidden="false" name="PP_HD_NetDiv_Y5" vbProcedure="false">Portfolio_Positions!$G$94</definedName>
    <definedName function="false" hidden="false" name="PP_HD_Price_Y1" vbProcedure="false">Portfolio_Positions!$C$86</definedName>
    <definedName function="false" hidden="false" name="PP_HD_Price_Y2" vbProcedure="false">Portfolio_Positions!$D$86</definedName>
    <definedName function="false" hidden="false" name="PP_HD_Price_Y3" vbProcedure="false">Portfolio_Positions!$E$86</definedName>
    <definedName function="false" hidden="false" name="PP_HD_Price_Y4" vbProcedure="false">Portfolio_Positions!$F$86</definedName>
    <definedName function="false" hidden="false" name="PP_HD_Price_Y5" vbProcedure="false">Portfolio_Positions!$G$86</definedName>
    <definedName function="false" hidden="false" name="PP_HD_Shares_Y1" vbProcedure="false">Portfolio_Positions!$C$87</definedName>
    <definedName function="false" hidden="false" name="PP_HD_Shares_Y2" vbProcedure="false">Portfolio_Positions!$D$87</definedName>
    <definedName function="false" hidden="false" name="PP_HD_Shares_Y3" vbProcedure="false">Portfolio_Positions!$E$87</definedName>
    <definedName function="false" hidden="false" name="PP_HD_Shares_Y4" vbProcedure="false">Portfolio_Positions!$F$87</definedName>
    <definedName function="false" hidden="false" name="PP_HD_Shares_Y5" vbProcedure="false">Portfolio_Positions!$G$87</definedName>
    <definedName function="false" hidden="false" name="PP_JNJ_MV_Y1" vbProcedure="false">Portfolio_Positions!$C$28</definedName>
    <definedName function="false" hidden="false" name="PP_JNJ_MV_Y2" vbProcedure="false">Portfolio_Positions!$D$28</definedName>
    <definedName function="false" hidden="false" name="PP_JNJ_MV_Y3" vbProcedure="false">Portfolio_Positions!$E$28</definedName>
    <definedName function="false" hidden="false" name="PP_JNJ_MV_Y4" vbProcedure="false">Portfolio_Positions!$F$28</definedName>
    <definedName function="false" hidden="false" name="PP_JNJ_MV_Y5" vbProcedure="false">Portfolio_Positions!$G$28</definedName>
    <definedName function="false" hidden="false" name="PP_JNJ_NetDiv_Y1" vbProcedure="false">Portfolio_Positions!$C$34</definedName>
    <definedName function="false" hidden="false" name="PP_JNJ_NetDiv_Y2" vbProcedure="false">Portfolio_Positions!$D$34</definedName>
    <definedName function="false" hidden="false" name="PP_JNJ_NetDiv_Y3" vbProcedure="false">Portfolio_Positions!$E$34</definedName>
    <definedName function="false" hidden="false" name="PP_JNJ_NetDiv_Y4" vbProcedure="false">Portfolio_Positions!$F$34</definedName>
    <definedName function="false" hidden="false" name="PP_JNJ_NetDiv_Y5" vbProcedure="false">Portfolio_Positions!$G$34</definedName>
    <definedName function="false" hidden="false" name="PP_JNJ_Price_Y1" vbProcedure="false">Portfolio_Positions!$C$26</definedName>
    <definedName function="false" hidden="false" name="PP_JNJ_Price_Y2" vbProcedure="false">Portfolio_Positions!$D$26</definedName>
    <definedName function="false" hidden="false" name="PP_JNJ_Price_Y3" vbProcedure="false">Portfolio_Positions!$E$26</definedName>
    <definedName function="false" hidden="false" name="PP_JNJ_Price_Y4" vbProcedure="false">Portfolio_Positions!$F$26</definedName>
    <definedName function="false" hidden="false" name="PP_JNJ_Price_Y5" vbProcedure="false">Portfolio_Positions!$G$26</definedName>
    <definedName function="false" hidden="false" name="PP_JNJ_Shares_Y1" vbProcedure="false">Portfolio_Positions!$C$27</definedName>
    <definedName function="false" hidden="false" name="PP_JNJ_Shares_Y2" vbProcedure="false">Portfolio_Positions!$D$27</definedName>
    <definedName function="false" hidden="false" name="PP_JNJ_Shares_Y3" vbProcedure="false">Portfolio_Positions!$E$27</definedName>
    <definedName function="false" hidden="false" name="PP_JNJ_Shares_Y4" vbProcedure="false">Portfolio_Positions!$F$27</definedName>
    <definedName function="false" hidden="false" name="PP_JNJ_Shares_Y5" vbProcedure="false">Portfolio_Positions!$G$27</definedName>
    <definedName function="false" hidden="false" name="PP_JPM_MV_Y1" vbProcedure="false">Portfolio_Positions!$C$38</definedName>
    <definedName function="false" hidden="false" name="PP_JPM_MV_Y2" vbProcedure="false">Portfolio_Positions!$D$38</definedName>
    <definedName function="false" hidden="false" name="PP_JPM_MV_Y3" vbProcedure="false">Portfolio_Positions!$E$38</definedName>
    <definedName function="false" hidden="false" name="PP_JPM_MV_Y4" vbProcedure="false">Portfolio_Positions!$F$38</definedName>
    <definedName function="false" hidden="false" name="PP_JPM_MV_Y5" vbProcedure="false">Portfolio_Positions!$G$38</definedName>
    <definedName function="false" hidden="false" name="PP_JPM_NetDiv_Y1" vbProcedure="false">Portfolio_Positions!$C$44</definedName>
    <definedName function="false" hidden="false" name="PP_JPM_NetDiv_Y2" vbProcedure="false">Portfolio_Positions!$D$44</definedName>
    <definedName function="false" hidden="false" name="PP_JPM_NetDiv_Y3" vbProcedure="false">Portfolio_Positions!$E$44</definedName>
    <definedName function="false" hidden="false" name="PP_JPM_NetDiv_Y4" vbProcedure="false">Portfolio_Positions!$F$44</definedName>
    <definedName function="false" hidden="false" name="PP_JPM_NetDiv_Y5" vbProcedure="false">Portfolio_Positions!$G$44</definedName>
    <definedName function="false" hidden="false" name="PP_JPM_Price_Y1" vbProcedure="false">Portfolio_Positions!$C$36</definedName>
    <definedName function="false" hidden="false" name="PP_JPM_Price_Y2" vbProcedure="false">Portfolio_Positions!$D$36</definedName>
    <definedName function="false" hidden="false" name="PP_JPM_Price_Y3" vbProcedure="false">Portfolio_Positions!$E$36</definedName>
    <definedName function="false" hidden="false" name="PP_JPM_Price_Y4" vbProcedure="false">Portfolio_Positions!$F$36</definedName>
    <definedName function="false" hidden="false" name="PP_JPM_Price_Y5" vbProcedure="false">Portfolio_Positions!$G$36</definedName>
    <definedName function="false" hidden="false" name="PP_JPM_Shares_Y1" vbProcedure="false">Portfolio_Positions!$C$37</definedName>
    <definedName function="false" hidden="false" name="PP_JPM_Shares_Y2" vbProcedure="false">Portfolio_Positions!$D$37</definedName>
    <definedName function="false" hidden="false" name="PP_JPM_Shares_Y3" vbProcedure="false">Portfolio_Positions!$E$37</definedName>
    <definedName function="false" hidden="false" name="PP_JPM_Shares_Y4" vbProcedure="false">Portfolio_Positions!$F$37</definedName>
    <definedName function="false" hidden="false" name="PP_JPM_Shares_Y5" vbProcedure="false">Portfolio_Positions!$G$37</definedName>
    <definedName function="false" hidden="false" name="PP_Mgmt_Fee_Y1" vbProcedure="false">Portfolio_Positions!$C$111</definedName>
    <definedName function="false" hidden="false" name="PP_Mgmt_Fee_Y2" vbProcedure="false">Portfolio_Positions!$D$111</definedName>
    <definedName function="false" hidden="false" name="PP_Mgmt_Fee_Y3" vbProcedure="false">Portfolio_Positions!$E$111</definedName>
    <definedName function="false" hidden="false" name="PP_Mgmt_Fee_Y4" vbProcedure="false">Portfolio_Positions!$F$111</definedName>
    <definedName function="false" hidden="false" name="PP_Mgmt_Fee_Y5" vbProcedure="false">Portfolio_Positions!$G$111</definedName>
    <definedName function="false" hidden="false" name="PP_MSFT_MV_Y1" vbProcedure="false">Portfolio_Positions!$C$18</definedName>
    <definedName function="false" hidden="false" name="PP_MSFT_MV_Y2" vbProcedure="false">Portfolio_Positions!$D$18</definedName>
    <definedName function="false" hidden="false" name="PP_MSFT_MV_Y3" vbProcedure="false">Portfolio_Positions!$E$18</definedName>
    <definedName function="false" hidden="false" name="PP_MSFT_MV_Y4" vbProcedure="false">Portfolio_Positions!$F$18</definedName>
    <definedName function="false" hidden="false" name="PP_MSFT_MV_Y5" vbProcedure="false">Portfolio_Positions!$G$18</definedName>
    <definedName function="false" hidden="false" name="PP_MSFT_NetDiv_Y1" vbProcedure="false">Portfolio_Positions!$C$24</definedName>
    <definedName function="false" hidden="false" name="PP_MSFT_NetDiv_Y2" vbProcedure="false">Portfolio_Positions!$D$24</definedName>
    <definedName function="false" hidden="false" name="PP_MSFT_NetDiv_Y3" vbProcedure="false">Portfolio_Positions!$E$24</definedName>
    <definedName function="false" hidden="false" name="PP_MSFT_NetDiv_Y4" vbProcedure="false">Portfolio_Positions!$F$24</definedName>
    <definedName function="false" hidden="false" name="PP_MSFT_NetDiv_Y5" vbProcedure="false">Portfolio_Positions!$G$24</definedName>
    <definedName function="false" hidden="false" name="PP_MSFT_Price_Y1" vbProcedure="false">Portfolio_Positions!$C$16</definedName>
    <definedName function="false" hidden="false" name="PP_MSFT_Price_Y2" vbProcedure="false">Portfolio_Positions!$D$16</definedName>
    <definedName function="false" hidden="false" name="PP_MSFT_Price_Y3" vbProcedure="false">Portfolio_Positions!$E$16</definedName>
    <definedName function="false" hidden="false" name="PP_MSFT_Price_Y4" vbProcedure="false">Portfolio_Positions!$F$16</definedName>
    <definedName function="false" hidden="false" name="PP_MSFT_Price_Y5" vbProcedure="false">Portfolio_Positions!$G$16</definedName>
    <definedName function="false" hidden="false" name="PP_MSFT_Shares_Y1" vbProcedure="false">Portfolio_Positions!$C$17</definedName>
    <definedName function="false" hidden="false" name="PP_MSFT_Shares_Y2" vbProcedure="false">Portfolio_Positions!$D$17</definedName>
    <definedName function="false" hidden="false" name="PP_MSFT_Shares_Y3" vbProcedure="false">Portfolio_Positions!$E$17</definedName>
    <definedName function="false" hidden="false" name="PP_MSFT_Shares_Y4" vbProcedure="false">Portfolio_Positions!$F$17</definedName>
    <definedName function="false" hidden="false" name="PP_MSFT_Shares_Y5" vbProcedure="false">Portfolio_Positions!$G$17</definedName>
    <definedName function="false" hidden="false" name="PP_NEE_MV_Y1" vbProcedure="false">Portfolio_Positions!$C$98</definedName>
    <definedName function="false" hidden="false" name="PP_NEE_MV_Y2" vbProcedure="false">Portfolio_Positions!$D$98</definedName>
    <definedName function="false" hidden="false" name="PP_NEE_MV_Y3" vbProcedure="false">Portfolio_Positions!$E$98</definedName>
    <definedName function="false" hidden="false" name="PP_NEE_MV_Y4" vbProcedure="false">Portfolio_Positions!$F$98</definedName>
    <definedName function="false" hidden="false" name="PP_NEE_MV_Y5" vbProcedure="false">Portfolio_Positions!$G$98</definedName>
    <definedName function="false" hidden="false" name="PP_NEE_NetDiv_Y1" vbProcedure="false">Portfolio_Positions!$C$104</definedName>
    <definedName function="false" hidden="false" name="PP_NEE_NetDiv_Y2" vbProcedure="false">Portfolio_Positions!$D$104</definedName>
    <definedName function="false" hidden="false" name="PP_NEE_NetDiv_Y3" vbProcedure="false">Portfolio_Positions!$E$104</definedName>
    <definedName function="false" hidden="false" name="PP_NEE_NetDiv_Y4" vbProcedure="false">Portfolio_Positions!$F$104</definedName>
    <definedName function="false" hidden="false" name="PP_NEE_NetDiv_Y5" vbProcedure="false">Portfolio_Positions!$G$104</definedName>
    <definedName function="false" hidden="false" name="PP_NEE_Price_Y1" vbProcedure="false">Portfolio_Positions!$C$96</definedName>
    <definedName function="false" hidden="false" name="PP_NEE_Price_Y2" vbProcedure="false">Portfolio_Positions!$D$96</definedName>
    <definedName function="false" hidden="false" name="PP_NEE_Price_Y3" vbProcedure="false">Portfolio_Positions!$E$96</definedName>
    <definedName function="false" hidden="false" name="PP_NEE_Price_Y4" vbProcedure="false">Portfolio_Positions!$F$96</definedName>
    <definedName function="false" hidden="false" name="PP_NEE_Price_Y5" vbProcedure="false">Portfolio_Positions!$G$96</definedName>
    <definedName function="false" hidden="false" name="PP_NEE_Shares_Y1" vbProcedure="false">Portfolio_Positions!$C$97</definedName>
    <definedName function="false" hidden="false" name="PP_NEE_Shares_Y2" vbProcedure="false">Portfolio_Positions!$D$97</definedName>
    <definedName function="false" hidden="false" name="PP_NEE_Shares_Y3" vbProcedure="false">Portfolio_Positions!$E$97</definedName>
    <definedName function="false" hidden="false" name="PP_NEE_Shares_Y4" vbProcedure="false">Portfolio_Positions!$F$97</definedName>
    <definedName function="false" hidden="false" name="PP_NEE_Shares_Y5" vbProcedure="false">Portfolio_Positions!$G$97</definedName>
    <definedName function="false" hidden="false" name="PP_Net_CF_Y1" vbProcedure="false">Portfolio_Positions!$C$112</definedName>
    <definedName function="false" hidden="false" name="PP_Net_CF_Y2" vbProcedure="false">Portfolio_Positions!$D$112</definedName>
    <definedName function="false" hidden="false" name="PP_Net_CF_Y3" vbProcedure="false">Portfolio_Positions!$E$112</definedName>
    <definedName function="false" hidden="false" name="PP_Net_CF_Y4" vbProcedure="false">Portfolio_Positions!$F$112</definedName>
    <definedName function="false" hidden="false" name="PP_Net_CF_Y5" vbProcedure="false">Portfolio_Positions!$G$112</definedName>
    <definedName function="false" hidden="false" name="PP_Net_Div_Y1" vbProcedure="false">Portfolio_Positions!$C$110</definedName>
    <definedName function="false" hidden="false" name="PP_Net_Div_Y2" vbProcedure="false">Portfolio_Positions!$D$110</definedName>
    <definedName function="false" hidden="false" name="PP_Net_Div_Y3" vbProcedure="false">Portfolio_Positions!$E$110</definedName>
    <definedName function="false" hidden="false" name="PP_Net_Div_Y4" vbProcedure="false">Portfolio_Positions!$F$110</definedName>
    <definedName function="false" hidden="false" name="PP_Net_Div_Y5" vbProcedure="false">Portfolio_Positions!$G$110</definedName>
    <definedName function="false" hidden="false" name="PP_PG_MV_Y1" vbProcedure="false">Portfolio_Positions!$C$48</definedName>
    <definedName function="false" hidden="false" name="PP_PG_MV_Y2" vbProcedure="false">Portfolio_Positions!$D$48</definedName>
    <definedName function="false" hidden="false" name="PP_PG_MV_Y3" vbProcedure="false">Portfolio_Positions!$E$48</definedName>
    <definedName function="false" hidden="false" name="PP_PG_MV_Y4" vbProcedure="false">Portfolio_Positions!$F$48</definedName>
    <definedName function="false" hidden="false" name="PP_PG_MV_Y5" vbProcedure="false">Portfolio_Positions!$G$48</definedName>
    <definedName function="false" hidden="false" name="PP_PG_NetDiv_Y1" vbProcedure="false">Portfolio_Positions!$C$54</definedName>
    <definedName function="false" hidden="false" name="PP_PG_NetDiv_Y2" vbProcedure="false">Portfolio_Positions!$D$54</definedName>
    <definedName function="false" hidden="false" name="PP_PG_NetDiv_Y3" vbProcedure="false">Portfolio_Positions!$E$54</definedName>
    <definedName function="false" hidden="false" name="PP_PG_NetDiv_Y4" vbProcedure="false">Portfolio_Positions!$F$54</definedName>
    <definedName function="false" hidden="false" name="PP_PG_NetDiv_Y5" vbProcedure="false">Portfolio_Positions!$G$54</definedName>
    <definedName function="false" hidden="false" name="PP_PG_Price_Y1" vbProcedure="false">Portfolio_Positions!$C$46</definedName>
    <definedName function="false" hidden="false" name="PP_PG_Price_Y2" vbProcedure="false">Portfolio_Positions!$D$46</definedName>
    <definedName function="false" hidden="false" name="PP_PG_Price_Y3" vbProcedure="false">Portfolio_Positions!$E$46</definedName>
    <definedName function="false" hidden="false" name="PP_PG_Price_Y4" vbProcedure="false">Portfolio_Positions!$F$46</definedName>
    <definedName function="false" hidden="false" name="PP_PG_Price_Y5" vbProcedure="false">Portfolio_Positions!$G$46</definedName>
    <definedName function="false" hidden="false" name="PP_PG_Shares_Y1" vbProcedure="false">Portfolio_Positions!$C$47</definedName>
    <definedName function="false" hidden="false" name="PP_PG_Shares_Y2" vbProcedure="false">Portfolio_Positions!$D$47</definedName>
    <definedName function="false" hidden="false" name="PP_PG_Shares_Y3" vbProcedure="false">Portfolio_Positions!$E$47</definedName>
    <definedName function="false" hidden="false" name="PP_PG_Shares_Y4" vbProcedure="false">Portfolio_Positions!$F$47</definedName>
    <definedName function="false" hidden="false" name="PP_PG_Shares_Y5" vbProcedure="false">Portfolio_Positions!$G$47</definedName>
    <definedName function="false" hidden="false" name="PP_Terminal_CGT" vbProcedure="false">Portfolio_Positions!$G$114</definedName>
    <definedName function="false" hidden="false" name="PP_Terminal_MV" vbProcedure="false">Portfolio_Positions!$G$116</definedName>
    <definedName function="false" hidden="false" name="PP_Terminal_TC" vbProcedure="false">Portfolio_Positions!$G$115</definedName>
    <definedName function="false" hidden="false" name="PP_Total_MV_Y1" vbProcedure="false">Portfolio_Positions!$C$107</definedName>
    <definedName function="false" hidden="false" name="PP_Total_MV_Y2" vbProcedure="false">Portfolio_Positions!$D$107</definedName>
    <definedName function="false" hidden="false" name="PP_Total_MV_Y3" vbProcedure="false">Portfolio_Positions!$E$107</definedName>
    <definedName function="false" hidden="false" name="PP_Total_MV_Y4" vbProcedure="false">Portfolio_Positions!$F$107</definedName>
    <definedName function="false" hidden="false" name="PP_Total_MV_Y5" vbProcedure="false">Portfolio_Positions!$G$107</definedName>
    <definedName function="false" hidden="false" name="PP_Trans_Cost_Y1" vbProcedure="false">Portfolio_Positions!$C$109</definedName>
    <definedName function="false" hidden="false" name="PP_Trans_Cost_Y2" vbProcedure="false">Portfolio_Positions!$D$109</definedName>
    <definedName function="false" hidden="false" name="PP_Trans_Cost_Y3" vbProcedure="false">Portfolio_Positions!$E$109</definedName>
    <definedName function="false" hidden="false" name="PP_Trans_Cost_Y4" vbProcedure="false">Portfolio_Positions!$F$109</definedName>
    <definedName function="false" hidden="false" name="PP_Trans_Cost_Y5" vbProcedure="false">Portfolio_Positions!$G$109</definedName>
    <definedName function="false" hidden="false" name="PP_V_MV_Y1" vbProcedure="false">Portfolio_Positions!$C$78</definedName>
    <definedName function="false" hidden="false" name="PP_V_MV_Y2" vbProcedure="false">Portfolio_Positions!$D$78</definedName>
    <definedName function="false" hidden="false" name="PP_V_MV_Y3" vbProcedure="false">Portfolio_Positions!$E$78</definedName>
    <definedName function="false" hidden="false" name="PP_V_MV_Y4" vbProcedure="false">Portfolio_Positions!$F$78</definedName>
    <definedName function="false" hidden="false" name="PP_V_MV_Y5" vbProcedure="false">Portfolio_Positions!$G$78</definedName>
    <definedName function="false" hidden="false" name="PP_V_NetDiv_Y1" vbProcedure="false">Portfolio_Positions!$C$84</definedName>
    <definedName function="false" hidden="false" name="PP_V_NetDiv_Y2" vbProcedure="false">Portfolio_Positions!$D$84</definedName>
    <definedName function="false" hidden="false" name="PP_V_NetDiv_Y3" vbProcedure="false">Portfolio_Positions!$E$84</definedName>
    <definedName function="false" hidden="false" name="PP_V_NetDiv_Y4" vbProcedure="false">Portfolio_Positions!$F$84</definedName>
    <definedName function="false" hidden="false" name="PP_V_NetDiv_Y5" vbProcedure="false">Portfolio_Positions!$G$84</definedName>
    <definedName function="false" hidden="false" name="PP_V_Price_Y1" vbProcedure="false">Portfolio_Positions!$C$76</definedName>
    <definedName function="false" hidden="false" name="PP_V_Price_Y2" vbProcedure="false">Portfolio_Positions!$D$76</definedName>
    <definedName function="false" hidden="false" name="PP_V_Price_Y3" vbProcedure="false">Portfolio_Positions!$E$76</definedName>
    <definedName function="false" hidden="false" name="PP_V_Price_Y4" vbProcedure="false">Portfolio_Positions!$F$76</definedName>
    <definedName function="false" hidden="false" name="PP_V_Price_Y5" vbProcedure="false">Portfolio_Positions!$G$76</definedName>
    <definedName function="false" hidden="false" name="PP_V_Shares_Y1" vbProcedure="false">Portfolio_Positions!$C$77</definedName>
    <definedName function="false" hidden="false" name="PP_V_Shares_Y2" vbProcedure="false">Portfolio_Positions!$D$77</definedName>
    <definedName function="false" hidden="false" name="PP_V_Shares_Y3" vbProcedure="false">Portfolio_Positions!$E$77</definedName>
    <definedName function="false" hidden="false" name="PP_V_Shares_Y4" vbProcedure="false">Portfolio_Positions!$F$77</definedName>
    <definedName function="false" hidden="false" name="PP_V_Shares_Y5" vbProcedure="false">Portfolio_Positions!$G$77</definedName>
    <definedName function="false" hidden="false" name="PP_XOM_MV_Y1" vbProcedure="false">Portfolio_Positions!$C$58</definedName>
    <definedName function="false" hidden="false" name="PP_XOM_MV_Y2" vbProcedure="false">Portfolio_Positions!$D$58</definedName>
    <definedName function="false" hidden="false" name="PP_XOM_MV_Y3" vbProcedure="false">Portfolio_Positions!$E$58</definedName>
    <definedName function="false" hidden="false" name="PP_XOM_MV_Y4" vbProcedure="false">Portfolio_Positions!$F$58</definedName>
    <definedName function="false" hidden="false" name="PP_XOM_MV_Y5" vbProcedure="false">Portfolio_Positions!$G$58</definedName>
    <definedName function="false" hidden="false" name="PP_XOM_NetDiv_Y1" vbProcedure="false">Portfolio_Positions!$C$64</definedName>
    <definedName function="false" hidden="false" name="PP_XOM_NetDiv_Y2" vbProcedure="false">Portfolio_Positions!$D$64</definedName>
    <definedName function="false" hidden="false" name="PP_XOM_NetDiv_Y3" vbProcedure="false">Portfolio_Positions!$E$64</definedName>
    <definedName function="false" hidden="false" name="PP_XOM_NetDiv_Y4" vbProcedure="false">Portfolio_Positions!$F$64</definedName>
    <definedName function="false" hidden="false" name="PP_XOM_NetDiv_Y5" vbProcedure="false">Portfolio_Positions!$G$64</definedName>
    <definedName function="false" hidden="false" name="PP_XOM_Price_Y1" vbProcedure="false">Portfolio_Positions!$C$56</definedName>
    <definedName function="false" hidden="false" name="PP_XOM_Price_Y2" vbProcedure="false">Portfolio_Positions!$D$56</definedName>
    <definedName function="false" hidden="false" name="PP_XOM_Price_Y3" vbProcedure="false">Portfolio_Positions!$E$56</definedName>
    <definedName function="false" hidden="false" name="PP_XOM_Price_Y4" vbProcedure="false">Portfolio_Positions!$F$56</definedName>
    <definedName function="false" hidden="false" name="PP_XOM_Price_Y5" vbProcedure="false">Portfolio_Positions!$G$56</definedName>
    <definedName function="false" hidden="false" name="PP_XOM_Shares_Y1" vbProcedure="false">Portfolio_Positions!$C$57</definedName>
    <definedName function="false" hidden="false" name="PP_XOM_Shares_Y2" vbProcedure="false">Portfolio_Positions!$D$57</definedName>
    <definedName function="false" hidden="false" name="PP_XOM_Shares_Y3" vbProcedure="false">Portfolio_Positions!$E$57</definedName>
    <definedName function="false" hidden="false" name="PP_XOM_Shares_Y4" vbProcedure="false">Portfolio_Positions!$F$57</definedName>
    <definedName function="false" hidden="false" name="PP_XOM_Shares_Y5" vbProcedure="false">Portfolio_Positions!$G$57</definedName>
    <definedName function="false" hidden="false" name="Risk_Free_Rate" vbProcedure="false">Assumptions!$C$14</definedName>
    <definedName function="false" hidden="false" name="RS_Ann_Return" vbProcedure="false">Returns_Summary!$C$15</definedName>
    <definedName function="false" hidden="false" name="RS_Benchmark_MV" vbProcedure="false">Returns_Summary!$C$19</definedName>
    <definedName function="false" hidden="false" name="RS_Benchmark_Return" vbProcedure="false">Returns_Summary!$C$16</definedName>
    <definedName function="false" hidden="false" name="RS_Excess_Return" vbProcedure="false">Returns_Summary!$C$17</definedName>
    <definedName function="false" hidden="false" name="RS_Initial_Capital" vbProcedure="false">Returns_Summary!$C$7</definedName>
    <definedName function="false" hidden="false" name="RS_IRR" vbProcedure="false">Returns_Summary!$C$14</definedName>
    <definedName function="false" hidden="false" name="RS_Sharpe" vbProcedure="false">Returns_Summary!$C$18</definedName>
    <definedName function="false" hidden="false" name="RS_Terminal_MV" vbProcedure="false">Returns_Summary!$C$8</definedName>
    <definedName function="false" hidden="false" name="RS_Total_CGT" vbProcedure="false">Returns_Summary!$C$11</definedName>
    <definedName function="false" hidden="false" name="RS_Total_Dividends" vbProcedure="false">Returns_Summary!$C$9</definedName>
    <definedName function="false" hidden="false" name="RS_Total_Fees" vbProcedure="false">Returns_Summary!$C$10</definedName>
    <definedName function="false" hidden="false" name="RS_Total_TC" vbProcedure="false">Returns_Summary!$C$12</definedName>
    <definedName function="false" hidden="false" name="Trans_Cost_Bps" vbProcedure="false">Assumptions!$C$12</definedName>
    <definedName function="false" hidden="false" name="V_Alloc" vbProcedure="false">Assumptions!$D$32</definedName>
    <definedName function="false" hidden="false" name="V_DPS_Growth" vbProcedure="false">Assumptions!$H$32</definedName>
    <definedName function="false" hidden="false" name="V_DPS_Y0" vbProcedure="false">Assumptions!$G$32</definedName>
    <definedName function="false" hidden="false" name="V_Entry_Price" vbProcedure="false">Assumptions!$E$32</definedName>
    <definedName function="false" hidden="false" name="V_Exp_Return" vbProcedure="false">Assumptions!$I$32</definedName>
    <definedName function="false" hidden="false" name="V_Shares_Y0" vbProcedure="false">Assumptions!$F$32</definedName>
    <definedName function="false" hidden="false" name="WHT_Rate" vbProcedure="false">Assumptions!$C$10</definedName>
    <definedName function="false" hidden="false" name="XOM_Alloc" vbProcedure="false">Assumptions!$D$30</definedName>
    <definedName function="false" hidden="false" name="XOM_DPS_Growth" vbProcedure="false">Assumptions!$H$30</definedName>
    <definedName function="false" hidden="false" name="XOM_DPS_Y0" vbProcedure="false">Assumptions!$G$30</definedName>
    <definedName function="false" hidden="false" name="XOM_Entry_Price" vbProcedure="false">Assumptions!$E$30</definedName>
    <definedName function="false" hidden="false" name="XOM_Exp_Return" vbProcedure="false">Assumptions!$I$30</definedName>
    <definedName function="false" hidden="false" name="XOM_Shares_Y0" vbProcedure="false">Assumptions!$F$30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<sst xmlns="http://schemas.openxmlformats.org/spreadsheetml/2006/main" count="352" uniqueCount="181">
  <si>
    <t xml:space="preserve">Equity Portfolio Model</t>
  </si>
  <si>
    <t xml:space="preserve">FINAMODEL.com</t>
  </si>
  <si>
    <t xml:space="preserve">5-Year Performance Analysis - Y2025 to Y2029</t>
  </si>
  <si>
    <t xml:space="preserve">Model Purpose</t>
  </si>
  <si>
    <t xml:space="preserve">This model quantifies the 5-year risk-adjusted return of a 10-stock US equity portfolio versus the S&amp;P 500 benchmark, accounting for dividends, annual rebalancing, management fees, and capital gains tax on realised events only.</t>
  </si>
  <si>
    <t xml:space="preserve">Sign Conventions</t>
  </si>
  <si>
    <t xml:space="preserve">Initial capital: negative (outflow). Dividends / portfolio MV: positive (inflow). Management fees, CG tax, transaction costs: negative.</t>
  </si>
  <si>
    <t xml:space="preserve">Note on Sharpe Ratio</t>
  </si>
  <si>
    <t xml:space="preserve">Portfolio volatility is a user input (Assumptions row 15). The model has no position-level volatility data. Sharpe is computed as a single number at the 5-year horizon: (Annualised Return - Risk-Free Rate) / Portfolio Volatility.</t>
  </si>
  <si>
    <t xml:space="preserve">Note on Capital Gains Tax</t>
  </si>
  <si>
    <t xml:space="preserve">CG tax is applied ONLY at realisation events: (1) annual rebalancing sells, and (2) full terminal disposal at end of Year 5. Unrealised gains are never taxed annually. Cost basis is fixed at entry price for all years (simplified single-lot assumption).</t>
  </si>
  <si>
    <t xml:space="preserve">About this model</t>
  </si>
  <si>
    <t xml:space="preserve">An equity portfolio analysis model tracks a 10-stock portfolio over a five-year period, computing total return accounting for dividends, rebalancing, and capital gains tax on realized trading events. The model begins with each position's entry price, dividend yield, expected annual return, and allocation percentage. Each year, the portfolio is rebalanced back to target allocations by selling positions that have outperformed (and realizing gains) and buying positions that have underperformed. Capital gains tax is applied only on the realized gain from the shares soldânot on paper gains that remain unrealizedâcapturing the tax efficiency of buy-and-hold versus active rebalancing.
The workbook computes both the internal rate of return (IRR), which accounts for the timing of dividend inflows and outflows, and the annualized return (CAGR), which is simpler but ignores timing. Management fees (typically 0.5% annually) and transaction costs (10 basis points per dollar of shares traded) are deducted from returns. The Sharpe ratio (excess return per unit of volatility) allows comparison to the S&amp;P 500 benchmark, showing whether the portfolio's active returns justify its risk and costs.
This model is suitable for individual investors, wealth advisors, and asset owners evaluating active versus passive management, or assessing the tax efficiency of concentrated portfolios.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</si>
  <si>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</si>
  <si>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</si>
  <si>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</si>
  <si>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</si>
  <si>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t>
  </si>
  <si>
    <t xml:space="preserve">Value</t>
  </si>
  <si>
    <t xml:space="preserve">Unit</t>
  </si>
  <si>
    <t xml:space="preserve">Notes</t>
  </si>
  <si>
    <t xml:space="preserve">Initial Capital</t>
  </si>
  <si>
    <t xml:space="preserve">USD</t>
  </si>
  <si>
    <t xml:space="preserve">User input</t>
  </si>
  <si>
    <t xml:space="preserve">Horizon (years)</t>
  </si>
  <si>
    <t xml:space="preserve">Years</t>
  </si>
  <si>
    <t xml:space="preserve">Fixed</t>
  </si>
  <si>
    <t xml:space="preserve">CG Tax Rate</t>
  </si>
  <si>
    <t xml:space="preserve">%</t>
  </si>
  <si>
    <t xml:space="preserve">US LTCG high-bracket</t>
  </si>
  <si>
    <t xml:space="preserve">Dividend WHT Rate</t>
  </si>
  <si>
    <t xml:space="preserve">0% for US domestic</t>
  </si>
  <si>
    <t xml:space="preserve">Management Fee Rate</t>
  </si>
  <si>
    <t xml:space="preserve">% of AUM</t>
  </si>
  <si>
    <t xml:space="preserve">Annual advisory fee</t>
  </si>
  <si>
    <t xml:space="preserve">Transaction Cost</t>
  </si>
  <si>
    <t xml:space="preserve">Bps</t>
  </si>
  <si>
    <t xml:space="preserve">Per $ of shares traded</t>
  </si>
  <si>
    <t xml:space="preserve">Benchmark Return</t>
  </si>
  <si>
    <t xml:space="preserve">S&amp;P 500 long-run</t>
  </si>
  <si>
    <t xml:space="preserve">Risk-Free Rate</t>
  </si>
  <si>
    <t xml:space="preserve">US 10Y Treasury Apr 2026</t>
  </si>
  <si>
    <t xml:space="preserve">Portfolio Volatility</t>
  </si>
  <si>
    <t xml:space="preserve">User input - annualised</t>
  </si>
  <si>
    <t xml:space="preserve">Per-Position Assumptions</t>
  </si>
  <si>
    <t xml:space="preserve">Ticker</t>
  </si>
  <si>
    <t xml:space="preserve">Company Name</t>
  </si>
  <si>
    <t xml:space="preserve">Allocation %</t>
  </si>
  <si>
    <t xml:space="preserve">Entry Price ($)</t>
  </si>
  <si>
    <t xml:space="preserve">Shares Y0</t>
  </si>
  <si>
    <t xml:space="preserve">DPS Y0 ($)</t>
  </si>
  <si>
    <t xml:space="preserve">DPS Growth</t>
  </si>
  <si>
    <t xml:space="preserve">Exp. Annual Return</t>
  </si>
  <si>
    <t xml:space="preserve">AAPL</t>
  </si>
  <si>
    <t xml:space="preserve">Apple</t>
  </si>
  <si>
    <t xml:space="preserve">MSFT</t>
  </si>
  <si>
    <t xml:space="preserve">Microsoft</t>
  </si>
  <si>
    <t xml:space="preserve">JNJ</t>
  </si>
  <si>
    <t xml:space="preserve">Johnson &amp; Johnson</t>
  </si>
  <si>
    <t xml:space="preserve">JPM</t>
  </si>
  <si>
    <t xml:space="preserve">JPMorgan Chase</t>
  </si>
  <si>
    <t xml:space="preserve">PG</t>
  </si>
  <si>
    <t xml:space="preserve">Procter &amp; Gamble</t>
  </si>
  <si>
    <t xml:space="preserve">XOM</t>
  </si>
  <si>
    <t xml:space="preserve">ExxonMobil</t>
  </si>
  <si>
    <t xml:space="preserve">BRK</t>
  </si>
  <si>
    <t xml:space="preserve">Berkshire Hathaway</t>
  </si>
  <si>
    <t xml:space="preserve">V</t>
  </si>
  <si>
    <t xml:space="preserve">Visa</t>
  </si>
  <si>
    <t xml:space="preserve">HD</t>
  </si>
  <si>
    <t xml:space="preserve">Home Depot</t>
  </si>
  <si>
    <t xml:space="preserve">NEE</t>
  </si>
  <si>
    <t xml:space="preserve">NextEra Energy</t>
  </si>
  <si>
    <t xml:space="preserve">Total Allocation</t>
  </si>
  <si>
    <t xml:space="preserve">2025</t>
  </si>
  <si>
    <t xml:space="preserve">2026</t>
  </si>
  <si>
    <t xml:space="preserve">2027</t>
  </si>
  <si>
    <t xml:space="preserve">2028</t>
  </si>
  <si>
    <t xml:space="preserve">2029</t>
  </si>
  <si>
    <t xml:space="preserve">Y1</t>
  </si>
  <si>
    <t xml:space="preserve">Y2</t>
  </si>
  <si>
    <t xml:space="preserve">Y3</t>
  </si>
  <si>
    <t xml:space="preserve">Y4</t>
  </si>
  <si>
    <t xml:space="preserve">Y5</t>
  </si>
  <si>
    <t xml:space="preserve">AAPL - Apple</t>
  </si>
  <si>
    <t xml:space="preserve">Price</t>
  </si>
  <si>
    <t xml:space="preserve">Shares (post-rebal)</t>
  </si>
  <si>
    <t xml:space="preserve">Market Value</t>
  </si>
  <si>
    <t xml:space="preserve">Shares Sold</t>
  </si>
  <si>
    <t xml:space="preserve">Cost Basis/Share</t>
  </si>
  <si>
    <t xml:space="preserve">Realised Gain</t>
  </si>
  <si>
    <t xml:space="preserve">CG Tax Paid</t>
  </si>
  <si>
    <t xml:space="preserve">Net Dividend</t>
  </si>
  <si>
    <t xml:space="preserve">MSFT - Microsoft</t>
  </si>
  <si>
    <t xml:space="preserve">JNJ - Johnson &amp; Johnson</t>
  </si>
  <si>
    <t xml:space="preserve">JPM - JPMorgan Chase</t>
  </si>
  <si>
    <t xml:space="preserve">PG - Procter &amp; Gamble</t>
  </si>
  <si>
    <t xml:space="preserve">XOM - ExxonMobil</t>
  </si>
  <si>
    <t xml:space="preserve">BRK - Berkshire Hathaway</t>
  </si>
  <si>
    <t xml:space="preserve">V - Visa</t>
  </si>
  <si>
    <t xml:space="preserve">HD - Home Depot</t>
  </si>
  <si>
    <t xml:space="preserve">NEE - NextEra Energy</t>
  </si>
  <si>
    <t xml:space="preserve">Portfolio Totals</t>
  </si>
  <si>
    <t xml:space="preserve">Total Portfolio MV</t>
  </si>
  <si>
    <t xml:space="preserve">Total CG Tax</t>
  </si>
  <si>
    <t xml:space="preserve">Total Trans Costs</t>
  </si>
  <si>
    <t xml:space="preserve">Total Net Dividends</t>
  </si>
  <si>
    <t xml:space="preserve">Management Fee</t>
  </si>
  <si>
    <t xml:space="preserve">Net Cash Flow</t>
  </si>
  <si>
    <t xml:space="preserve">Terminal CG Tax</t>
  </si>
  <si>
    <t xml:space="preserve">Terminal Trans Cost</t>
  </si>
  <si>
    <t xml:space="preserve">Terminal Net MV</t>
  </si>
  <si>
    <t xml:space="preserve">Returns Summary</t>
  </si>
  <si>
    <t xml:space="preserve">Cash Flow Summary</t>
  </si>
  <si>
    <t xml:space="preserve">Negative = outflow</t>
  </si>
  <si>
    <t xml:space="preserve">Terminal Net MV (Y5)</t>
  </si>
  <si>
    <t xml:space="preserve">After CG tax + trans costs at exit</t>
  </si>
  <si>
    <t xml:space="preserve">5yr cumulative</t>
  </si>
  <si>
    <t xml:space="preserve">Total Management Fees</t>
  </si>
  <si>
    <t xml:space="preserve">Rebalancing + terminal exit</t>
  </si>
  <si>
    <t xml:space="preserve">Incl terminal disposal</t>
  </si>
  <si>
    <t xml:space="preserve">Returns Metrics</t>
  </si>
  <si>
    <t xml:space="preserve">IRR (5yr)</t>
  </si>
  <si>
    <t xml:space="preserve">Annualised Return</t>
  </si>
  <si>
    <t xml:space="preserve">Benchmark Return (5yr)</t>
  </si>
  <si>
    <t xml:space="preserve">Excess Return</t>
  </si>
  <si>
    <t xml:space="preserve">Sharpe Ratio</t>
  </si>
  <si>
    <t xml:space="preserve">Volatility is user input (Assumptions row 15)</t>
  </si>
  <si>
    <t xml:space="preserve">Benchmark MV (Y5)</t>
  </si>
  <si>
    <t xml:space="preserve">Fee Schedule</t>
  </si>
  <si>
    <t xml:space="preserve">5yr Total</t>
  </si>
  <si>
    <t xml:space="preserve">AUM</t>
  </si>
  <si>
    <t xml:space="preserve">Management Fee ($)</t>
  </si>
  <si>
    <t xml:space="preserve">Management Fee (% AUM)</t>
  </si>
  <si>
    <t xml:space="preserve">Gross Shares Traded ($)</t>
  </si>
  <si>
    <t xml:space="preserve">Transaction Cost ($)</t>
  </si>
  <si>
    <t xml:space="preserve">Transaction Cost (bps)</t>
  </si>
  <si>
    <t xml:space="preserve">Total Costs (fee + TC)</t>
  </si>
  <si>
    <t xml:space="preserve">Total Costs (% AUM)</t>
  </si>
  <si>
    <t xml:space="preserve">All-in Cost</t>
  </si>
  <si>
    <t xml:space="preserve">All-in Cost (% AUM)</t>
  </si>
  <si>
    <t xml:space="preserve">Dividend Schedule</t>
  </si>
  <si>
    <t xml:space="preserve">DPS</t>
  </si>
  <si>
    <t xml:space="preserve">Shares Held</t>
  </si>
  <si>
    <t xml:space="preserve">Gross Dividend</t>
  </si>
  <si>
    <t xml:space="preserve">WHT</t>
  </si>
  <si>
    <t xml:space="preserve">Total Gross Dividends</t>
  </si>
  <si>
    <t xml:space="preserve">Total WHT</t>
  </si>
  <si>
    <t xml:space="preserve">Portfolio Yield</t>
  </si>
  <si>
    <t xml:space="preserve">Check</t>
  </si>
  <si>
    <t xml:space="preserve">Formula</t>
  </si>
  <si>
    <t xml:space="preserve">Expected</t>
  </si>
  <si>
    <t xml:space="preserve">Result</t>
  </si>
  <si>
    <t xml:space="preserve">Allocation sums to 100%</t>
  </si>
  <si>
    <t xml:space="preserve">TRUE</t>
  </si>
  <si>
    <t xml:space="preserve">Shares Y0 all positive</t>
  </si>
  <si>
    <t xml:space="preserve">MV Y0 within 1% of capital</t>
  </si>
  <si>
    <t xml:space="preserve">No CG tax in Year 1</t>
  </si>
  <si>
    <t xml:space="preserve">Net dividends match (two paths) Y5</t>
  </si>
  <si>
    <t xml:space="preserve">IRR sign change</t>
  </si>
  <si>
    <t xml:space="preserve">IRR is numeric</t>
  </si>
  <si>
    <t xml:space="preserve">Terminal MV &lt; gross MV Y5</t>
  </si>
  <si>
    <t xml:space="preserve">Portfolio MV positive (all years)</t>
  </si>
  <si>
    <t xml:space="preserve">Sharpe denominator &gt; 0</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</si>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</sst>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5">
    <numFmt numFmtId="164" formatCode="General"/>
    <numFmt numFmtId="165" formatCode="#,##0.00"/>
    <numFmt numFmtId="166" formatCode="0"/>
    <numFmt numFmtId="167" formatCode="0.00%"/>
    <numFmt numFmtId="168" formatCode="@"/>
  </numFmts>
  <fonts count="25">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9"/>
      <color rgb="FF888888"/>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9">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rgb="FFFFFBEC"/>
        <bgColor rgb="FFFFFFFF"/>
      </patternFill>
    </fill>
    <fill>
      <patternFill patternType="solid">
        <fgColor theme="3" tint="0.8"/>
        <bgColor rgb="FFD6E4F0"/>
      </patternFill>
    </fill>
    <fill>
      <patternFill patternType="solid">
        <fgColor rgb="FFF5F5F5"/>
        <bgColor rgb="FFF2F2F2"/>
      </patternFill>
    </fill>
    <fill>
      <patternFill patternType="solid">
        <fgColor rgb="FF1F4E79"/>
        <bgColor rgb="FF1F497D"/>
      </patternFill>
    </fill>
    <fill>
      <patternFill patternType="solid">
        <fgColor rgb="FFF2F2F2"/>
        <bgColor rgb="FFF5F5F5"/>
      </patternFill>
    </fill>
  </fills>
  <borders count="2">
    <border diagonalUp="false" diagonalDown="false">
      <left/>
      <right/>
      <top/>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true" indent="0" shrinkToFit="false"/>
      <protection locked="true" hidden="false"/>
    </xf>
    <xf numFmtId="164" fontId="12" fillId="3" borderId="0" xfId="0" applyFont="true" applyBorder="false" applyAlignment="true" applyProtection="false">
      <alignment horizontal="left" vertical="center"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5" fontId="11" fillId="4" borderId="0" xfId="0" applyFont="true" applyBorder="false" applyAlignment="true" applyProtection="false">
      <alignment horizontal="right" vertical="center" textRotation="0" wrapText="false" indent="0" shrinkToFit="false"/>
      <protection locked="true" hidden="false"/>
    </xf>
    <xf numFmtId="166" fontId="11" fillId="4" borderId="0" xfId="0" applyFont="true" applyBorder="false" applyAlignment="true" applyProtection="false">
      <alignment horizontal="right" vertical="center" textRotation="0" wrapText="false" indent="0" shrinkToFit="false"/>
      <protection locked="true" hidden="false"/>
    </xf>
    <xf numFmtId="167" fontId="11" fillId="4" borderId="0" xfId="0" applyFont="true" applyBorder="false" applyAlignment="true" applyProtection="false">
      <alignment horizontal="right" vertical="center" textRotation="0" wrapText="false" indent="0" shrinkToFit="false"/>
      <protection locked="true" hidden="false"/>
    </xf>
    <xf numFmtId="164" fontId="10" fillId="5" borderId="0" xfId="0" applyFont="true" applyBorder="false" applyAlignment="true" applyProtection="false">
      <alignment horizontal="left" vertical="center" textRotation="0" wrapText="false" indent="0" shrinkToFit="false"/>
      <protection locked="true" hidden="false"/>
    </xf>
    <xf numFmtId="165" fontId="11" fillId="6" borderId="0" xfId="0" applyFont="true" applyBorder="false" applyAlignment="true" applyProtection="false">
      <alignment horizontal="right" vertical="center"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4" fontId="17" fillId="2" borderId="0" xfId="0" applyFont="true" applyBorder="false" applyAlignment="true" applyProtection="false">
      <alignment horizontal="left" vertical="center"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right" vertical="center"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8" fontId="17" fillId="2" borderId="0" xfId="0" applyFont="true" applyBorder="false" applyAlignment="true" applyProtection="false">
      <alignment horizontal="center" vertical="center" textRotation="0" wrapText="false" indent="0" shrinkToFit="false"/>
      <protection locked="true" hidden="false"/>
    </xf>
    <xf numFmtId="168" fontId="11" fillId="0" borderId="0" xfId="0" applyFont="true" applyBorder="false" applyAlignment="true" applyProtection="false">
      <alignment horizontal="left" vertical="center" textRotation="0" wrapText="false" indent="0" shrinkToFit="false"/>
      <protection locked="true" hidden="false"/>
    </xf>
    <xf numFmtId="168" fontId="18" fillId="0" borderId="0" xfId="0" applyFont="true" applyBorder="false" applyAlignment="true" applyProtection="false">
      <alignment horizontal="left" vertical="center" textRotation="0" wrapText="false" indent="0" shrinkToFit="false"/>
      <protection locked="true" hidden="false"/>
    </xf>
    <xf numFmtId="168" fontId="11" fillId="0" borderId="0" xfId="0" applyFont="true" applyBorder="false" applyAlignment="true" applyProtection="false">
      <alignment horizontal="center" vertical="center" textRotation="0" wrapText="false" indent="0" shrinkToFit="false"/>
      <protection locked="true" hidden="false"/>
    </xf>
    <xf numFmtId="168" fontId="10"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64" fontId="20" fillId="7" borderId="0" xfId="0" applyFont="true" applyBorder="false" applyAlignment="true" applyProtection="false">
      <alignment horizontal="left" vertical="center" textRotation="0" wrapText="false" indent="1" shrinkToFit="false"/>
      <protection locked="true" hidden="false"/>
    </xf>
    <xf numFmtId="164" fontId="21" fillId="0"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3" fillId="8"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BE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F5F5F5"/>
      <rgbColor rgb="FFFFFF99"/>
      <rgbColor rgb="FF99CCFF"/>
      <rgbColor rgb="FFFF99CC"/>
      <rgbColor rgb="FFCC99FF"/>
      <rgbColor rgb="FFFFCC99"/>
      <rgbColor rgb="FF2E75B6"/>
      <rgbColor rgb="FF33CCCC"/>
      <rgbColor rgb="FF99CC00"/>
      <rgbColor rgb="FFFFCC00"/>
      <rgbColor rgb="FFFF9900"/>
      <rgbColor rgb="FFC55A11"/>
      <rgbColor rgb="FF595959"/>
      <rgbColor rgb="FF888888"/>
      <rgbColor rgb="FF1F4E79"/>
      <rgbColor rgb="FF538135"/>
      <rgbColor rgb="FF375623"/>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80"/>
  </cols>
  <sheetData>
    <row r="1" customFormat="false" ht="15" hidden="false" customHeight="false" outlineLevel="0" collapsed="false">
      <c r="A1" s="1"/>
      <c r="B1" s="1"/>
      <c r="C1" s="2"/>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2"/>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2"/>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row>
    <row r="5" customFormat="false" ht="15" hidden="false" customHeight="false" outlineLevel="0" collapsed="false">
      <c r="A5" s="6"/>
      <c r="B5" s="7" t="s">
        <v>3</v>
      </c>
    </row>
    <row r="6" customFormat="false" ht="45" hidden="false" customHeight="true" outlineLevel="0" collapsed="false">
      <c r="A6" s="6"/>
      <c r="B6" s="8" t="s">
        <v>4</v>
      </c>
    </row>
    <row r="7" customFormat="false" ht="15" hidden="false" customHeight="false" outlineLevel="0" collapsed="false">
      <c r="A7" s="6"/>
      <c r="B7" s="6"/>
    </row>
    <row r="8" customFormat="false" ht="15" hidden="false" customHeight="false" outlineLevel="0" collapsed="false">
      <c r="A8" s="6"/>
      <c r="B8" s="7" t="s">
        <v>5</v>
      </c>
    </row>
    <row r="9" customFormat="false" ht="30" hidden="false" customHeight="true" outlineLevel="0" collapsed="false">
      <c r="A9" s="6"/>
      <c r="B9" s="8" t="s">
        <v>6</v>
      </c>
    </row>
    <row r="10" customFormat="false" ht="15" hidden="false" customHeight="false" outlineLevel="0" collapsed="false">
      <c r="A10" s="6"/>
      <c r="B10" s="6"/>
    </row>
    <row r="11" customFormat="false" ht="15" hidden="false" customHeight="false" outlineLevel="0" collapsed="false">
      <c r="A11" s="6"/>
      <c r="B11" s="7" t="s">
        <v>7</v>
      </c>
    </row>
    <row r="12" customFormat="false" ht="45" hidden="false" customHeight="true" outlineLevel="0" collapsed="false">
      <c r="A12" s="6"/>
      <c r="B12" s="8" t="s">
        <v>8</v>
      </c>
    </row>
    <row r="13" customFormat="false" ht="15" hidden="false" customHeight="false" outlineLevel="0" collapsed="false">
      <c r="A13" s="6"/>
      <c r="B13" s="6"/>
    </row>
    <row r="14" customFormat="false" ht="15" hidden="false" customHeight="false" outlineLevel="0" collapsed="false">
      <c r="A14" s="6"/>
      <c r="B14" s="7" t="s">
        <v>9</v>
      </c>
    </row>
    <row r="15" customFormat="false" ht="45" hidden="false" customHeight="true" outlineLevel="0" collapsed="false">
      <c r="A15" s="6"/>
      <c r="B15" s="8" t="s">
        <v>10</v>
      </c>
    </row>
    <row r="18" customFormat="false" ht="19.5" hidden="false" customHeight="true" outlineLevel="0" collapsed="false">
      <c r="B18" s="9" t="s">
        <v>11</v>
      </c>
      <c r="C18" s="10"/>
      <c r="D18" s="10"/>
      <c r="E18" s="10"/>
      <c r="F18" s="10"/>
      <c r="G18" s="10"/>
    </row>
    <row r="19" customFormat="false" ht="208.5" hidden="false" customHeight="true" outlineLevel="0" collapsed="false">
      <c r="B19" s="11" t="s">
        <v>12</v>
      </c>
      <c r="C19" s="11"/>
      <c r="D19" s="11"/>
      <c r="E19" s="11"/>
      <c r="F19" s="11"/>
      <c r="G19" s="11"/>
    </row>
    <row r="21" customFormat="false" ht="19.5" hidden="false" customHeight="true" outlineLevel="0" collapsed="false">
      <c r="B21" s="9" t="s">
        <v>13</v>
      </c>
      <c r="C21" s="10"/>
      <c r="D21" s="10"/>
      <c r="E21" s="10"/>
      <c r="F21" s="10"/>
      <c r="G21" s="10"/>
    </row>
    <row r="22" customFormat="false" ht="57" hidden="false" customHeight="true" outlineLevel="0" collapsed="false">
      <c r="B22" s="11" t="s">
        <v>14</v>
      </c>
      <c r="C22" s="11"/>
      <c r="D22" s="11"/>
      <c r="E22" s="11"/>
      <c r="F22" s="11"/>
      <c r="G22" s="11"/>
    </row>
    <row r="23" customFormat="false" ht="15" hidden="false" customHeight="false" outlineLevel="0" collapsed="false">
      <c r="B23" s="12" t="s">
        <v>15</v>
      </c>
      <c r="C23" s="12"/>
      <c r="D23" s="12"/>
      <c r="E23" s="12"/>
      <c r="F23" s="12"/>
      <c r="G23" s="12"/>
    </row>
    <row r="24" customFormat="false" ht="15" hidden="false" customHeight="false" outlineLevel="0" collapsed="false">
      <c r="B24" s="13" t="s">
        <v>16</v>
      </c>
    </row>
  </sheetData>
  <mergeCells count="3">
    <mergeCell ref="B19:G19"/>
    <mergeCell ref="B22:G22"/>
    <mergeCell ref="B23:G23"/>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16"/>
    <col collapsed="false" customWidth="true" hidden="false" outlineLevel="0" max="6" min="4" style="0" width="14"/>
    <col collapsed="false" customWidth="true" hidden="false" outlineLevel="0" max="7" min="7" style="0" width="12"/>
    <col collapsed="false" customWidth="true" hidden="false" outlineLevel="0" max="8" min="8" style="0" width="14"/>
    <col collapsed="false" customWidth="true" hidden="false" outlineLevel="0" max="9" min="9" style="0" width="18"/>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4" t="s">
        <v>17</v>
      </c>
      <c r="C4" s="14" t="s">
        <v>18</v>
      </c>
      <c r="D4" s="14" t="s">
        <v>19</v>
      </c>
      <c r="E4" s="14" t="s">
        <v>20</v>
      </c>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6"/>
      <c r="C6" s="6"/>
      <c r="D6" s="6"/>
      <c r="E6" s="6"/>
      <c r="F6" s="6"/>
      <c r="G6" s="6"/>
      <c r="H6" s="6"/>
      <c r="I6" s="6"/>
    </row>
    <row r="7" customFormat="false" ht="15" hidden="false" customHeight="false" outlineLevel="0" collapsed="false">
      <c r="A7" s="6"/>
      <c r="B7" s="15" t="s">
        <v>21</v>
      </c>
      <c r="C7" s="16" t="n">
        <v>1000000</v>
      </c>
      <c r="D7" s="15" t="s">
        <v>22</v>
      </c>
      <c r="E7" s="15" t="s">
        <v>23</v>
      </c>
      <c r="F7" s="6"/>
      <c r="G7" s="6"/>
      <c r="H7" s="6"/>
      <c r="I7" s="6"/>
    </row>
    <row r="8" customFormat="false" ht="15" hidden="false" customHeight="false" outlineLevel="0" collapsed="false">
      <c r="A8" s="6"/>
      <c r="B8" s="15" t="s">
        <v>24</v>
      </c>
      <c r="C8" s="17" t="n">
        <v>5</v>
      </c>
      <c r="D8" s="15" t="s">
        <v>25</v>
      </c>
      <c r="E8" s="15" t="s">
        <v>26</v>
      </c>
      <c r="F8" s="6"/>
      <c r="G8" s="6"/>
      <c r="H8" s="6"/>
      <c r="I8" s="6"/>
    </row>
    <row r="9" customFormat="false" ht="15" hidden="false" customHeight="false" outlineLevel="0" collapsed="false">
      <c r="A9" s="6"/>
      <c r="B9" s="15" t="s">
        <v>27</v>
      </c>
      <c r="C9" s="18" t="n">
        <v>0.2</v>
      </c>
      <c r="D9" s="15" t="s">
        <v>28</v>
      </c>
      <c r="E9" s="15" t="s">
        <v>29</v>
      </c>
      <c r="F9" s="6"/>
      <c r="G9" s="6"/>
      <c r="H9" s="6"/>
      <c r="I9" s="6"/>
    </row>
    <row r="10" customFormat="false" ht="15" hidden="false" customHeight="false" outlineLevel="0" collapsed="false">
      <c r="A10" s="6"/>
      <c r="B10" s="15" t="s">
        <v>30</v>
      </c>
      <c r="C10" s="18" t="n">
        <v>0</v>
      </c>
      <c r="D10" s="15" t="s">
        <v>28</v>
      </c>
      <c r="E10" s="15" t="s">
        <v>31</v>
      </c>
      <c r="F10" s="6"/>
      <c r="G10" s="6"/>
      <c r="H10" s="6"/>
      <c r="I10" s="6"/>
    </row>
    <row r="11" customFormat="false" ht="15" hidden="false" customHeight="false" outlineLevel="0" collapsed="false">
      <c r="A11" s="6"/>
      <c r="B11" s="15" t="s">
        <v>32</v>
      </c>
      <c r="C11" s="18" t="n">
        <v>0.005</v>
      </c>
      <c r="D11" s="15" t="s">
        <v>33</v>
      </c>
      <c r="E11" s="15" t="s">
        <v>34</v>
      </c>
      <c r="F11" s="6"/>
      <c r="G11" s="6"/>
      <c r="H11" s="6"/>
      <c r="I11" s="6"/>
    </row>
    <row r="12" customFormat="false" ht="15" hidden="false" customHeight="false" outlineLevel="0" collapsed="false">
      <c r="A12" s="6"/>
      <c r="B12" s="15" t="s">
        <v>35</v>
      </c>
      <c r="C12" s="17" t="n">
        <v>10</v>
      </c>
      <c r="D12" s="15" t="s">
        <v>36</v>
      </c>
      <c r="E12" s="15" t="s">
        <v>37</v>
      </c>
      <c r="F12" s="6"/>
      <c r="G12" s="6"/>
      <c r="H12" s="6"/>
      <c r="I12" s="6"/>
    </row>
    <row r="13" customFormat="false" ht="15" hidden="false" customHeight="false" outlineLevel="0" collapsed="false">
      <c r="A13" s="6"/>
      <c r="B13" s="15" t="s">
        <v>38</v>
      </c>
      <c r="C13" s="18" t="n">
        <v>0.1</v>
      </c>
      <c r="D13" s="15" t="s">
        <v>28</v>
      </c>
      <c r="E13" s="15" t="s">
        <v>39</v>
      </c>
      <c r="F13" s="6"/>
      <c r="G13" s="6"/>
      <c r="H13" s="6"/>
      <c r="I13" s="6"/>
    </row>
    <row r="14" customFormat="false" ht="15" hidden="false" customHeight="false" outlineLevel="0" collapsed="false">
      <c r="A14" s="6"/>
      <c r="B14" s="15" t="s">
        <v>40</v>
      </c>
      <c r="C14" s="18" t="n">
        <v>0.043</v>
      </c>
      <c r="D14" s="15" t="s">
        <v>28</v>
      </c>
      <c r="E14" s="15" t="s">
        <v>41</v>
      </c>
      <c r="F14" s="6"/>
      <c r="G14" s="6"/>
      <c r="H14" s="6"/>
      <c r="I14" s="6"/>
    </row>
    <row r="15" customFormat="false" ht="15" hidden="false" customHeight="false" outlineLevel="0" collapsed="false">
      <c r="A15" s="6"/>
      <c r="B15" s="15" t="s">
        <v>42</v>
      </c>
      <c r="C15" s="18" t="n">
        <v>0.15</v>
      </c>
      <c r="D15" s="15" t="s">
        <v>28</v>
      </c>
      <c r="E15" s="15" t="s">
        <v>43</v>
      </c>
      <c r="F15" s="6"/>
      <c r="G15" s="6"/>
      <c r="H15" s="6"/>
      <c r="I15" s="6"/>
    </row>
    <row r="16" customFormat="false" ht="15" hidden="false" customHeight="false" outlineLevel="0" collapsed="false">
      <c r="A16" s="6"/>
      <c r="B16" s="6"/>
      <c r="C16" s="6"/>
      <c r="D16" s="6"/>
      <c r="E16" s="6"/>
      <c r="F16" s="6"/>
      <c r="G16" s="6"/>
      <c r="H16" s="6"/>
      <c r="I16" s="6"/>
    </row>
    <row r="17" customFormat="false" ht="15" hidden="false" customHeight="false" outlineLevel="0" collapsed="false">
      <c r="A17" s="6"/>
      <c r="B17" s="6"/>
      <c r="C17" s="6"/>
      <c r="D17" s="6"/>
      <c r="E17" s="6"/>
      <c r="F17" s="6"/>
      <c r="G17" s="6"/>
      <c r="H17" s="6"/>
      <c r="I17" s="6"/>
    </row>
    <row r="18" customFormat="false" ht="15" hidden="false" customHeight="false" outlineLevel="0" collapsed="false">
      <c r="A18" s="6"/>
      <c r="B18" s="6"/>
      <c r="C18" s="6"/>
      <c r="D18" s="6"/>
      <c r="E18" s="6"/>
      <c r="F18" s="6"/>
      <c r="G18" s="6"/>
      <c r="H18" s="6"/>
      <c r="I18" s="6"/>
    </row>
    <row r="19" customFormat="false" ht="15" hidden="false" customHeight="false" outlineLevel="0" collapsed="false">
      <c r="A19" s="6"/>
      <c r="B19" s="6"/>
      <c r="C19" s="6"/>
      <c r="D19" s="6"/>
      <c r="E19" s="6"/>
      <c r="F19" s="6"/>
      <c r="G19" s="6"/>
      <c r="H19" s="6"/>
      <c r="I19" s="6"/>
    </row>
    <row r="20" customFormat="false" ht="15" hidden="false" customHeight="false" outlineLevel="0" collapsed="false">
      <c r="A20" s="6"/>
      <c r="B20" s="6"/>
      <c r="C20" s="6"/>
      <c r="D20" s="6"/>
      <c r="E20" s="6"/>
      <c r="F20" s="6"/>
      <c r="G20" s="6"/>
      <c r="H20" s="6"/>
      <c r="I20" s="6"/>
    </row>
    <row r="21" customFormat="false" ht="15" hidden="false" customHeight="false" outlineLevel="0" collapsed="false">
      <c r="A21" s="6"/>
      <c r="B21" s="6"/>
      <c r="C21" s="6"/>
      <c r="D21" s="6"/>
      <c r="E21" s="6"/>
      <c r="F21" s="6"/>
      <c r="G21" s="6"/>
      <c r="H21" s="6"/>
      <c r="I21" s="6"/>
    </row>
    <row r="22" customFormat="false" ht="15" hidden="false" customHeight="false" outlineLevel="0" collapsed="false">
      <c r="A22" s="6"/>
      <c r="B22" s="19" t="s">
        <v>44</v>
      </c>
      <c r="C22" s="6"/>
      <c r="D22" s="6"/>
      <c r="E22" s="6"/>
      <c r="F22" s="6"/>
      <c r="G22" s="6"/>
      <c r="H22" s="6"/>
      <c r="I22" s="6"/>
    </row>
    <row r="23" customFormat="false" ht="15" hidden="false" customHeight="false" outlineLevel="0" collapsed="false">
      <c r="A23" s="6"/>
      <c r="B23" s="14" t="s">
        <v>45</v>
      </c>
      <c r="C23" s="14" t="s">
        <v>46</v>
      </c>
      <c r="D23" s="14" t="s">
        <v>47</v>
      </c>
      <c r="E23" s="14" t="s">
        <v>48</v>
      </c>
      <c r="F23" s="14" t="s">
        <v>49</v>
      </c>
      <c r="G23" s="14" t="s">
        <v>50</v>
      </c>
      <c r="H23" s="14" t="s">
        <v>51</v>
      </c>
      <c r="I23" s="14" t="s">
        <v>52</v>
      </c>
    </row>
    <row r="24" customFormat="false" ht="15" hidden="false" customHeight="false" outlineLevel="0" collapsed="false">
      <c r="A24" s="6"/>
      <c r="B24" s="6"/>
      <c r="C24" s="6"/>
      <c r="D24" s="6"/>
      <c r="E24" s="6"/>
      <c r="F24" s="6"/>
      <c r="G24" s="6"/>
      <c r="H24" s="6"/>
      <c r="I24" s="6"/>
    </row>
    <row r="25" customFormat="false" ht="15" hidden="false" customHeight="false" outlineLevel="0" collapsed="false">
      <c r="A25" s="6"/>
      <c r="B25" s="7" t="s">
        <v>53</v>
      </c>
      <c r="C25" s="15" t="s">
        <v>54</v>
      </c>
      <c r="D25" s="18" t="n">
        <v>0.12</v>
      </c>
      <c r="E25" s="16" t="n">
        <v>175</v>
      </c>
      <c r="F25" s="20" t="n">
        <f aca="false">ROUND(D25*Initial_Capital/E25,0)</f>
        <v>686</v>
      </c>
      <c r="G25" s="16" t="n">
        <v>0.96</v>
      </c>
      <c r="H25" s="18" t="n">
        <v>0.05</v>
      </c>
      <c r="I25" s="18" t="n">
        <v>0.12</v>
      </c>
    </row>
    <row r="26" customFormat="false" ht="15" hidden="false" customHeight="false" outlineLevel="0" collapsed="false">
      <c r="A26" s="6"/>
      <c r="B26" s="7" t="s">
        <v>55</v>
      </c>
      <c r="C26" s="15" t="s">
        <v>56</v>
      </c>
      <c r="D26" s="18" t="n">
        <v>0.12</v>
      </c>
      <c r="E26" s="16" t="n">
        <v>415</v>
      </c>
      <c r="F26" s="20" t="n">
        <f aca="false">ROUND(D26*Initial_Capital/E26,0)</f>
        <v>289</v>
      </c>
      <c r="G26" s="16" t="n">
        <v>2.94</v>
      </c>
      <c r="H26" s="18" t="n">
        <v>0.08</v>
      </c>
      <c r="I26" s="18" t="n">
        <v>0.11</v>
      </c>
    </row>
    <row r="27" customFormat="false" ht="15" hidden="false" customHeight="false" outlineLevel="0" collapsed="false">
      <c r="A27" s="6"/>
      <c r="B27" s="7" t="s">
        <v>57</v>
      </c>
      <c r="C27" s="15" t="s">
        <v>58</v>
      </c>
      <c r="D27" s="18" t="n">
        <v>0.1</v>
      </c>
      <c r="E27" s="16" t="n">
        <v>155</v>
      </c>
      <c r="F27" s="20" t="n">
        <f aca="false">ROUND(D27*Initial_Capital/E27,0)</f>
        <v>645</v>
      </c>
      <c r="G27" s="16" t="n">
        <v>4.76</v>
      </c>
      <c r="H27" s="18" t="n">
        <v>0.05</v>
      </c>
      <c r="I27" s="18" t="n">
        <v>0.07</v>
      </c>
    </row>
    <row r="28" customFormat="false" ht="15" hidden="false" customHeight="false" outlineLevel="0" collapsed="false">
      <c r="A28" s="6"/>
      <c r="B28" s="7" t="s">
        <v>59</v>
      </c>
      <c r="C28" s="15" t="s">
        <v>60</v>
      </c>
      <c r="D28" s="18" t="n">
        <v>0.1</v>
      </c>
      <c r="E28" s="16" t="n">
        <v>195</v>
      </c>
      <c r="F28" s="20" t="n">
        <f aca="false">ROUND(D28*Initial_Capital/E28,0)</f>
        <v>513</v>
      </c>
      <c r="G28" s="16" t="n">
        <v>4.6</v>
      </c>
      <c r="H28" s="18" t="n">
        <v>0.06</v>
      </c>
      <c r="I28" s="18" t="n">
        <v>0.1</v>
      </c>
    </row>
    <row r="29" customFormat="false" ht="15" hidden="false" customHeight="false" outlineLevel="0" collapsed="false">
      <c r="A29" s="6"/>
      <c r="B29" s="7" t="s">
        <v>61</v>
      </c>
      <c r="C29" s="15" t="s">
        <v>62</v>
      </c>
      <c r="D29" s="18" t="n">
        <v>0.1</v>
      </c>
      <c r="E29" s="16" t="n">
        <v>165</v>
      </c>
      <c r="F29" s="20" t="n">
        <f aca="false">ROUND(D29*Initial_Capital/E29,0)</f>
        <v>606</v>
      </c>
      <c r="G29" s="16" t="n">
        <v>3.65</v>
      </c>
      <c r="H29" s="18" t="n">
        <v>0.05</v>
      </c>
      <c r="I29" s="18" t="n">
        <v>0.08</v>
      </c>
    </row>
    <row r="30" customFormat="false" ht="15" hidden="false" customHeight="false" outlineLevel="0" collapsed="false">
      <c r="A30" s="6"/>
      <c r="B30" s="7" t="s">
        <v>63</v>
      </c>
      <c r="C30" s="15" t="s">
        <v>64</v>
      </c>
      <c r="D30" s="18" t="n">
        <v>0.08</v>
      </c>
      <c r="E30" s="16" t="n">
        <v>115</v>
      </c>
      <c r="F30" s="20" t="n">
        <f aca="false">ROUND(D30*Initial_Capital/E30,0)</f>
        <v>696</v>
      </c>
      <c r="G30" s="16" t="n">
        <v>3.8</v>
      </c>
      <c r="H30" s="18" t="n">
        <v>0.04</v>
      </c>
      <c r="I30" s="18" t="n">
        <v>0.09</v>
      </c>
    </row>
    <row r="31" customFormat="false" ht="15" hidden="false" customHeight="false" outlineLevel="0" collapsed="false">
      <c r="A31" s="6"/>
      <c r="B31" s="7" t="s">
        <v>65</v>
      </c>
      <c r="C31" s="15" t="s">
        <v>66</v>
      </c>
      <c r="D31" s="18" t="n">
        <v>0.08</v>
      </c>
      <c r="E31" s="16" t="n">
        <v>400</v>
      </c>
      <c r="F31" s="20" t="n">
        <f aca="false">ROUND(D31*Initial_Capital/E31,0)</f>
        <v>200</v>
      </c>
      <c r="G31" s="16" t="n">
        <v>0</v>
      </c>
      <c r="H31" s="18" t="n">
        <v>0</v>
      </c>
      <c r="I31" s="18" t="n">
        <v>0.1</v>
      </c>
    </row>
    <row r="32" customFormat="false" ht="15" hidden="false" customHeight="false" outlineLevel="0" collapsed="false">
      <c r="A32" s="6"/>
      <c r="B32" s="7" t="s">
        <v>67</v>
      </c>
      <c r="C32" s="15" t="s">
        <v>68</v>
      </c>
      <c r="D32" s="18" t="n">
        <v>0.08</v>
      </c>
      <c r="E32" s="16" t="n">
        <v>265</v>
      </c>
      <c r="F32" s="20" t="n">
        <f aca="false">ROUND(D32*Initial_Capital/E32,0)</f>
        <v>302</v>
      </c>
      <c r="G32" s="16" t="n">
        <v>2.08</v>
      </c>
      <c r="H32" s="18" t="n">
        <v>0.1</v>
      </c>
      <c r="I32" s="18" t="n">
        <v>0.13</v>
      </c>
    </row>
    <row r="33" customFormat="false" ht="15" hidden="false" customHeight="false" outlineLevel="0" collapsed="false">
      <c r="A33" s="6"/>
      <c r="B33" s="7" t="s">
        <v>69</v>
      </c>
      <c r="C33" s="15" t="s">
        <v>70</v>
      </c>
      <c r="D33" s="18" t="n">
        <v>0.12</v>
      </c>
      <c r="E33" s="16" t="n">
        <v>340</v>
      </c>
      <c r="F33" s="20" t="n">
        <f aca="false">ROUND(D33*Initial_Capital/E33,0)</f>
        <v>353</v>
      </c>
      <c r="G33" s="16" t="n">
        <v>8.36</v>
      </c>
      <c r="H33" s="18" t="n">
        <v>0.06</v>
      </c>
      <c r="I33" s="18" t="n">
        <v>0.09</v>
      </c>
    </row>
    <row r="34" customFormat="false" ht="15" hidden="false" customHeight="false" outlineLevel="0" collapsed="false">
      <c r="A34" s="6"/>
      <c r="B34" s="7" t="s">
        <v>71</v>
      </c>
      <c r="C34" s="15" t="s">
        <v>72</v>
      </c>
      <c r="D34" s="18" t="n">
        <v>0.1</v>
      </c>
      <c r="E34" s="16" t="n">
        <v>70</v>
      </c>
      <c r="F34" s="20" t="n">
        <f aca="false">ROUND(D34*Initial_Capital/E34,0)</f>
        <v>1429</v>
      </c>
      <c r="G34" s="16" t="n">
        <v>1.87</v>
      </c>
      <c r="H34" s="18" t="n">
        <v>0.1</v>
      </c>
      <c r="I34" s="18" t="n">
        <v>0.08</v>
      </c>
    </row>
    <row r="35" customFormat="false" ht="15" hidden="false" customHeight="false" outlineLevel="0" collapsed="false">
      <c r="A35" s="6"/>
      <c r="B35" s="7" t="s">
        <v>73</v>
      </c>
      <c r="C35" s="6"/>
      <c r="D35" s="21" t="n">
        <f aca="false">SUM(D25:D34)</f>
        <v>1</v>
      </c>
      <c r="E35" s="6"/>
      <c r="F35" s="6"/>
      <c r="G35" s="6"/>
      <c r="H35" s="6"/>
      <c r="I35"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AD1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2"/>
      <c r="C3" s="14" t="s">
        <v>74</v>
      </c>
      <c r="D3" s="14" t="s">
        <v>75</v>
      </c>
      <c r="E3" s="14" t="s">
        <v>76</v>
      </c>
      <c r="F3" s="14" t="s">
        <v>77</v>
      </c>
      <c r="G3" s="14" t="s">
        <v>78</v>
      </c>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22"/>
      <c r="C4" s="14" t="s">
        <v>79</v>
      </c>
      <c r="D4" s="14" t="s">
        <v>80</v>
      </c>
      <c r="E4" s="14" t="s">
        <v>81</v>
      </c>
      <c r="F4" s="14" t="s">
        <v>82</v>
      </c>
      <c r="G4" s="14" t="s">
        <v>83</v>
      </c>
    </row>
    <row r="5" customFormat="false" ht="15" hidden="false" customHeight="false" outlineLevel="0" collapsed="false">
      <c r="A5" s="6"/>
      <c r="B5" s="19" t="s">
        <v>84</v>
      </c>
      <c r="C5" s="23"/>
      <c r="D5" s="23"/>
      <c r="E5" s="23"/>
      <c r="F5" s="23"/>
      <c r="G5" s="23"/>
    </row>
    <row r="6" customFormat="false" ht="15" hidden="false" customHeight="false" outlineLevel="0" collapsed="false">
      <c r="A6" s="6"/>
      <c r="B6" s="15" t="s">
        <v>85</v>
      </c>
      <c r="C6" s="24" t="n">
        <f aca="false">AAPL_Entry_Price*(1+AAPL_Exp_Return)^1</f>
        <v>196</v>
      </c>
      <c r="D6" s="24" t="n">
        <f aca="false">AAPL_Entry_Price*(1+AAPL_Exp_Return)^2</f>
        <v>219.52</v>
      </c>
      <c r="E6" s="24" t="n">
        <f aca="false">AAPL_Entry_Price*(1+AAPL_Exp_Return)^3</f>
        <v>245.8624</v>
      </c>
      <c r="F6" s="24" t="n">
        <f aca="false">AAPL_Entry_Price*(1+AAPL_Exp_Return)^4</f>
        <v>275.365888</v>
      </c>
      <c r="G6" s="24" t="n">
        <f aca="false">AAPL_Entry_Price*(1+AAPL_Exp_Return)^5</f>
        <v>308.40979456</v>
      </c>
    </row>
    <row r="7" customFormat="false" ht="15" hidden="false" customHeight="false" outlineLevel="0" collapsed="false">
      <c r="A7" s="6"/>
      <c r="B7" s="15" t="s">
        <v>86</v>
      </c>
      <c r="C7" s="24" t="n">
        <f aca="false">AAPL_Shares_Y0</f>
        <v>686</v>
      </c>
      <c r="D7" s="24" t="n">
        <f aca="false">ROUND(AAPL_Alloc*Portfolio_Positions!$C$107/C6,0)</f>
        <v>672</v>
      </c>
      <c r="E7" s="24" t="n">
        <f aca="false">ROUND(AAPL_Alloc*Portfolio_Positions!$D$107/D6,0)</f>
        <v>658</v>
      </c>
      <c r="F7" s="24" t="n">
        <f aca="false">ROUND(AAPL_Alloc*Portfolio_Positions!$E$107/E6,0)</f>
        <v>644</v>
      </c>
      <c r="G7" s="24" t="n">
        <f aca="false">ROUND(AAPL_Alloc*Portfolio_Positions!$F$107/F6,0)</f>
        <v>631</v>
      </c>
    </row>
    <row r="8" customFormat="false" ht="15" hidden="false" customHeight="false" outlineLevel="0" collapsed="false">
      <c r="A8" s="6"/>
      <c r="B8" s="15" t="s">
        <v>87</v>
      </c>
      <c r="C8" s="24" t="n">
        <f aca="false">C7*C6</f>
        <v>134456</v>
      </c>
      <c r="D8" s="24" t="n">
        <f aca="false">D7*D6</f>
        <v>147517.44</v>
      </c>
      <c r="E8" s="24" t="n">
        <f aca="false">E7*E6</f>
        <v>161777.4592</v>
      </c>
      <c r="F8" s="24" t="n">
        <f aca="false">F7*F6</f>
        <v>177335.631872</v>
      </c>
      <c r="G8" s="24" t="n">
        <f aca="false">G7*G6</f>
        <v>194606.58036736</v>
      </c>
    </row>
    <row r="9" customFormat="false" ht="15" hidden="false" customHeight="false" outlineLevel="0" collapsed="false">
      <c r="A9" s="6"/>
      <c r="B9" s="15" t="s">
        <v>88</v>
      </c>
      <c r="C9" s="24" t="n">
        <f aca="false">0</f>
        <v>0</v>
      </c>
      <c r="D9" s="24" t="n">
        <f aca="false">MAX(0,C7-D7)</f>
        <v>14</v>
      </c>
      <c r="E9" s="24" t="n">
        <f aca="false">MAX(0,D7-E7)</f>
        <v>14</v>
      </c>
      <c r="F9" s="24" t="n">
        <f aca="false">MAX(0,E7-F7)</f>
        <v>14</v>
      </c>
      <c r="G9" s="24" t="n">
        <f aca="false">MAX(0,F7-G7)</f>
        <v>13</v>
      </c>
    </row>
    <row r="10" customFormat="false" ht="15" hidden="false" customHeight="false" outlineLevel="0" collapsed="false">
      <c r="A10" s="6"/>
      <c r="B10" s="15" t="s">
        <v>89</v>
      </c>
      <c r="C10" s="24" t="n">
        <f aca="false">AAPL_Entry_Price</f>
        <v>175</v>
      </c>
      <c r="D10" s="24" t="n">
        <f aca="false">AAPL_Entry_Price</f>
        <v>175</v>
      </c>
      <c r="E10" s="24" t="n">
        <f aca="false">AAPL_Entry_Price</f>
        <v>175</v>
      </c>
      <c r="F10" s="24" t="n">
        <f aca="false">AAPL_Entry_Price</f>
        <v>175</v>
      </c>
      <c r="G10" s="24" t="n">
        <f aca="false">AAPL_Entry_Price</f>
        <v>175</v>
      </c>
    </row>
    <row r="11" customFormat="false" ht="15" hidden="false" customHeight="false" outlineLevel="0" collapsed="false">
      <c r="A11" s="6"/>
      <c r="B11" s="15" t="s">
        <v>90</v>
      </c>
      <c r="C11" s="24" t="n">
        <f aca="false">0</f>
        <v>0</v>
      </c>
      <c r="D11" s="24" t="n">
        <f aca="false">D9*(D6-D10)</f>
        <v>623.280000000001</v>
      </c>
      <c r="E11" s="24" t="n">
        <f aca="false">E9*(E6-E10)</f>
        <v>992.073600000001</v>
      </c>
      <c r="F11" s="24" t="n">
        <f aca="false">F9*(F6-F10)</f>
        <v>1405.122432</v>
      </c>
      <c r="G11" s="24" t="n">
        <f aca="false">G9*(G6-G10)</f>
        <v>1734.32732928</v>
      </c>
    </row>
    <row r="12" customFormat="false" ht="15" hidden="false" customHeight="false" outlineLevel="0" collapsed="false">
      <c r="A12" s="6"/>
      <c r="B12" s="15" t="s">
        <v>91</v>
      </c>
      <c r="C12" s="24" t="n">
        <f aca="false">0</f>
        <v>0</v>
      </c>
      <c r="D12" s="24" t="n">
        <f aca="false">MAX(0,D11)*CG_Rate</f>
        <v>124.656</v>
      </c>
      <c r="E12" s="24" t="n">
        <f aca="false">MAX(0,E11)*CG_Rate</f>
        <v>198.41472</v>
      </c>
      <c r="F12" s="24" t="n">
        <f aca="false">MAX(0,F11)*CG_Rate</f>
        <v>281.0244864</v>
      </c>
      <c r="G12" s="24" t="n">
        <f aca="false">MAX(0,G11)*CG_Rate</f>
        <v>346.865465856</v>
      </c>
    </row>
    <row r="13" customFormat="false" ht="15" hidden="false" customHeight="false" outlineLevel="0" collapsed="false">
      <c r="A13" s="6"/>
      <c r="B13" s="15" t="s">
        <v>35</v>
      </c>
      <c r="C13" s="24" t="n">
        <f aca="false">ABS(C7-0)*C6*Trans_Cost_Bps/10000</f>
        <v>134.456</v>
      </c>
      <c r="D13" s="24" t="n">
        <f aca="false">ABS(D7-C7)*D6*Trans_Cost_Bps/10000</f>
        <v>3.07328</v>
      </c>
      <c r="E13" s="24" t="n">
        <f aca="false">ABS(E7-D7)*E6*Trans_Cost_Bps/10000</f>
        <v>3.4420736</v>
      </c>
      <c r="F13" s="24" t="n">
        <f aca="false">ABS(F7-E7)*F6*Trans_Cost_Bps/10000</f>
        <v>3.855122432</v>
      </c>
      <c r="G13" s="24" t="n">
        <f aca="false">ABS(G7-F7)*G6*Trans_Cost_Bps/10000</f>
        <v>4.00932732928</v>
      </c>
    </row>
    <row r="14" customFormat="false" ht="15" hidden="false" customHeight="false" outlineLevel="0" collapsed="false">
      <c r="A14" s="6"/>
      <c r="B14" s="15" t="s">
        <v>92</v>
      </c>
      <c r="C14" s="24" t="n">
        <f aca="false">C7*AAPL_DPS_Y0*(1+AAPL_DPS_Growth)^1*(1-WHT_Rate)</f>
        <v>691.488</v>
      </c>
      <c r="D14" s="24" t="n">
        <f aca="false">D7*AAPL_DPS_Y0*(1+AAPL_DPS_Growth)^2*(1-WHT_Rate)</f>
        <v>711.2448</v>
      </c>
      <c r="E14" s="24" t="n">
        <f aca="false">E7*AAPL_DPS_Y0*(1+AAPL_DPS_Growth)^3*(1-WHT_Rate)</f>
        <v>731.24856</v>
      </c>
      <c r="F14" s="24" t="n">
        <f aca="false">F7*AAPL_DPS_Y0*(1+AAPL_DPS_Growth)^4*(1-WHT_Rate)</f>
        <v>751.474584</v>
      </c>
      <c r="G14" s="24" t="n">
        <f aca="false">G7*AAPL_DPS_Y0*(1+AAPL_DPS_Growth)^5*(1-WHT_Rate)</f>
        <v>773.1203193</v>
      </c>
    </row>
    <row r="15" customFormat="false" ht="15" hidden="false" customHeight="false" outlineLevel="0" collapsed="false">
      <c r="A15" s="6"/>
      <c r="B15" s="19" t="s">
        <v>93</v>
      </c>
      <c r="C15" s="23"/>
      <c r="D15" s="23"/>
      <c r="E15" s="23"/>
      <c r="F15" s="23"/>
      <c r="G15" s="23"/>
    </row>
    <row r="16" customFormat="false" ht="15" hidden="false" customHeight="false" outlineLevel="0" collapsed="false">
      <c r="A16" s="6"/>
      <c r="B16" s="15" t="s">
        <v>85</v>
      </c>
      <c r="C16" s="24" t="n">
        <f aca="false">MSFT_Entry_Price*(1+MSFT_Exp_Return)^1</f>
        <v>460.65</v>
      </c>
      <c r="D16" s="24" t="n">
        <f aca="false">MSFT_Entry_Price*(1+MSFT_Exp_Return)^2</f>
        <v>511.3215</v>
      </c>
      <c r="E16" s="24" t="n">
        <f aca="false">MSFT_Entry_Price*(1+MSFT_Exp_Return)^3</f>
        <v>567.566865</v>
      </c>
      <c r="F16" s="24" t="n">
        <f aca="false">MSFT_Entry_Price*(1+MSFT_Exp_Return)^4</f>
        <v>629.99922015</v>
      </c>
      <c r="G16" s="24" t="n">
        <f aca="false">MSFT_Entry_Price*(1+MSFT_Exp_Return)^5</f>
        <v>699.2991343665</v>
      </c>
    </row>
    <row r="17" customFormat="false" ht="15" hidden="false" customHeight="false" outlineLevel="0" collapsed="false">
      <c r="A17" s="6"/>
      <c r="B17" s="15" t="s">
        <v>86</v>
      </c>
      <c r="C17" s="24" t="n">
        <f aca="false">MSFT_Shares_Y0</f>
        <v>289</v>
      </c>
      <c r="D17" s="24" t="n">
        <f aca="false">ROUND(MSFT_Alloc*Portfolio_Positions!$C$107/C16,0)</f>
        <v>286</v>
      </c>
      <c r="E17" s="24" t="n">
        <f aca="false">ROUND(MSFT_Alloc*Portfolio_Positions!$D$107/D16,0)</f>
        <v>282</v>
      </c>
      <c r="F17" s="24" t="n">
        <f aca="false">ROUND(MSFT_Alloc*Portfolio_Positions!$E$107/E16,0)</f>
        <v>279</v>
      </c>
      <c r="G17" s="24" t="n">
        <f aca="false">ROUND(MSFT_Alloc*Portfolio_Positions!$F$107/F16,0)</f>
        <v>276</v>
      </c>
    </row>
    <row r="18" customFormat="false" ht="15" hidden="false" customHeight="false" outlineLevel="0" collapsed="false">
      <c r="A18" s="6"/>
      <c r="B18" s="15" t="s">
        <v>87</v>
      </c>
      <c r="C18" s="24" t="n">
        <f aca="false">C17*C16</f>
        <v>133127.85</v>
      </c>
      <c r="D18" s="24" t="n">
        <f aca="false">D17*D16</f>
        <v>146237.949</v>
      </c>
      <c r="E18" s="24" t="n">
        <f aca="false">E17*E16</f>
        <v>160053.85593</v>
      </c>
      <c r="F18" s="24" t="n">
        <f aca="false">F17*F16</f>
        <v>175769.78242185</v>
      </c>
      <c r="G18" s="24" t="n">
        <f aca="false">G17*G16</f>
        <v>193006.561085154</v>
      </c>
    </row>
    <row r="19" customFormat="false" ht="15" hidden="false" customHeight="false" outlineLevel="0" collapsed="false">
      <c r="A19" s="6"/>
      <c r="B19" s="15" t="s">
        <v>88</v>
      </c>
      <c r="C19" s="24" t="n">
        <f aca="false">0</f>
        <v>0</v>
      </c>
      <c r="D19" s="24" t="n">
        <f aca="false">MAX(0,C17-D17)</f>
        <v>3</v>
      </c>
      <c r="E19" s="24" t="n">
        <f aca="false">MAX(0,D17-E17)</f>
        <v>4</v>
      </c>
      <c r="F19" s="24" t="n">
        <f aca="false">MAX(0,E17-F17)</f>
        <v>3</v>
      </c>
      <c r="G19" s="24" t="n">
        <f aca="false">MAX(0,F17-G17)</f>
        <v>3</v>
      </c>
    </row>
    <row r="20" customFormat="false" ht="15" hidden="false" customHeight="false" outlineLevel="0" collapsed="false">
      <c r="A20" s="6"/>
      <c r="B20" s="15" t="s">
        <v>89</v>
      </c>
      <c r="C20" s="24" t="n">
        <f aca="false">MSFT_Entry_Price</f>
        <v>415</v>
      </c>
      <c r="D20" s="24" t="n">
        <f aca="false">MSFT_Entry_Price</f>
        <v>415</v>
      </c>
      <c r="E20" s="24" t="n">
        <f aca="false">MSFT_Entry_Price</f>
        <v>415</v>
      </c>
      <c r="F20" s="24" t="n">
        <f aca="false">MSFT_Entry_Price</f>
        <v>415</v>
      </c>
      <c r="G20" s="24" t="n">
        <f aca="false">MSFT_Entry_Price</f>
        <v>415</v>
      </c>
    </row>
    <row r="21" customFormat="false" ht="15" hidden="false" customHeight="false" outlineLevel="0" collapsed="false">
      <c r="A21" s="6"/>
      <c r="B21" s="15" t="s">
        <v>90</v>
      </c>
      <c r="C21" s="24" t="n">
        <f aca="false">0</f>
        <v>0</v>
      </c>
      <c r="D21" s="24" t="n">
        <f aca="false">D19*(D16-D20)</f>
        <v>288.9645</v>
      </c>
      <c r="E21" s="24" t="n">
        <f aca="false">E19*(E16-E20)</f>
        <v>610.267460000001</v>
      </c>
      <c r="F21" s="24" t="n">
        <f aca="false">F19*(F16-F20)</f>
        <v>644.997660450001</v>
      </c>
      <c r="G21" s="24" t="n">
        <f aca="false">G19*(G16-G20)</f>
        <v>852.897403099501</v>
      </c>
    </row>
    <row r="22" customFormat="false" ht="15" hidden="false" customHeight="false" outlineLevel="0" collapsed="false">
      <c r="A22" s="6"/>
      <c r="B22" s="15" t="s">
        <v>91</v>
      </c>
      <c r="C22" s="24" t="n">
        <f aca="false">0</f>
        <v>0</v>
      </c>
      <c r="D22" s="24" t="n">
        <f aca="false">MAX(0,D21)*CG_Rate</f>
        <v>57.7929</v>
      </c>
      <c r="E22" s="24" t="n">
        <f aca="false">MAX(0,E21)*CG_Rate</f>
        <v>122.053492</v>
      </c>
      <c r="F22" s="24" t="n">
        <f aca="false">MAX(0,F21)*CG_Rate</f>
        <v>128.99953209</v>
      </c>
      <c r="G22" s="24" t="n">
        <f aca="false">MAX(0,G21)*CG_Rate</f>
        <v>170.5794806199</v>
      </c>
    </row>
    <row r="23" customFormat="false" ht="15" hidden="false" customHeight="false" outlineLevel="0" collapsed="false">
      <c r="A23" s="6"/>
      <c r="B23" s="15" t="s">
        <v>35</v>
      </c>
      <c r="C23" s="24" t="n">
        <f aca="false">ABS(C17-0)*C16*Trans_Cost_Bps/10000</f>
        <v>133.12785</v>
      </c>
      <c r="D23" s="24" t="n">
        <f aca="false">ABS(D17-C17)*D16*Trans_Cost_Bps/10000</f>
        <v>1.5339645</v>
      </c>
      <c r="E23" s="24" t="n">
        <f aca="false">ABS(E17-D17)*E16*Trans_Cost_Bps/10000</f>
        <v>2.27026746</v>
      </c>
      <c r="F23" s="24" t="n">
        <f aca="false">ABS(F17-E17)*F16*Trans_Cost_Bps/10000</f>
        <v>1.88999766045</v>
      </c>
      <c r="G23" s="24" t="n">
        <f aca="false">ABS(G17-F17)*G16*Trans_Cost_Bps/10000</f>
        <v>2.0978974030995</v>
      </c>
    </row>
    <row r="24" customFormat="false" ht="15" hidden="false" customHeight="false" outlineLevel="0" collapsed="false">
      <c r="A24" s="6"/>
      <c r="B24" s="15" t="s">
        <v>92</v>
      </c>
      <c r="C24" s="24" t="n">
        <f aca="false">C17*MSFT_DPS_Y0*(1+MSFT_DPS_Growth)^1*(1-WHT_Rate)</f>
        <v>917.6328</v>
      </c>
      <c r="D24" s="24" t="n">
        <f aca="false">D17*MSFT_DPS_Y0*(1+MSFT_DPS_Growth)^2*(1-WHT_Rate)</f>
        <v>980.755776</v>
      </c>
      <c r="E24" s="24" t="n">
        <f aca="false">E17*MSFT_DPS_Y0*(1+MSFT_DPS_Growth)^3*(1-WHT_Rate)</f>
        <v>1044.40202496</v>
      </c>
      <c r="F24" s="24" t="n">
        <f aca="false">F17*MSFT_DPS_Y0*(1+MSFT_DPS_Growth)^4*(1-WHT_Rate)</f>
        <v>1115.9546743296</v>
      </c>
      <c r="G24" s="24" t="n">
        <f aca="false">G17*MSFT_DPS_Y0*(1+MSFT_DPS_Growth)^5*(1-WHT_Rate)</f>
        <v>1192.27157463859</v>
      </c>
    </row>
    <row r="25" customFormat="false" ht="15" hidden="false" customHeight="false" outlineLevel="0" collapsed="false">
      <c r="A25" s="6"/>
      <c r="B25" s="19" t="s">
        <v>94</v>
      </c>
      <c r="C25" s="23"/>
      <c r="D25" s="23"/>
      <c r="E25" s="23"/>
      <c r="F25" s="23"/>
      <c r="G25" s="23"/>
    </row>
    <row r="26" customFormat="false" ht="15" hidden="false" customHeight="false" outlineLevel="0" collapsed="false">
      <c r="A26" s="6"/>
      <c r="B26" s="15" t="s">
        <v>85</v>
      </c>
      <c r="C26" s="24" t="n">
        <f aca="false">JNJ_Entry_Price*(1+JNJ_Exp_Return)^1</f>
        <v>165.85</v>
      </c>
      <c r="D26" s="24" t="n">
        <f aca="false">JNJ_Entry_Price*(1+JNJ_Exp_Return)^2</f>
        <v>177.4595</v>
      </c>
      <c r="E26" s="24" t="n">
        <f aca="false">JNJ_Entry_Price*(1+JNJ_Exp_Return)^3</f>
        <v>189.881665</v>
      </c>
      <c r="F26" s="24" t="n">
        <f aca="false">JNJ_Entry_Price*(1+JNJ_Exp_Return)^4</f>
        <v>203.17338155</v>
      </c>
      <c r="G26" s="24" t="n">
        <f aca="false">JNJ_Entry_Price*(1+JNJ_Exp_Return)^5</f>
        <v>217.3955182585</v>
      </c>
    </row>
    <row r="27" customFormat="false" ht="15" hidden="false" customHeight="false" outlineLevel="0" collapsed="false">
      <c r="A27" s="6"/>
      <c r="B27" s="15" t="s">
        <v>86</v>
      </c>
      <c r="C27" s="24" t="n">
        <f aca="false">JNJ_Shares_Y0</f>
        <v>645</v>
      </c>
      <c r="D27" s="24" t="n">
        <f aca="false">ROUND(JNJ_Alloc*Portfolio_Positions!$C$107/C26,0)</f>
        <v>662</v>
      </c>
      <c r="E27" s="24" t="n">
        <f aca="false">ROUND(JNJ_Alloc*Portfolio_Positions!$D$107/D26,0)</f>
        <v>678</v>
      </c>
      <c r="F27" s="24" t="n">
        <f aca="false">ROUND(JNJ_Alloc*Portfolio_Positions!$E$107/E26,0)</f>
        <v>695</v>
      </c>
      <c r="G27" s="24" t="n">
        <f aca="false">ROUND(JNJ_Alloc*Portfolio_Positions!$F$107/F26,0)</f>
        <v>712</v>
      </c>
    </row>
    <row r="28" customFormat="false" ht="15" hidden="false" customHeight="false" outlineLevel="0" collapsed="false">
      <c r="A28" s="6"/>
      <c r="B28" s="15" t="s">
        <v>87</v>
      </c>
      <c r="C28" s="24" t="n">
        <f aca="false">C27*C26</f>
        <v>106973.25</v>
      </c>
      <c r="D28" s="24" t="n">
        <f aca="false">D27*D26</f>
        <v>117478.189</v>
      </c>
      <c r="E28" s="24" t="n">
        <f aca="false">E27*E26</f>
        <v>128739.76887</v>
      </c>
      <c r="F28" s="24" t="n">
        <f aca="false">F27*F26</f>
        <v>141205.50017725</v>
      </c>
      <c r="G28" s="24" t="n">
        <f aca="false">G27*G26</f>
        <v>154785.609000052</v>
      </c>
    </row>
    <row r="29" customFormat="false" ht="15" hidden="false" customHeight="false" outlineLevel="0" collapsed="false">
      <c r="A29" s="6"/>
      <c r="B29" s="15" t="s">
        <v>88</v>
      </c>
      <c r="C29" s="24" t="n">
        <f aca="false">0</f>
        <v>0</v>
      </c>
      <c r="D29" s="24" t="n">
        <f aca="false">MAX(0,C27-D27)</f>
        <v>0</v>
      </c>
      <c r="E29" s="24" t="n">
        <f aca="false">MAX(0,D27-E27)</f>
        <v>0</v>
      </c>
      <c r="F29" s="24" t="n">
        <f aca="false">MAX(0,E27-F27)</f>
        <v>0</v>
      </c>
      <c r="G29" s="24" t="n">
        <f aca="false">MAX(0,F27-G27)</f>
        <v>0</v>
      </c>
    </row>
    <row r="30" customFormat="false" ht="15" hidden="false" customHeight="false" outlineLevel="0" collapsed="false">
      <c r="A30" s="6"/>
      <c r="B30" s="15" t="s">
        <v>89</v>
      </c>
      <c r="C30" s="24" t="n">
        <f aca="false">JNJ_Entry_Price</f>
        <v>155</v>
      </c>
      <c r="D30" s="24" t="n">
        <f aca="false">JNJ_Entry_Price</f>
        <v>155</v>
      </c>
      <c r="E30" s="24" t="n">
        <f aca="false">JNJ_Entry_Price</f>
        <v>155</v>
      </c>
      <c r="F30" s="24" t="n">
        <f aca="false">JNJ_Entry_Price</f>
        <v>155</v>
      </c>
      <c r="G30" s="24" t="n">
        <f aca="false">JNJ_Entry_Price</f>
        <v>155</v>
      </c>
    </row>
    <row r="31" customFormat="false" ht="15" hidden="false" customHeight="false" outlineLevel="0" collapsed="false">
      <c r="A31" s="6"/>
      <c r="B31" s="15" t="s">
        <v>90</v>
      </c>
      <c r="C31" s="24" t="n">
        <f aca="false">0</f>
        <v>0</v>
      </c>
      <c r="D31" s="24" t="n">
        <f aca="false">D29*(D26-D30)</f>
        <v>0</v>
      </c>
      <c r="E31" s="24" t="n">
        <f aca="false">E29*(E26-E30)</f>
        <v>0</v>
      </c>
      <c r="F31" s="24" t="n">
        <f aca="false">F29*(F26-F30)</f>
        <v>0</v>
      </c>
      <c r="G31" s="24" t="n">
        <f aca="false">G29*(G26-G30)</f>
        <v>0</v>
      </c>
    </row>
    <row r="32" customFormat="false" ht="15" hidden="false" customHeight="false" outlineLevel="0" collapsed="false">
      <c r="A32" s="6"/>
      <c r="B32" s="15" t="s">
        <v>91</v>
      </c>
      <c r="C32" s="24" t="n">
        <f aca="false">0</f>
        <v>0</v>
      </c>
      <c r="D32" s="24" t="n">
        <f aca="false">MAX(0,D31)*CG_Rate</f>
        <v>0</v>
      </c>
      <c r="E32" s="24" t="n">
        <f aca="false">MAX(0,E31)*CG_Rate</f>
        <v>0</v>
      </c>
      <c r="F32" s="24" t="n">
        <f aca="false">MAX(0,F31)*CG_Rate</f>
        <v>0</v>
      </c>
      <c r="G32" s="24" t="n">
        <f aca="false">MAX(0,G31)*CG_Rate</f>
        <v>0</v>
      </c>
    </row>
    <row r="33" customFormat="false" ht="15" hidden="false" customHeight="false" outlineLevel="0" collapsed="false">
      <c r="A33" s="6"/>
      <c r="B33" s="15" t="s">
        <v>35</v>
      </c>
      <c r="C33" s="24" t="n">
        <f aca="false">ABS(C27-0)*C26*Trans_Cost_Bps/10000</f>
        <v>106.97325</v>
      </c>
      <c r="D33" s="24" t="n">
        <f aca="false">ABS(D27-C27)*D26*Trans_Cost_Bps/10000</f>
        <v>3.0168115</v>
      </c>
      <c r="E33" s="24" t="n">
        <f aca="false">ABS(E27-D27)*E26*Trans_Cost_Bps/10000</f>
        <v>3.03810664</v>
      </c>
      <c r="F33" s="24" t="n">
        <f aca="false">ABS(F27-E27)*F26*Trans_Cost_Bps/10000</f>
        <v>3.45394748635</v>
      </c>
      <c r="G33" s="24" t="n">
        <f aca="false">ABS(G27-F27)*G26*Trans_Cost_Bps/10000</f>
        <v>3.6957238103945</v>
      </c>
    </row>
    <row r="34" customFormat="false" ht="15" hidden="false" customHeight="false" outlineLevel="0" collapsed="false">
      <c r="A34" s="6"/>
      <c r="B34" s="15" t="s">
        <v>92</v>
      </c>
      <c r="C34" s="24" t="n">
        <f aca="false">C27*JNJ_DPS_Y0*(1+JNJ_DPS_Growth)^1*(1-WHT_Rate)</f>
        <v>3223.71</v>
      </c>
      <c r="D34" s="24" t="n">
        <f aca="false">D27*JNJ_DPS_Y0*(1+JNJ_DPS_Growth)^2*(1-WHT_Rate)</f>
        <v>3474.1098</v>
      </c>
      <c r="E34" s="24" t="n">
        <f aca="false">E27*JNJ_DPS_Y0*(1+JNJ_DPS_Growth)^3*(1-WHT_Rate)</f>
        <v>3735.98001</v>
      </c>
      <c r="F34" s="24" t="n">
        <f aca="false">F27*JNJ_DPS_Y0*(1+JNJ_DPS_Growth)^4*(1-WHT_Rate)</f>
        <v>4021.13777625</v>
      </c>
      <c r="G34" s="24" t="n">
        <f aca="false">G27*JNJ_DPS_Y0*(1+JNJ_DPS_Growth)^5*(1-WHT_Rate)</f>
        <v>4325.4713691</v>
      </c>
    </row>
    <row r="35" customFormat="false" ht="15" hidden="false" customHeight="false" outlineLevel="0" collapsed="false">
      <c r="A35" s="6"/>
      <c r="B35" s="19" t="s">
        <v>95</v>
      </c>
      <c r="C35" s="23"/>
      <c r="D35" s="23"/>
      <c r="E35" s="23"/>
      <c r="F35" s="23"/>
      <c r="G35" s="23"/>
    </row>
    <row r="36" customFormat="false" ht="15" hidden="false" customHeight="false" outlineLevel="0" collapsed="false">
      <c r="A36" s="6"/>
      <c r="B36" s="15" t="s">
        <v>85</v>
      </c>
      <c r="C36" s="24" t="n">
        <f aca="false">JPM_Entry_Price*(1+JPM_Exp_Return)^1</f>
        <v>214.5</v>
      </c>
      <c r="D36" s="24" t="n">
        <f aca="false">JPM_Entry_Price*(1+JPM_Exp_Return)^2</f>
        <v>235.95</v>
      </c>
      <c r="E36" s="24" t="n">
        <f aca="false">JPM_Entry_Price*(1+JPM_Exp_Return)^3</f>
        <v>259.545</v>
      </c>
      <c r="F36" s="24" t="n">
        <f aca="false">JPM_Entry_Price*(1+JPM_Exp_Return)^4</f>
        <v>285.4995</v>
      </c>
      <c r="G36" s="24" t="n">
        <f aca="false">JPM_Entry_Price*(1+JPM_Exp_Return)^5</f>
        <v>314.04945</v>
      </c>
    </row>
    <row r="37" customFormat="false" ht="15" hidden="false" customHeight="false" outlineLevel="0" collapsed="false">
      <c r="A37" s="6"/>
      <c r="B37" s="15" t="s">
        <v>86</v>
      </c>
      <c r="C37" s="24" t="n">
        <f aca="false">JPM_Shares_Y0</f>
        <v>513</v>
      </c>
      <c r="D37" s="24" t="n">
        <f aca="false">ROUND(JPM_Alloc*Portfolio_Positions!$C$107/C36,0)</f>
        <v>511</v>
      </c>
      <c r="E37" s="24" t="n">
        <f aca="false">ROUND(JPM_Alloc*Portfolio_Positions!$D$107/D36,0)</f>
        <v>510</v>
      </c>
      <c r="F37" s="24" t="n">
        <f aca="false">ROUND(JPM_Alloc*Portfolio_Positions!$E$107/E36,0)</f>
        <v>508</v>
      </c>
      <c r="G37" s="24" t="n">
        <f aca="false">ROUND(JPM_Alloc*Portfolio_Positions!$F$107/F36,0)</f>
        <v>507</v>
      </c>
    </row>
    <row r="38" customFormat="false" ht="15" hidden="false" customHeight="false" outlineLevel="0" collapsed="false">
      <c r="A38" s="6"/>
      <c r="B38" s="15" t="s">
        <v>87</v>
      </c>
      <c r="C38" s="24" t="n">
        <f aca="false">C37*C36</f>
        <v>110038.5</v>
      </c>
      <c r="D38" s="24" t="n">
        <f aca="false">D37*D36</f>
        <v>120570.45</v>
      </c>
      <c r="E38" s="24" t="n">
        <f aca="false">E37*E36</f>
        <v>132367.95</v>
      </c>
      <c r="F38" s="24" t="n">
        <f aca="false">F37*F36</f>
        <v>145033.746</v>
      </c>
      <c r="G38" s="24" t="n">
        <f aca="false">G37*G36</f>
        <v>159223.07115</v>
      </c>
    </row>
    <row r="39" customFormat="false" ht="15" hidden="false" customHeight="false" outlineLevel="0" collapsed="false">
      <c r="A39" s="6"/>
      <c r="B39" s="15" t="s">
        <v>88</v>
      </c>
      <c r="C39" s="24" t="n">
        <f aca="false">0</f>
        <v>0</v>
      </c>
      <c r="D39" s="24" t="n">
        <f aca="false">MAX(0,C37-D37)</f>
        <v>2</v>
      </c>
      <c r="E39" s="24" t="n">
        <f aca="false">MAX(0,D37-E37)</f>
        <v>1</v>
      </c>
      <c r="F39" s="24" t="n">
        <f aca="false">MAX(0,E37-F37)</f>
        <v>2</v>
      </c>
      <c r="G39" s="24" t="n">
        <f aca="false">MAX(0,F37-G37)</f>
        <v>1</v>
      </c>
    </row>
    <row r="40" customFormat="false" ht="15" hidden="false" customHeight="false" outlineLevel="0" collapsed="false">
      <c r="A40" s="6"/>
      <c r="B40" s="15" t="s">
        <v>89</v>
      </c>
      <c r="C40" s="24" t="n">
        <f aca="false">JPM_Entry_Price</f>
        <v>195</v>
      </c>
      <c r="D40" s="24" t="n">
        <f aca="false">JPM_Entry_Price</f>
        <v>195</v>
      </c>
      <c r="E40" s="24" t="n">
        <f aca="false">JPM_Entry_Price</f>
        <v>195</v>
      </c>
      <c r="F40" s="24" t="n">
        <f aca="false">JPM_Entry_Price</f>
        <v>195</v>
      </c>
      <c r="G40" s="24" t="n">
        <f aca="false">JPM_Entry_Price</f>
        <v>195</v>
      </c>
    </row>
    <row r="41" customFormat="false" ht="15" hidden="false" customHeight="false" outlineLevel="0" collapsed="false">
      <c r="A41" s="6"/>
      <c r="B41" s="15" t="s">
        <v>90</v>
      </c>
      <c r="C41" s="24" t="n">
        <f aca="false">0</f>
        <v>0</v>
      </c>
      <c r="D41" s="24" t="n">
        <f aca="false">D39*(D36-D40)</f>
        <v>81.9000000000001</v>
      </c>
      <c r="E41" s="24" t="n">
        <f aca="false">E39*(E36-E40)</f>
        <v>64.5450000000001</v>
      </c>
      <c r="F41" s="24" t="n">
        <f aca="false">F39*(F36-F40)</f>
        <v>180.999</v>
      </c>
      <c r="G41" s="24" t="n">
        <f aca="false">G39*(G36-G40)</f>
        <v>119.04945</v>
      </c>
    </row>
    <row r="42" customFormat="false" ht="15" hidden="false" customHeight="false" outlineLevel="0" collapsed="false">
      <c r="A42" s="6"/>
      <c r="B42" s="15" t="s">
        <v>91</v>
      </c>
      <c r="C42" s="24" t="n">
        <f aca="false">0</f>
        <v>0</v>
      </c>
      <c r="D42" s="24" t="n">
        <f aca="false">MAX(0,D41)*CG_Rate</f>
        <v>16.38</v>
      </c>
      <c r="E42" s="24" t="n">
        <f aca="false">MAX(0,E41)*CG_Rate</f>
        <v>12.909</v>
      </c>
      <c r="F42" s="24" t="n">
        <f aca="false">MAX(0,F41)*CG_Rate</f>
        <v>36.1998</v>
      </c>
      <c r="G42" s="24" t="n">
        <f aca="false">MAX(0,G41)*CG_Rate</f>
        <v>23.80989</v>
      </c>
    </row>
    <row r="43" customFormat="false" ht="15" hidden="false" customHeight="false" outlineLevel="0" collapsed="false">
      <c r="A43" s="6"/>
      <c r="B43" s="15" t="s">
        <v>35</v>
      </c>
      <c r="C43" s="24" t="n">
        <f aca="false">ABS(C37-0)*C36*Trans_Cost_Bps/10000</f>
        <v>110.0385</v>
      </c>
      <c r="D43" s="24" t="n">
        <f aca="false">ABS(D37-C37)*D36*Trans_Cost_Bps/10000</f>
        <v>0.4719</v>
      </c>
      <c r="E43" s="24" t="n">
        <f aca="false">ABS(E37-D37)*E36*Trans_Cost_Bps/10000</f>
        <v>0.259545</v>
      </c>
      <c r="F43" s="24" t="n">
        <f aca="false">ABS(F37-E37)*F36*Trans_Cost_Bps/10000</f>
        <v>0.570999</v>
      </c>
      <c r="G43" s="24" t="n">
        <f aca="false">ABS(G37-F37)*G36*Trans_Cost_Bps/10000</f>
        <v>0.31404945</v>
      </c>
    </row>
    <row r="44" customFormat="false" ht="15" hidden="false" customHeight="false" outlineLevel="0" collapsed="false">
      <c r="A44" s="6"/>
      <c r="B44" s="15" t="s">
        <v>92</v>
      </c>
      <c r="C44" s="24" t="n">
        <f aca="false">C37*JPM_DPS_Y0*(1+JPM_DPS_Growth)^1*(1-WHT_Rate)</f>
        <v>2501.388</v>
      </c>
      <c r="D44" s="24" t="n">
        <f aca="false">D37*JPM_DPS_Y0*(1+JPM_DPS_Growth)^2*(1-WHT_Rate)</f>
        <v>2641.13416</v>
      </c>
      <c r="E44" s="24" t="n">
        <f aca="false">E37*JPM_DPS_Y0*(1+JPM_DPS_Growth)^3*(1-WHT_Rate)</f>
        <v>2794.123536</v>
      </c>
      <c r="F44" s="24" t="n">
        <f aca="false">F37*JPM_DPS_Y0*(1+JPM_DPS_Growth)^4*(1-WHT_Rate)</f>
        <v>2950.156160128</v>
      </c>
      <c r="G44" s="24" t="n">
        <f aca="false">G37*JPM_DPS_Y0*(1+JPM_DPS_Growth)^5*(1-WHT_Rate)</f>
        <v>3121.00969207872</v>
      </c>
    </row>
    <row r="45" customFormat="false" ht="15" hidden="false" customHeight="false" outlineLevel="0" collapsed="false">
      <c r="A45" s="6"/>
      <c r="B45" s="19" t="s">
        <v>96</v>
      </c>
      <c r="C45" s="23"/>
      <c r="D45" s="23"/>
      <c r="E45" s="23"/>
      <c r="F45" s="23"/>
      <c r="G45" s="23"/>
    </row>
    <row r="46" customFormat="false" ht="15" hidden="false" customHeight="false" outlineLevel="0" collapsed="false">
      <c r="A46" s="6"/>
      <c r="B46" s="15" t="s">
        <v>85</v>
      </c>
      <c r="C46" s="24" t="n">
        <f aca="false">PG_Entry_Price*(1+PG_Exp_Return)^1</f>
        <v>178.2</v>
      </c>
      <c r="D46" s="24" t="n">
        <f aca="false">PG_Entry_Price*(1+PG_Exp_Return)^2</f>
        <v>192.456</v>
      </c>
      <c r="E46" s="24" t="n">
        <f aca="false">PG_Entry_Price*(1+PG_Exp_Return)^3</f>
        <v>207.85248</v>
      </c>
      <c r="F46" s="24" t="n">
        <f aca="false">PG_Entry_Price*(1+PG_Exp_Return)^4</f>
        <v>224.4806784</v>
      </c>
      <c r="G46" s="24" t="n">
        <f aca="false">PG_Entry_Price*(1+PG_Exp_Return)^5</f>
        <v>242.439132672</v>
      </c>
    </row>
    <row r="47" customFormat="false" ht="15" hidden="false" customHeight="false" outlineLevel="0" collapsed="false">
      <c r="A47" s="6"/>
      <c r="B47" s="15" t="s">
        <v>86</v>
      </c>
      <c r="C47" s="24" t="n">
        <f aca="false">PG_Shares_Y0</f>
        <v>606</v>
      </c>
      <c r="D47" s="24" t="n">
        <f aca="false">ROUND(PG_Alloc*Portfolio_Positions!$C$107/C46,0)</f>
        <v>616</v>
      </c>
      <c r="E47" s="24" t="n">
        <f aca="false">ROUND(PG_Alloc*Portfolio_Positions!$D$107/D46,0)</f>
        <v>625</v>
      </c>
      <c r="F47" s="24" t="n">
        <f aca="false">ROUND(PG_Alloc*Portfolio_Positions!$E$107/E46,0)</f>
        <v>635</v>
      </c>
      <c r="G47" s="24" t="n">
        <f aca="false">ROUND(PG_Alloc*Portfolio_Positions!$F$107/F46,0)</f>
        <v>645</v>
      </c>
    </row>
    <row r="48" customFormat="false" ht="15" hidden="false" customHeight="false" outlineLevel="0" collapsed="false">
      <c r="A48" s="6"/>
      <c r="B48" s="15" t="s">
        <v>87</v>
      </c>
      <c r="C48" s="24" t="n">
        <f aca="false">C47*C46</f>
        <v>107989.2</v>
      </c>
      <c r="D48" s="24" t="n">
        <f aca="false">D47*D46</f>
        <v>118552.896</v>
      </c>
      <c r="E48" s="24" t="n">
        <f aca="false">E47*E46</f>
        <v>129907.8</v>
      </c>
      <c r="F48" s="24" t="n">
        <f aca="false">F47*F46</f>
        <v>142545.230784</v>
      </c>
      <c r="G48" s="24" t="n">
        <f aca="false">G47*G46</f>
        <v>156373.24057344</v>
      </c>
    </row>
    <row r="49" customFormat="false" ht="15" hidden="false" customHeight="false" outlineLevel="0" collapsed="false">
      <c r="A49" s="6"/>
      <c r="B49" s="15" t="s">
        <v>88</v>
      </c>
      <c r="C49" s="24" t="n">
        <f aca="false">0</f>
        <v>0</v>
      </c>
      <c r="D49" s="24" t="n">
        <f aca="false">MAX(0,C47-D47)</f>
        <v>0</v>
      </c>
      <c r="E49" s="24" t="n">
        <f aca="false">MAX(0,D47-E47)</f>
        <v>0</v>
      </c>
      <c r="F49" s="24" t="n">
        <f aca="false">MAX(0,E47-F47)</f>
        <v>0</v>
      </c>
      <c r="G49" s="24" t="n">
        <f aca="false">MAX(0,F47-G47)</f>
        <v>0</v>
      </c>
    </row>
    <row r="50" customFormat="false" ht="15" hidden="false" customHeight="false" outlineLevel="0" collapsed="false">
      <c r="A50" s="6"/>
      <c r="B50" s="15" t="s">
        <v>89</v>
      </c>
      <c r="C50" s="24" t="n">
        <f aca="false">PG_Entry_Price</f>
        <v>165</v>
      </c>
      <c r="D50" s="24" t="n">
        <f aca="false">PG_Entry_Price</f>
        <v>165</v>
      </c>
      <c r="E50" s="24" t="n">
        <f aca="false">PG_Entry_Price</f>
        <v>165</v>
      </c>
      <c r="F50" s="24" t="n">
        <f aca="false">PG_Entry_Price</f>
        <v>165</v>
      </c>
      <c r="G50" s="24" t="n">
        <f aca="false">PG_Entry_Price</f>
        <v>165</v>
      </c>
    </row>
    <row r="51" customFormat="false" ht="15" hidden="false" customHeight="false" outlineLevel="0" collapsed="false">
      <c r="A51" s="6"/>
      <c r="B51" s="15" t="s">
        <v>90</v>
      </c>
      <c r="C51" s="24" t="n">
        <f aca="false">0</f>
        <v>0</v>
      </c>
      <c r="D51" s="24" t="n">
        <f aca="false">D49*(D46-D50)</f>
        <v>0</v>
      </c>
      <c r="E51" s="24" t="n">
        <f aca="false">E49*(E46-E50)</f>
        <v>0</v>
      </c>
      <c r="F51" s="24" t="n">
        <f aca="false">F49*(F46-F50)</f>
        <v>0</v>
      </c>
      <c r="G51" s="24" t="n">
        <f aca="false">G49*(G46-G50)</f>
        <v>0</v>
      </c>
    </row>
    <row r="52" customFormat="false" ht="15" hidden="false" customHeight="false" outlineLevel="0" collapsed="false">
      <c r="A52" s="6"/>
      <c r="B52" s="15" t="s">
        <v>91</v>
      </c>
      <c r="C52" s="24" t="n">
        <f aca="false">0</f>
        <v>0</v>
      </c>
      <c r="D52" s="24" t="n">
        <f aca="false">MAX(0,D51)*CG_Rate</f>
        <v>0</v>
      </c>
      <c r="E52" s="24" t="n">
        <f aca="false">MAX(0,E51)*CG_Rate</f>
        <v>0</v>
      </c>
      <c r="F52" s="24" t="n">
        <f aca="false">MAX(0,F51)*CG_Rate</f>
        <v>0</v>
      </c>
      <c r="G52" s="24" t="n">
        <f aca="false">MAX(0,G51)*CG_Rate</f>
        <v>0</v>
      </c>
    </row>
    <row r="53" customFormat="false" ht="15" hidden="false" customHeight="false" outlineLevel="0" collapsed="false">
      <c r="A53" s="6"/>
      <c r="B53" s="15" t="s">
        <v>35</v>
      </c>
      <c r="C53" s="24" t="n">
        <f aca="false">ABS(C47-0)*C46*Trans_Cost_Bps/10000</f>
        <v>107.9892</v>
      </c>
      <c r="D53" s="24" t="n">
        <f aca="false">ABS(D47-C47)*D46*Trans_Cost_Bps/10000</f>
        <v>1.92456</v>
      </c>
      <c r="E53" s="24" t="n">
        <f aca="false">ABS(E47-D47)*E46*Trans_Cost_Bps/10000</f>
        <v>1.87067232</v>
      </c>
      <c r="F53" s="24" t="n">
        <f aca="false">ABS(F47-E47)*F46*Trans_Cost_Bps/10000</f>
        <v>2.244806784</v>
      </c>
      <c r="G53" s="24" t="n">
        <f aca="false">ABS(G47-F47)*G46*Trans_Cost_Bps/10000</f>
        <v>2.42439132672</v>
      </c>
    </row>
    <row r="54" customFormat="false" ht="15" hidden="false" customHeight="false" outlineLevel="0" collapsed="false">
      <c r="A54" s="6"/>
      <c r="B54" s="15" t="s">
        <v>92</v>
      </c>
      <c r="C54" s="24" t="n">
        <f aca="false">C47*PG_DPS_Y0*(1+PG_DPS_Growth)^1*(1-WHT_Rate)</f>
        <v>2322.495</v>
      </c>
      <c r="D54" s="24" t="n">
        <f aca="false">D47*PG_DPS_Y0*(1+PG_DPS_Growth)^2*(1-WHT_Rate)</f>
        <v>2478.861</v>
      </c>
      <c r="E54" s="24" t="n">
        <f aca="false">E47*PG_DPS_Y0*(1+PG_DPS_Growth)^3*(1-WHT_Rate)</f>
        <v>2640.83203125</v>
      </c>
      <c r="F54" s="24" t="n">
        <f aca="false">F47*PG_DPS_Y0*(1+PG_DPS_Growth)^4*(1-WHT_Rate)</f>
        <v>2817.2396109375</v>
      </c>
      <c r="G54" s="24" t="n">
        <f aca="false">G47*PG_DPS_Y0*(1+PG_DPS_Growth)^5*(1-WHT_Rate)</f>
        <v>3004.68586851563</v>
      </c>
    </row>
    <row r="55" customFormat="false" ht="15" hidden="false" customHeight="false" outlineLevel="0" collapsed="false">
      <c r="A55" s="6"/>
      <c r="B55" s="19" t="s">
        <v>97</v>
      </c>
      <c r="C55" s="23"/>
      <c r="D55" s="23"/>
      <c r="E55" s="23"/>
      <c r="F55" s="23"/>
      <c r="G55" s="23"/>
    </row>
    <row r="56" customFormat="false" ht="15" hidden="false" customHeight="false" outlineLevel="0" collapsed="false">
      <c r="A56" s="6"/>
      <c r="B56" s="15" t="s">
        <v>85</v>
      </c>
      <c r="C56" s="24" t="n">
        <f aca="false">XOM_Entry_Price*(1+XOM_Exp_Return)^1</f>
        <v>125.35</v>
      </c>
      <c r="D56" s="24" t="n">
        <f aca="false">XOM_Entry_Price*(1+XOM_Exp_Return)^2</f>
        <v>136.6315</v>
      </c>
      <c r="E56" s="24" t="n">
        <f aca="false">XOM_Entry_Price*(1+XOM_Exp_Return)^3</f>
        <v>148.928335</v>
      </c>
      <c r="F56" s="24" t="n">
        <f aca="false">XOM_Entry_Price*(1+XOM_Exp_Return)^4</f>
        <v>162.33188515</v>
      </c>
      <c r="G56" s="24" t="n">
        <f aca="false">XOM_Entry_Price*(1+XOM_Exp_Return)^5</f>
        <v>176.9417548135</v>
      </c>
    </row>
    <row r="57" customFormat="false" ht="15" hidden="false" customHeight="false" outlineLevel="0" collapsed="false">
      <c r="A57" s="6"/>
      <c r="B57" s="15" t="s">
        <v>86</v>
      </c>
      <c r="C57" s="24" t="n">
        <f aca="false">XOM_Shares_Y0</f>
        <v>696</v>
      </c>
      <c r="D57" s="24" t="n">
        <f aca="false">ROUND(XOM_Alloc*Portfolio_Positions!$C$107/C56,0)</f>
        <v>700</v>
      </c>
      <c r="E57" s="24" t="n">
        <f aca="false">ROUND(XOM_Alloc*Portfolio_Positions!$D$107/D56,0)</f>
        <v>705</v>
      </c>
      <c r="F57" s="24" t="n">
        <f aca="false">ROUND(XOM_Alloc*Portfolio_Positions!$E$107/E56,0)</f>
        <v>709</v>
      </c>
      <c r="G57" s="24" t="n">
        <f aca="false">ROUND(XOM_Alloc*Portfolio_Positions!$F$107/F56,0)</f>
        <v>713</v>
      </c>
    </row>
    <row r="58" customFormat="false" ht="15" hidden="false" customHeight="false" outlineLevel="0" collapsed="false">
      <c r="A58" s="6"/>
      <c r="B58" s="15" t="s">
        <v>87</v>
      </c>
      <c r="C58" s="24" t="n">
        <f aca="false">C57*C56</f>
        <v>87243.6</v>
      </c>
      <c r="D58" s="24" t="n">
        <f aca="false">D57*D56</f>
        <v>95642.05</v>
      </c>
      <c r="E58" s="24" t="n">
        <f aca="false">E57*E56</f>
        <v>104994.476175</v>
      </c>
      <c r="F58" s="24" t="n">
        <f aca="false">F57*F56</f>
        <v>115093.30657135</v>
      </c>
      <c r="G58" s="24" t="n">
        <f aca="false">G57*G56</f>
        <v>126159.471182026</v>
      </c>
    </row>
    <row r="59" customFormat="false" ht="15" hidden="false" customHeight="false" outlineLevel="0" collapsed="false">
      <c r="A59" s="6"/>
      <c r="B59" s="15" t="s">
        <v>88</v>
      </c>
      <c r="C59" s="24" t="n">
        <f aca="false">0</f>
        <v>0</v>
      </c>
      <c r="D59" s="24" t="n">
        <f aca="false">MAX(0,C57-D57)</f>
        <v>0</v>
      </c>
      <c r="E59" s="24" t="n">
        <f aca="false">MAX(0,D57-E57)</f>
        <v>0</v>
      </c>
      <c r="F59" s="24" t="n">
        <f aca="false">MAX(0,E57-F57)</f>
        <v>0</v>
      </c>
      <c r="G59" s="24" t="n">
        <f aca="false">MAX(0,F57-G57)</f>
        <v>0</v>
      </c>
    </row>
    <row r="60" customFormat="false" ht="15" hidden="false" customHeight="false" outlineLevel="0" collapsed="false">
      <c r="A60" s="6"/>
      <c r="B60" s="15" t="s">
        <v>89</v>
      </c>
      <c r="C60" s="24" t="n">
        <f aca="false">XOM_Entry_Price</f>
        <v>115</v>
      </c>
      <c r="D60" s="24" t="n">
        <f aca="false">XOM_Entry_Price</f>
        <v>115</v>
      </c>
      <c r="E60" s="24" t="n">
        <f aca="false">XOM_Entry_Price</f>
        <v>115</v>
      </c>
      <c r="F60" s="24" t="n">
        <f aca="false">XOM_Entry_Price</f>
        <v>115</v>
      </c>
      <c r="G60" s="24" t="n">
        <f aca="false">XOM_Entry_Price</f>
        <v>115</v>
      </c>
    </row>
    <row r="61" customFormat="false" ht="15" hidden="false" customHeight="false" outlineLevel="0" collapsed="false">
      <c r="A61" s="6"/>
      <c r="B61" s="15" t="s">
        <v>90</v>
      </c>
      <c r="C61" s="24" t="n">
        <f aca="false">0</f>
        <v>0</v>
      </c>
      <c r="D61" s="24" t="n">
        <f aca="false">D59*(D56-D60)</f>
        <v>0</v>
      </c>
      <c r="E61" s="24" t="n">
        <f aca="false">E59*(E56-E60)</f>
        <v>0</v>
      </c>
      <c r="F61" s="24" t="n">
        <f aca="false">F59*(F56-F60)</f>
        <v>0</v>
      </c>
      <c r="G61" s="24" t="n">
        <f aca="false">G59*(G56-G60)</f>
        <v>0</v>
      </c>
    </row>
    <row r="62" customFormat="false" ht="15" hidden="false" customHeight="false" outlineLevel="0" collapsed="false">
      <c r="A62" s="6"/>
      <c r="B62" s="15" t="s">
        <v>91</v>
      </c>
      <c r="C62" s="24" t="n">
        <f aca="false">0</f>
        <v>0</v>
      </c>
      <c r="D62" s="24" t="n">
        <f aca="false">MAX(0,D61)*CG_Rate</f>
        <v>0</v>
      </c>
      <c r="E62" s="24" t="n">
        <f aca="false">MAX(0,E61)*CG_Rate</f>
        <v>0</v>
      </c>
      <c r="F62" s="24" t="n">
        <f aca="false">MAX(0,F61)*CG_Rate</f>
        <v>0</v>
      </c>
      <c r="G62" s="24" t="n">
        <f aca="false">MAX(0,G61)*CG_Rate</f>
        <v>0</v>
      </c>
    </row>
    <row r="63" customFormat="false" ht="15" hidden="false" customHeight="false" outlineLevel="0" collapsed="false">
      <c r="A63" s="6"/>
      <c r="B63" s="15" t="s">
        <v>35</v>
      </c>
      <c r="C63" s="24" t="n">
        <f aca="false">ABS(C57-0)*C56*Trans_Cost_Bps/10000</f>
        <v>87.2436</v>
      </c>
      <c r="D63" s="24" t="n">
        <f aca="false">ABS(D57-C57)*D56*Trans_Cost_Bps/10000</f>
        <v>0.546526</v>
      </c>
      <c r="E63" s="24" t="n">
        <f aca="false">ABS(E57-D57)*E56*Trans_Cost_Bps/10000</f>
        <v>0.744641675</v>
      </c>
      <c r="F63" s="24" t="n">
        <f aca="false">ABS(F57-E57)*F56*Trans_Cost_Bps/10000</f>
        <v>0.6493275406</v>
      </c>
      <c r="G63" s="24" t="n">
        <f aca="false">ABS(G57-F57)*G56*Trans_Cost_Bps/10000</f>
        <v>0.707767019254</v>
      </c>
    </row>
    <row r="64" customFormat="false" ht="15" hidden="false" customHeight="false" outlineLevel="0" collapsed="false">
      <c r="A64" s="6"/>
      <c r="B64" s="15" t="s">
        <v>92</v>
      </c>
      <c r="C64" s="24" t="n">
        <f aca="false">C57*XOM_DPS_Y0*(1+XOM_DPS_Growth)^1*(1-WHT_Rate)</f>
        <v>2750.592</v>
      </c>
      <c r="D64" s="24" t="n">
        <f aca="false">D57*XOM_DPS_Y0*(1+XOM_DPS_Growth)^2*(1-WHT_Rate)</f>
        <v>2877.056</v>
      </c>
      <c r="E64" s="24" t="n">
        <f aca="false">E57*XOM_DPS_Y0*(1+XOM_DPS_Growth)^3*(1-WHT_Rate)</f>
        <v>3013.510656</v>
      </c>
      <c r="F64" s="24" t="n">
        <f aca="false">F57*XOM_DPS_Y0*(1+XOM_DPS_Growth)^4*(1-WHT_Rate)</f>
        <v>3151.832932352</v>
      </c>
      <c r="G64" s="24" t="n">
        <f aca="false">G57*XOM_DPS_Y0*(1+XOM_DPS_Growth)^5*(1-WHT_Rate)</f>
        <v>3296.39937376256</v>
      </c>
    </row>
    <row r="65" customFormat="false" ht="15" hidden="false" customHeight="false" outlineLevel="0" collapsed="false">
      <c r="A65" s="6"/>
      <c r="B65" s="19" t="s">
        <v>98</v>
      </c>
      <c r="C65" s="23"/>
      <c r="D65" s="23"/>
      <c r="E65" s="23"/>
      <c r="F65" s="23"/>
      <c r="G65" s="23"/>
    </row>
    <row r="66" customFormat="false" ht="15" hidden="false" customHeight="false" outlineLevel="0" collapsed="false">
      <c r="A66" s="6"/>
      <c r="B66" s="15" t="s">
        <v>85</v>
      </c>
      <c r="C66" s="24" t="n">
        <f aca="false">BRK_Entry_Price*(1+BRK_Exp_Return)^1</f>
        <v>440</v>
      </c>
      <c r="D66" s="24" t="n">
        <f aca="false">BRK_Entry_Price*(1+BRK_Exp_Return)^2</f>
        <v>484</v>
      </c>
      <c r="E66" s="24" t="n">
        <f aca="false">BRK_Entry_Price*(1+BRK_Exp_Return)^3</f>
        <v>532.4</v>
      </c>
      <c r="F66" s="24" t="n">
        <f aca="false">BRK_Entry_Price*(1+BRK_Exp_Return)^4</f>
        <v>585.64</v>
      </c>
      <c r="G66" s="24" t="n">
        <f aca="false">BRK_Entry_Price*(1+BRK_Exp_Return)^5</f>
        <v>644.204</v>
      </c>
    </row>
    <row r="67" customFormat="false" ht="15" hidden="false" customHeight="false" outlineLevel="0" collapsed="false">
      <c r="A67" s="6"/>
      <c r="B67" s="15" t="s">
        <v>86</v>
      </c>
      <c r="C67" s="24" t="n">
        <f aca="false">BRK_Shares_Y0</f>
        <v>200</v>
      </c>
      <c r="D67" s="24" t="n">
        <f aca="false">ROUND(BRK_Alloc*Portfolio_Positions!$C$107/C66,0)</f>
        <v>199</v>
      </c>
      <c r="E67" s="24" t="n">
        <f aca="false">ROUND(BRK_Alloc*Portfolio_Positions!$D$107/D66,0)</f>
        <v>199</v>
      </c>
      <c r="F67" s="24" t="n">
        <f aca="false">ROUND(BRK_Alloc*Portfolio_Positions!$E$107/E66,0)</f>
        <v>198</v>
      </c>
      <c r="G67" s="24" t="n">
        <f aca="false">ROUND(BRK_Alloc*Portfolio_Positions!$F$107/F66,0)</f>
        <v>198</v>
      </c>
    </row>
    <row r="68" customFormat="false" ht="15" hidden="false" customHeight="false" outlineLevel="0" collapsed="false">
      <c r="A68" s="6"/>
      <c r="B68" s="15" t="s">
        <v>87</v>
      </c>
      <c r="C68" s="24" t="n">
        <f aca="false">C67*C66</f>
        <v>88000</v>
      </c>
      <c r="D68" s="24" t="n">
        <f aca="false">D67*D66</f>
        <v>96316</v>
      </c>
      <c r="E68" s="24" t="n">
        <f aca="false">E67*E66</f>
        <v>105947.6</v>
      </c>
      <c r="F68" s="24" t="n">
        <f aca="false">F67*F66</f>
        <v>115956.72</v>
      </c>
      <c r="G68" s="24" t="n">
        <f aca="false">G67*G66</f>
        <v>127552.392</v>
      </c>
    </row>
    <row r="69" customFormat="false" ht="15" hidden="false" customHeight="false" outlineLevel="0" collapsed="false">
      <c r="A69" s="6"/>
      <c r="B69" s="15" t="s">
        <v>88</v>
      </c>
      <c r="C69" s="24" t="n">
        <f aca="false">0</f>
        <v>0</v>
      </c>
      <c r="D69" s="24" t="n">
        <f aca="false">MAX(0,C67-D67)</f>
        <v>1</v>
      </c>
      <c r="E69" s="24" t="n">
        <f aca="false">MAX(0,D67-E67)</f>
        <v>0</v>
      </c>
      <c r="F69" s="24" t="n">
        <f aca="false">MAX(0,E67-F67)</f>
        <v>1</v>
      </c>
      <c r="G69" s="24" t="n">
        <f aca="false">MAX(0,F67-G67)</f>
        <v>0</v>
      </c>
    </row>
    <row r="70" customFormat="false" ht="15" hidden="false" customHeight="false" outlineLevel="0" collapsed="false">
      <c r="A70" s="6"/>
      <c r="B70" s="15" t="s">
        <v>89</v>
      </c>
      <c r="C70" s="24" t="n">
        <f aca="false">BRK_Entry_Price</f>
        <v>400</v>
      </c>
      <c r="D70" s="24" t="n">
        <f aca="false">BRK_Entry_Price</f>
        <v>400</v>
      </c>
      <c r="E70" s="24" t="n">
        <f aca="false">BRK_Entry_Price</f>
        <v>400</v>
      </c>
      <c r="F70" s="24" t="n">
        <f aca="false">BRK_Entry_Price</f>
        <v>400</v>
      </c>
      <c r="G70" s="24" t="n">
        <f aca="false">BRK_Entry_Price</f>
        <v>400</v>
      </c>
    </row>
    <row r="71" customFormat="false" ht="15" hidden="false" customHeight="false" outlineLevel="0" collapsed="false">
      <c r="A71" s="6"/>
      <c r="B71" s="15" t="s">
        <v>90</v>
      </c>
      <c r="C71" s="24" t="n">
        <f aca="false">0</f>
        <v>0</v>
      </c>
      <c r="D71" s="24" t="n">
        <f aca="false">D69*(D66-D70)</f>
        <v>84.0000000000001</v>
      </c>
      <c r="E71" s="24" t="n">
        <f aca="false">E69*(E66-E70)</f>
        <v>0</v>
      </c>
      <c r="F71" s="24" t="n">
        <f aca="false">F69*(F66-F70)</f>
        <v>185.64</v>
      </c>
      <c r="G71" s="24" t="n">
        <f aca="false">G69*(G66-G70)</f>
        <v>0</v>
      </c>
    </row>
    <row r="72" customFormat="false" ht="15" hidden="false" customHeight="false" outlineLevel="0" collapsed="false">
      <c r="A72" s="6"/>
      <c r="B72" s="15" t="s">
        <v>91</v>
      </c>
      <c r="C72" s="24" t="n">
        <f aca="false">0</f>
        <v>0</v>
      </c>
      <c r="D72" s="24" t="n">
        <f aca="false">MAX(0,D71)*CG_Rate</f>
        <v>16.8</v>
      </c>
      <c r="E72" s="24" t="n">
        <f aca="false">MAX(0,E71)*CG_Rate</f>
        <v>0</v>
      </c>
      <c r="F72" s="24" t="n">
        <f aca="false">MAX(0,F71)*CG_Rate</f>
        <v>37.128</v>
      </c>
      <c r="G72" s="24" t="n">
        <f aca="false">MAX(0,G71)*CG_Rate</f>
        <v>0</v>
      </c>
    </row>
    <row r="73" customFormat="false" ht="15" hidden="false" customHeight="false" outlineLevel="0" collapsed="false">
      <c r="A73" s="6"/>
      <c r="B73" s="15" t="s">
        <v>35</v>
      </c>
      <c r="C73" s="24" t="n">
        <f aca="false">ABS(C67-0)*C66*Trans_Cost_Bps/10000</f>
        <v>88</v>
      </c>
      <c r="D73" s="24" t="n">
        <f aca="false">ABS(D67-C67)*D66*Trans_Cost_Bps/10000</f>
        <v>0.484</v>
      </c>
      <c r="E73" s="24" t="n">
        <f aca="false">ABS(E67-D67)*E66*Trans_Cost_Bps/10000</f>
        <v>0</v>
      </c>
      <c r="F73" s="24" t="n">
        <f aca="false">ABS(F67-E67)*F66*Trans_Cost_Bps/10000</f>
        <v>0.58564</v>
      </c>
      <c r="G73" s="24" t="n">
        <f aca="false">ABS(G67-F67)*G66*Trans_Cost_Bps/10000</f>
        <v>0</v>
      </c>
    </row>
    <row r="74" customFormat="false" ht="15" hidden="false" customHeight="false" outlineLevel="0" collapsed="false">
      <c r="A74" s="6"/>
      <c r="B74" s="15" t="s">
        <v>92</v>
      </c>
      <c r="C74" s="24" t="n">
        <f aca="false">C67*BRK_DPS_Y0*(1+BRK_DPS_Growth)^1*(1-WHT_Rate)</f>
        <v>0</v>
      </c>
      <c r="D74" s="24" t="n">
        <f aca="false">D67*BRK_DPS_Y0*(1+BRK_DPS_Growth)^2*(1-WHT_Rate)</f>
        <v>0</v>
      </c>
      <c r="E74" s="24" t="n">
        <f aca="false">E67*BRK_DPS_Y0*(1+BRK_DPS_Growth)^3*(1-WHT_Rate)</f>
        <v>0</v>
      </c>
      <c r="F74" s="24" t="n">
        <f aca="false">F67*BRK_DPS_Y0*(1+BRK_DPS_Growth)^4*(1-WHT_Rate)</f>
        <v>0</v>
      </c>
      <c r="G74" s="24" t="n">
        <f aca="false">G67*BRK_DPS_Y0*(1+BRK_DPS_Growth)^5*(1-WHT_Rate)</f>
        <v>0</v>
      </c>
    </row>
    <row r="75" customFormat="false" ht="15" hidden="false" customHeight="false" outlineLevel="0" collapsed="false">
      <c r="A75" s="6"/>
      <c r="B75" s="19" t="s">
        <v>99</v>
      </c>
      <c r="C75" s="23"/>
      <c r="D75" s="23"/>
      <c r="E75" s="23"/>
      <c r="F75" s="23"/>
      <c r="G75" s="23"/>
    </row>
    <row r="76" customFormat="false" ht="15" hidden="false" customHeight="false" outlineLevel="0" collapsed="false">
      <c r="A76" s="6"/>
      <c r="B76" s="15" t="s">
        <v>85</v>
      </c>
      <c r="C76" s="24" t="n">
        <f aca="false">V_Entry_Price*(1+V_Exp_Return)^1</f>
        <v>299.45</v>
      </c>
      <c r="D76" s="24" t="n">
        <f aca="false">V_Entry_Price*(1+V_Exp_Return)^2</f>
        <v>338.3785</v>
      </c>
      <c r="E76" s="24" t="n">
        <f aca="false">V_Entry_Price*(1+V_Exp_Return)^3</f>
        <v>382.367705</v>
      </c>
      <c r="F76" s="24" t="n">
        <f aca="false">V_Entry_Price*(1+V_Exp_Return)^4</f>
        <v>432.07550665</v>
      </c>
      <c r="G76" s="24" t="n">
        <f aca="false">V_Entry_Price*(1+V_Exp_Return)^5</f>
        <v>488.2453225145</v>
      </c>
    </row>
    <row r="77" customFormat="false" ht="15" hidden="false" customHeight="false" outlineLevel="0" collapsed="false">
      <c r="A77" s="6"/>
      <c r="B77" s="15" t="s">
        <v>86</v>
      </c>
      <c r="C77" s="24" t="n">
        <f aca="false">V_Shares_Y0</f>
        <v>302</v>
      </c>
      <c r="D77" s="24" t="n">
        <f aca="false">ROUND(V_Alloc*Portfolio_Positions!$C$107/C76,0)</f>
        <v>293</v>
      </c>
      <c r="E77" s="24" t="n">
        <f aca="false">ROUND(V_Alloc*Portfolio_Positions!$D$107/D76,0)</f>
        <v>284</v>
      </c>
      <c r="F77" s="24" t="n">
        <f aca="false">ROUND(V_Alloc*Portfolio_Positions!$E$107/E76,0)</f>
        <v>276</v>
      </c>
      <c r="G77" s="24" t="n">
        <f aca="false">ROUND(V_Alloc*Portfolio_Positions!$F$107/F76,0)</f>
        <v>268</v>
      </c>
    </row>
    <row r="78" customFormat="false" ht="15" hidden="false" customHeight="false" outlineLevel="0" collapsed="false">
      <c r="A78" s="6"/>
      <c r="B78" s="15" t="s">
        <v>87</v>
      </c>
      <c r="C78" s="24" t="n">
        <f aca="false">C77*C76</f>
        <v>90433.9</v>
      </c>
      <c r="D78" s="24" t="n">
        <f aca="false">D77*D76</f>
        <v>99144.9005</v>
      </c>
      <c r="E78" s="24" t="n">
        <f aca="false">E77*E76</f>
        <v>108592.42822</v>
      </c>
      <c r="F78" s="24" t="n">
        <f aca="false">F77*F76</f>
        <v>119252.8398354</v>
      </c>
      <c r="G78" s="24" t="n">
        <f aca="false">G77*G76</f>
        <v>130849.746433886</v>
      </c>
    </row>
    <row r="79" customFormat="false" ht="15" hidden="false" customHeight="false" outlineLevel="0" collapsed="false">
      <c r="A79" s="6"/>
      <c r="B79" s="15" t="s">
        <v>88</v>
      </c>
      <c r="C79" s="24" t="n">
        <f aca="false">0</f>
        <v>0</v>
      </c>
      <c r="D79" s="24" t="n">
        <f aca="false">MAX(0,C77-D77)</f>
        <v>9</v>
      </c>
      <c r="E79" s="24" t="n">
        <f aca="false">MAX(0,D77-E77)</f>
        <v>9</v>
      </c>
      <c r="F79" s="24" t="n">
        <f aca="false">MAX(0,E77-F77)</f>
        <v>8</v>
      </c>
      <c r="G79" s="24" t="n">
        <f aca="false">MAX(0,F77-G77)</f>
        <v>8</v>
      </c>
    </row>
    <row r="80" customFormat="false" ht="15" hidden="false" customHeight="false" outlineLevel="0" collapsed="false">
      <c r="A80" s="6"/>
      <c r="B80" s="15" t="s">
        <v>89</v>
      </c>
      <c r="C80" s="24" t="n">
        <f aca="false">V_Entry_Price</f>
        <v>265</v>
      </c>
      <c r="D80" s="24" t="n">
        <f aca="false">V_Entry_Price</f>
        <v>265</v>
      </c>
      <c r="E80" s="24" t="n">
        <f aca="false">V_Entry_Price</f>
        <v>265</v>
      </c>
      <c r="F80" s="24" t="n">
        <f aca="false">V_Entry_Price</f>
        <v>265</v>
      </c>
      <c r="G80" s="24" t="n">
        <f aca="false">V_Entry_Price</f>
        <v>265</v>
      </c>
    </row>
    <row r="81" customFormat="false" ht="15" hidden="false" customHeight="false" outlineLevel="0" collapsed="false">
      <c r="A81" s="6"/>
      <c r="B81" s="15" t="s">
        <v>90</v>
      </c>
      <c r="C81" s="24" t="n">
        <f aca="false">0</f>
        <v>0</v>
      </c>
      <c r="D81" s="24" t="n">
        <f aca="false">D79*(D76-D80)</f>
        <v>660.406499999999</v>
      </c>
      <c r="E81" s="24" t="n">
        <f aca="false">E79*(E76-E80)</f>
        <v>1056.309345</v>
      </c>
      <c r="F81" s="24" t="n">
        <f aca="false">F79*(F76-F80)</f>
        <v>1336.6040532</v>
      </c>
      <c r="G81" s="24" t="n">
        <f aca="false">G79*(G76-G80)</f>
        <v>1785.962580116</v>
      </c>
    </row>
    <row r="82" customFormat="false" ht="15" hidden="false" customHeight="false" outlineLevel="0" collapsed="false">
      <c r="A82" s="6"/>
      <c r="B82" s="15" t="s">
        <v>91</v>
      </c>
      <c r="C82" s="24" t="n">
        <f aca="false">0</f>
        <v>0</v>
      </c>
      <c r="D82" s="24" t="n">
        <f aca="false">MAX(0,D81)*CG_Rate</f>
        <v>132.0813</v>
      </c>
      <c r="E82" s="24" t="n">
        <f aca="false">MAX(0,E81)*CG_Rate</f>
        <v>211.261869</v>
      </c>
      <c r="F82" s="24" t="n">
        <f aca="false">MAX(0,F81)*CG_Rate</f>
        <v>267.32081064</v>
      </c>
      <c r="G82" s="24" t="n">
        <f aca="false">MAX(0,G81)*CG_Rate</f>
        <v>357.1925160232</v>
      </c>
    </row>
    <row r="83" customFormat="false" ht="15" hidden="false" customHeight="false" outlineLevel="0" collapsed="false">
      <c r="A83" s="6"/>
      <c r="B83" s="15" t="s">
        <v>35</v>
      </c>
      <c r="C83" s="24" t="n">
        <f aca="false">ABS(C77-0)*C76*Trans_Cost_Bps/10000</f>
        <v>90.4339</v>
      </c>
      <c r="D83" s="24" t="n">
        <f aca="false">ABS(D77-C77)*D76*Trans_Cost_Bps/10000</f>
        <v>3.0454065</v>
      </c>
      <c r="E83" s="24" t="n">
        <f aca="false">ABS(E77-D77)*E76*Trans_Cost_Bps/10000</f>
        <v>3.441309345</v>
      </c>
      <c r="F83" s="24" t="n">
        <f aca="false">ABS(F77-E77)*F76*Trans_Cost_Bps/10000</f>
        <v>3.4566040532</v>
      </c>
      <c r="G83" s="24" t="n">
        <f aca="false">ABS(G77-F77)*G76*Trans_Cost_Bps/10000</f>
        <v>3.905962580116</v>
      </c>
    </row>
    <row r="84" customFormat="false" ht="15" hidden="false" customHeight="false" outlineLevel="0" collapsed="false">
      <c r="A84" s="6"/>
      <c r="B84" s="15" t="s">
        <v>92</v>
      </c>
      <c r="C84" s="24" t="n">
        <f aca="false">C77*V_DPS_Y0*(1+V_DPS_Growth)^1*(1-WHT_Rate)</f>
        <v>690.976</v>
      </c>
      <c r="D84" s="24" t="n">
        <f aca="false">D77*V_DPS_Y0*(1+V_DPS_Growth)^2*(1-WHT_Rate)</f>
        <v>737.4224</v>
      </c>
      <c r="E84" s="24" t="n">
        <f aca="false">E77*V_DPS_Y0*(1+V_DPS_Growth)^3*(1-WHT_Rate)</f>
        <v>786.24832</v>
      </c>
      <c r="F84" s="24" t="n">
        <f aca="false">F77*V_DPS_Y0*(1+V_DPS_Growth)^4*(1-WHT_Rate)</f>
        <v>840.510528</v>
      </c>
      <c r="G84" s="24" t="n">
        <f aca="false">G77*V_DPS_Y0*(1+V_DPS_Growth)^5*(1-WHT_Rate)</f>
        <v>897.7626944</v>
      </c>
    </row>
    <row r="85" customFormat="false" ht="15" hidden="false" customHeight="false" outlineLevel="0" collapsed="false">
      <c r="A85" s="6"/>
      <c r="B85" s="19" t="s">
        <v>100</v>
      </c>
      <c r="C85" s="23"/>
      <c r="D85" s="23"/>
      <c r="E85" s="23"/>
      <c r="F85" s="23"/>
      <c r="G85" s="23"/>
    </row>
    <row r="86" customFormat="false" ht="15" hidden="false" customHeight="false" outlineLevel="0" collapsed="false">
      <c r="A86" s="6"/>
      <c r="B86" s="15" t="s">
        <v>85</v>
      </c>
      <c r="C86" s="24" t="n">
        <f aca="false">HD_Entry_Price*(1+HD_Exp_Return)^1</f>
        <v>370.6</v>
      </c>
      <c r="D86" s="24" t="n">
        <f aca="false">HD_Entry_Price*(1+HD_Exp_Return)^2</f>
        <v>403.954</v>
      </c>
      <c r="E86" s="24" t="n">
        <f aca="false">HD_Entry_Price*(1+HD_Exp_Return)^3</f>
        <v>440.30986</v>
      </c>
      <c r="F86" s="24" t="n">
        <f aca="false">HD_Entry_Price*(1+HD_Exp_Return)^4</f>
        <v>479.9377474</v>
      </c>
      <c r="G86" s="24" t="n">
        <f aca="false">HD_Entry_Price*(1+HD_Exp_Return)^5</f>
        <v>523.132144666</v>
      </c>
    </row>
    <row r="87" customFormat="false" ht="15" hidden="false" customHeight="false" outlineLevel="0" collapsed="false">
      <c r="A87" s="6"/>
      <c r="B87" s="15" t="s">
        <v>86</v>
      </c>
      <c r="C87" s="24" t="n">
        <f aca="false">HD_Shares_Y0</f>
        <v>353</v>
      </c>
      <c r="D87" s="24" t="n">
        <f aca="false">ROUND(HD_Alloc*Portfolio_Positions!$C$107/C86,0)</f>
        <v>355</v>
      </c>
      <c r="E87" s="24" t="n">
        <f aca="false">ROUND(HD_Alloc*Portfolio_Positions!$D$107/D86,0)</f>
        <v>357</v>
      </c>
      <c r="F87" s="24" t="n">
        <f aca="false">ROUND(HD_Alloc*Portfolio_Positions!$E$107/E86,0)</f>
        <v>360</v>
      </c>
      <c r="G87" s="24" t="n">
        <f aca="false">ROUND(HD_Alloc*Portfolio_Positions!$F$107/F86,0)</f>
        <v>362</v>
      </c>
    </row>
    <row r="88" customFormat="false" ht="15" hidden="false" customHeight="false" outlineLevel="0" collapsed="false">
      <c r="A88" s="6"/>
      <c r="B88" s="15" t="s">
        <v>87</v>
      </c>
      <c r="C88" s="24" t="n">
        <f aca="false">C87*C86</f>
        <v>130821.8</v>
      </c>
      <c r="D88" s="24" t="n">
        <f aca="false">D87*D86</f>
        <v>143403.67</v>
      </c>
      <c r="E88" s="24" t="n">
        <f aca="false">E87*E86</f>
        <v>157190.62002</v>
      </c>
      <c r="F88" s="24" t="n">
        <f aca="false">F87*F86</f>
        <v>172777.589064</v>
      </c>
      <c r="G88" s="24" t="n">
        <f aca="false">G87*G86</f>
        <v>189373.836369092</v>
      </c>
    </row>
    <row r="89" customFormat="false" ht="15" hidden="false" customHeight="false" outlineLevel="0" collapsed="false">
      <c r="A89" s="6"/>
      <c r="B89" s="15" t="s">
        <v>88</v>
      </c>
      <c r="C89" s="24" t="n">
        <f aca="false">0</f>
        <v>0</v>
      </c>
      <c r="D89" s="24" t="n">
        <f aca="false">MAX(0,C87-D87)</f>
        <v>0</v>
      </c>
      <c r="E89" s="24" t="n">
        <f aca="false">MAX(0,D87-E87)</f>
        <v>0</v>
      </c>
      <c r="F89" s="24" t="n">
        <f aca="false">MAX(0,E87-F87)</f>
        <v>0</v>
      </c>
      <c r="G89" s="24" t="n">
        <f aca="false">MAX(0,F87-G87)</f>
        <v>0</v>
      </c>
    </row>
    <row r="90" customFormat="false" ht="15" hidden="false" customHeight="false" outlineLevel="0" collapsed="false">
      <c r="A90" s="6"/>
      <c r="B90" s="15" t="s">
        <v>89</v>
      </c>
      <c r="C90" s="24" t="n">
        <f aca="false">HD_Entry_Price</f>
        <v>340</v>
      </c>
      <c r="D90" s="24" t="n">
        <f aca="false">HD_Entry_Price</f>
        <v>340</v>
      </c>
      <c r="E90" s="24" t="n">
        <f aca="false">HD_Entry_Price</f>
        <v>340</v>
      </c>
      <c r="F90" s="24" t="n">
        <f aca="false">HD_Entry_Price</f>
        <v>340</v>
      </c>
      <c r="G90" s="24" t="n">
        <f aca="false">HD_Entry_Price</f>
        <v>340</v>
      </c>
    </row>
    <row r="91" customFormat="false" ht="15" hidden="false" customHeight="false" outlineLevel="0" collapsed="false">
      <c r="A91" s="6"/>
      <c r="B91" s="15" t="s">
        <v>90</v>
      </c>
      <c r="C91" s="24" t="n">
        <f aca="false">0</f>
        <v>0</v>
      </c>
      <c r="D91" s="24" t="n">
        <f aca="false">D89*(D86-D90)</f>
        <v>0</v>
      </c>
      <c r="E91" s="24" t="n">
        <f aca="false">E89*(E86-E90)</f>
        <v>0</v>
      </c>
      <c r="F91" s="24" t="n">
        <f aca="false">F89*(F86-F90)</f>
        <v>0</v>
      </c>
      <c r="G91" s="24" t="n">
        <f aca="false">G89*(G86-G90)</f>
        <v>0</v>
      </c>
    </row>
    <row r="92" customFormat="false" ht="15" hidden="false" customHeight="false" outlineLevel="0" collapsed="false">
      <c r="A92" s="6"/>
      <c r="B92" s="15" t="s">
        <v>91</v>
      </c>
      <c r="C92" s="24" t="n">
        <f aca="false">0</f>
        <v>0</v>
      </c>
      <c r="D92" s="24" t="n">
        <f aca="false">MAX(0,D91)*CG_Rate</f>
        <v>0</v>
      </c>
      <c r="E92" s="24" t="n">
        <f aca="false">MAX(0,E91)*CG_Rate</f>
        <v>0</v>
      </c>
      <c r="F92" s="24" t="n">
        <f aca="false">MAX(0,F91)*CG_Rate</f>
        <v>0</v>
      </c>
      <c r="G92" s="24" t="n">
        <f aca="false">MAX(0,G91)*CG_Rate</f>
        <v>0</v>
      </c>
    </row>
    <row r="93" customFormat="false" ht="15" hidden="false" customHeight="false" outlineLevel="0" collapsed="false">
      <c r="A93" s="6"/>
      <c r="B93" s="15" t="s">
        <v>35</v>
      </c>
      <c r="C93" s="24" t="n">
        <f aca="false">ABS(C87-0)*C86*Trans_Cost_Bps/10000</f>
        <v>130.8218</v>
      </c>
      <c r="D93" s="24" t="n">
        <f aca="false">ABS(D87-C87)*D86*Trans_Cost_Bps/10000</f>
        <v>0.807908</v>
      </c>
      <c r="E93" s="24" t="n">
        <f aca="false">ABS(E87-D87)*E86*Trans_Cost_Bps/10000</f>
        <v>0.88061972</v>
      </c>
      <c r="F93" s="24" t="n">
        <f aca="false">ABS(F87-E87)*F86*Trans_Cost_Bps/10000</f>
        <v>1.4398132422</v>
      </c>
      <c r="G93" s="24" t="n">
        <f aca="false">ABS(G87-F87)*G86*Trans_Cost_Bps/10000</f>
        <v>1.046264289332</v>
      </c>
    </row>
    <row r="94" customFormat="false" ht="15" hidden="false" customHeight="false" outlineLevel="0" collapsed="false">
      <c r="A94" s="6"/>
      <c r="B94" s="15" t="s">
        <v>92</v>
      </c>
      <c r="C94" s="24" t="n">
        <f aca="false">C87*HD_DPS_Y0*(1+HD_DPS_Growth)^1*(1-WHT_Rate)</f>
        <v>3128.1448</v>
      </c>
      <c r="D94" s="24" t="n">
        <f aca="false">D87*HD_DPS_Y0*(1+HD_DPS_Growth)^2*(1-WHT_Rate)</f>
        <v>3334.62008</v>
      </c>
      <c r="E94" s="24" t="n">
        <f aca="false">E87*HD_DPS_Y0*(1+HD_DPS_Growth)^3*(1-WHT_Rate)</f>
        <v>3554.61107232</v>
      </c>
      <c r="F94" s="24" t="n">
        <f aca="false">F87*HD_DPS_Y0*(1+HD_DPS_Growth)^4*(1-WHT_Rate)</f>
        <v>3799.550658816</v>
      </c>
      <c r="G94" s="24" t="n">
        <f aca="false">G87*HD_DPS_Y0*(1+HD_DPS_Growth)^5*(1-WHT_Rate)</f>
        <v>4049.89883000243</v>
      </c>
    </row>
    <row r="95" customFormat="false" ht="15" hidden="false" customHeight="false" outlineLevel="0" collapsed="false">
      <c r="A95" s="6"/>
      <c r="B95" s="19" t="s">
        <v>101</v>
      </c>
      <c r="C95" s="23"/>
      <c r="D95" s="23"/>
      <c r="E95" s="23"/>
      <c r="F95" s="23"/>
      <c r="G95" s="23"/>
    </row>
    <row r="96" customFormat="false" ht="15" hidden="false" customHeight="false" outlineLevel="0" collapsed="false">
      <c r="A96" s="6"/>
      <c r="B96" s="15" t="s">
        <v>85</v>
      </c>
      <c r="C96" s="24" t="n">
        <f aca="false">NEE_Entry_Price*(1+NEE_Exp_Return)^1</f>
        <v>75.6</v>
      </c>
      <c r="D96" s="24" t="n">
        <f aca="false">NEE_Entry_Price*(1+NEE_Exp_Return)^2</f>
        <v>81.648</v>
      </c>
      <c r="E96" s="24" t="n">
        <f aca="false">NEE_Entry_Price*(1+NEE_Exp_Return)^3</f>
        <v>88.17984</v>
      </c>
      <c r="F96" s="24" t="n">
        <f aca="false">NEE_Entry_Price*(1+NEE_Exp_Return)^4</f>
        <v>95.2342272</v>
      </c>
      <c r="G96" s="24" t="n">
        <f aca="false">NEE_Entry_Price*(1+NEE_Exp_Return)^5</f>
        <v>102.852965376</v>
      </c>
    </row>
    <row r="97" customFormat="false" ht="15" hidden="false" customHeight="false" outlineLevel="0" collapsed="false">
      <c r="A97" s="6"/>
      <c r="B97" s="15" t="s">
        <v>86</v>
      </c>
      <c r="C97" s="24" t="n">
        <f aca="false">NEE_Shares_Y0</f>
        <v>1429</v>
      </c>
      <c r="D97" s="24" t="n">
        <f aca="false">ROUND(NEE_Alloc*Portfolio_Positions!$C$107/C96,0)</f>
        <v>1451</v>
      </c>
      <c r="E97" s="24" t="n">
        <f aca="false">ROUND(NEE_Alloc*Portfolio_Positions!$D$107/D96,0)</f>
        <v>1474</v>
      </c>
      <c r="F97" s="24" t="n">
        <f aca="false">ROUND(NEE_Alloc*Portfolio_Positions!$E$107/E96,0)</f>
        <v>1496</v>
      </c>
      <c r="G97" s="24" t="n">
        <f aca="false">ROUND(NEE_Alloc*Portfolio_Positions!$F$107/F96,0)</f>
        <v>1520</v>
      </c>
    </row>
    <row r="98" customFormat="false" ht="15" hidden="false" customHeight="false" outlineLevel="0" collapsed="false">
      <c r="A98" s="6"/>
      <c r="B98" s="15" t="s">
        <v>87</v>
      </c>
      <c r="C98" s="24" t="n">
        <f aca="false">C97*C96</f>
        <v>108032.4</v>
      </c>
      <c r="D98" s="24" t="n">
        <f aca="false">D97*D96</f>
        <v>118471.248</v>
      </c>
      <c r="E98" s="24" t="n">
        <f aca="false">E97*E96</f>
        <v>129977.08416</v>
      </c>
      <c r="F98" s="24" t="n">
        <f aca="false">F97*F96</f>
        <v>142470.4038912</v>
      </c>
      <c r="G98" s="24" t="n">
        <f aca="false">G97*G96</f>
        <v>156336.50737152</v>
      </c>
    </row>
    <row r="99" customFormat="false" ht="15" hidden="false" customHeight="false" outlineLevel="0" collapsed="false">
      <c r="A99" s="6"/>
      <c r="B99" s="15" t="s">
        <v>88</v>
      </c>
      <c r="C99" s="24" t="n">
        <f aca="false">0</f>
        <v>0</v>
      </c>
      <c r="D99" s="24" t="n">
        <f aca="false">MAX(0,C97-D97)</f>
        <v>0</v>
      </c>
      <c r="E99" s="24" t="n">
        <f aca="false">MAX(0,D97-E97)</f>
        <v>0</v>
      </c>
      <c r="F99" s="24" t="n">
        <f aca="false">MAX(0,E97-F97)</f>
        <v>0</v>
      </c>
      <c r="G99" s="24" t="n">
        <f aca="false">MAX(0,F97-G97)</f>
        <v>0</v>
      </c>
    </row>
    <row r="100" customFormat="false" ht="15" hidden="false" customHeight="false" outlineLevel="0" collapsed="false">
      <c r="A100" s="6"/>
      <c r="B100" s="15" t="s">
        <v>89</v>
      </c>
      <c r="C100" s="24" t="n">
        <f aca="false">NEE_Entry_Price</f>
        <v>70</v>
      </c>
      <c r="D100" s="24" t="n">
        <f aca="false">NEE_Entry_Price</f>
        <v>70</v>
      </c>
      <c r="E100" s="24" t="n">
        <f aca="false">NEE_Entry_Price</f>
        <v>70</v>
      </c>
      <c r="F100" s="24" t="n">
        <f aca="false">NEE_Entry_Price</f>
        <v>70</v>
      </c>
      <c r="G100" s="24" t="n">
        <f aca="false">NEE_Entry_Price</f>
        <v>70</v>
      </c>
    </row>
    <row r="101" customFormat="false" ht="15" hidden="false" customHeight="false" outlineLevel="0" collapsed="false">
      <c r="A101" s="6"/>
      <c r="B101" s="15" t="s">
        <v>90</v>
      </c>
      <c r="C101" s="24" t="n">
        <f aca="false">0</f>
        <v>0</v>
      </c>
      <c r="D101" s="24" t="n">
        <f aca="false">D99*(D96-D100)</f>
        <v>0</v>
      </c>
      <c r="E101" s="24" t="n">
        <f aca="false">E99*(E96-E100)</f>
        <v>0</v>
      </c>
      <c r="F101" s="24" t="n">
        <f aca="false">F99*(F96-F100)</f>
        <v>0</v>
      </c>
      <c r="G101" s="24" t="n">
        <f aca="false">G99*(G96-G100)</f>
        <v>0</v>
      </c>
    </row>
    <row r="102" customFormat="false" ht="15" hidden="false" customHeight="false" outlineLevel="0" collapsed="false">
      <c r="A102" s="6"/>
      <c r="B102" s="15" t="s">
        <v>91</v>
      </c>
      <c r="C102" s="24" t="n">
        <f aca="false">0</f>
        <v>0</v>
      </c>
      <c r="D102" s="24" t="n">
        <f aca="false">MAX(0,D101)*CG_Rate</f>
        <v>0</v>
      </c>
      <c r="E102" s="24" t="n">
        <f aca="false">MAX(0,E101)*CG_Rate</f>
        <v>0</v>
      </c>
      <c r="F102" s="24" t="n">
        <f aca="false">MAX(0,F101)*CG_Rate</f>
        <v>0</v>
      </c>
      <c r="G102" s="24" t="n">
        <f aca="false">MAX(0,G101)*CG_Rate</f>
        <v>0</v>
      </c>
    </row>
    <row r="103" customFormat="false" ht="15" hidden="false" customHeight="false" outlineLevel="0" collapsed="false">
      <c r="A103" s="6"/>
      <c r="B103" s="15" t="s">
        <v>35</v>
      </c>
      <c r="C103" s="24" t="n">
        <f aca="false">ABS(C97-0)*C96*Trans_Cost_Bps/10000</f>
        <v>108.0324</v>
      </c>
      <c r="D103" s="24" t="n">
        <f aca="false">ABS(D97-C97)*D96*Trans_Cost_Bps/10000</f>
        <v>1.796256</v>
      </c>
      <c r="E103" s="24" t="n">
        <f aca="false">ABS(E97-D97)*E96*Trans_Cost_Bps/10000</f>
        <v>2.02813632</v>
      </c>
      <c r="F103" s="24" t="n">
        <f aca="false">ABS(F97-E97)*F96*Trans_Cost_Bps/10000</f>
        <v>2.0951529984</v>
      </c>
      <c r="G103" s="24" t="n">
        <f aca="false">ABS(G97-F97)*G96*Trans_Cost_Bps/10000</f>
        <v>2.468471169024</v>
      </c>
    </row>
    <row r="104" customFormat="false" ht="15" hidden="false" customHeight="false" outlineLevel="0" collapsed="false">
      <c r="A104" s="6"/>
      <c r="B104" s="15" t="s">
        <v>92</v>
      </c>
      <c r="C104" s="24" t="n">
        <f aca="false">C97*NEE_DPS_Y0*(1+NEE_DPS_Growth)^1*(1-WHT_Rate)</f>
        <v>2939.453</v>
      </c>
      <c r="D104" s="24" t="n">
        <f aca="false">D97*NEE_DPS_Y0*(1+NEE_DPS_Growth)^2*(1-WHT_Rate)</f>
        <v>3283.1777</v>
      </c>
      <c r="E104" s="24" t="n">
        <f aca="false">E97*NEE_DPS_Y0*(1+NEE_DPS_Growth)^3*(1-WHT_Rate)</f>
        <v>3668.74178</v>
      </c>
      <c r="F104" s="24" t="n">
        <f aca="false">F97*NEE_DPS_Y0*(1+NEE_DPS_Growth)^4*(1-WHT_Rate)</f>
        <v>4095.849032</v>
      </c>
      <c r="G104" s="24" t="n">
        <f aca="false">G97*NEE_DPS_Y0*(1+NEE_DPS_Growth)^5*(1-WHT_Rate)</f>
        <v>4577.713624</v>
      </c>
    </row>
    <row r="105" customFormat="false" ht="15" hidden="false" customHeight="false" outlineLevel="0" collapsed="false">
      <c r="A105" s="6"/>
      <c r="B105" s="6"/>
      <c r="C105" s="6"/>
      <c r="D105" s="6"/>
      <c r="E105" s="6"/>
      <c r="F105" s="6"/>
      <c r="G105" s="6"/>
    </row>
    <row r="106" customFormat="false" ht="15" hidden="false" customHeight="false" outlineLevel="0" collapsed="false">
      <c r="A106" s="6"/>
      <c r="B106" s="22" t="s">
        <v>102</v>
      </c>
      <c r="C106" s="25"/>
      <c r="D106" s="25"/>
      <c r="E106" s="25"/>
      <c r="F106" s="25"/>
      <c r="G106" s="25"/>
    </row>
    <row r="107" customFormat="false" ht="15" hidden="false" customHeight="false" outlineLevel="0" collapsed="false">
      <c r="A107" s="6"/>
      <c r="B107" s="7" t="s">
        <v>103</v>
      </c>
      <c r="C107" s="26" t="n">
        <f aca="false">C8+C18+C28+C38+C48+C58+C68+C78+C88+C98</f>
        <v>1097116.5</v>
      </c>
      <c r="D107" s="26" t="n">
        <f aca="false">D8+D18+D28+D38+D48+D58+D68+D78+D88+D98</f>
        <v>1203334.7925</v>
      </c>
      <c r="E107" s="26" t="n">
        <f aca="false">E8+E18+E28+E38+E48+E58+E68+E78+E88+E98</f>
        <v>1319549.042575</v>
      </c>
      <c r="F107" s="26" t="n">
        <f aca="false">F8+F18+F28+F38+F48+F58+F68+F78+F88+F98</f>
        <v>1447440.75061705</v>
      </c>
      <c r="G107" s="26" t="n">
        <f aca="false">G8+G18+G28+G38+G48+G58+G68+G78+G88+G98</f>
        <v>1588267.01553253</v>
      </c>
    </row>
    <row r="108" customFormat="false" ht="15" hidden="false" customHeight="false" outlineLevel="0" collapsed="false">
      <c r="A108" s="6"/>
      <c r="B108" s="15" t="s">
        <v>104</v>
      </c>
      <c r="C108" s="24" t="n">
        <f aca="false">C12+C22+C32+C42+C52+C62+C72+C82+C92+C102</f>
        <v>0</v>
      </c>
      <c r="D108" s="24" t="n">
        <f aca="false">D12+D22+D32+D42+D52+D62+D72+D82+D92+D102</f>
        <v>347.7102</v>
      </c>
      <c r="E108" s="24" t="n">
        <f aca="false">E12+E22+E32+E42+E52+E62+E72+E82+E92+E102</f>
        <v>544.639081</v>
      </c>
      <c r="F108" s="24" t="n">
        <f aca="false">F12+F22+F32+F42+F52+F62+F72+F82+F92+F102</f>
        <v>750.67262913</v>
      </c>
      <c r="G108" s="24" t="n">
        <f aca="false">G12+G22+G32+G42+G52+G62+G72+G82+G92+G102</f>
        <v>898.4473524991</v>
      </c>
    </row>
    <row r="109" customFormat="false" ht="15" hidden="false" customHeight="false" outlineLevel="0" collapsed="false">
      <c r="A109" s="6"/>
      <c r="B109" s="15" t="s">
        <v>105</v>
      </c>
      <c r="C109" s="24" t="n">
        <f aca="false">C13+C23+C33+C43+C53+C63+C73+C83+C93+C103</f>
        <v>1097.1165</v>
      </c>
      <c r="D109" s="24" t="n">
        <f aca="false">D13+D23+D33+D43+D53+D63+D73+D83+D93+D103</f>
        <v>16.7006125</v>
      </c>
      <c r="E109" s="24" t="n">
        <f aca="false">E13+E23+E33+E43+E53+E63+E73+E83+E93+E103</f>
        <v>17.97537208</v>
      </c>
      <c r="F109" s="24" t="n">
        <f aca="false">F13+F23+F33+F43+F53+F63+F73+F83+F93+F103</f>
        <v>20.2414111972</v>
      </c>
      <c r="G109" s="24" t="n">
        <f aca="false">G13+G23+G33+G43+G53+G63+G73+G83+G93+G103</f>
        <v>20.66985437722</v>
      </c>
    </row>
    <row r="110" customFormat="false" ht="15" hidden="false" customHeight="false" outlineLevel="0" collapsed="false">
      <c r="A110" s="6"/>
      <c r="B110" s="15" t="s">
        <v>106</v>
      </c>
      <c r="C110" s="24" t="n">
        <f aca="false">C14+C24+C34+C44+C54+C64+C74+C84+C94+C104</f>
        <v>19165.8796</v>
      </c>
      <c r="D110" s="24" t="n">
        <f aca="false">D14+D24+D34+D44+D54+D64+D74+D84+D94+D104</f>
        <v>20518.381716</v>
      </c>
      <c r="E110" s="24" t="n">
        <f aca="false">E14+E24+E34+E44+E54+E64+E74+E84+E94+E104</f>
        <v>21969.69799053</v>
      </c>
      <c r="F110" s="24" t="n">
        <f aca="false">F14+F24+F34+F44+F54+F64+F74+F84+F94+F104</f>
        <v>23543.7059568131</v>
      </c>
      <c r="G110" s="24" t="n">
        <f aca="false">G14+G24+G34+G44+G54+G64+G74+G84+G94+G104</f>
        <v>25238.3333457979</v>
      </c>
    </row>
    <row r="111" customFormat="false" ht="15" hidden="false" customHeight="false" outlineLevel="0" collapsed="false">
      <c r="A111" s="6"/>
      <c r="B111" s="15" t="s">
        <v>107</v>
      </c>
      <c r="C111" s="24" t="n">
        <f aca="false">C107*Mgmt_Fee_Rate</f>
        <v>5485.5825</v>
      </c>
      <c r="D111" s="24" t="n">
        <f aca="false">D107*Mgmt_Fee_Rate</f>
        <v>6016.6739625</v>
      </c>
      <c r="E111" s="24" t="n">
        <f aca="false">E107*Mgmt_Fee_Rate</f>
        <v>6597.745212875</v>
      </c>
      <c r="F111" s="24" t="n">
        <f aca="false">F107*Mgmt_Fee_Rate</f>
        <v>7237.20375308525</v>
      </c>
      <c r="G111" s="24" t="n">
        <f aca="false">G107*Mgmt_Fee_Rate</f>
        <v>7941.33507766265</v>
      </c>
    </row>
    <row r="112" customFormat="false" ht="15" hidden="false" customHeight="false" outlineLevel="0" collapsed="false">
      <c r="A112" s="6"/>
      <c r="B112" s="15" t="s">
        <v>108</v>
      </c>
      <c r="C112" s="24" t="n">
        <f aca="false">C110-C108-C109-C111</f>
        <v>12583.1806</v>
      </c>
      <c r="D112" s="24" t="n">
        <f aca="false">D110-D108-D109-D111</f>
        <v>14137.296941</v>
      </c>
      <c r="E112" s="24" t="n">
        <f aca="false">E110-E108-E109-E111</f>
        <v>14809.338324575</v>
      </c>
      <c r="F112" s="24" t="n">
        <f aca="false">F110-F108-F109-F111</f>
        <v>15535.5881634007</v>
      </c>
      <c r="G112" s="24" t="n">
        <f aca="false">G110-G108-G109-G111</f>
        <v>16377.881061259</v>
      </c>
    </row>
    <row r="113" customFormat="false" ht="15" hidden="false" customHeight="false" outlineLevel="0" collapsed="false">
      <c r="A113" s="6"/>
      <c r="B113" s="6"/>
      <c r="C113" s="6"/>
      <c r="D113" s="6"/>
      <c r="E113" s="6"/>
      <c r="F113" s="6"/>
      <c r="G113" s="6"/>
    </row>
    <row r="114" customFormat="false" ht="15" hidden="false" customHeight="false" outlineLevel="0" collapsed="false">
      <c r="A114" s="6"/>
      <c r="B114" s="15" t="s">
        <v>109</v>
      </c>
      <c r="C114" s="24" t="n">
        <f aca="false">0</f>
        <v>0</v>
      </c>
      <c r="D114" s="24" t="n">
        <f aca="false">0</f>
        <v>0</v>
      </c>
      <c r="E114" s="24" t="n">
        <f aca="false">0</f>
        <v>0</v>
      </c>
      <c r="F114" s="24" t="n">
        <f aca="false">0</f>
        <v>0</v>
      </c>
      <c r="G114" s="24" t="n">
        <f aca="false">MAX(0,G7*(G6-AAPL_Entry_Price))*CG_Rate+MAX(0,G17*(G16-MSFT_Entry_Price))*CG_Rate+MAX(0,G27*(G26-JNJ_Entry_Price))*CG_Rate+MAX(0,G37*(G36-JPM_Entry_Price))*CG_Rate+MAX(0,G47*(G46-PG_Entry_Price))*CG_Rate+MAX(0,G57*(G56-XOM_Entry_Price))*CG_Rate+MAX(0,G67*(G66-BRK_Entry_Price))*CG_Rate+MAX(0,G77*(G76-V_Entry_Price))*CG_Rate+MAX(0,G87*(G86-HD_Entry_Price))*CG_Rate+MAX(0,G97*(G96-NEE_Entry_Price))*CG_Rate</f>
        <v>117191.403106506</v>
      </c>
    </row>
    <row r="115" customFormat="false" ht="15" hidden="false" customHeight="false" outlineLevel="0" collapsed="false">
      <c r="A115" s="6"/>
      <c r="B115" s="15" t="s">
        <v>110</v>
      </c>
      <c r="C115" s="24" t="n">
        <f aca="false">0</f>
        <v>0</v>
      </c>
      <c r="D115" s="24" t="n">
        <f aca="false">0</f>
        <v>0</v>
      </c>
      <c r="E115" s="24" t="n">
        <f aca="false">0</f>
        <v>0</v>
      </c>
      <c r="F115" s="24" t="n">
        <f aca="false">0</f>
        <v>0</v>
      </c>
      <c r="G115" s="24" t="n">
        <f aca="false">(G7*G6+G17*G16+G27*G26+G37*G36+G47*G46+G57*G56+G67*G66+G77*G76+G87*G86+G97*G96)*Trans_Cost_Bps/10000</f>
        <v>1588.26701553253</v>
      </c>
    </row>
    <row r="116" customFormat="false" ht="15" hidden="false" customHeight="false" outlineLevel="0" collapsed="false">
      <c r="A116" s="6"/>
      <c r="B116" s="7" t="s">
        <v>111</v>
      </c>
      <c r="C116" s="26" t="n">
        <f aca="false">0</f>
        <v>0</v>
      </c>
      <c r="D116" s="26" t="n">
        <f aca="false">0</f>
        <v>0</v>
      </c>
      <c r="E116" s="26" t="n">
        <f aca="false">0</f>
        <v>0</v>
      </c>
      <c r="F116" s="26" t="n">
        <f aca="false">0</f>
        <v>0</v>
      </c>
      <c r="G116" s="26" t="n">
        <f aca="false">G107-G114-G115</f>
        <v>1469487.34541049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18"/>
    <col collapsed="false" customWidth="true" hidden="false" outlineLevel="0" max="4" min="4" style="0" width="24"/>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2" t="s">
        <v>112</v>
      </c>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row>
    <row r="5" customFormat="false" ht="15" hidden="false" customHeight="false" outlineLevel="0" collapsed="false">
      <c r="A5" s="6"/>
      <c r="B5" s="19" t="s">
        <v>113</v>
      </c>
      <c r="C5" s="6"/>
      <c r="D5" s="6"/>
      <c r="E5" s="6"/>
      <c r="F5" s="6"/>
      <c r="G5" s="6"/>
      <c r="H5" s="6"/>
    </row>
    <row r="6" customFormat="false" ht="15" hidden="false" customHeight="false" outlineLevel="0" collapsed="false">
      <c r="A6" s="6"/>
      <c r="B6" s="6"/>
      <c r="C6" s="6"/>
      <c r="D6" s="6"/>
      <c r="E6" s="6"/>
      <c r="F6" s="6"/>
      <c r="G6" s="6"/>
      <c r="H6" s="6"/>
    </row>
    <row r="7" customFormat="false" ht="15" hidden="false" customHeight="false" outlineLevel="0" collapsed="false">
      <c r="A7" s="6"/>
      <c r="B7" s="15" t="s">
        <v>21</v>
      </c>
      <c r="C7" s="24" t="n">
        <f aca="false">-Initial_Capital</f>
        <v>-1000000</v>
      </c>
      <c r="D7" s="15" t="s">
        <v>114</v>
      </c>
      <c r="E7" s="6"/>
      <c r="F7" s="6"/>
      <c r="G7" s="6"/>
      <c r="H7" s="6"/>
    </row>
    <row r="8" customFormat="false" ht="15" hidden="false" customHeight="false" outlineLevel="0" collapsed="false">
      <c r="A8" s="6"/>
      <c r="B8" s="15" t="s">
        <v>115</v>
      </c>
      <c r="C8" s="24" t="n">
        <f aca="false">PP_Terminal_MV</f>
        <v>1469487.34541049</v>
      </c>
      <c r="D8" s="15" t="s">
        <v>116</v>
      </c>
      <c r="E8" s="6"/>
      <c r="F8" s="6"/>
      <c r="G8" s="6"/>
      <c r="H8" s="6"/>
    </row>
    <row r="9" customFormat="false" ht="15" hidden="false" customHeight="false" outlineLevel="0" collapsed="false">
      <c r="A9" s="6"/>
      <c r="B9" s="15" t="s">
        <v>106</v>
      </c>
      <c r="C9" s="24" t="n">
        <f aca="false">PP_Net_Div_Y1+PP_Net_Div_Y2+PP_Net_Div_Y3+PP_Net_Div_Y4+PP_Net_Div_Y5</f>
        <v>110435.998609141</v>
      </c>
      <c r="D9" s="15" t="s">
        <v>117</v>
      </c>
      <c r="E9" s="6"/>
      <c r="F9" s="6"/>
      <c r="G9" s="6"/>
      <c r="H9" s="6"/>
    </row>
    <row r="10" customFormat="false" ht="15" hidden="false" customHeight="false" outlineLevel="0" collapsed="false">
      <c r="A10" s="6"/>
      <c r="B10" s="15" t="s">
        <v>118</v>
      </c>
      <c r="C10" s="24" t="n">
        <f aca="false">PP_Mgmt_Fee_Y1+PP_Mgmt_Fee_Y2+PP_Mgmt_Fee_Y3+PP_Mgmt_Fee_Y4+PP_Mgmt_Fee_Y5</f>
        <v>33278.5405061229</v>
      </c>
      <c r="D10" s="15" t="s">
        <v>117</v>
      </c>
      <c r="E10" s="6"/>
      <c r="F10" s="6"/>
      <c r="G10" s="6"/>
      <c r="H10" s="6"/>
    </row>
    <row r="11" customFormat="false" ht="15" hidden="false" customHeight="false" outlineLevel="0" collapsed="false">
      <c r="A11" s="6"/>
      <c r="B11" s="15" t="s">
        <v>104</v>
      </c>
      <c r="C11" s="24" t="n">
        <f aca="false">PP_CG_Tax_Y1+PP_CG_Tax_Y2+PP_CG_Tax_Y3+PP_CG_Tax_Y4+PP_CG_Tax_Y5+PP_Terminal_CGT</f>
        <v>119732.872369135</v>
      </c>
      <c r="D11" s="15" t="s">
        <v>119</v>
      </c>
      <c r="E11" s="6"/>
      <c r="F11" s="6"/>
      <c r="G11" s="6"/>
      <c r="H11" s="6"/>
    </row>
    <row r="12" customFormat="false" ht="15" hidden="false" customHeight="false" outlineLevel="0" collapsed="false">
      <c r="A12" s="6"/>
      <c r="B12" s="15" t="s">
        <v>105</v>
      </c>
      <c r="C12" s="24" t="n">
        <f aca="false">PP_Trans_Cost_Y1+PP_Trans_Cost_Y2+PP_Trans_Cost_Y3+PP_Trans_Cost_Y4+PP_Trans_Cost_Y5+PP_Terminal_TC</f>
        <v>2760.97076568695</v>
      </c>
      <c r="D12" s="15" t="s">
        <v>120</v>
      </c>
      <c r="E12" s="6"/>
      <c r="F12" s="6"/>
      <c r="G12" s="6"/>
      <c r="H12" s="6"/>
    </row>
    <row r="13" customFormat="false" ht="15" hidden="false" customHeight="false" outlineLevel="0" collapsed="false">
      <c r="A13" s="6"/>
      <c r="B13" s="19" t="s">
        <v>121</v>
      </c>
      <c r="C13" s="6"/>
      <c r="D13" s="6"/>
      <c r="E13" s="6"/>
      <c r="F13" s="6"/>
      <c r="G13" s="6"/>
      <c r="H13" s="6"/>
    </row>
    <row r="14" customFormat="false" ht="15" hidden="false" customHeight="false" outlineLevel="0" collapsed="false">
      <c r="A14" s="6"/>
      <c r="B14" s="15" t="s">
        <v>122</v>
      </c>
      <c r="C14" s="21" t="n">
        <f aca="false">IFERROR(IRR(C22:H22),"N/A")</f>
        <v>0.0925752849184905</v>
      </c>
      <c r="D14" s="6"/>
      <c r="E14" s="6"/>
      <c r="F14" s="6"/>
      <c r="G14" s="6"/>
      <c r="H14" s="6"/>
    </row>
    <row r="15" customFormat="false" ht="15" hidden="false" customHeight="false" outlineLevel="0" collapsed="false">
      <c r="A15" s="6"/>
      <c r="B15" s="15" t="s">
        <v>123</v>
      </c>
      <c r="C15" s="21" t="n">
        <f aca="false">(RS_Terminal_MV/Initial_Capital)^(1/5)-1</f>
        <v>0.0800234124215662</v>
      </c>
      <c r="D15" s="6"/>
      <c r="E15" s="6"/>
      <c r="F15" s="6"/>
      <c r="G15" s="6"/>
      <c r="H15" s="6"/>
    </row>
    <row r="16" customFormat="false" ht="15" hidden="false" customHeight="false" outlineLevel="0" collapsed="false">
      <c r="A16" s="6"/>
      <c r="B16" s="15" t="s">
        <v>124</v>
      </c>
      <c r="C16" s="21" t="n">
        <f aca="false">(RS_Benchmark_MV/Initial_Capital)^(1/5)-1</f>
        <v>0.1</v>
      </c>
      <c r="D16" s="6"/>
      <c r="E16" s="6"/>
      <c r="F16" s="6"/>
      <c r="G16" s="6"/>
      <c r="H16" s="6"/>
    </row>
    <row r="17" customFormat="false" ht="15" hidden="false" customHeight="false" outlineLevel="0" collapsed="false">
      <c r="A17" s="6"/>
      <c r="B17" s="15" t="s">
        <v>125</v>
      </c>
      <c r="C17" s="21" t="n">
        <f aca="false">RS_Ann_Return-RS_Benchmark_Return</f>
        <v>-0.0199765875784339</v>
      </c>
      <c r="D17" s="6"/>
      <c r="E17" s="6"/>
      <c r="F17" s="6"/>
      <c r="G17" s="6"/>
      <c r="H17" s="6"/>
    </row>
    <row r="18" customFormat="false" ht="15" hidden="false" customHeight="false" outlineLevel="0" collapsed="false">
      <c r="A18" s="6"/>
      <c r="B18" s="15" t="s">
        <v>126</v>
      </c>
      <c r="C18" s="24" t="n">
        <f aca="false">(RS_Ann_Return-Risk_Free_Rate)/Portfolio_Volatility</f>
        <v>0.246822749477108</v>
      </c>
      <c r="D18" s="15" t="s">
        <v>127</v>
      </c>
      <c r="E18" s="6"/>
      <c r="F18" s="6"/>
      <c r="G18" s="6"/>
      <c r="H18" s="6"/>
    </row>
    <row r="19" customFormat="false" ht="15" hidden="false" customHeight="false" outlineLevel="0" collapsed="false">
      <c r="A19" s="6"/>
      <c r="B19" s="15" t="s">
        <v>128</v>
      </c>
      <c r="C19" s="24" t="n">
        <f aca="false">Initial_Capital*(1+Benchmark_Return)^5</f>
        <v>1610510</v>
      </c>
      <c r="D19" s="6"/>
      <c r="E19" s="6"/>
      <c r="F19" s="6"/>
      <c r="G19" s="6"/>
      <c r="H19" s="6"/>
    </row>
    <row r="20" customFormat="false" ht="15" hidden="false" customHeight="false" outlineLevel="0" collapsed="false">
      <c r="A20" s="6"/>
      <c r="B20" s="6"/>
      <c r="C20" s="6"/>
      <c r="D20" s="6"/>
      <c r="E20" s="6"/>
      <c r="F20" s="6"/>
      <c r="G20" s="6"/>
      <c r="H20" s="6"/>
    </row>
    <row r="21" customFormat="false" ht="15" hidden="false" customHeight="false" outlineLevel="0" collapsed="false">
      <c r="A21" s="6"/>
      <c r="B21" s="6"/>
      <c r="C21" s="6"/>
      <c r="D21" s="6"/>
      <c r="E21" s="6"/>
      <c r="F21" s="6"/>
      <c r="G21" s="6"/>
      <c r="H21" s="6"/>
    </row>
    <row r="22" customFormat="false" ht="15" hidden="true" customHeight="false" outlineLevel="0" collapsed="false">
      <c r="A22" s="6"/>
      <c r="B22" s="6"/>
      <c r="C22" s="24" t="n">
        <f aca="false">-Initial_Capital</f>
        <v>-1000000</v>
      </c>
      <c r="D22" s="24" t="n">
        <f aca="false">PP_Net_CF_Y1</f>
        <v>12583.1806</v>
      </c>
      <c r="E22" s="24" t="n">
        <f aca="false">PP_Net_CF_Y2</f>
        <v>14137.296941</v>
      </c>
      <c r="F22" s="24" t="n">
        <f aca="false">PP_Net_CF_Y3</f>
        <v>14809.338324575</v>
      </c>
      <c r="G22" s="24" t="n">
        <f aca="false">PP_Net_CF_Y4</f>
        <v>15535.5881634007</v>
      </c>
      <c r="H22" s="24" t="n">
        <f aca="false">PP_Net_CF_Y5+PP_Terminal_MV</f>
        <v>1485865.22647175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55A11"/>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8" min="3" style="0" width="14"/>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2" t="s">
        <v>129</v>
      </c>
      <c r="C3" s="14" t="s">
        <v>74</v>
      </c>
      <c r="D3" s="14" t="s">
        <v>75</v>
      </c>
      <c r="E3" s="14" t="s">
        <v>76</v>
      </c>
      <c r="F3" s="14" t="s">
        <v>77</v>
      </c>
      <c r="G3" s="14" t="s">
        <v>78</v>
      </c>
      <c r="H3" s="14" t="s">
        <v>130</v>
      </c>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row>
    <row r="5" customFormat="false" ht="15" hidden="false" customHeight="false" outlineLevel="0" collapsed="false">
      <c r="A5" s="6"/>
      <c r="B5" s="19" t="s">
        <v>131</v>
      </c>
      <c r="C5" s="6"/>
      <c r="D5" s="6"/>
      <c r="E5" s="6"/>
      <c r="F5" s="6"/>
      <c r="G5" s="6"/>
      <c r="H5" s="6"/>
    </row>
    <row r="6" customFormat="false" ht="15" hidden="false" customHeight="false" outlineLevel="0" collapsed="false">
      <c r="A6" s="6"/>
      <c r="B6" s="6"/>
      <c r="C6" s="6"/>
      <c r="D6" s="6"/>
      <c r="E6" s="6"/>
      <c r="F6" s="6"/>
      <c r="G6" s="6"/>
      <c r="H6" s="6"/>
    </row>
    <row r="7" customFormat="false" ht="15" hidden="false" customHeight="false" outlineLevel="0" collapsed="false">
      <c r="A7" s="6"/>
      <c r="B7" s="15" t="s">
        <v>103</v>
      </c>
      <c r="C7" s="24" t="n">
        <f aca="false">PP_Total_MV_Y1</f>
        <v>1097116.5</v>
      </c>
      <c r="D7" s="24" t="n">
        <f aca="false">PP_Total_MV_Y2</f>
        <v>1203334.7925</v>
      </c>
      <c r="E7" s="24" t="n">
        <f aca="false">PP_Total_MV_Y3</f>
        <v>1319549.042575</v>
      </c>
      <c r="F7" s="24" t="n">
        <f aca="false">PP_Total_MV_Y4</f>
        <v>1447440.75061705</v>
      </c>
      <c r="G7" s="24" t="n">
        <f aca="false">PP_Total_MV_Y5</f>
        <v>1588267.01553253</v>
      </c>
      <c r="H7" s="24" t="n">
        <f aca="false">G7</f>
        <v>1588267.01553253</v>
      </c>
    </row>
    <row r="8" customFormat="false" ht="15" hidden="false" customHeight="false" outlineLevel="0" collapsed="false">
      <c r="A8" s="6"/>
      <c r="B8" s="6"/>
      <c r="C8" s="6"/>
      <c r="D8" s="6"/>
      <c r="E8" s="6"/>
      <c r="F8" s="6"/>
      <c r="G8" s="6"/>
      <c r="H8" s="6"/>
    </row>
    <row r="9" customFormat="false" ht="15" hidden="false" customHeight="false" outlineLevel="0" collapsed="false">
      <c r="A9" s="6"/>
      <c r="B9" s="15" t="s">
        <v>132</v>
      </c>
      <c r="C9" s="24" t="n">
        <f aca="false">PP_Mgmt_Fee_Y1</f>
        <v>5485.5825</v>
      </c>
      <c r="D9" s="24" t="n">
        <f aca="false">PP_Mgmt_Fee_Y2</f>
        <v>6016.6739625</v>
      </c>
      <c r="E9" s="24" t="n">
        <f aca="false">PP_Mgmt_Fee_Y3</f>
        <v>6597.745212875</v>
      </c>
      <c r="F9" s="24" t="n">
        <f aca="false">PP_Mgmt_Fee_Y4</f>
        <v>7237.20375308525</v>
      </c>
      <c r="G9" s="24" t="n">
        <f aca="false">PP_Mgmt_Fee_Y5</f>
        <v>7941.33507766265</v>
      </c>
      <c r="H9" s="24" t="n">
        <f aca="false">SUM(C9:G9)</f>
        <v>33278.5405061229</v>
      </c>
    </row>
    <row r="10" customFormat="false" ht="15" hidden="false" customHeight="false" outlineLevel="0" collapsed="false">
      <c r="A10" s="6"/>
      <c r="B10" s="15" t="s">
        <v>133</v>
      </c>
      <c r="C10" s="21" t="n">
        <f aca="false">C9/C7</f>
        <v>0.005</v>
      </c>
      <c r="D10" s="21" t="n">
        <f aca="false">D9/D7</f>
        <v>0.005</v>
      </c>
      <c r="E10" s="21" t="n">
        <f aca="false">E9/E7</f>
        <v>0.005</v>
      </c>
      <c r="F10" s="21" t="n">
        <f aca="false">F9/F7</f>
        <v>0.005</v>
      </c>
      <c r="G10" s="21" t="n">
        <f aca="false">G9/G7</f>
        <v>0.005</v>
      </c>
      <c r="H10" s="6"/>
    </row>
    <row r="11" customFormat="false" ht="15" hidden="false" customHeight="false" outlineLevel="0" collapsed="false">
      <c r="A11" s="6"/>
      <c r="B11" s="6"/>
      <c r="C11" s="6"/>
      <c r="D11" s="6"/>
      <c r="E11" s="6"/>
      <c r="F11" s="6"/>
      <c r="G11" s="6"/>
      <c r="H11" s="6"/>
    </row>
    <row r="12" customFormat="false" ht="15" hidden="false" customHeight="false" outlineLevel="0" collapsed="false">
      <c r="A12" s="6"/>
      <c r="B12" s="15" t="s">
        <v>134</v>
      </c>
      <c r="C12" s="24" t="n">
        <f aca="false">ABS(C7-0)*C6+ABS(C17-0)*C16+ABS(C27-0)*C26+ABS(C37-0)*C36+ABS(C47-0)*C46+ABS(C57-0)*C56+ABS(C67-0)*C66+ABS(C77-0)*C76+ABS(C87-0)*C86+ABS(C97-0)*C96</f>
        <v>39.496194</v>
      </c>
      <c r="D12" s="24" t="n">
        <f aca="false">ABS(D7-C7)*D6+ABS(D17-C17)*D16+ABS(D27-C27)*D26+ABS(D37-C37)*D36+ABS(D47-C47)*D46+ABS(D57-C57)*D56+ABS(D67-C67)*D66+ABS(D77-C77)*D76+ABS(D87-C87)*D86+ABS(D97-C97)*D96</f>
        <v>5.94963973123712</v>
      </c>
      <c r="E12" s="24" t="n">
        <f aca="false">ABS(E7-D7)*E6+ABS(E17-D17)*E16+ABS(E27-D27)*E26+ABS(E37-D37)*E36+ABS(E47-D47)*E46+ABS(E57-D57)*E56+ABS(E67-D67)*E66+ABS(E77-D77)*E76+ABS(E87-D87)*E86+ABS(E97-D97)*E96</f>
        <v>0.00169526866709112</v>
      </c>
      <c r="F12" s="24" t="n">
        <f aca="false">ABS(F7-E7)*F6+ABS(F17-E17)*F16+ABS(F27-E27)*F26+ABS(F37-E37)*F36+ABS(F47-E47)*F46+ABS(F57-E57)*F56+ABS(F67-E67)*F66+ABS(F77-E77)*F76+ABS(F87-E87)*F86+ABS(F97-E97)*F96</f>
        <v>0.0026265868480159</v>
      </c>
      <c r="G12" s="24" t="n">
        <f aca="false">ABS(G7-F7)*G6+ABS(G17-F17)*G16+ABS(G27-F27)*G26+ABS(G37-F37)*G36+ABS(G47-F47)*G46+ABS(G57-F57)*G56+ABS(G67-F67)*G66+ABS(G77-F77)*G76+ABS(G87-F87)*G86+ABS(G97-F97)*G96</f>
        <v>0.00772460455154817</v>
      </c>
      <c r="H12" s="24" t="n">
        <f aca="false">SUM(C12:G12)</f>
        <v>45.4578801913038</v>
      </c>
    </row>
    <row r="13" customFormat="false" ht="15" hidden="false" customHeight="false" outlineLevel="0" collapsed="false">
      <c r="A13" s="6"/>
      <c r="B13" s="15" t="s">
        <v>135</v>
      </c>
      <c r="C13" s="24" t="n">
        <f aca="false">PP_Trans_Cost_Y1</f>
        <v>1097.1165</v>
      </c>
      <c r="D13" s="24" t="n">
        <f aca="false">PP_Trans_Cost_Y2</f>
        <v>16.7006125</v>
      </c>
      <c r="E13" s="24" t="n">
        <f aca="false">PP_Trans_Cost_Y3</f>
        <v>17.97537208</v>
      </c>
      <c r="F13" s="24" t="n">
        <f aca="false">PP_Trans_Cost_Y4</f>
        <v>20.2414111972</v>
      </c>
      <c r="G13" s="24" t="n">
        <f aca="false">PP_Trans_Cost_Y5</f>
        <v>20.66985437722</v>
      </c>
      <c r="H13" s="24" t="n">
        <f aca="false">SUM(C13:G13)</f>
        <v>1172.70375015442</v>
      </c>
    </row>
    <row r="14" customFormat="false" ht="15" hidden="false" customHeight="false" outlineLevel="0" collapsed="false">
      <c r="A14" s="6"/>
      <c r="B14" s="15" t="s">
        <v>136</v>
      </c>
      <c r="C14" s="27" t="n">
        <f aca="false">Trans_Cost_Bps</f>
        <v>10</v>
      </c>
      <c r="D14" s="27" t="n">
        <f aca="false">Trans_Cost_Bps</f>
        <v>10</v>
      </c>
      <c r="E14" s="27" t="n">
        <f aca="false">Trans_Cost_Bps</f>
        <v>10</v>
      </c>
      <c r="F14" s="27" t="n">
        <f aca="false">Trans_Cost_Bps</f>
        <v>10</v>
      </c>
      <c r="G14" s="27" t="n">
        <f aca="false">Trans_Cost_Bps</f>
        <v>10</v>
      </c>
      <c r="H14" s="6"/>
    </row>
    <row r="15" customFormat="false" ht="15" hidden="false" customHeight="false" outlineLevel="0" collapsed="false">
      <c r="A15" s="6"/>
      <c r="B15" s="6"/>
      <c r="C15" s="6"/>
      <c r="D15" s="6"/>
      <c r="E15" s="6"/>
      <c r="F15" s="6"/>
      <c r="G15" s="6"/>
      <c r="H15" s="6"/>
    </row>
    <row r="16" customFormat="false" ht="15" hidden="false" customHeight="false" outlineLevel="0" collapsed="false">
      <c r="A16" s="6"/>
      <c r="B16" s="7" t="s">
        <v>137</v>
      </c>
      <c r="C16" s="26" t="n">
        <f aca="false">C9+C13</f>
        <v>6582.699</v>
      </c>
      <c r="D16" s="26" t="n">
        <f aca="false">D9+D13</f>
        <v>6033.374575</v>
      </c>
      <c r="E16" s="26" t="n">
        <f aca="false">E9+E13</f>
        <v>6615.720584955</v>
      </c>
      <c r="F16" s="26" t="n">
        <f aca="false">F9+F13</f>
        <v>7257.44516428245</v>
      </c>
      <c r="G16" s="26" t="n">
        <f aca="false">G9+G13</f>
        <v>7962.00493203987</v>
      </c>
      <c r="H16" s="26" t="n">
        <f aca="false">SUM(C16:G16)</f>
        <v>34451.2442562773</v>
      </c>
    </row>
    <row r="17" customFormat="false" ht="15" hidden="false" customHeight="false" outlineLevel="0" collapsed="false">
      <c r="A17" s="6"/>
      <c r="B17" s="15" t="s">
        <v>138</v>
      </c>
      <c r="C17" s="21" t="n">
        <f aca="false">C16/C7</f>
        <v>0.006</v>
      </c>
      <c r="D17" s="21" t="n">
        <f aca="false">D16/D7</f>
        <v>0.00501387860851701</v>
      </c>
      <c r="E17" s="21" t="n">
        <f aca="false">E16/E7</f>
        <v>0.00501362235998817</v>
      </c>
      <c r="F17" s="21" t="n">
        <f aca="false">F16/F7</f>
        <v>0.00501398427617059</v>
      </c>
      <c r="G17" s="21" t="n">
        <f aca="false">G16/G7</f>
        <v>0.0050130140928289</v>
      </c>
      <c r="H17" s="6"/>
    </row>
    <row r="18" customFormat="false" ht="15" hidden="false" customHeight="false" outlineLevel="0" collapsed="false">
      <c r="A18" s="6"/>
      <c r="B18" s="6"/>
      <c r="C18" s="6"/>
      <c r="D18" s="6"/>
      <c r="E18" s="6"/>
      <c r="F18" s="6"/>
      <c r="G18" s="6"/>
      <c r="H18" s="6"/>
    </row>
    <row r="19" customFormat="false" ht="15" hidden="false" customHeight="false" outlineLevel="0" collapsed="false">
      <c r="A19" s="6"/>
      <c r="B19" s="15" t="s">
        <v>91</v>
      </c>
      <c r="C19" s="24" t="n">
        <f aca="false">PP_CG_Tax_Y1</f>
        <v>0</v>
      </c>
      <c r="D19" s="24" t="n">
        <f aca="false">PP_CG_Tax_Y2</f>
        <v>347.7102</v>
      </c>
      <c r="E19" s="24" t="n">
        <f aca="false">PP_CG_Tax_Y3</f>
        <v>544.639081</v>
      </c>
      <c r="F19" s="24" t="n">
        <f aca="false">PP_CG_Tax_Y4</f>
        <v>750.67262913</v>
      </c>
      <c r="G19" s="24" t="n">
        <f aca="false">PP_CG_Tax_Y5</f>
        <v>898.4473524991</v>
      </c>
      <c r="H19" s="24" t="n">
        <f aca="false">SUM(C19:G19)</f>
        <v>2541.4692626291</v>
      </c>
    </row>
    <row r="20" customFormat="false" ht="15" hidden="false" customHeight="false" outlineLevel="0" collapsed="false">
      <c r="A20" s="6"/>
      <c r="B20" s="7" t="s">
        <v>139</v>
      </c>
      <c r="C20" s="26" t="n">
        <f aca="false">C16+C19</f>
        <v>6582.699</v>
      </c>
      <c r="D20" s="26" t="n">
        <f aca="false">D16+D19</f>
        <v>6381.084775</v>
      </c>
      <c r="E20" s="26" t="n">
        <f aca="false">E16+E19</f>
        <v>7160.359665955</v>
      </c>
      <c r="F20" s="26" t="n">
        <f aca="false">F16+F19</f>
        <v>8008.11779341245</v>
      </c>
      <c r="G20" s="26" t="n">
        <f aca="false">G16+G19</f>
        <v>8860.45228453897</v>
      </c>
      <c r="H20" s="26" t="n">
        <f aca="false">SUM(C20:G20)</f>
        <v>36992.7135189064</v>
      </c>
    </row>
    <row r="21" customFormat="false" ht="15" hidden="false" customHeight="false" outlineLevel="0" collapsed="false">
      <c r="A21" s="6"/>
      <c r="B21" s="15" t="s">
        <v>140</v>
      </c>
      <c r="C21" s="21" t="n">
        <f aca="false">C20/C7</f>
        <v>0.006</v>
      </c>
      <c r="D21" s="21" t="n">
        <f aca="false">D20/D7</f>
        <v>0.0053028341030038</v>
      </c>
      <c r="E21" s="21" t="n">
        <f aca="false">E20/E7</f>
        <v>0.00542636873274683</v>
      </c>
      <c r="F21" s="21" t="n">
        <f aca="false">F20/F7</f>
        <v>0.0055326049028249</v>
      </c>
      <c r="G21" s="21" t="n">
        <f aca="false">G20/G7</f>
        <v>0.00557869186848796</v>
      </c>
      <c r="H21"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38135"/>
    <pageSetUpPr fitToPage="false"/>
  </sheetPr>
  <dimension ref="A1:AD7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8" min="3" style="0" width="14"/>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2" t="s">
        <v>141</v>
      </c>
      <c r="C3" s="14" t="s">
        <v>74</v>
      </c>
      <c r="D3" s="14" t="s">
        <v>75</v>
      </c>
      <c r="E3" s="14" t="s">
        <v>76</v>
      </c>
      <c r="F3" s="14" t="s">
        <v>77</v>
      </c>
      <c r="G3" s="14" t="s">
        <v>78</v>
      </c>
      <c r="H3" s="14" t="s">
        <v>130</v>
      </c>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row>
    <row r="5" customFormat="false" ht="15" hidden="false" customHeight="false" outlineLevel="0" collapsed="false">
      <c r="A5" s="6"/>
      <c r="B5" s="19" t="s">
        <v>84</v>
      </c>
      <c r="C5" s="23"/>
      <c r="D5" s="23"/>
      <c r="E5" s="23"/>
      <c r="F5" s="23"/>
      <c r="G5" s="23"/>
      <c r="H5" s="23"/>
    </row>
    <row r="6" customFormat="false" ht="15" hidden="false" customHeight="false" outlineLevel="0" collapsed="false">
      <c r="A6" s="6"/>
      <c r="B6" s="15" t="s">
        <v>142</v>
      </c>
      <c r="C6" s="24" t="n">
        <f aca="false">AAPL_DPS_Y0*(1+AAPL_DPS_Growth)^1</f>
        <v>1.008</v>
      </c>
      <c r="D6" s="24" t="n">
        <f aca="false">AAPL_DPS_Y0*(1+AAPL_DPS_Growth)^2</f>
        <v>1.0584</v>
      </c>
      <c r="E6" s="24" t="n">
        <f aca="false">AAPL_DPS_Y0*(1+AAPL_DPS_Growth)^3</f>
        <v>1.11132</v>
      </c>
      <c r="F6" s="24" t="n">
        <f aca="false">AAPL_DPS_Y0*(1+AAPL_DPS_Growth)^4</f>
        <v>1.166886</v>
      </c>
      <c r="G6" s="24" t="n">
        <f aca="false">AAPL_DPS_Y0*(1+AAPL_DPS_Growth)^5</f>
        <v>1.2252303</v>
      </c>
      <c r="H6" s="6"/>
    </row>
    <row r="7" customFormat="false" ht="15" hidden="false" customHeight="false" outlineLevel="0" collapsed="false">
      <c r="A7" s="6"/>
      <c r="B7" s="15" t="s">
        <v>143</v>
      </c>
      <c r="C7" s="24" t="n">
        <f aca="false">PP_AAPL_Shares_Y1</f>
        <v>686</v>
      </c>
      <c r="D7" s="24" t="n">
        <f aca="false">PP_AAPL_Shares_Y2</f>
        <v>672</v>
      </c>
      <c r="E7" s="24" t="n">
        <f aca="false">PP_AAPL_Shares_Y3</f>
        <v>658</v>
      </c>
      <c r="F7" s="24" t="n">
        <f aca="false">PP_AAPL_Shares_Y4</f>
        <v>644</v>
      </c>
      <c r="G7" s="24" t="n">
        <f aca="false">PP_AAPL_Shares_Y5</f>
        <v>631</v>
      </c>
      <c r="H7" s="6"/>
    </row>
    <row r="8" customFormat="false" ht="15" hidden="false" customHeight="false" outlineLevel="0" collapsed="false">
      <c r="A8" s="6"/>
      <c r="B8" s="15" t="s">
        <v>144</v>
      </c>
      <c r="C8" s="24" t="n">
        <f aca="false">C6*C7</f>
        <v>691.488</v>
      </c>
      <c r="D8" s="24" t="n">
        <f aca="false">D6*D7</f>
        <v>711.2448</v>
      </c>
      <c r="E8" s="24" t="n">
        <f aca="false">E6*E7</f>
        <v>731.24856</v>
      </c>
      <c r="F8" s="24" t="n">
        <f aca="false">F6*F7</f>
        <v>751.474584</v>
      </c>
      <c r="G8" s="24" t="n">
        <f aca="false">G6*G7</f>
        <v>773.1203193</v>
      </c>
      <c r="H8" s="24" t="n">
        <f aca="false">SUM(C8:G8)</f>
        <v>3658.5762633</v>
      </c>
    </row>
    <row r="9" customFormat="false" ht="15" hidden="false" customHeight="false" outlineLevel="0" collapsed="false">
      <c r="A9" s="6"/>
      <c r="B9" s="15" t="s">
        <v>145</v>
      </c>
      <c r="C9" s="24" t="n">
        <f aca="false">-C8*WHT_Rate</f>
        <v>-0</v>
      </c>
      <c r="D9" s="24" t="n">
        <f aca="false">-D8*WHT_Rate</f>
        <v>-0</v>
      </c>
      <c r="E9" s="24" t="n">
        <f aca="false">-E8*WHT_Rate</f>
        <v>-0</v>
      </c>
      <c r="F9" s="24" t="n">
        <f aca="false">-F8*WHT_Rate</f>
        <v>-0</v>
      </c>
      <c r="G9" s="24" t="n">
        <f aca="false">-G8*WHT_Rate</f>
        <v>-0</v>
      </c>
      <c r="H9" s="24" t="n">
        <f aca="false">SUM(C9:G9)</f>
        <v>0</v>
      </c>
    </row>
    <row r="10" customFormat="false" ht="15" hidden="false" customHeight="false" outlineLevel="0" collapsed="false">
      <c r="A10" s="6"/>
      <c r="B10" s="15" t="s">
        <v>92</v>
      </c>
      <c r="C10" s="24" t="n">
        <f aca="false">C8+C9</f>
        <v>691.488</v>
      </c>
      <c r="D10" s="24" t="n">
        <f aca="false">D8+D9</f>
        <v>711.2448</v>
      </c>
      <c r="E10" s="24" t="n">
        <f aca="false">E8+E9</f>
        <v>731.24856</v>
      </c>
      <c r="F10" s="24" t="n">
        <f aca="false">F8+F9</f>
        <v>751.474584</v>
      </c>
      <c r="G10" s="24" t="n">
        <f aca="false">G8+G9</f>
        <v>773.1203193</v>
      </c>
      <c r="H10" s="24" t="n">
        <f aca="false">SUM(C10:G10)</f>
        <v>3658.5762633</v>
      </c>
    </row>
    <row r="11" customFormat="false" ht="15" hidden="false" customHeight="false" outlineLevel="0" collapsed="false">
      <c r="A11" s="6"/>
      <c r="B11" s="19" t="s">
        <v>93</v>
      </c>
      <c r="C11" s="23"/>
      <c r="D11" s="23"/>
      <c r="E11" s="23"/>
      <c r="F11" s="23"/>
      <c r="G11" s="23"/>
      <c r="H11" s="23"/>
    </row>
    <row r="12" customFormat="false" ht="15" hidden="false" customHeight="false" outlineLevel="0" collapsed="false">
      <c r="A12" s="6"/>
      <c r="B12" s="15" t="s">
        <v>142</v>
      </c>
      <c r="C12" s="24" t="n">
        <f aca="false">MSFT_DPS_Y0*(1+MSFT_DPS_Growth)^1</f>
        <v>3.1752</v>
      </c>
      <c r="D12" s="24" t="n">
        <f aca="false">MSFT_DPS_Y0*(1+MSFT_DPS_Growth)^2</f>
        <v>3.429216</v>
      </c>
      <c r="E12" s="24" t="n">
        <f aca="false">MSFT_DPS_Y0*(1+MSFT_DPS_Growth)^3</f>
        <v>3.70355328</v>
      </c>
      <c r="F12" s="24" t="n">
        <f aca="false">MSFT_DPS_Y0*(1+MSFT_DPS_Growth)^4</f>
        <v>3.9998375424</v>
      </c>
      <c r="G12" s="24" t="n">
        <f aca="false">MSFT_DPS_Y0*(1+MSFT_DPS_Growth)^5</f>
        <v>4.319824545792</v>
      </c>
      <c r="H12" s="6"/>
    </row>
    <row r="13" customFormat="false" ht="15" hidden="false" customHeight="false" outlineLevel="0" collapsed="false">
      <c r="A13" s="6"/>
      <c r="B13" s="15" t="s">
        <v>143</v>
      </c>
      <c r="C13" s="24" t="n">
        <f aca="false">PP_MSFT_Shares_Y1</f>
        <v>289</v>
      </c>
      <c r="D13" s="24" t="n">
        <f aca="false">PP_MSFT_Shares_Y2</f>
        <v>286</v>
      </c>
      <c r="E13" s="24" t="n">
        <f aca="false">PP_MSFT_Shares_Y3</f>
        <v>282</v>
      </c>
      <c r="F13" s="24" t="n">
        <f aca="false">PP_MSFT_Shares_Y4</f>
        <v>279</v>
      </c>
      <c r="G13" s="24" t="n">
        <f aca="false">PP_MSFT_Shares_Y5</f>
        <v>276</v>
      </c>
      <c r="H13" s="6"/>
    </row>
    <row r="14" customFormat="false" ht="15" hidden="false" customHeight="false" outlineLevel="0" collapsed="false">
      <c r="A14" s="6"/>
      <c r="B14" s="15" t="s">
        <v>144</v>
      </c>
      <c r="C14" s="24" t="n">
        <f aca="false">C12*C13</f>
        <v>917.6328</v>
      </c>
      <c r="D14" s="24" t="n">
        <f aca="false">D12*D13</f>
        <v>980.755776</v>
      </c>
      <c r="E14" s="24" t="n">
        <f aca="false">E12*E13</f>
        <v>1044.40202496</v>
      </c>
      <c r="F14" s="24" t="n">
        <f aca="false">F12*F13</f>
        <v>1115.9546743296</v>
      </c>
      <c r="G14" s="24" t="n">
        <f aca="false">G12*G13</f>
        <v>1192.27157463859</v>
      </c>
      <c r="H14" s="24" t="n">
        <f aca="false">SUM(C14:G14)</f>
        <v>5251.01684992819</v>
      </c>
    </row>
    <row r="15" customFormat="false" ht="15" hidden="false" customHeight="false" outlineLevel="0" collapsed="false">
      <c r="A15" s="6"/>
      <c r="B15" s="15" t="s">
        <v>145</v>
      </c>
      <c r="C15" s="24" t="n">
        <f aca="false">-C14*WHT_Rate</f>
        <v>-0</v>
      </c>
      <c r="D15" s="24" t="n">
        <f aca="false">-D14*WHT_Rate</f>
        <v>-0</v>
      </c>
      <c r="E15" s="24" t="n">
        <f aca="false">-E14*WHT_Rate</f>
        <v>-0</v>
      </c>
      <c r="F15" s="24" t="n">
        <f aca="false">-F14*WHT_Rate</f>
        <v>-0</v>
      </c>
      <c r="G15" s="24" t="n">
        <f aca="false">-G14*WHT_Rate</f>
        <v>-0</v>
      </c>
      <c r="H15" s="24" t="n">
        <f aca="false">SUM(C15:G15)</f>
        <v>0</v>
      </c>
    </row>
    <row r="16" customFormat="false" ht="15" hidden="false" customHeight="false" outlineLevel="0" collapsed="false">
      <c r="A16" s="6"/>
      <c r="B16" s="15" t="s">
        <v>92</v>
      </c>
      <c r="C16" s="24" t="n">
        <f aca="false">C14+C15</f>
        <v>917.6328</v>
      </c>
      <c r="D16" s="24" t="n">
        <f aca="false">D14+D15</f>
        <v>980.755776</v>
      </c>
      <c r="E16" s="24" t="n">
        <f aca="false">E14+E15</f>
        <v>1044.40202496</v>
      </c>
      <c r="F16" s="24" t="n">
        <f aca="false">F14+F15</f>
        <v>1115.9546743296</v>
      </c>
      <c r="G16" s="24" t="n">
        <f aca="false">G14+G15</f>
        <v>1192.27157463859</v>
      </c>
      <c r="H16" s="24" t="n">
        <f aca="false">SUM(C16:G16)</f>
        <v>5251.01684992819</v>
      </c>
    </row>
    <row r="17" customFormat="false" ht="15" hidden="false" customHeight="false" outlineLevel="0" collapsed="false">
      <c r="A17" s="6"/>
      <c r="B17" s="19" t="s">
        <v>94</v>
      </c>
      <c r="C17" s="23"/>
      <c r="D17" s="23"/>
      <c r="E17" s="23"/>
      <c r="F17" s="23"/>
      <c r="G17" s="23"/>
      <c r="H17" s="23"/>
    </row>
    <row r="18" customFormat="false" ht="15" hidden="false" customHeight="false" outlineLevel="0" collapsed="false">
      <c r="A18" s="6"/>
      <c r="B18" s="15" t="s">
        <v>142</v>
      </c>
      <c r="C18" s="24" t="n">
        <f aca="false">JNJ_DPS_Y0*(1+JNJ_DPS_Growth)^1</f>
        <v>4.998</v>
      </c>
      <c r="D18" s="24" t="n">
        <f aca="false">JNJ_DPS_Y0*(1+JNJ_DPS_Growth)^2</f>
        <v>5.2479</v>
      </c>
      <c r="E18" s="24" t="n">
        <f aca="false">JNJ_DPS_Y0*(1+JNJ_DPS_Growth)^3</f>
        <v>5.510295</v>
      </c>
      <c r="F18" s="24" t="n">
        <f aca="false">JNJ_DPS_Y0*(1+JNJ_DPS_Growth)^4</f>
        <v>5.78580975</v>
      </c>
      <c r="G18" s="24" t="n">
        <f aca="false">JNJ_DPS_Y0*(1+JNJ_DPS_Growth)^5</f>
        <v>6.0751002375</v>
      </c>
      <c r="H18" s="6"/>
    </row>
    <row r="19" customFormat="false" ht="15" hidden="false" customHeight="false" outlineLevel="0" collapsed="false">
      <c r="A19" s="6"/>
      <c r="B19" s="15" t="s">
        <v>143</v>
      </c>
      <c r="C19" s="24" t="n">
        <f aca="false">PP_JNJ_Shares_Y1</f>
        <v>645</v>
      </c>
      <c r="D19" s="24" t="n">
        <f aca="false">PP_JNJ_Shares_Y2</f>
        <v>662</v>
      </c>
      <c r="E19" s="24" t="n">
        <f aca="false">PP_JNJ_Shares_Y3</f>
        <v>678</v>
      </c>
      <c r="F19" s="24" t="n">
        <f aca="false">PP_JNJ_Shares_Y4</f>
        <v>695</v>
      </c>
      <c r="G19" s="24" t="n">
        <f aca="false">PP_JNJ_Shares_Y5</f>
        <v>712</v>
      </c>
      <c r="H19" s="6"/>
    </row>
    <row r="20" customFormat="false" ht="15" hidden="false" customHeight="false" outlineLevel="0" collapsed="false">
      <c r="A20" s="6"/>
      <c r="B20" s="15" t="s">
        <v>144</v>
      </c>
      <c r="C20" s="24" t="n">
        <f aca="false">C18*C19</f>
        <v>3223.71</v>
      </c>
      <c r="D20" s="24" t="n">
        <f aca="false">D18*D19</f>
        <v>3474.1098</v>
      </c>
      <c r="E20" s="24" t="n">
        <f aca="false">E18*E19</f>
        <v>3735.98001</v>
      </c>
      <c r="F20" s="24" t="n">
        <f aca="false">F18*F19</f>
        <v>4021.13777625</v>
      </c>
      <c r="G20" s="24" t="n">
        <f aca="false">G18*G19</f>
        <v>4325.4713691</v>
      </c>
      <c r="H20" s="24" t="n">
        <f aca="false">SUM(C20:G20)</f>
        <v>18780.40895535</v>
      </c>
    </row>
    <row r="21" customFormat="false" ht="15" hidden="false" customHeight="false" outlineLevel="0" collapsed="false">
      <c r="A21" s="6"/>
      <c r="B21" s="15" t="s">
        <v>145</v>
      </c>
      <c r="C21" s="24" t="n">
        <f aca="false">-C20*WHT_Rate</f>
        <v>-0</v>
      </c>
      <c r="D21" s="24" t="n">
        <f aca="false">-D20*WHT_Rate</f>
        <v>-0</v>
      </c>
      <c r="E21" s="24" t="n">
        <f aca="false">-E20*WHT_Rate</f>
        <v>-0</v>
      </c>
      <c r="F21" s="24" t="n">
        <f aca="false">-F20*WHT_Rate</f>
        <v>-0</v>
      </c>
      <c r="G21" s="24" t="n">
        <f aca="false">-G20*WHT_Rate</f>
        <v>-0</v>
      </c>
      <c r="H21" s="24" t="n">
        <f aca="false">SUM(C21:G21)</f>
        <v>0</v>
      </c>
    </row>
    <row r="22" customFormat="false" ht="15" hidden="false" customHeight="false" outlineLevel="0" collapsed="false">
      <c r="A22" s="6"/>
      <c r="B22" s="15" t="s">
        <v>92</v>
      </c>
      <c r="C22" s="24" t="n">
        <f aca="false">C20+C21</f>
        <v>3223.71</v>
      </c>
      <c r="D22" s="24" t="n">
        <f aca="false">D20+D21</f>
        <v>3474.1098</v>
      </c>
      <c r="E22" s="24" t="n">
        <f aca="false">E20+E21</f>
        <v>3735.98001</v>
      </c>
      <c r="F22" s="24" t="n">
        <f aca="false">F20+F21</f>
        <v>4021.13777625</v>
      </c>
      <c r="G22" s="24" t="n">
        <f aca="false">G20+G21</f>
        <v>4325.4713691</v>
      </c>
      <c r="H22" s="24" t="n">
        <f aca="false">SUM(C22:G22)</f>
        <v>18780.40895535</v>
      </c>
    </row>
    <row r="23" customFormat="false" ht="15" hidden="false" customHeight="false" outlineLevel="0" collapsed="false">
      <c r="A23" s="6"/>
      <c r="B23" s="19" t="s">
        <v>95</v>
      </c>
      <c r="C23" s="23"/>
      <c r="D23" s="23"/>
      <c r="E23" s="23"/>
      <c r="F23" s="23"/>
      <c r="G23" s="23"/>
      <c r="H23" s="23"/>
    </row>
    <row r="24" customFormat="false" ht="15" hidden="false" customHeight="false" outlineLevel="0" collapsed="false">
      <c r="A24" s="6"/>
      <c r="B24" s="15" t="s">
        <v>142</v>
      </c>
      <c r="C24" s="24" t="n">
        <f aca="false">JPM_DPS_Y0*(1+JPM_DPS_Growth)^1</f>
        <v>4.876</v>
      </c>
      <c r="D24" s="24" t="n">
        <f aca="false">JPM_DPS_Y0*(1+JPM_DPS_Growth)^2</f>
        <v>5.16856</v>
      </c>
      <c r="E24" s="24" t="n">
        <f aca="false">JPM_DPS_Y0*(1+JPM_DPS_Growth)^3</f>
        <v>5.4786736</v>
      </c>
      <c r="F24" s="24" t="n">
        <f aca="false">JPM_DPS_Y0*(1+JPM_DPS_Growth)^4</f>
        <v>5.807394016</v>
      </c>
      <c r="G24" s="24" t="n">
        <f aca="false">JPM_DPS_Y0*(1+JPM_DPS_Growth)^5</f>
        <v>6.15583765696</v>
      </c>
      <c r="H24" s="6"/>
    </row>
    <row r="25" customFormat="false" ht="15" hidden="false" customHeight="false" outlineLevel="0" collapsed="false">
      <c r="A25" s="6"/>
      <c r="B25" s="15" t="s">
        <v>143</v>
      </c>
      <c r="C25" s="24" t="n">
        <f aca="false">PP_JPM_Shares_Y1</f>
        <v>513</v>
      </c>
      <c r="D25" s="24" t="n">
        <f aca="false">PP_JPM_Shares_Y2</f>
        <v>511</v>
      </c>
      <c r="E25" s="24" t="n">
        <f aca="false">PP_JPM_Shares_Y3</f>
        <v>510</v>
      </c>
      <c r="F25" s="24" t="n">
        <f aca="false">PP_JPM_Shares_Y4</f>
        <v>508</v>
      </c>
      <c r="G25" s="24" t="n">
        <f aca="false">PP_JPM_Shares_Y5</f>
        <v>507</v>
      </c>
      <c r="H25" s="6"/>
    </row>
    <row r="26" customFormat="false" ht="15" hidden="false" customHeight="false" outlineLevel="0" collapsed="false">
      <c r="A26" s="6"/>
      <c r="B26" s="15" t="s">
        <v>144</v>
      </c>
      <c r="C26" s="24" t="n">
        <f aca="false">C24*C25</f>
        <v>2501.388</v>
      </c>
      <c r="D26" s="24" t="n">
        <f aca="false">D24*D25</f>
        <v>2641.13416</v>
      </c>
      <c r="E26" s="24" t="n">
        <f aca="false">E24*E25</f>
        <v>2794.123536</v>
      </c>
      <c r="F26" s="24" t="n">
        <f aca="false">F24*F25</f>
        <v>2950.156160128</v>
      </c>
      <c r="G26" s="24" t="n">
        <f aca="false">G24*G25</f>
        <v>3121.00969207872</v>
      </c>
      <c r="H26" s="24" t="n">
        <f aca="false">SUM(C26:G26)</f>
        <v>14007.8115482067</v>
      </c>
    </row>
    <row r="27" customFormat="false" ht="15" hidden="false" customHeight="false" outlineLevel="0" collapsed="false">
      <c r="A27" s="6"/>
      <c r="B27" s="15" t="s">
        <v>145</v>
      </c>
      <c r="C27" s="24" t="n">
        <f aca="false">-C26*WHT_Rate</f>
        <v>-0</v>
      </c>
      <c r="D27" s="24" t="n">
        <f aca="false">-D26*WHT_Rate</f>
        <v>-0</v>
      </c>
      <c r="E27" s="24" t="n">
        <f aca="false">-E26*WHT_Rate</f>
        <v>-0</v>
      </c>
      <c r="F27" s="24" t="n">
        <f aca="false">-F26*WHT_Rate</f>
        <v>-0</v>
      </c>
      <c r="G27" s="24" t="n">
        <f aca="false">-G26*WHT_Rate</f>
        <v>-0</v>
      </c>
      <c r="H27" s="24" t="n">
        <f aca="false">SUM(C27:G27)</f>
        <v>0</v>
      </c>
    </row>
    <row r="28" customFormat="false" ht="15" hidden="false" customHeight="false" outlineLevel="0" collapsed="false">
      <c r="A28" s="6"/>
      <c r="B28" s="15" t="s">
        <v>92</v>
      </c>
      <c r="C28" s="24" t="n">
        <f aca="false">C26+C27</f>
        <v>2501.388</v>
      </c>
      <c r="D28" s="24" t="n">
        <f aca="false">D26+D27</f>
        <v>2641.13416</v>
      </c>
      <c r="E28" s="24" t="n">
        <f aca="false">E26+E27</f>
        <v>2794.123536</v>
      </c>
      <c r="F28" s="24" t="n">
        <f aca="false">F26+F27</f>
        <v>2950.156160128</v>
      </c>
      <c r="G28" s="24" t="n">
        <f aca="false">G26+G27</f>
        <v>3121.00969207872</v>
      </c>
      <c r="H28" s="24" t="n">
        <f aca="false">SUM(C28:G28)</f>
        <v>14007.8115482067</v>
      </c>
    </row>
    <row r="29" customFormat="false" ht="15" hidden="false" customHeight="false" outlineLevel="0" collapsed="false">
      <c r="A29" s="6"/>
      <c r="B29" s="19" t="s">
        <v>96</v>
      </c>
      <c r="C29" s="23"/>
      <c r="D29" s="23"/>
      <c r="E29" s="23"/>
      <c r="F29" s="23"/>
      <c r="G29" s="23"/>
      <c r="H29" s="23"/>
    </row>
    <row r="30" customFormat="false" ht="15" hidden="false" customHeight="false" outlineLevel="0" collapsed="false">
      <c r="A30" s="6"/>
      <c r="B30" s="15" t="s">
        <v>142</v>
      </c>
      <c r="C30" s="24" t="n">
        <f aca="false">PG_DPS_Y0*(1+PG_DPS_Growth)^1</f>
        <v>3.8325</v>
      </c>
      <c r="D30" s="24" t="n">
        <f aca="false">PG_DPS_Y0*(1+PG_DPS_Growth)^2</f>
        <v>4.024125</v>
      </c>
      <c r="E30" s="24" t="n">
        <f aca="false">PG_DPS_Y0*(1+PG_DPS_Growth)^3</f>
        <v>4.22533125</v>
      </c>
      <c r="F30" s="24" t="n">
        <f aca="false">PG_DPS_Y0*(1+PG_DPS_Growth)^4</f>
        <v>4.4365978125</v>
      </c>
      <c r="G30" s="24" t="n">
        <f aca="false">PG_DPS_Y0*(1+PG_DPS_Growth)^5</f>
        <v>4.658427703125</v>
      </c>
      <c r="H30" s="6"/>
    </row>
    <row r="31" customFormat="false" ht="15" hidden="false" customHeight="false" outlineLevel="0" collapsed="false">
      <c r="A31" s="6"/>
      <c r="B31" s="15" t="s">
        <v>143</v>
      </c>
      <c r="C31" s="24" t="n">
        <f aca="false">PP_PG_Shares_Y1</f>
        <v>606</v>
      </c>
      <c r="D31" s="24" t="n">
        <f aca="false">PP_PG_Shares_Y2</f>
        <v>616</v>
      </c>
      <c r="E31" s="24" t="n">
        <f aca="false">PP_PG_Shares_Y3</f>
        <v>625</v>
      </c>
      <c r="F31" s="24" t="n">
        <f aca="false">PP_PG_Shares_Y4</f>
        <v>635</v>
      </c>
      <c r="G31" s="24" t="n">
        <f aca="false">PP_PG_Shares_Y5</f>
        <v>645</v>
      </c>
      <c r="H31" s="6"/>
    </row>
    <row r="32" customFormat="false" ht="15" hidden="false" customHeight="false" outlineLevel="0" collapsed="false">
      <c r="A32" s="6"/>
      <c r="B32" s="15" t="s">
        <v>144</v>
      </c>
      <c r="C32" s="24" t="n">
        <f aca="false">C30*C31</f>
        <v>2322.495</v>
      </c>
      <c r="D32" s="24" t="n">
        <f aca="false">D30*D31</f>
        <v>2478.861</v>
      </c>
      <c r="E32" s="24" t="n">
        <f aca="false">E30*E31</f>
        <v>2640.83203125</v>
      </c>
      <c r="F32" s="24" t="n">
        <f aca="false">F30*F31</f>
        <v>2817.2396109375</v>
      </c>
      <c r="G32" s="24" t="n">
        <f aca="false">G30*G31</f>
        <v>3004.68586851563</v>
      </c>
      <c r="H32" s="24" t="n">
        <f aca="false">SUM(C32:G32)</f>
        <v>13264.1135107031</v>
      </c>
    </row>
    <row r="33" customFormat="false" ht="15" hidden="false" customHeight="false" outlineLevel="0" collapsed="false">
      <c r="A33" s="6"/>
      <c r="B33" s="15" t="s">
        <v>145</v>
      </c>
      <c r="C33" s="24" t="n">
        <f aca="false">-C32*WHT_Rate</f>
        <v>-0</v>
      </c>
      <c r="D33" s="24" t="n">
        <f aca="false">-D32*WHT_Rate</f>
        <v>-0</v>
      </c>
      <c r="E33" s="24" t="n">
        <f aca="false">-E32*WHT_Rate</f>
        <v>-0</v>
      </c>
      <c r="F33" s="24" t="n">
        <f aca="false">-F32*WHT_Rate</f>
        <v>-0</v>
      </c>
      <c r="G33" s="24" t="n">
        <f aca="false">-G32*WHT_Rate</f>
        <v>-0</v>
      </c>
      <c r="H33" s="24" t="n">
        <f aca="false">SUM(C33:G33)</f>
        <v>0</v>
      </c>
    </row>
    <row r="34" customFormat="false" ht="15" hidden="false" customHeight="false" outlineLevel="0" collapsed="false">
      <c r="A34" s="6"/>
      <c r="B34" s="15" t="s">
        <v>92</v>
      </c>
      <c r="C34" s="24" t="n">
        <f aca="false">C32+C33</f>
        <v>2322.495</v>
      </c>
      <c r="D34" s="24" t="n">
        <f aca="false">D32+D33</f>
        <v>2478.861</v>
      </c>
      <c r="E34" s="24" t="n">
        <f aca="false">E32+E33</f>
        <v>2640.83203125</v>
      </c>
      <c r="F34" s="24" t="n">
        <f aca="false">F32+F33</f>
        <v>2817.2396109375</v>
      </c>
      <c r="G34" s="24" t="n">
        <f aca="false">G32+G33</f>
        <v>3004.68586851563</v>
      </c>
      <c r="H34" s="24" t="n">
        <f aca="false">SUM(C34:G34)</f>
        <v>13264.1135107031</v>
      </c>
    </row>
    <row r="35" customFormat="false" ht="15" hidden="false" customHeight="false" outlineLevel="0" collapsed="false">
      <c r="A35" s="6"/>
      <c r="B35" s="19" t="s">
        <v>97</v>
      </c>
      <c r="C35" s="23"/>
      <c r="D35" s="23"/>
      <c r="E35" s="23"/>
      <c r="F35" s="23"/>
      <c r="G35" s="23"/>
      <c r="H35" s="23"/>
    </row>
    <row r="36" customFormat="false" ht="15" hidden="false" customHeight="false" outlineLevel="0" collapsed="false">
      <c r="A36" s="6"/>
      <c r="B36" s="15" t="s">
        <v>142</v>
      </c>
      <c r="C36" s="24" t="n">
        <f aca="false">XOM_DPS_Y0*(1+XOM_DPS_Growth)^1</f>
        <v>3.952</v>
      </c>
      <c r="D36" s="24" t="n">
        <f aca="false">XOM_DPS_Y0*(1+XOM_DPS_Growth)^2</f>
        <v>4.11008</v>
      </c>
      <c r="E36" s="24" t="n">
        <f aca="false">XOM_DPS_Y0*(1+XOM_DPS_Growth)^3</f>
        <v>4.2744832</v>
      </c>
      <c r="F36" s="24" t="n">
        <f aca="false">XOM_DPS_Y0*(1+XOM_DPS_Growth)^4</f>
        <v>4.445462528</v>
      </c>
      <c r="G36" s="24" t="n">
        <f aca="false">XOM_DPS_Y0*(1+XOM_DPS_Growth)^5</f>
        <v>4.62328102912</v>
      </c>
      <c r="H36" s="6"/>
    </row>
    <row r="37" customFormat="false" ht="15" hidden="false" customHeight="false" outlineLevel="0" collapsed="false">
      <c r="A37" s="6"/>
      <c r="B37" s="15" t="s">
        <v>143</v>
      </c>
      <c r="C37" s="24" t="n">
        <f aca="false">PP_XOM_Shares_Y1</f>
        <v>696</v>
      </c>
      <c r="D37" s="24" t="n">
        <f aca="false">PP_XOM_Shares_Y2</f>
        <v>700</v>
      </c>
      <c r="E37" s="24" t="n">
        <f aca="false">PP_XOM_Shares_Y3</f>
        <v>705</v>
      </c>
      <c r="F37" s="24" t="n">
        <f aca="false">PP_XOM_Shares_Y4</f>
        <v>709</v>
      </c>
      <c r="G37" s="24" t="n">
        <f aca="false">PP_XOM_Shares_Y5</f>
        <v>713</v>
      </c>
      <c r="H37" s="6"/>
    </row>
    <row r="38" customFormat="false" ht="15" hidden="false" customHeight="false" outlineLevel="0" collapsed="false">
      <c r="A38" s="6"/>
      <c r="B38" s="15" t="s">
        <v>144</v>
      </c>
      <c r="C38" s="24" t="n">
        <f aca="false">C36*C37</f>
        <v>2750.592</v>
      </c>
      <c r="D38" s="24" t="n">
        <f aca="false">D36*D37</f>
        <v>2877.056</v>
      </c>
      <c r="E38" s="24" t="n">
        <f aca="false">E36*E37</f>
        <v>3013.510656</v>
      </c>
      <c r="F38" s="24" t="n">
        <f aca="false">F36*F37</f>
        <v>3151.832932352</v>
      </c>
      <c r="G38" s="24" t="n">
        <f aca="false">G36*G37</f>
        <v>3296.39937376256</v>
      </c>
      <c r="H38" s="24" t="n">
        <f aca="false">SUM(C38:G38)</f>
        <v>15089.3909621146</v>
      </c>
    </row>
    <row r="39" customFormat="false" ht="15" hidden="false" customHeight="false" outlineLevel="0" collapsed="false">
      <c r="A39" s="6"/>
      <c r="B39" s="15" t="s">
        <v>145</v>
      </c>
      <c r="C39" s="24" t="n">
        <f aca="false">-C38*WHT_Rate</f>
        <v>-0</v>
      </c>
      <c r="D39" s="24" t="n">
        <f aca="false">-D38*WHT_Rate</f>
        <v>-0</v>
      </c>
      <c r="E39" s="24" t="n">
        <f aca="false">-E38*WHT_Rate</f>
        <v>-0</v>
      </c>
      <c r="F39" s="24" t="n">
        <f aca="false">-F38*WHT_Rate</f>
        <v>-0</v>
      </c>
      <c r="G39" s="24" t="n">
        <f aca="false">-G38*WHT_Rate</f>
        <v>-0</v>
      </c>
      <c r="H39" s="24" t="n">
        <f aca="false">SUM(C39:G39)</f>
        <v>0</v>
      </c>
    </row>
    <row r="40" customFormat="false" ht="15" hidden="false" customHeight="false" outlineLevel="0" collapsed="false">
      <c r="A40" s="6"/>
      <c r="B40" s="15" t="s">
        <v>92</v>
      </c>
      <c r="C40" s="24" t="n">
        <f aca="false">C38+C39</f>
        <v>2750.592</v>
      </c>
      <c r="D40" s="24" t="n">
        <f aca="false">D38+D39</f>
        <v>2877.056</v>
      </c>
      <c r="E40" s="24" t="n">
        <f aca="false">E38+E39</f>
        <v>3013.510656</v>
      </c>
      <c r="F40" s="24" t="n">
        <f aca="false">F38+F39</f>
        <v>3151.832932352</v>
      </c>
      <c r="G40" s="24" t="n">
        <f aca="false">G38+G39</f>
        <v>3296.39937376256</v>
      </c>
      <c r="H40" s="24" t="n">
        <f aca="false">SUM(C40:G40)</f>
        <v>15089.3909621146</v>
      </c>
    </row>
    <row r="41" customFormat="false" ht="15" hidden="false" customHeight="false" outlineLevel="0" collapsed="false">
      <c r="A41" s="6"/>
      <c r="B41" s="19" t="s">
        <v>98</v>
      </c>
      <c r="C41" s="23"/>
      <c r="D41" s="23"/>
      <c r="E41" s="23"/>
      <c r="F41" s="23"/>
      <c r="G41" s="23"/>
      <c r="H41" s="23"/>
    </row>
    <row r="42" customFormat="false" ht="15" hidden="false" customHeight="false" outlineLevel="0" collapsed="false">
      <c r="A42" s="6"/>
      <c r="B42" s="15" t="s">
        <v>142</v>
      </c>
      <c r="C42" s="24" t="n">
        <f aca="false">BRK_DPS_Y0*(1+BRK_DPS_Growth)^1</f>
        <v>0</v>
      </c>
      <c r="D42" s="24" t="n">
        <f aca="false">BRK_DPS_Y0*(1+BRK_DPS_Growth)^2</f>
        <v>0</v>
      </c>
      <c r="E42" s="24" t="n">
        <f aca="false">BRK_DPS_Y0*(1+BRK_DPS_Growth)^3</f>
        <v>0</v>
      </c>
      <c r="F42" s="24" t="n">
        <f aca="false">BRK_DPS_Y0*(1+BRK_DPS_Growth)^4</f>
        <v>0</v>
      </c>
      <c r="G42" s="24" t="n">
        <f aca="false">BRK_DPS_Y0*(1+BRK_DPS_Growth)^5</f>
        <v>0</v>
      </c>
      <c r="H42" s="6"/>
    </row>
    <row r="43" customFormat="false" ht="15" hidden="false" customHeight="false" outlineLevel="0" collapsed="false">
      <c r="A43" s="6"/>
      <c r="B43" s="15" t="s">
        <v>143</v>
      </c>
      <c r="C43" s="24" t="n">
        <f aca="false">PP_BRK_Shares_Y1</f>
        <v>200</v>
      </c>
      <c r="D43" s="24" t="n">
        <f aca="false">PP_BRK_Shares_Y2</f>
        <v>199</v>
      </c>
      <c r="E43" s="24" t="n">
        <f aca="false">PP_BRK_Shares_Y3</f>
        <v>199</v>
      </c>
      <c r="F43" s="24" t="n">
        <f aca="false">PP_BRK_Shares_Y4</f>
        <v>198</v>
      </c>
      <c r="G43" s="24" t="n">
        <f aca="false">PP_BRK_Shares_Y5</f>
        <v>198</v>
      </c>
      <c r="H43" s="6"/>
    </row>
    <row r="44" customFormat="false" ht="15" hidden="false" customHeight="false" outlineLevel="0" collapsed="false">
      <c r="A44" s="6"/>
      <c r="B44" s="15" t="s">
        <v>144</v>
      </c>
      <c r="C44" s="24" t="n">
        <f aca="false">C42*C43</f>
        <v>0</v>
      </c>
      <c r="D44" s="24" t="n">
        <f aca="false">D42*D43</f>
        <v>0</v>
      </c>
      <c r="E44" s="24" t="n">
        <f aca="false">E42*E43</f>
        <v>0</v>
      </c>
      <c r="F44" s="24" t="n">
        <f aca="false">F42*F43</f>
        <v>0</v>
      </c>
      <c r="G44" s="24" t="n">
        <f aca="false">G42*G43</f>
        <v>0</v>
      </c>
      <c r="H44" s="24" t="n">
        <f aca="false">SUM(C44:G44)</f>
        <v>0</v>
      </c>
    </row>
    <row r="45" customFormat="false" ht="15" hidden="false" customHeight="false" outlineLevel="0" collapsed="false">
      <c r="A45" s="6"/>
      <c r="B45" s="15" t="s">
        <v>145</v>
      </c>
      <c r="C45" s="24" t="n">
        <f aca="false">-C44*WHT_Rate</f>
        <v>-0</v>
      </c>
      <c r="D45" s="24" t="n">
        <f aca="false">-D44*WHT_Rate</f>
        <v>-0</v>
      </c>
      <c r="E45" s="24" t="n">
        <f aca="false">-E44*WHT_Rate</f>
        <v>-0</v>
      </c>
      <c r="F45" s="24" t="n">
        <f aca="false">-F44*WHT_Rate</f>
        <v>-0</v>
      </c>
      <c r="G45" s="24" t="n">
        <f aca="false">-G44*WHT_Rate</f>
        <v>-0</v>
      </c>
      <c r="H45" s="24" t="n">
        <f aca="false">SUM(C45:G45)</f>
        <v>0</v>
      </c>
    </row>
    <row r="46" customFormat="false" ht="15" hidden="false" customHeight="false" outlineLevel="0" collapsed="false">
      <c r="A46" s="6"/>
      <c r="B46" s="15" t="s">
        <v>92</v>
      </c>
      <c r="C46" s="24" t="n">
        <f aca="false">C44+C45</f>
        <v>0</v>
      </c>
      <c r="D46" s="24" t="n">
        <f aca="false">D44+D45</f>
        <v>0</v>
      </c>
      <c r="E46" s="24" t="n">
        <f aca="false">E44+E45</f>
        <v>0</v>
      </c>
      <c r="F46" s="24" t="n">
        <f aca="false">F44+F45</f>
        <v>0</v>
      </c>
      <c r="G46" s="24" t="n">
        <f aca="false">G44+G45</f>
        <v>0</v>
      </c>
      <c r="H46" s="24" t="n">
        <f aca="false">SUM(C46:G46)</f>
        <v>0</v>
      </c>
    </row>
    <row r="47" customFormat="false" ht="15" hidden="false" customHeight="false" outlineLevel="0" collapsed="false">
      <c r="A47" s="6"/>
      <c r="B47" s="19" t="s">
        <v>99</v>
      </c>
      <c r="C47" s="23"/>
      <c r="D47" s="23"/>
      <c r="E47" s="23"/>
      <c r="F47" s="23"/>
      <c r="G47" s="23"/>
      <c r="H47" s="23"/>
    </row>
    <row r="48" customFormat="false" ht="15" hidden="false" customHeight="false" outlineLevel="0" collapsed="false">
      <c r="A48" s="6"/>
      <c r="B48" s="15" t="s">
        <v>142</v>
      </c>
      <c r="C48" s="24" t="n">
        <f aca="false">V_DPS_Y0*(1+V_DPS_Growth)^1</f>
        <v>2.288</v>
      </c>
      <c r="D48" s="24" t="n">
        <f aca="false">V_DPS_Y0*(1+V_DPS_Growth)^2</f>
        <v>2.5168</v>
      </c>
      <c r="E48" s="24" t="n">
        <f aca="false">V_DPS_Y0*(1+V_DPS_Growth)^3</f>
        <v>2.76848</v>
      </c>
      <c r="F48" s="24" t="n">
        <f aca="false">V_DPS_Y0*(1+V_DPS_Growth)^4</f>
        <v>3.045328</v>
      </c>
      <c r="G48" s="24" t="n">
        <f aca="false">V_DPS_Y0*(1+V_DPS_Growth)^5</f>
        <v>3.3498608</v>
      </c>
      <c r="H48" s="6"/>
    </row>
    <row r="49" customFormat="false" ht="15" hidden="false" customHeight="false" outlineLevel="0" collapsed="false">
      <c r="A49" s="6"/>
      <c r="B49" s="15" t="s">
        <v>143</v>
      </c>
      <c r="C49" s="24" t="n">
        <f aca="false">PP_V_Shares_Y1</f>
        <v>302</v>
      </c>
      <c r="D49" s="24" t="n">
        <f aca="false">PP_V_Shares_Y2</f>
        <v>293</v>
      </c>
      <c r="E49" s="24" t="n">
        <f aca="false">PP_V_Shares_Y3</f>
        <v>284</v>
      </c>
      <c r="F49" s="24" t="n">
        <f aca="false">PP_V_Shares_Y4</f>
        <v>276</v>
      </c>
      <c r="G49" s="24" t="n">
        <f aca="false">PP_V_Shares_Y5</f>
        <v>268</v>
      </c>
      <c r="H49" s="6"/>
    </row>
    <row r="50" customFormat="false" ht="15" hidden="false" customHeight="false" outlineLevel="0" collapsed="false">
      <c r="A50" s="6"/>
      <c r="B50" s="15" t="s">
        <v>144</v>
      </c>
      <c r="C50" s="24" t="n">
        <f aca="false">C48*C49</f>
        <v>690.976</v>
      </c>
      <c r="D50" s="24" t="n">
        <f aca="false">D48*D49</f>
        <v>737.4224</v>
      </c>
      <c r="E50" s="24" t="n">
        <f aca="false">E48*E49</f>
        <v>786.24832</v>
      </c>
      <c r="F50" s="24" t="n">
        <f aca="false">F48*F49</f>
        <v>840.510528</v>
      </c>
      <c r="G50" s="24" t="n">
        <f aca="false">G48*G49</f>
        <v>897.7626944</v>
      </c>
      <c r="H50" s="24" t="n">
        <f aca="false">SUM(C50:G50)</f>
        <v>3952.9199424</v>
      </c>
    </row>
    <row r="51" customFormat="false" ht="15" hidden="false" customHeight="false" outlineLevel="0" collapsed="false">
      <c r="A51" s="6"/>
      <c r="B51" s="15" t="s">
        <v>145</v>
      </c>
      <c r="C51" s="24" t="n">
        <f aca="false">-C50*WHT_Rate</f>
        <v>-0</v>
      </c>
      <c r="D51" s="24" t="n">
        <f aca="false">-D50*WHT_Rate</f>
        <v>-0</v>
      </c>
      <c r="E51" s="24" t="n">
        <f aca="false">-E50*WHT_Rate</f>
        <v>-0</v>
      </c>
      <c r="F51" s="24" t="n">
        <f aca="false">-F50*WHT_Rate</f>
        <v>-0</v>
      </c>
      <c r="G51" s="24" t="n">
        <f aca="false">-G50*WHT_Rate</f>
        <v>-0</v>
      </c>
      <c r="H51" s="24" t="n">
        <f aca="false">SUM(C51:G51)</f>
        <v>0</v>
      </c>
    </row>
    <row r="52" customFormat="false" ht="15" hidden="false" customHeight="false" outlineLevel="0" collapsed="false">
      <c r="A52" s="6"/>
      <c r="B52" s="15" t="s">
        <v>92</v>
      </c>
      <c r="C52" s="24" t="n">
        <f aca="false">C50+C51</f>
        <v>690.976</v>
      </c>
      <c r="D52" s="24" t="n">
        <f aca="false">D50+D51</f>
        <v>737.4224</v>
      </c>
      <c r="E52" s="24" t="n">
        <f aca="false">E50+E51</f>
        <v>786.24832</v>
      </c>
      <c r="F52" s="24" t="n">
        <f aca="false">F50+F51</f>
        <v>840.510528</v>
      </c>
      <c r="G52" s="24" t="n">
        <f aca="false">G50+G51</f>
        <v>897.7626944</v>
      </c>
      <c r="H52" s="24" t="n">
        <f aca="false">SUM(C52:G52)</f>
        <v>3952.9199424</v>
      </c>
    </row>
    <row r="53" customFormat="false" ht="15" hidden="false" customHeight="false" outlineLevel="0" collapsed="false">
      <c r="A53" s="6"/>
      <c r="B53" s="19" t="s">
        <v>100</v>
      </c>
      <c r="C53" s="23"/>
      <c r="D53" s="23"/>
      <c r="E53" s="23"/>
      <c r="F53" s="23"/>
      <c r="G53" s="23"/>
      <c r="H53" s="23"/>
    </row>
    <row r="54" customFormat="false" ht="15" hidden="false" customHeight="false" outlineLevel="0" collapsed="false">
      <c r="A54" s="6"/>
      <c r="B54" s="15" t="s">
        <v>142</v>
      </c>
      <c r="C54" s="24" t="n">
        <f aca="false">HD_DPS_Y0*(1+HD_DPS_Growth)^1</f>
        <v>8.8616</v>
      </c>
      <c r="D54" s="24" t="n">
        <f aca="false">HD_DPS_Y0*(1+HD_DPS_Growth)^2</f>
        <v>9.393296</v>
      </c>
      <c r="E54" s="24" t="n">
        <f aca="false">HD_DPS_Y0*(1+HD_DPS_Growth)^3</f>
        <v>9.95689376</v>
      </c>
      <c r="F54" s="24" t="n">
        <f aca="false">HD_DPS_Y0*(1+HD_DPS_Growth)^4</f>
        <v>10.5543073856</v>
      </c>
      <c r="G54" s="24" t="n">
        <f aca="false">HD_DPS_Y0*(1+HD_DPS_Growth)^5</f>
        <v>11.187565828736</v>
      </c>
      <c r="H54" s="6"/>
    </row>
    <row r="55" customFormat="false" ht="15" hidden="false" customHeight="false" outlineLevel="0" collapsed="false">
      <c r="A55" s="6"/>
      <c r="B55" s="15" t="s">
        <v>143</v>
      </c>
      <c r="C55" s="24" t="n">
        <f aca="false">PP_HD_Shares_Y1</f>
        <v>353</v>
      </c>
      <c r="D55" s="24" t="n">
        <f aca="false">PP_HD_Shares_Y2</f>
        <v>355</v>
      </c>
      <c r="E55" s="24" t="n">
        <f aca="false">PP_HD_Shares_Y3</f>
        <v>357</v>
      </c>
      <c r="F55" s="24" t="n">
        <f aca="false">PP_HD_Shares_Y4</f>
        <v>360</v>
      </c>
      <c r="G55" s="24" t="n">
        <f aca="false">PP_HD_Shares_Y5</f>
        <v>362</v>
      </c>
      <c r="H55" s="6"/>
    </row>
    <row r="56" customFormat="false" ht="15" hidden="false" customHeight="false" outlineLevel="0" collapsed="false">
      <c r="A56" s="6"/>
      <c r="B56" s="15" t="s">
        <v>144</v>
      </c>
      <c r="C56" s="24" t="n">
        <f aca="false">C54*C55</f>
        <v>3128.1448</v>
      </c>
      <c r="D56" s="24" t="n">
        <f aca="false">D54*D55</f>
        <v>3334.62008</v>
      </c>
      <c r="E56" s="24" t="n">
        <f aca="false">E54*E55</f>
        <v>3554.61107232</v>
      </c>
      <c r="F56" s="24" t="n">
        <f aca="false">F54*F55</f>
        <v>3799.550658816</v>
      </c>
      <c r="G56" s="24" t="n">
        <f aca="false">G54*G55</f>
        <v>4049.89883000243</v>
      </c>
      <c r="H56" s="24" t="n">
        <f aca="false">SUM(C56:G56)</f>
        <v>17866.8254411384</v>
      </c>
    </row>
    <row r="57" customFormat="false" ht="15" hidden="false" customHeight="false" outlineLevel="0" collapsed="false">
      <c r="A57" s="6"/>
      <c r="B57" s="15" t="s">
        <v>145</v>
      </c>
      <c r="C57" s="24" t="n">
        <f aca="false">-C56*WHT_Rate</f>
        <v>-0</v>
      </c>
      <c r="D57" s="24" t="n">
        <f aca="false">-D56*WHT_Rate</f>
        <v>-0</v>
      </c>
      <c r="E57" s="24" t="n">
        <f aca="false">-E56*WHT_Rate</f>
        <v>-0</v>
      </c>
      <c r="F57" s="24" t="n">
        <f aca="false">-F56*WHT_Rate</f>
        <v>-0</v>
      </c>
      <c r="G57" s="24" t="n">
        <f aca="false">-G56*WHT_Rate</f>
        <v>-0</v>
      </c>
      <c r="H57" s="24" t="n">
        <f aca="false">SUM(C57:G57)</f>
        <v>0</v>
      </c>
    </row>
    <row r="58" customFormat="false" ht="15" hidden="false" customHeight="false" outlineLevel="0" collapsed="false">
      <c r="A58" s="6"/>
      <c r="B58" s="15" t="s">
        <v>92</v>
      </c>
      <c r="C58" s="24" t="n">
        <f aca="false">C56+C57</f>
        <v>3128.1448</v>
      </c>
      <c r="D58" s="24" t="n">
        <f aca="false">D56+D57</f>
        <v>3334.62008</v>
      </c>
      <c r="E58" s="24" t="n">
        <f aca="false">E56+E57</f>
        <v>3554.61107232</v>
      </c>
      <c r="F58" s="24" t="n">
        <f aca="false">F56+F57</f>
        <v>3799.550658816</v>
      </c>
      <c r="G58" s="24" t="n">
        <f aca="false">G56+G57</f>
        <v>4049.89883000243</v>
      </c>
      <c r="H58" s="24" t="n">
        <f aca="false">SUM(C58:G58)</f>
        <v>17866.8254411384</v>
      </c>
    </row>
    <row r="59" customFormat="false" ht="15" hidden="false" customHeight="false" outlineLevel="0" collapsed="false">
      <c r="A59" s="6"/>
      <c r="B59" s="19" t="s">
        <v>101</v>
      </c>
      <c r="C59" s="23"/>
      <c r="D59" s="23"/>
      <c r="E59" s="23"/>
      <c r="F59" s="23"/>
      <c r="G59" s="23"/>
      <c r="H59" s="23"/>
    </row>
    <row r="60" customFormat="false" ht="15" hidden="false" customHeight="false" outlineLevel="0" collapsed="false">
      <c r="A60" s="6"/>
      <c r="B60" s="15" t="s">
        <v>142</v>
      </c>
      <c r="C60" s="24" t="n">
        <f aca="false">NEE_DPS_Y0*(1+NEE_DPS_Growth)^1</f>
        <v>2.057</v>
      </c>
      <c r="D60" s="24" t="n">
        <f aca="false">NEE_DPS_Y0*(1+NEE_DPS_Growth)^2</f>
        <v>2.2627</v>
      </c>
      <c r="E60" s="24" t="n">
        <f aca="false">NEE_DPS_Y0*(1+NEE_DPS_Growth)^3</f>
        <v>2.48897</v>
      </c>
      <c r="F60" s="24" t="n">
        <f aca="false">NEE_DPS_Y0*(1+NEE_DPS_Growth)^4</f>
        <v>2.737867</v>
      </c>
      <c r="G60" s="24" t="n">
        <f aca="false">NEE_DPS_Y0*(1+NEE_DPS_Growth)^5</f>
        <v>3.0116537</v>
      </c>
      <c r="H60" s="6"/>
    </row>
    <row r="61" customFormat="false" ht="15" hidden="false" customHeight="false" outlineLevel="0" collapsed="false">
      <c r="A61" s="6"/>
      <c r="B61" s="15" t="s">
        <v>143</v>
      </c>
      <c r="C61" s="24" t="n">
        <f aca="false">PP_NEE_Shares_Y1</f>
        <v>1429</v>
      </c>
      <c r="D61" s="24" t="n">
        <f aca="false">PP_NEE_Shares_Y2</f>
        <v>1451</v>
      </c>
      <c r="E61" s="24" t="n">
        <f aca="false">PP_NEE_Shares_Y3</f>
        <v>1474</v>
      </c>
      <c r="F61" s="24" t="n">
        <f aca="false">PP_NEE_Shares_Y4</f>
        <v>1496</v>
      </c>
      <c r="G61" s="24" t="n">
        <f aca="false">PP_NEE_Shares_Y5</f>
        <v>1520</v>
      </c>
      <c r="H61" s="6"/>
    </row>
    <row r="62" customFormat="false" ht="15" hidden="false" customHeight="false" outlineLevel="0" collapsed="false">
      <c r="A62" s="6"/>
      <c r="B62" s="15" t="s">
        <v>144</v>
      </c>
      <c r="C62" s="24" t="n">
        <f aca="false">C60*C61</f>
        <v>2939.453</v>
      </c>
      <c r="D62" s="24" t="n">
        <f aca="false">D60*D61</f>
        <v>3283.1777</v>
      </c>
      <c r="E62" s="24" t="n">
        <f aca="false">E60*E61</f>
        <v>3668.74178</v>
      </c>
      <c r="F62" s="24" t="n">
        <f aca="false">F60*F61</f>
        <v>4095.849032</v>
      </c>
      <c r="G62" s="24" t="n">
        <f aca="false">G60*G61</f>
        <v>4577.713624</v>
      </c>
      <c r="H62" s="24" t="n">
        <f aca="false">SUM(C62:G62)</f>
        <v>18564.935136</v>
      </c>
    </row>
    <row r="63" customFormat="false" ht="15" hidden="false" customHeight="false" outlineLevel="0" collapsed="false">
      <c r="A63" s="6"/>
      <c r="B63" s="15" t="s">
        <v>145</v>
      </c>
      <c r="C63" s="24" t="n">
        <f aca="false">-C62*WHT_Rate</f>
        <v>-0</v>
      </c>
      <c r="D63" s="24" t="n">
        <f aca="false">-D62*WHT_Rate</f>
        <v>-0</v>
      </c>
      <c r="E63" s="24" t="n">
        <f aca="false">-E62*WHT_Rate</f>
        <v>-0</v>
      </c>
      <c r="F63" s="24" t="n">
        <f aca="false">-F62*WHT_Rate</f>
        <v>-0</v>
      </c>
      <c r="G63" s="24" t="n">
        <f aca="false">-G62*WHT_Rate</f>
        <v>-0</v>
      </c>
      <c r="H63" s="24" t="n">
        <f aca="false">SUM(C63:G63)</f>
        <v>0</v>
      </c>
    </row>
    <row r="64" customFormat="false" ht="15" hidden="false" customHeight="false" outlineLevel="0" collapsed="false">
      <c r="A64" s="6"/>
      <c r="B64" s="15" t="s">
        <v>92</v>
      </c>
      <c r="C64" s="24" t="n">
        <f aca="false">C62+C63</f>
        <v>2939.453</v>
      </c>
      <c r="D64" s="24" t="n">
        <f aca="false">D62+D63</f>
        <v>3283.1777</v>
      </c>
      <c r="E64" s="24" t="n">
        <f aca="false">E62+E63</f>
        <v>3668.74178</v>
      </c>
      <c r="F64" s="24" t="n">
        <f aca="false">F62+F63</f>
        <v>4095.849032</v>
      </c>
      <c r="G64" s="24" t="n">
        <f aca="false">G62+G63</f>
        <v>4577.713624</v>
      </c>
      <c r="H64" s="24" t="n">
        <f aca="false">SUM(C64:G64)</f>
        <v>18564.935136</v>
      </c>
    </row>
    <row r="65" customFormat="false" ht="15" hidden="false" customHeight="false" outlineLevel="0" collapsed="false">
      <c r="A65" s="6"/>
      <c r="B65" s="6"/>
      <c r="C65" s="6"/>
      <c r="D65" s="6"/>
      <c r="E65" s="6"/>
      <c r="F65" s="6"/>
      <c r="G65" s="6"/>
      <c r="H65" s="6"/>
    </row>
    <row r="66" customFormat="false" ht="15" hidden="false" customHeight="false" outlineLevel="0" collapsed="false">
      <c r="A66" s="6"/>
      <c r="B66" s="6"/>
      <c r="C66" s="6"/>
      <c r="D66" s="6"/>
      <c r="E66" s="6"/>
      <c r="F66" s="6"/>
      <c r="G66" s="6"/>
      <c r="H66" s="6"/>
    </row>
    <row r="67" customFormat="false" ht="15" hidden="false" customHeight="false" outlineLevel="0" collapsed="false">
      <c r="A67" s="6"/>
      <c r="B67" s="19" t="s">
        <v>102</v>
      </c>
      <c r="C67" s="23"/>
      <c r="D67" s="23"/>
      <c r="E67" s="23"/>
      <c r="F67" s="23"/>
      <c r="G67" s="23"/>
      <c r="H67" s="23"/>
    </row>
    <row r="68" customFormat="false" ht="15" hidden="false" customHeight="false" outlineLevel="0" collapsed="false">
      <c r="A68" s="6"/>
      <c r="B68" s="7" t="s">
        <v>146</v>
      </c>
      <c r="C68" s="26" t="n">
        <f aca="false">C8+C14+C20+C26+C32+C38+C44+C50+C56+C62</f>
        <v>19165.8796</v>
      </c>
      <c r="D68" s="26" t="n">
        <f aca="false">D8+D14+D20+D26+D32+D38+D44+D50+D56+D62</f>
        <v>20518.381716</v>
      </c>
      <c r="E68" s="26" t="n">
        <f aca="false">E8+E14+E20+E26+E32+E38+E44+E50+E56+E62</f>
        <v>21969.69799053</v>
      </c>
      <c r="F68" s="26" t="n">
        <f aca="false">F8+F14+F20+F26+F32+F38+F44+F50+F56+F62</f>
        <v>23543.7059568131</v>
      </c>
      <c r="G68" s="26" t="n">
        <f aca="false">G8+G14+G20+G26+G32+G38+G44+G50+G56+G62</f>
        <v>25238.3333457979</v>
      </c>
      <c r="H68" s="26" t="n">
        <f aca="false">SUM(C68:G68)</f>
        <v>110435.998609141</v>
      </c>
    </row>
    <row r="69" customFormat="false" ht="15" hidden="false" customHeight="false" outlineLevel="0" collapsed="false">
      <c r="A69" s="6"/>
      <c r="B69" s="15" t="s">
        <v>147</v>
      </c>
      <c r="C69" s="24" t="n">
        <f aca="false">C9+C15+C21+C27+C33+C39+C45+C51+C57+C63</f>
        <v>-0</v>
      </c>
      <c r="D69" s="24" t="n">
        <f aca="false">D9+D15+D21+D27+D33+D39+D45+D51+D57+D63</f>
        <v>-0</v>
      </c>
      <c r="E69" s="24" t="n">
        <f aca="false">E9+E15+E21+E27+E33+E39+E45+E51+E57+E63</f>
        <v>-0</v>
      </c>
      <c r="F69" s="24" t="n">
        <f aca="false">F9+F15+F21+F27+F33+F39+F45+F51+F57+F63</f>
        <v>-0</v>
      </c>
      <c r="G69" s="24" t="n">
        <f aca="false">G9+G15+G21+G27+G33+G39+G45+G51+G57+G63</f>
        <v>-0</v>
      </c>
      <c r="H69" s="24" t="n">
        <f aca="false">SUM(C69:G69)</f>
        <v>0</v>
      </c>
    </row>
    <row r="70" customFormat="false" ht="15" hidden="false" customHeight="false" outlineLevel="0" collapsed="false">
      <c r="A70" s="6"/>
      <c r="B70" s="7" t="s">
        <v>106</v>
      </c>
      <c r="C70" s="26" t="n">
        <f aca="false">C10+C16+C22+C28+C34+C40+C46+C52+C58+C64</f>
        <v>19165.8796</v>
      </c>
      <c r="D70" s="26" t="n">
        <f aca="false">D10+D16+D22+D28+D34+D40+D46+D52+D58+D64</f>
        <v>20518.381716</v>
      </c>
      <c r="E70" s="26" t="n">
        <f aca="false">E10+E16+E22+E28+E34+E40+E46+E52+E58+E64</f>
        <v>21969.69799053</v>
      </c>
      <c r="F70" s="26" t="n">
        <f aca="false">F10+F16+F22+F28+F34+F40+F46+F52+F58+F64</f>
        <v>23543.7059568131</v>
      </c>
      <c r="G70" s="26" t="n">
        <f aca="false">G10+G16+G22+G28+G34+G40+G46+G52+G58+G64</f>
        <v>25238.3333457979</v>
      </c>
      <c r="H70" s="26" t="n">
        <f aca="false">SUM(C70:G70)</f>
        <v>110435.998609141</v>
      </c>
    </row>
    <row r="71" customFormat="false" ht="15" hidden="false" customHeight="false" outlineLevel="0" collapsed="false">
      <c r="A71" s="6"/>
      <c r="B71" s="15" t="s">
        <v>148</v>
      </c>
      <c r="C71" s="21" t="n">
        <f aca="false">C68/PP_Total_MV_Y1</f>
        <v>0.0174693203502089</v>
      </c>
      <c r="D71" s="21" t="n">
        <f aca="false">D68/PP_Total_MV_Y2</f>
        <v>0.017051266068167</v>
      </c>
      <c r="E71" s="21" t="n">
        <f aca="false">E68/PP_Total_MV_Y3</f>
        <v>0.016649398606404</v>
      </c>
      <c r="F71" s="21" t="n">
        <f aca="false">F68/PP_Total_MV_Y4</f>
        <v>0.0162657476285481</v>
      </c>
      <c r="G71" s="21" t="n">
        <f aca="false">G68/PP_Total_MV_Y5</f>
        <v>0.0158904851004135</v>
      </c>
      <c r="H71"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3" min="3" style="0" width="80"/>
    <col collapsed="false" customWidth="true" hidden="false" outlineLevel="0" max="4" min="4" style="0" width="12"/>
    <col collapsed="false" customWidth="true" hidden="false" outlineLevel="0" max="5" min="5" style="0" width="10"/>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8" t="s">
        <v>149</v>
      </c>
      <c r="C3" s="28" t="s">
        <v>150</v>
      </c>
      <c r="D3" s="28" t="s">
        <v>151</v>
      </c>
      <c r="E3" s="28" t="s">
        <v>152</v>
      </c>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29" t="s">
        <v>153</v>
      </c>
      <c r="C5" s="30" t="n">
        <f aca="false">ROUND(SUM(Assumptions!D25:D34),4)=1</f>
        <v>1</v>
      </c>
      <c r="D5" s="31" t="s">
        <v>154</v>
      </c>
      <c r="E5" s="32" t="str">
        <f aca="false">IF(C5,"PASS","FAIL")</f>
        <v>PASS</v>
      </c>
    </row>
    <row r="6" customFormat="false" ht="15" hidden="false" customHeight="false" outlineLevel="0" collapsed="false">
      <c r="A6" s="6"/>
      <c r="B6" s="29" t="s">
        <v>155</v>
      </c>
      <c r="C6" s="30" t="n">
        <f aca="false">MIN(Assumptions!F25,Assumptions!F26,Assumptions!F27,Assumptions!F28,Assumptions!F29,Assumptions!F30,Assumptions!F31,Assumptions!F32,Assumptions!F33,Assumptions!F34)&gt;0</f>
        <v>1</v>
      </c>
      <c r="D6" s="31" t="s">
        <v>154</v>
      </c>
      <c r="E6" s="32" t="str">
        <f aca="false">IF(C6,"PASS","FAIL")</f>
        <v>PASS</v>
      </c>
    </row>
    <row r="7" customFormat="false" ht="15" hidden="false" customHeight="false" outlineLevel="0" collapsed="false">
      <c r="A7" s="6"/>
      <c r="B7" s="29" t="s">
        <v>156</v>
      </c>
      <c r="C7" s="30" t="n">
        <f aca="false">ABS((AAPL_Shares_Y0*AAPL_Entry_Price+MSFT_Shares_Y0*MSFT_Entry_Price+JNJ_Shares_Y0*JNJ_Entry_Price+JPM_Shares_Y0*JPM_Entry_Price+PG_Shares_Y0*PG_Entry_Price+XOM_Shares_Y0*XOM_Entry_Price+BRK_Shares_Y0*BRK_Entry_Price+V_Shares_Y0*V_Entry_Price+HD_Shares_Y0*HD_Entry_Price+NEE_Shares_Y0*NEE_Entry_Price)/Initial_Capital-1)&lt;0.01</f>
        <v>1</v>
      </c>
      <c r="D7" s="31" t="s">
        <v>154</v>
      </c>
      <c r="E7" s="32" t="str">
        <f aca="false">IF(C7,"PASS","FAIL")</f>
        <v>PASS</v>
      </c>
    </row>
    <row r="8" customFormat="false" ht="15" hidden="false" customHeight="false" outlineLevel="0" collapsed="false">
      <c r="A8" s="6"/>
      <c r="B8" s="29" t="s">
        <v>157</v>
      </c>
      <c r="C8" s="30" t="n">
        <f aca="false">PP_CG_Tax_Y1=0</f>
        <v>1</v>
      </c>
      <c r="D8" s="31" t="s">
        <v>154</v>
      </c>
      <c r="E8" s="32" t="str">
        <f aca="false">IF(C8,"PASS","FAIL")</f>
        <v>PASS</v>
      </c>
    </row>
    <row r="9" customFormat="false" ht="15" hidden="false" customHeight="false" outlineLevel="0" collapsed="false">
      <c r="A9" s="6"/>
      <c r="B9" s="29" t="s">
        <v>158</v>
      </c>
      <c r="C9" s="30" t="n">
        <f aca="false">ROUND(DS_Net_Y5-PP_Net_Div_Y5,2)=0</f>
        <v>1</v>
      </c>
      <c r="D9" s="31" t="s">
        <v>154</v>
      </c>
      <c r="E9" s="32" t="str">
        <f aca="false">IF(C9,"PASS","FAIL")</f>
        <v>PASS</v>
      </c>
    </row>
    <row r="10" customFormat="false" ht="15" hidden="false" customHeight="false" outlineLevel="0" collapsed="false">
      <c r="A10" s="6"/>
      <c r="B10" s="29" t="s">
        <v>159</v>
      </c>
      <c r="C10" s="30" t="n">
        <f aca="false">AND(Returns_Summary!C22&lt;0,MAX(Returns_Summary!D22:H22)&gt;0)</f>
        <v>1</v>
      </c>
      <c r="D10" s="31" t="s">
        <v>154</v>
      </c>
      <c r="E10" s="32" t="str">
        <f aca="false">IF(C10,"PASS","FAIL")</f>
        <v>PASS</v>
      </c>
    </row>
    <row r="11" customFormat="false" ht="15" hidden="false" customHeight="false" outlineLevel="0" collapsed="false">
      <c r="A11" s="6"/>
      <c r="B11" s="29" t="s">
        <v>160</v>
      </c>
      <c r="C11" s="30" t="n">
        <f aca="false">ISNUMBER(RS_IRR)</f>
        <v>1</v>
      </c>
      <c r="D11" s="31" t="s">
        <v>154</v>
      </c>
      <c r="E11" s="32" t="str">
        <f aca="false">IF(C11,"PASS","FAIL")</f>
        <v>PASS</v>
      </c>
    </row>
    <row r="12" customFormat="false" ht="15" hidden="false" customHeight="false" outlineLevel="0" collapsed="false">
      <c r="A12" s="6"/>
      <c r="B12" s="29" t="s">
        <v>161</v>
      </c>
      <c r="C12" s="30" t="n">
        <f aca="false">RS_Terminal_MV&lt;PP_Total_MV_Y5</f>
        <v>1</v>
      </c>
      <c r="D12" s="31" t="s">
        <v>154</v>
      </c>
      <c r="E12" s="32" t="str">
        <f aca="false">IF(C12,"PASS","FAIL")</f>
        <v>PASS</v>
      </c>
    </row>
    <row r="13" customFormat="false" ht="15" hidden="false" customHeight="false" outlineLevel="0" collapsed="false">
      <c r="A13" s="6"/>
      <c r="B13" s="29" t="s">
        <v>162</v>
      </c>
      <c r="C13" s="30" t="n">
        <f aca="false">MIN(PP_Total_MV_Y1,PP_Total_MV_Y2,PP_Total_MV_Y3,PP_Total_MV_Y4,PP_Total_MV_Y5)&gt;0</f>
        <v>1</v>
      </c>
      <c r="D13" s="31" t="s">
        <v>154</v>
      </c>
      <c r="E13" s="32" t="str">
        <f aca="false">IF(C13,"PASS","FAIL")</f>
        <v>PASS</v>
      </c>
    </row>
    <row r="14" customFormat="false" ht="15" hidden="false" customHeight="false" outlineLevel="0" collapsed="false">
      <c r="A14" s="6"/>
      <c r="B14" s="29" t="s">
        <v>163</v>
      </c>
      <c r="C14" s="30" t="n">
        <f aca="false">Portfolio_Volatility&gt;0</f>
        <v>1</v>
      </c>
      <c r="D14" s="31" t="s">
        <v>154</v>
      </c>
      <c r="E14" s="32" t="str">
        <f aca="false">IF(C14,"PASS","FAIL")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3" t="s">
        <v>164</v>
      </c>
    </row>
    <row r="3" customFormat="false" ht="3.75" hidden="false" customHeight="true" outlineLevel="0" collapsed="false">
      <c r="B3" s="34"/>
    </row>
    <row r="5" customFormat="false" ht="19.5" hidden="false" customHeight="true" outlineLevel="0" collapsed="false">
      <c r="B5" s="35" t="s">
        <v>165</v>
      </c>
    </row>
    <row r="6" customFormat="false" ht="48" hidden="false" customHeight="true" outlineLevel="0" collapsed="false">
      <c r="B6" s="36" t="s">
        <v>166</v>
      </c>
    </row>
    <row r="8" customFormat="false" ht="19.5" hidden="false" customHeight="true" outlineLevel="0" collapsed="false">
      <c r="B8" s="35" t="s">
        <v>167</v>
      </c>
    </row>
    <row r="9" customFormat="false" ht="61.5" hidden="false" customHeight="true" outlineLevel="0" collapsed="false">
      <c r="B9" s="36" t="s">
        <v>168</v>
      </c>
    </row>
    <row r="11" customFormat="false" ht="19.5" hidden="false" customHeight="true" outlineLevel="0" collapsed="false">
      <c r="B11" s="35" t="s">
        <v>169</v>
      </c>
    </row>
    <row r="12" customFormat="false" ht="75.75" hidden="false" customHeight="true" outlineLevel="0" collapsed="false">
      <c r="B12" s="36" t="s">
        <v>170</v>
      </c>
    </row>
    <row r="14" customFormat="false" ht="19.5" hidden="false" customHeight="true" outlineLevel="0" collapsed="false">
      <c r="B14" s="35" t="s">
        <v>171</v>
      </c>
    </row>
    <row r="15" customFormat="false" ht="61.5" hidden="false" customHeight="true" outlineLevel="0" collapsed="false">
      <c r="B15" s="36" t="s">
        <v>172</v>
      </c>
    </row>
    <row r="17" customFormat="false" ht="19.5" hidden="false" customHeight="true" outlineLevel="0" collapsed="false">
      <c r="B17" s="35" t="s">
        <v>173</v>
      </c>
    </row>
    <row r="18" customFormat="false" ht="33.75" hidden="false" customHeight="true" outlineLevel="0" collapsed="false">
      <c r="B18" s="36" t="s">
        <v>174</v>
      </c>
    </row>
    <row r="20" customFormat="false" ht="19.5" hidden="false" customHeight="true" outlineLevel="0" collapsed="false">
      <c r="B20" s="35" t="s">
        <v>175</v>
      </c>
    </row>
    <row r="21" customFormat="false" ht="33.75" hidden="false" customHeight="true" outlineLevel="0" collapsed="false">
      <c r="B21" s="36" t="s">
        <v>176</v>
      </c>
    </row>
    <row r="23" customFormat="false" ht="21.75" hidden="false" customHeight="true" outlineLevel="0" collapsed="false">
      <c r="B23" s="37" t="s">
        <v>177</v>
      </c>
    </row>
    <row r="25" customFormat="false" ht="18" hidden="false" customHeight="true" outlineLevel="0" collapsed="false">
      <c r="B25" s="38" t="s">
        <v>178</v>
      </c>
    </row>
    <row r="26" customFormat="false" ht="201.75" hidden="false" customHeight="true" outlineLevel="0" collapsed="false">
      <c r="B26" s="39" t="s">
        <v>179</v>
      </c>
    </row>
    <row r="28" customFormat="false" ht="18" hidden="false" customHeight="true" outlineLevel="0" collapsed="false">
      <c r="B28" s="40" t="s">
        <v>180</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2026-05-15T18:53:05Z</dcterms:created>
  <dc:creator>openpyxl</dc:creator>
  <dc:description/>
  <dc:language>en-GB</dc:language>
  <cp:lastModifiedBy/>
  <dcterms:modified xsi:type="dcterms:W3CDTF">2026-05-15T18:53:05Z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