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Pool_Summary" sheetId="4" state="visible" r:id="rId6"/>
    <sheet name="Vesting_Schedule" sheetId="5" state="visible" r:id="rId7"/>
    <sheet name="Dilution_Analysis" sheetId="6" state="visible" r:id="rId8"/>
    <sheet name="SBC_Expense" sheetId="7" state="visible" r:id="rId9"/>
    <sheet name="Exercise_Proceeds" sheetId="8" state="visible" r:id="rId10"/>
    <sheet name="Checks" sheetId="9" state="visible" r:id="rId11"/>
  </sheets>
  <definedNames>
    <definedName function="false" hidden="false" name="Annual_Vest_Pct" vbProcedure="false">Assumptions!$C$20</definedName>
    <definedName function="false" hidden="false" name="Cliff_Period" vbProcedure="false">Assumptions!$C$19</definedName>
    <definedName function="false" hidden="false" name="EP_ExCum_Y1" vbProcedure="false">Exercise_Proceeds!$C$12</definedName>
    <definedName function="false" hidden="false" name="EP_ExCum_Y2" vbProcedure="false">Exercise_Proceeds!$D$12</definedName>
    <definedName function="false" hidden="false" name="EP_ExCum_Y3" vbProcedure="false">Exercise_Proceeds!$E$12</definedName>
    <definedName function="false" hidden="false" name="EP_ExCum_Y4" vbProcedure="false">Exercise_Proceeds!$F$12</definedName>
    <definedName function="false" hidden="false" name="EP_ExCum_Y5" vbProcedure="false">Exercise_Proceeds!$G$12</definedName>
    <definedName function="false" hidden="false" name="EP_Exercisable_Y1" vbProcedure="false">Exercise_Proceeds!$C$10</definedName>
    <definedName function="false" hidden="false" name="EP_Exercisable_Y2" vbProcedure="false">Exercise_Proceeds!$D$10</definedName>
    <definedName function="false" hidden="false" name="EP_Exercisable_Y3" vbProcedure="false">Exercise_Proceeds!$E$10</definedName>
    <definedName function="false" hidden="false" name="EP_Exercisable_Y4" vbProcedure="false">Exercise_Proceeds!$F$10</definedName>
    <definedName function="false" hidden="false" name="EP_Exercisable_Y5" vbProcedure="false">Exercise_Proceeds!$G$10</definedName>
    <definedName function="false" hidden="false" name="Exercise_Pct" vbProcedure="false">Assumptions!$C$23</definedName>
    <definedName function="false" hidden="false" name="Expansion_Y1" vbProcedure="false">Assumptions!$C$10</definedName>
    <definedName function="false" hidden="false" name="Expansion_Y3" vbProcedure="false">Assumptions!$C$11</definedName>
    <definedName function="false" hidden="false" name="Expansion_Y5" vbProcedure="false">Assumptions!$C$12</definedName>
    <definedName function="false" hidden="false" name="FD_Base" vbProcedure="false">Assumptions!$C$16</definedName>
    <definedName function="false" hidden="false" name="FMV_Growth" vbProcedure="false">Assumptions!$C$26</definedName>
    <definedName function="false" hidden="false" name="FMV_Y1" vbProcedure="false">Assumptions!$C$25</definedName>
    <definedName function="false" hidden="false" name="Forfeiture_Rate" vbProcedure="false">Assumptions!$C$21</definedName>
    <definedName function="false" hidden="false" name="Founder_Shares" vbProcedure="false">Assumptions!$C$30</definedName>
    <definedName function="false" hidden="false" name="Founding_Pool" vbProcedure="false">Assumptions!$C$9</definedName>
    <definedName function="false" hidden="false" name="FV_Multiple" vbProcedure="false">Assumptions!$C$28</definedName>
    <definedName function="false" hidden="false" name="InvA_Shares" vbProcedure="false">Assumptions!$C$31</definedName>
    <definedName function="false" hidden="false" name="InvB_Shares" vbProcedure="false">Assumptions!$C$32</definedName>
    <definedName function="false" hidden="false" name="InvC_Shares" vbProcedure="false">Assumptions!$C$33</definedName>
    <definedName function="false" hidden="false" name="Model_Start_Year" vbProcedure="false">Assumptions!$C$7</definedName>
    <definedName function="false" hidden="false" name="NewHire_Pct" vbProcedure="false">Assumptions!$C$14</definedName>
    <definedName function="false" hidden="false" name="PS_Closing_Y1" vbProcedure="false">Pool_Summary!$C$14</definedName>
    <definedName function="false" hidden="false" name="PS_Closing_Y2" vbProcedure="false">Pool_Summary!$D$14</definedName>
    <definedName function="false" hidden="false" name="PS_Closing_Y3" vbProcedure="false">Pool_Summary!$E$14</definedName>
    <definedName function="false" hidden="false" name="PS_Closing_Y4" vbProcedure="false">Pool_Summary!$F$14</definedName>
    <definedName function="false" hidden="false" name="PS_Closing_Y5" vbProcedure="false">Pool_Summary!$G$14</definedName>
    <definedName function="false" hidden="false" name="PS_Expansion_Y1" vbProcedure="false">Pool_Summary!$C$8</definedName>
    <definedName function="false" hidden="false" name="PS_Expansion_Y2" vbProcedure="false">Pool_Summary!$D$8</definedName>
    <definedName function="false" hidden="false" name="PS_Expansion_Y3" vbProcedure="false">Pool_Summary!$E$8</definedName>
    <definedName function="false" hidden="false" name="PS_Expansion_Y4" vbProcedure="false">Pool_Summary!$F$8</definedName>
    <definedName function="false" hidden="false" name="PS_Expansion_Y5" vbProcedure="false">Pool_Summary!$G$8</definedName>
    <definedName function="false" hidden="false" name="PS_Opening_Y1" vbProcedure="false">Pool_Summary!$C$7</definedName>
    <definedName function="false" hidden="false" name="PS_Opening_Y2" vbProcedure="false">Pool_Summary!$D$7</definedName>
    <definedName function="false" hidden="false" name="PS_Opening_Y3" vbProcedure="false">Pool_Summary!$E$7</definedName>
    <definedName function="false" hidden="false" name="PS_Opening_Y4" vbProcedure="false">Pool_Summary!$F$7</definedName>
    <definedName function="false" hidden="false" name="PS_Opening_Y5" vbProcedure="false">Pool_Summary!$G$7</definedName>
    <definedName function="false" hidden="false" name="PS_Total_Grants_Y1" vbProcedure="false">Pool_Summary!$C$12</definedName>
    <definedName function="false" hidden="false" name="PS_Total_Grants_Y2" vbProcedure="false">Pool_Summary!$D$12</definedName>
    <definedName function="false" hidden="false" name="PS_Total_Grants_Y3" vbProcedure="false">Pool_Summary!$E$12</definedName>
    <definedName function="false" hidden="false" name="PS_Total_Grants_Y4" vbProcedure="false">Pool_Summary!$F$12</definedName>
    <definedName function="false" hidden="false" name="PS_Total_Grants_Y5" vbProcedure="false">Pool_Summary!$G$12</definedName>
    <definedName function="false" hidden="false" name="Refresh_Pct" vbProcedure="false">Assumptions!$C$15</definedName>
    <definedName function="false" hidden="false" name="SBC_GrantVal_C1" vbProcedure="false">SBC_Expense!$C$7</definedName>
    <definedName function="false" hidden="false" name="SBC_GrantVal_C2" vbProcedure="false">SBC_Expense!$D$11</definedName>
    <definedName function="false" hidden="false" name="SBC_GrantVal_C3" vbProcedure="false">SBC_Expense!$E$15</definedName>
    <definedName function="false" hidden="false" name="SBC_GrantVal_C4" vbProcedure="false">SBC_Expense!$F$19</definedName>
    <definedName function="false" hidden="false" name="SBC_GrantVal_C5" vbProcedure="false">SBC_Expense!$G$23</definedName>
    <definedName function="false" hidden="false" name="Vesting_Period" vbProcedure="false">Assumptions!$C$18</definedName>
    <definedName function="false" hidden="false" name="VS_Forfeitures_Per_Y1" vbProcedure="false">Vesting_Schedule!$C$54</definedName>
    <definedName function="false" hidden="false" name="VS_Forfeitures_Per_Y2" vbProcedure="false">Vesting_Schedule!$D$54</definedName>
    <definedName function="false" hidden="false" name="VS_Forfeitures_Per_Y3" vbProcedure="false">Vesting_Schedule!$E$54</definedName>
    <definedName function="false" hidden="false" name="VS_Forfeitures_Per_Y4" vbProcedure="false">Vesting_Schedule!$F$54</definedName>
    <definedName function="false" hidden="false" name="VS_Forfeitures_Per_Y5" vbProcedure="false">Vesting_Schedule!$G$54</definedName>
    <definedName function="false" hidden="false" name="VS_Outstanding_Y1" vbProcedure="false">Vesting_Schedule!$C$55</definedName>
    <definedName function="false" hidden="false" name="VS_Outstanding_Y2" vbProcedure="false">Vesting_Schedule!$D$55</definedName>
    <definedName function="false" hidden="false" name="VS_Outstanding_Y3" vbProcedure="false">Vesting_Schedule!$E$55</definedName>
    <definedName function="false" hidden="false" name="VS_Outstanding_Y4" vbProcedure="false">Vesting_Schedule!$F$55</definedName>
    <definedName function="false" hidden="false" name="VS_Outstanding_Y5" vbProcedure="false">Vesting_Schedule!$G$55</definedName>
    <definedName function="false" hidden="false" name="VS_VestedCum_Y1" vbProcedure="false">Vesting_Schedule!$C$53</definedName>
    <definedName function="false" hidden="false" name="VS_VestedCum_Y2" vbProcedure="false">Vesting_Schedule!$D$53</definedName>
    <definedName function="false" hidden="false" name="VS_VestedCum_Y3" vbProcedure="false">Vesting_Schedule!$E$53</definedName>
    <definedName function="false" hidden="false" name="VS_VestedCum_Y4" vbProcedure="false">Vesting_Schedule!$F$53</definedName>
    <definedName function="false" hidden="false" name="VS_VestedCum_Y5" vbProcedure="false">Vesting_Schedule!$G$53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<sst xmlns="http://schemas.openxmlformats.org/spreadsheetml/2006/main" count="243" uniqueCount="171">
  <si>
    <t xml:space="preserve">ESOP Pool Model</t>
  </si>
  <si>
    <t xml:space="preserve">FINAMODEL.com</t>
  </si>
  <si>
    <t xml:space="preserve">Equity Compensation Planning · 5-Year Horizon</t>
  </si>
  <si>
    <t xml:space="preserve">Built with Finamodel</t>
  </si>
  <si>
    <t xml:space="preserve">Purpose</t>
  </si>
  <si>
    <t xml:space="preserve">Track option pool consumption, dilution, SBC expense, and exercise proceeds for a venture-backed startup.</t>
  </si>
  <si>
    <t xml:space="preserve">Instructions</t>
  </si>
  <si>
    <t xml:space="preserve">1. Enter assumptions on the Assumptions sheet (yellow cells).</t>
  </si>
  <si>
    <t xml:space="preserve">2. All other sheets are formula-driven — do not edit.</t>
  </si>
  <si>
    <t xml:space="preserve">3. Check the Checks sheet — all 8 checks must show TRUE.</t>
  </si>
  <si>
    <t xml:space="preserve">About this model</t>
  </si>
  <si>
    <t xml:space="preserve">An ESOP (Employee Stock Ownership Plan) pool model projects the dilution impact of equity grants to employees over a five-year period. The model tracks how many shares are granted each year based on hiring (new hires receive 2% of fully diluted shares each), retention grants (0.8% of outstanding options annually to keep key staff), and how many of those grants vest. With a standard four-year vesting cliff (zero vesting until Year 1, then 25% per year), the model tracks which grants are still unvested, which have vested and are exercisable, and which employees exercise to buy shares.
The workbook ensures the option pool never becomes exhausted (expansion events at funding rounds top up the pool), and shows the dilution to founders and investors as the fully diluted share count grows from exercise activity. When employees exercise options at the original strike price (409A fair value at grant), the company receives cash proceeds. The model tracks the share-based compensation (SBC) expense under ASC 718 accounting: each grant is valued at Black-Scholes fair value at grant date (typically 40% of underlying FMV), then expensed straight-line over the vesting period.
This template is essential for growth-stage startups planning equity budgets, compensation committees assessing dilution, and investors performing cap table modeling.</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</si>
  <si>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</si>
  <si>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</si>
  <si>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</si>
  <si>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</si>
  <si>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</si>
  <si>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</si>
  <si>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</si>
  <si>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</si>
  <si>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</si>
  <si>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</si>
  <si>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</si>
  <si>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</si>
  <si>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</si>
  <si>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</si>
  <si>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</si>
  <si>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</si>
  <si>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</si>
  <si>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</si>
  <si>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</si>
  <si>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</si>
  <si>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</si>
  <si>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Assumptions</t>
  </si>
  <si>
    <t xml:space="preserve">Reserved — Scenario Toggle</t>
  </si>
  <si>
    <t xml:space="preserve">Model Start Year</t>
  </si>
  <si>
    <t xml:space="preserve">Year</t>
  </si>
  <si>
    <t xml:space="preserve">Option Pool</t>
  </si>
  <si>
    <t xml:space="preserve">Founding Pool</t>
  </si>
  <si>
    <t xml:space="preserve">Shares</t>
  </si>
  <si>
    <t xml:space="preserve">Expansion Y1</t>
  </si>
  <si>
    <t xml:space="preserve">Y1 only</t>
  </si>
  <si>
    <t xml:space="preserve">Expansion Y3</t>
  </si>
  <si>
    <t xml:space="preserve">Y3 only</t>
  </si>
  <si>
    <t xml:space="preserve">Expansion Y5</t>
  </si>
  <si>
    <t xml:space="preserve">Y5 only</t>
  </si>
  <si>
    <t xml:space="preserve">Grant Rates</t>
  </si>
  <si>
    <t xml:space="preserve">New Hire %</t>
  </si>
  <si>
    <t xml:space="preserve">% of FD_Base</t>
  </si>
  <si>
    <t xml:space="preserve">Refresh %</t>
  </si>
  <si>
    <t xml:space="preserve">% of prior-yr outstanding</t>
  </si>
  <si>
    <t xml:space="preserve">FD Base Shares</t>
  </si>
  <si>
    <t xml:space="preserve">Pre-option FD shares</t>
  </si>
  <si>
    <t xml:space="preserve">Vesting</t>
  </si>
  <si>
    <t xml:space="preserve">Vesting Period</t>
  </si>
  <si>
    <t xml:space="preserve">Years</t>
  </si>
  <si>
    <t xml:space="preserve">Cliff Period</t>
  </si>
  <si>
    <t xml:space="preserve">Annual Vest %</t>
  </si>
  <si>
    <t xml:space="preserve">% of unvested opening</t>
  </si>
  <si>
    <t xml:space="preserve">Forfeiture Rate</t>
  </si>
  <si>
    <t xml:space="preserve">% of unvested opening per year</t>
  </si>
  <si>
    <t xml:space="preserve">Exercise</t>
  </si>
  <si>
    <t xml:space="preserve">Exercise %</t>
  </si>
  <si>
    <t xml:space="preserve">% of exercisable per year</t>
  </si>
  <si>
    <t xml:space="preserve">FMV / 409A</t>
  </si>
  <si>
    <t xml:space="preserve">FMV Y1 ($/share)</t>
  </si>
  <si>
    <t xml:space="preserve">Year 1 409A FMV</t>
  </si>
  <si>
    <t xml:space="preserve">FMV Growth</t>
  </si>
  <si>
    <t xml:space="preserve">Annual appreciation</t>
  </si>
  <si>
    <t xml:space="preserve">SBC</t>
  </si>
  <si>
    <t xml:space="preserve">FV Multiple</t>
  </si>
  <si>
    <t xml:space="preserve">Black-Scholes FV as % of FMV</t>
  </si>
  <si>
    <t xml:space="preserve">Investor Shares</t>
  </si>
  <si>
    <t xml:space="preserve">Founder Shares</t>
  </si>
  <si>
    <t xml:space="preserve">Series A Shares</t>
  </si>
  <si>
    <t xml:space="preserve">Series A at Y1</t>
  </si>
  <si>
    <t xml:space="preserve">Series B Shares</t>
  </si>
  <si>
    <t xml:space="preserve">Series B at Y3</t>
  </si>
  <si>
    <t xml:space="preserve">Series C Shares</t>
  </si>
  <si>
    <t xml:space="preserve">Series C at Y5</t>
  </si>
  <si>
    <t xml:space="preserve">Option Pool Summary</t>
  </si>
  <si>
    <t xml:space="preserve">Pool consumption, roll-forward, and utilisation</t>
  </si>
  <si>
    <t xml:space="preserve">Y1</t>
  </si>
  <si>
    <t xml:space="preserve">Y2</t>
  </si>
  <si>
    <t xml:space="preserve">Y3</t>
  </si>
  <si>
    <t xml:space="preserve">Y4</t>
  </si>
  <si>
    <t xml:space="preserve">Y5</t>
  </si>
  <si>
    <t xml:space="preserve">Year Index</t>
  </si>
  <si>
    <t xml:space="preserve">Opening Pool</t>
  </si>
  <si>
    <t xml:space="preserve">Pool Expansion</t>
  </si>
  <si>
    <t xml:space="preserve">New Hire Demand</t>
  </si>
  <si>
    <t xml:space="preserve">Refresh Demand</t>
  </si>
  <si>
    <t xml:space="preserve">Total Demand</t>
  </si>
  <si>
    <t xml:space="preserve">Total Grants</t>
  </si>
  <si>
    <t xml:space="preserve">Period Forfeitures</t>
  </si>
  <si>
    <t xml:space="preserve">Closing Pool</t>
  </si>
  <si>
    <t xml:space="preserve">Cum. Grants</t>
  </si>
  <si>
    <t xml:space="preserve">Cum. Forfeitures</t>
  </si>
  <si>
    <t xml:space="preserve">Pool Utilisation %</t>
  </si>
  <si>
    <t xml:space="preserve">Available Pool %</t>
  </si>
  <si>
    <t xml:space="preserve">Vesting Schedule</t>
  </si>
  <si>
    <t xml:space="preserve">Per-cohort unvested/vested roll-forward · 5 cohorts</t>
  </si>
  <si>
    <t xml:space="preserve">Cohort 1 — Grant Year Y1</t>
  </si>
  <si>
    <t xml:space="preserve">Grants</t>
  </si>
  <si>
    <t xml:space="preserve">Unvested Opening</t>
  </si>
  <si>
    <t xml:space="preserve">Forfeitures</t>
  </si>
  <si>
    <t xml:space="preserve">Unvested Closing</t>
  </si>
  <si>
    <t xml:space="preserve">Vested Cumulative</t>
  </si>
  <si>
    <t xml:space="preserve">Outstanding (proxy)</t>
  </si>
  <si>
    <t xml:space="preserve">Cohort 2 — Grant Year Y2</t>
  </si>
  <si>
    <t xml:space="preserve">Cohort 3 — Grant Year Y3</t>
  </si>
  <si>
    <t xml:space="preserve">Cohort 4 — Grant Year Y4</t>
  </si>
  <si>
    <t xml:space="preserve">Cohort 5 — Grant Year Y5</t>
  </si>
  <si>
    <t xml:space="preserve">Summary</t>
  </si>
  <si>
    <t xml:space="preserve">Total Unvested</t>
  </si>
  <si>
    <t xml:space="preserve">Total Vested Cum.</t>
  </si>
  <si>
    <t xml:space="preserve">Total Forfeitures</t>
  </si>
  <si>
    <t xml:space="preserve">Total Outstanding (proxy)</t>
  </si>
  <si>
    <t xml:space="preserve">Dilution Analysis</t>
  </si>
  <si>
    <t xml:space="preserve">Fully-diluted share count and ownership % by stakeholder</t>
  </si>
  <si>
    <t xml:space="preserve">Options Outstanding</t>
  </si>
  <si>
    <t xml:space="preserve">Total FD Shares</t>
  </si>
  <si>
    <t xml:space="preserve">Ownership %</t>
  </si>
  <si>
    <t xml:space="preserve">Founder %</t>
  </si>
  <si>
    <t xml:space="preserve">Series A %</t>
  </si>
  <si>
    <t xml:space="preserve">Series B %</t>
  </si>
  <si>
    <t xml:space="preserve">Series C %</t>
  </si>
  <si>
    <t xml:space="preserve">Option Pool %</t>
  </si>
  <si>
    <t xml:space="preserve">SBC Expense</t>
  </si>
  <si>
    <t xml:space="preserve">Grant value and annual SBC charge per cohort · straight-line expensing</t>
  </si>
  <si>
    <t xml:space="preserve">C1 Grant Value</t>
  </si>
  <si>
    <t xml:space="preserve">C1 SBC Period</t>
  </si>
  <si>
    <t xml:space="preserve">C1 SBC Cumul.</t>
  </si>
  <si>
    <t xml:space="preserve">C2 Grant Value</t>
  </si>
  <si>
    <t xml:space="preserve">C2 SBC Period</t>
  </si>
  <si>
    <t xml:space="preserve">C2 SBC Cumul.</t>
  </si>
  <si>
    <t xml:space="preserve">C3 Grant Value</t>
  </si>
  <si>
    <t xml:space="preserve">C3 SBC Period</t>
  </si>
  <si>
    <t xml:space="preserve">C3 SBC Cumul.</t>
  </si>
  <si>
    <t xml:space="preserve">C4 Grant Value</t>
  </si>
  <si>
    <t xml:space="preserve">C4 SBC Period</t>
  </si>
  <si>
    <t xml:space="preserve">C4 SBC Cumul.</t>
  </si>
  <si>
    <t xml:space="preserve">C5 Grant Value</t>
  </si>
  <si>
    <t xml:space="preserve">C5 SBC Period</t>
  </si>
  <si>
    <t xml:space="preserve">C5 SBC Cumul.</t>
  </si>
  <si>
    <t xml:space="preserve">Total SBC Period</t>
  </si>
  <si>
    <t xml:space="preserve">Total SBC Cumul.</t>
  </si>
  <si>
    <t xml:space="preserve">SBC as % Grant Value</t>
  </si>
  <si>
    <t xml:space="preserve">Exercise Proceeds</t>
  </si>
  <si>
    <t xml:space="preserve">Exercisable shares, period exercises, cumulative exercised, and cash proceeds</t>
  </si>
  <si>
    <t xml:space="preserve">409A FMV ($/share)</t>
  </si>
  <si>
    <t xml:space="preserve">FMV Growth Index</t>
  </si>
  <si>
    <t xml:space="preserve">Exercise Activity</t>
  </si>
  <si>
    <t xml:space="preserve">Exercisable (Shares)</t>
  </si>
  <si>
    <t xml:space="preserve">Period Exercised</t>
  </si>
  <si>
    <t xml:space="preserve">Exercised Cumulative</t>
  </si>
  <si>
    <t xml:space="preserve">Wtd. Avg. Strike ($)</t>
  </si>
  <si>
    <t xml:space="preserve">Exercise Proceeds ($)</t>
  </si>
  <si>
    <t xml:space="preserve">Intrinsic/Share ($)</t>
  </si>
  <si>
    <t xml:space="preserve">Total Intrinsic ($)</t>
  </si>
  <si>
    <t xml:space="preserve">Model Checks</t>
  </si>
  <si>
    <t xml:space="preserve">All checks must return TRUE. If any check fails, do not deliver the model.</t>
  </si>
  <si>
    <t xml:space="preserve">Checks</t>
  </si>
  <si>
    <t xml:space="preserve">Pool &gt;= 0 in all years</t>
  </si>
  <si>
    <t xml:space="preserve">Grants &lt;= Opening+Expansion</t>
  </si>
  <si>
    <t xml:space="preserve">Pool roll-forward reconciles</t>
  </si>
  <si>
    <t xml:space="preserve">Unvested closing &gt;= 0</t>
  </si>
  <si>
    <t xml:space="preserve">FD shares reconcile</t>
  </si>
  <si>
    <t xml:space="preserve">Exercised &lt;= Vested Cum</t>
  </si>
  <si>
    <t xml:space="preserve">SBC &gt;= 0 in all years</t>
  </si>
  <si>
    <t xml:space="preserve">Exercisable Y3 spot check</t>
  </si>
</sst>
</file>

<file path=xl/styles.xml><?xml version="1.0" encoding="utf-8"?>
<styleSheet xmlns="http://schemas.openxmlformats.org/spreadsheetml/2006/main">
  <numFmts count="6">
    <numFmt numFmtId="164" formatCode="General"/>
    <numFmt numFmtId="165" formatCode="0"/>
    <numFmt numFmtId="166" formatCode="#,##0.00"/>
    <numFmt numFmtId="167" formatCode="0.00%"/>
    <numFmt numFmtId="168" formatCode="\$#,##0.00"/>
    <numFmt numFmtId="169" formatCode="&quot;TRUE&quot;;;;&quot;FALSE&quot;"/>
  </numFmts>
  <fonts count="25">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sz val="11"/>
      <color theme="0"/>
      <name val="Arial"/>
      <family val="0"/>
      <charset val="1"/>
    </font>
    <font>
      <i val="true"/>
      <sz val="10"/>
      <color theme="0"/>
      <name val="Arial"/>
      <family val="0"/>
      <charset val="1"/>
    </font>
    <font>
      <i val="true"/>
      <sz val="9"/>
      <color rgb="FF808080"/>
      <name val="Arial"/>
      <family val="0"/>
      <charset val="1"/>
    </font>
    <font>
      <b val="true"/>
      <sz val="10"/>
      <color rgb="FF26251E"/>
      <name val="Arial"/>
      <family val="0"/>
      <charset val="1"/>
    </font>
    <font>
      <sz val="10"/>
      <color rgb="FF26251E"/>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4"/>
      <color rgb="FF1F4E79"/>
      <name val="Arial"/>
      <family val="0"/>
      <charset val="1"/>
    </font>
    <font>
      <sz val="10"/>
      <color rgb="FF2E75B6"/>
      <name val="Arial"/>
      <family val="0"/>
      <charset val="1"/>
    </font>
    <font>
      <b val="true"/>
      <sz val="10"/>
      <color rgb="FFFFFFFF"/>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1F4E79"/>
        <bgColor rgb="FF1F497D"/>
      </patternFill>
    </fill>
    <fill>
      <patternFill patternType="solid">
        <fgColor rgb="FFF2F2F2"/>
        <bgColor rgb="FFFFFFFF"/>
      </patternFill>
    </fill>
    <fill>
      <patternFill patternType="solid">
        <fgColor rgb="FFFFF2CC"/>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1"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1" shrinkToFit="false"/>
      <protection locked="true" hidden="false"/>
    </xf>
    <xf numFmtId="164" fontId="8" fillId="0"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7" fillId="4" borderId="0" xfId="0" applyFont="true" applyBorder="false" applyAlignment="true" applyProtection="false">
      <alignment horizontal="left" vertical="center" textRotation="0" wrapText="false" indent="1" shrinkToFit="false"/>
      <protection locked="true" hidden="false"/>
    </xf>
    <xf numFmtId="164" fontId="18" fillId="0"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0" fillId="5"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5" fontId="23" fillId="6" borderId="0" xfId="0" applyFont="true" applyBorder="false" applyAlignment="true" applyProtection="false">
      <alignment horizontal="right" vertical="center"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6" fontId="23" fillId="6" borderId="0" xfId="0" applyFont="true" applyBorder="false" applyAlignment="true" applyProtection="false">
      <alignment horizontal="right" vertical="center" textRotation="0" wrapText="false" indent="0" shrinkToFit="false"/>
      <protection locked="true" hidden="false"/>
    </xf>
    <xf numFmtId="167" fontId="23" fillId="6" borderId="0" xfId="0" applyFont="true" applyBorder="false" applyAlignment="true" applyProtection="false">
      <alignment horizontal="right" vertical="center" textRotation="0" wrapText="false" indent="0" shrinkToFit="false"/>
      <protection locked="true" hidden="false"/>
    </xf>
    <xf numFmtId="168" fontId="23" fillId="6"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true" applyProtection="false">
      <alignment horizontal="center" vertical="center" textRotation="0" wrapText="false" indent="0" shrinkToFit="false"/>
      <protection locked="true" hidden="false"/>
    </xf>
    <xf numFmtId="165" fontId="24" fillId="4" borderId="0" xfId="0" applyFont="true" applyBorder="false" applyAlignment="true" applyProtection="false">
      <alignment horizontal="center"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6" fontId="9" fillId="0" borderId="2" xfId="0" applyFont="true" applyBorder="true" applyAlignment="true" applyProtection="false">
      <alignment horizontal="right" vertical="center" textRotation="0" wrapText="false" indent="0" shrinkToFit="false"/>
      <protection locked="true" hidden="false"/>
    </xf>
    <xf numFmtId="166" fontId="9" fillId="0" borderId="3" xfId="0" applyFont="true" applyBorder="tru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center" vertical="center" textRotation="0" wrapText="false" indent="0" shrinkToFit="false"/>
      <protection locked="true" hidden="false"/>
    </xf>
    <xf numFmtId="164" fontId="19" fillId="3" borderId="0" xfId="0" applyFont="true" applyBorder="false" applyAlignment="true" applyProtection="false">
      <alignment horizontal="left" vertical="center" textRotation="0" wrapText="false" indent="1"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8" fontId="19" fillId="3"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8" fontId="9" fillId="0" borderId="2" xfId="0" applyFont="true" applyBorder="true" applyAlignment="true" applyProtection="false">
      <alignment horizontal="right" vertical="center" textRotation="0" wrapText="false" indent="0" shrinkToFit="false"/>
      <protection locked="true" hidden="false"/>
    </xf>
    <xf numFmtId="169" fontId="10"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000"/>
      <rgbColor rgb="FFFF9900"/>
      <rgbColor rgb="FFED7D31"/>
      <rgbColor rgb="FF595959"/>
      <rgbColor rgb="FF70AD47"/>
      <rgbColor rgb="FF1F4E79"/>
      <rgbColor rgb="FF339966"/>
      <rgbColor rgb="FF404040"/>
      <rgbColor rgb="FF26251E"/>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60"/>
  </cols>
  <sheetData>
    <row r="1" customFormat="false" ht="7.5" hidden="false" customHeight="tru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row>
    <row r="7" customFormat="false" ht="15" hidden="false" customHeight="false" outlineLevel="0" collapsed="false">
      <c r="B7" s="6" t="s">
        <v>4</v>
      </c>
    </row>
    <row r="8" customFormat="false" ht="23.85" hidden="false" customHeight="false" outlineLevel="0" collapsed="false">
      <c r="B8" s="7" t="s">
        <v>5</v>
      </c>
    </row>
    <row r="10" customFormat="false" ht="15" hidden="false" customHeight="false" outlineLevel="0" collapsed="false">
      <c r="B10" s="6" t="s">
        <v>6</v>
      </c>
    </row>
    <row r="11" customFormat="false" ht="15" hidden="false" customHeight="false" outlineLevel="0" collapsed="false">
      <c r="B11" s="8" t="s">
        <v>7</v>
      </c>
    </row>
    <row r="12" customFormat="false" ht="15" hidden="false" customHeight="false" outlineLevel="0" collapsed="false">
      <c r="B12" s="8" t="s">
        <v>8</v>
      </c>
    </row>
    <row r="13" customFormat="false" ht="15" hidden="false" customHeight="false" outlineLevel="0" collapsed="false">
      <c r="B13" s="8" t="s">
        <v>9</v>
      </c>
    </row>
    <row r="16" customFormat="false" ht="19.5" hidden="false" customHeight="true" outlineLevel="0" collapsed="false">
      <c r="B16" s="9" t="s">
        <v>10</v>
      </c>
      <c r="C16" s="10"/>
      <c r="D16" s="10"/>
      <c r="E16" s="10"/>
      <c r="F16" s="10"/>
      <c r="G16" s="10"/>
    </row>
    <row r="17" customFormat="false" ht="208.5" hidden="false" customHeight="true" outlineLevel="0" collapsed="false">
      <c r="B17" s="11" t="s">
        <v>11</v>
      </c>
      <c r="C17" s="11"/>
      <c r="D17" s="11"/>
      <c r="E17" s="11"/>
      <c r="F17" s="11"/>
      <c r="G17" s="11"/>
    </row>
    <row r="19" customFormat="false" ht="19.5" hidden="false" customHeight="true" outlineLevel="0" collapsed="false">
      <c r="B19" s="9" t="s">
        <v>12</v>
      </c>
      <c r="C19" s="10"/>
      <c r="D19" s="10"/>
      <c r="E19" s="10"/>
      <c r="F19" s="10"/>
      <c r="G19" s="10"/>
    </row>
    <row r="20" customFormat="false" ht="57" hidden="false" customHeight="true" outlineLevel="0" collapsed="false">
      <c r="B20" s="11" t="s">
        <v>13</v>
      </c>
      <c r="C20" s="11"/>
      <c r="D20" s="11"/>
      <c r="E20" s="11"/>
      <c r="F20" s="11"/>
      <c r="G20" s="11"/>
    </row>
    <row r="21" customFormat="false" ht="15" hidden="false" customHeight="false" outlineLevel="0" collapsed="false">
      <c r="B21" s="12" t="s">
        <v>14</v>
      </c>
      <c r="C21" s="12"/>
      <c r="D21" s="12"/>
      <c r="E21" s="12"/>
      <c r="F21" s="12"/>
      <c r="G21" s="12"/>
    </row>
    <row r="22" customFormat="false" ht="15" hidden="false" customHeight="false" outlineLevel="0" collapsed="false">
      <c r="B22" s="13" t="s">
        <v>15</v>
      </c>
    </row>
  </sheetData>
  <mergeCells count="3">
    <mergeCell ref="B17:G17"/>
    <mergeCell ref="B20:G20"/>
    <mergeCell ref="B21:G2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14" t="s">
        <v>16</v>
      </c>
    </row>
    <row r="3" customFormat="false" ht="3.75" hidden="false" customHeight="true" outlineLevel="0" collapsed="false">
      <c r="B3" s="15"/>
    </row>
    <row r="5" customFormat="false" ht="19.5" hidden="false" customHeight="true" outlineLevel="0" collapsed="false">
      <c r="B5" s="16" t="s">
        <v>17</v>
      </c>
    </row>
    <row r="6" customFormat="false" ht="48" hidden="false" customHeight="true" outlineLevel="0" collapsed="false">
      <c r="B6" s="17" t="s">
        <v>18</v>
      </c>
    </row>
    <row r="8" customFormat="false" ht="19.5" hidden="false" customHeight="true" outlineLevel="0" collapsed="false">
      <c r="B8" s="16" t="s">
        <v>19</v>
      </c>
    </row>
    <row r="9" customFormat="false" ht="61.5" hidden="false" customHeight="true" outlineLevel="0" collapsed="false">
      <c r="B9" s="17" t="s">
        <v>20</v>
      </c>
    </row>
    <row r="11" customFormat="false" ht="19.5" hidden="false" customHeight="true" outlineLevel="0" collapsed="false">
      <c r="B11" s="16" t="s">
        <v>21</v>
      </c>
    </row>
    <row r="12" customFormat="false" ht="75.75" hidden="false" customHeight="true" outlineLevel="0" collapsed="false">
      <c r="B12" s="17" t="s">
        <v>22</v>
      </c>
    </row>
    <row r="14" customFormat="false" ht="19.5" hidden="false" customHeight="true" outlineLevel="0" collapsed="false">
      <c r="B14" s="16" t="s">
        <v>23</v>
      </c>
    </row>
    <row r="15" customFormat="false" ht="61.5" hidden="false" customHeight="true" outlineLevel="0" collapsed="false">
      <c r="B15" s="17" t="s">
        <v>24</v>
      </c>
    </row>
    <row r="17" customFormat="false" ht="19.5" hidden="false" customHeight="true" outlineLevel="0" collapsed="false">
      <c r="B17" s="16" t="s">
        <v>25</v>
      </c>
    </row>
    <row r="18" customFormat="false" ht="33.75" hidden="false" customHeight="true" outlineLevel="0" collapsed="false">
      <c r="B18" s="17" t="s">
        <v>26</v>
      </c>
    </row>
    <row r="20" customFormat="false" ht="19.5" hidden="false" customHeight="true" outlineLevel="0" collapsed="false">
      <c r="B20" s="16" t="s">
        <v>27</v>
      </c>
    </row>
    <row r="21" customFormat="false" ht="33.75" hidden="false" customHeight="true" outlineLevel="0" collapsed="false">
      <c r="B21" s="17" t="s">
        <v>28</v>
      </c>
    </row>
    <row r="23" customFormat="false" ht="21.75" hidden="false" customHeight="true" outlineLevel="0" collapsed="false">
      <c r="B23" s="18" t="s">
        <v>29</v>
      </c>
    </row>
    <row r="25" customFormat="false" ht="18" hidden="false" customHeight="true" outlineLevel="0" collapsed="false">
      <c r="B25" s="19" t="s">
        <v>30</v>
      </c>
    </row>
    <row r="26" customFormat="false" ht="201.75" hidden="false" customHeight="true" outlineLevel="0" collapsed="false">
      <c r="B26" s="20" t="s">
        <v>31</v>
      </c>
    </row>
    <row r="28" customFormat="false" ht="18" hidden="false" customHeight="true" outlineLevel="0" collapsed="false">
      <c r="B28" s="21" t="s">
        <v>32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B1: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16"/>
    <col collapsed="false" customWidth="true" hidden="false" outlineLevel="0" max="4" min="4" style="0" width="24"/>
  </cols>
  <sheetData>
    <row r="1" customFormat="false" ht="7.5" hidden="false" customHeight="true" outlineLevel="0" collapsed="false"/>
    <row r="2" customFormat="false" ht="17.35" hidden="false" customHeight="false" outlineLevel="0" collapsed="false">
      <c r="B2" s="22" t="s">
        <v>33</v>
      </c>
    </row>
    <row r="5" customFormat="false" ht="15" hidden="false" customHeight="false" outlineLevel="0" collapsed="false">
      <c r="B5" s="21" t="s">
        <v>34</v>
      </c>
    </row>
    <row r="6" customFormat="false" ht="15" hidden="false" customHeight="false" outlineLevel="0" collapsed="false">
      <c r="B6" s="21" t="s">
        <v>34</v>
      </c>
    </row>
    <row r="7" customFormat="false" ht="15" hidden="false" customHeight="false" outlineLevel="0" collapsed="false">
      <c r="B7" s="8" t="s">
        <v>35</v>
      </c>
      <c r="C7" s="23" t="n">
        <v>2025</v>
      </c>
      <c r="D7" s="21" t="s">
        <v>36</v>
      </c>
    </row>
    <row r="8" customFormat="false" ht="15" hidden="false" customHeight="false" outlineLevel="0" collapsed="false">
      <c r="B8" s="16" t="s">
        <v>37</v>
      </c>
      <c r="C8" s="24"/>
      <c r="D8" s="24"/>
    </row>
    <row r="9" customFormat="false" ht="15" hidden="false" customHeight="false" outlineLevel="0" collapsed="false">
      <c r="B9" s="8" t="s">
        <v>38</v>
      </c>
      <c r="C9" s="25" t="n">
        <v>2000000</v>
      </c>
      <c r="D9" s="21" t="s">
        <v>39</v>
      </c>
    </row>
    <row r="10" customFormat="false" ht="15" hidden="false" customHeight="false" outlineLevel="0" collapsed="false">
      <c r="B10" s="8" t="s">
        <v>40</v>
      </c>
      <c r="C10" s="25" t="n">
        <v>1500000</v>
      </c>
      <c r="D10" s="21" t="s">
        <v>41</v>
      </c>
    </row>
    <row r="11" customFormat="false" ht="15" hidden="false" customHeight="false" outlineLevel="0" collapsed="false">
      <c r="B11" s="8" t="s">
        <v>42</v>
      </c>
      <c r="C11" s="25" t="n">
        <v>1000000</v>
      </c>
      <c r="D11" s="21" t="s">
        <v>43</v>
      </c>
    </row>
    <row r="12" customFormat="false" ht="15" hidden="false" customHeight="false" outlineLevel="0" collapsed="false">
      <c r="B12" s="8" t="s">
        <v>44</v>
      </c>
      <c r="C12" s="25" t="n">
        <v>800000</v>
      </c>
      <c r="D12" s="21" t="s">
        <v>45</v>
      </c>
    </row>
    <row r="13" customFormat="false" ht="15" hidden="false" customHeight="false" outlineLevel="0" collapsed="false">
      <c r="B13" s="16" t="s">
        <v>46</v>
      </c>
      <c r="C13" s="24"/>
      <c r="D13" s="24"/>
    </row>
    <row r="14" customFormat="false" ht="15" hidden="false" customHeight="false" outlineLevel="0" collapsed="false">
      <c r="B14" s="8" t="s">
        <v>47</v>
      </c>
      <c r="C14" s="26" t="n">
        <v>0.02</v>
      </c>
      <c r="D14" s="21" t="s">
        <v>48</v>
      </c>
    </row>
    <row r="15" customFormat="false" ht="15" hidden="false" customHeight="false" outlineLevel="0" collapsed="false">
      <c r="B15" s="8" t="s">
        <v>49</v>
      </c>
      <c r="C15" s="26" t="n">
        <v>0.08</v>
      </c>
      <c r="D15" s="21" t="s">
        <v>50</v>
      </c>
    </row>
    <row r="16" customFormat="false" ht="15" hidden="false" customHeight="false" outlineLevel="0" collapsed="false">
      <c r="B16" s="8" t="s">
        <v>51</v>
      </c>
      <c r="C16" s="25" t="n">
        <v>10000000</v>
      </c>
      <c r="D16" s="21" t="s">
        <v>52</v>
      </c>
    </row>
    <row r="17" customFormat="false" ht="15" hidden="false" customHeight="false" outlineLevel="0" collapsed="false">
      <c r="B17" s="16" t="s">
        <v>53</v>
      </c>
      <c r="C17" s="24"/>
      <c r="D17" s="24"/>
    </row>
    <row r="18" customFormat="false" ht="15" hidden="false" customHeight="false" outlineLevel="0" collapsed="false">
      <c r="B18" s="8" t="s">
        <v>54</v>
      </c>
      <c r="C18" s="23" t="n">
        <v>4</v>
      </c>
      <c r="D18" s="21" t="s">
        <v>55</v>
      </c>
    </row>
    <row r="19" customFormat="false" ht="15" hidden="false" customHeight="false" outlineLevel="0" collapsed="false">
      <c r="B19" s="8" t="s">
        <v>56</v>
      </c>
      <c r="C19" s="23" t="n">
        <v>1</v>
      </c>
      <c r="D19" s="21" t="s">
        <v>55</v>
      </c>
    </row>
    <row r="20" customFormat="false" ht="15" hidden="false" customHeight="false" outlineLevel="0" collapsed="false">
      <c r="B20" s="8" t="s">
        <v>57</v>
      </c>
      <c r="C20" s="26" t="n">
        <v>0.25</v>
      </c>
      <c r="D20" s="21" t="s">
        <v>58</v>
      </c>
    </row>
    <row r="21" customFormat="false" ht="15" hidden="false" customHeight="false" outlineLevel="0" collapsed="false">
      <c r="B21" s="8" t="s">
        <v>59</v>
      </c>
      <c r="C21" s="26" t="n">
        <v>0.2</v>
      </c>
      <c r="D21" s="21" t="s">
        <v>60</v>
      </c>
    </row>
    <row r="22" customFormat="false" ht="15" hidden="false" customHeight="false" outlineLevel="0" collapsed="false">
      <c r="B22" s="16" t="s">
        <v>61</v>
      </c>
      <c r="C22" s="24"/>
      <c r="D22" s="24"/>
    </row>
    <row r="23" customFormat="false" ht="15" hidden="false" customHeight="false" outlineLevel="0" collapsed="false">
      <c r="B23" s="8" t="s">
        <v>62</v>
      </c>
      <c r="C23" s="26" t="n">
        <v>0.6</v>
      </c>
      <c r="D23" s="21" t="s">
        <v>63</v>
      </c>
    </row>
    <row r="24" customFormat="false" ht="15" hidden="false" customHeight="false" outlineLevel="0" collapsed="false">
      <c r="B24" s="16" t="s">
        <v>64</v>
      </c>
      <c r="C24" s="24"/>
      <c r="D24" s="24"/>
    </row>
    <row r="25" customFormat="false" ht="15" hidden="false" customHeight="false" outlineLevel="0" collapsed="false">
      <c r="B25" s="8" t="s">
        <v>65</v>
      </c>
      <c r="C25" s="27" t="n">
        <v>1.5</v>
      </c>
      <c r="D25" s="21" t="s">
        <v>66</v>
      </c>
    </row>
    <row r="26" customFormat="false" ht="15" hidden="false" customHeight="false" outlineLevel="0" collapsed="false">
      <c r="B26" s="8" t="s">
        <v>67</v>
      </c>
      <c r="C26" s="26" t="n">
        <v>0.3</v>
      </c>
      <c r="D26" s="21" t="s">
        <v>68</v>
      </c>
    </row>
    <row r="27" customFormat="false" ht="15" hidden="false" customHeight="false" outlineLevel="0" collapsed="false">
      <c r="B27" s="16" t="s">
        <v>69</v>
      </c>
      <c r="C27" s="24"/>
      <c r="D27" s="24"/>
    </row>
    <row r="28" customFormat="false" ht="15" hidden="false" customHeight="false" outlineLevel="0" collapsed="false">
      <c r="B28" s="8" t="s">
        <v>70</v>
      </c>
      <c r="C28" s="26" t="n">
        <v>0.4</v>
      </c>
      <c r="D28" s="21" t="s">
        <v>71</v>
      </c>
    </row>
    <row r="29" customFormat="false" ht="15" hidden="false" customHeight="false" outlineLevel="0" collapsed="false">
      <c r="B29" s="16" t="s">
        <v>72</v>
      </c>
      <c r="C29" s="24"/>
      <c r="D29" s="24"/>
    </row>
    <row r="30" customFormat="false" ht="15" hidden="false" customHeight="false" outlineLevel="0" collapsed="false">
      <c r="B30" s="8" t="s">
        <v>73</v>
      </c>
      <c r="C30" s="25" t="n">
        <v>6000000</v>
      </c>
    </row>
    <row r="31" customFormat="false" ht="15" hidden="false" customHeight="false" outlineLevel="0" collapsed="false">
      <c r="B31" s="8" t="s">
        <v>74</v>
      </c>
      <c r="C31" s="25" t="n">
        <v>2000000</v>
      </c>
      <c r="D31" s="21" t="s">
        <v>75</v>
      </c>
    </row>
    <row r="32" customFormat="false" ht="15" hidden="false" customHeight="false" outlineLevel="0" collapsed="false">
      <c r="B32" s="8" t="s">
        <v>76</v>
      </c>
      <c r="C32" s="25" t="n">
        <v>1500000</v>
      </c>
      <c r="D32" s="21" t="s">
        <v>77</v>
      </c>
    </row>
    <row r="33" customFormat="false" ht="15" hidden="false" customHeight="false" outlineLevel="0" collapsed="false">
      <c r="B33" s="8" t="s">
        <v>78</v>
      </c>
      <c r="C33" s="25" t="n">
        <v>1000000</v>
      </c>
      <c r="D33" s="21" t="s">
        <v>79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B1: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7.5" hidden="false" customHeight="true" outlineLevel="0" collapsed="false"/>
    <row r="2" customFormat="false" ht="17.35" hidden="false" customHeight="false" outlineLevel="0" collapsed="false">
      <c r="B2" s="22" t="s">
        <v>80</v>
      </c>
    </row>
    <row r="3" customFormat="false" ht="15" hidden="false" customHeight="false" outlineLevel="0" collapsed="false">
      <c r="B3" s="21" t="s">
        <v>81</v>
      </c>
    </row>
    <row r="4" customFormat="false" ht="15" hidden="false" customHeight="false" outlineLevel="0" collapsed="false">
      <c r="B4" s="28"/>
      <c r="C4" s="29" t="s">
        <v>82</v>
      </c>
      <c r="D4" s="29" t="s">
        <v>83</v>
      </c>
      <c r="E4" s="29" t="s">
        <v>84</v>
      </c>
      <c r="F4" s="29" t="s">
        <v>85</v>
      </c>
      <c r="G4" s="29" t="s">
        <v>86</v>
      </c>
    </row>
    <row r="5" customFormat="false" ht="15" hidden="false" customHeight="false" outlineLevel="0" collapsed="false">
      <c r="B5" s="16" t="s">
        <v>36</v>
      </c>
      <c r="C5" s="30" t="n">
        <f aca="false">Model_Start_Year</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B6" s="16" t="s">
        <v>87</v>
      </c>
      <c r="C6" s="30" t="n">
        <v>1</v>
      </c>
      <c r="D6" s="30" t="n">
        <v>2</v>
      </c>
      <c r="E6" s="30" t="n">
        <v>3</v>
      </c>
      <c r="F6" s="30" t="n">
        <v>4</v>
      </c>
      <c r="G6" s="30" t="n">
        <v>5</v>
      </c>
    </row>
    <row r="7" customFormat="false" ht="15" hidden="false" customHeight="false" outlineLevel="0" collapsed="false">
      <c r="B7" s="8" t="s">
        <v>88</v>
      </c>
      <c r="C7" s="31" t="n">
        <f aca="false">Founding_Pool</f>
        <v>2000000</v>
      </c>
      <c r="D7" s="31" t="n">
        <f aca="false">PS_Closing_Y1</f>
        <v>3340000</v>
      </c>
      <c r="E7" s="31" t="n">
        <f aca="false">PS_Closing_Y2</f>
        <v>3212000</v>
      </c>
      <c r="F7" s="31" t="n">
        <f aca="false">PS_Closing_Y3</f>
        <v>4099040</v>
      </c>
      <c r="G7" s="31" t="n">
        <f aca="false">PS_Closing_Y4</f>
        <v>3992304</v>
      </c>
    </row>
    <row r="8" customFormat="false" ht="15" hidden="false" customHeight="false" outlineLevel="0" collapsed="false">
      <c r="B8" s="8" t="s">
        <v>89</v>
      </c>
      <c r="C8" s="31" t="n">
        <f aca="false">IF(C6=1,Expansion_Y1,IF(C6=3,Expansion_Y3,IF(C6=5,Expansion_Y5,0)))</f>
        <v>1500000</v>
      </c>
      <c r="D8" s="31" t="n">
        <f aca="false">IF(D6=1,Expansion_Y1,IF(D6=3,Expansion_Y3,IF(D6=5,Expansion_Y5,0)))</f>
        <v>0</v>
      </c>
      <c r="E8" s="31" t="n">
        <f aca="false">IF(E6=1,Expansion_Y1,IF(E6=3,Expansion_Y3,IF(E6=5,Expansion_Y5,0)))</f>
        <v>1000000</v>
      </c>
      <c r="F8" s="31" t="n">
        <f aca="false">IF(F6=1,Expansion_Y1,IF(F6=3,Expansion_Y3,IF(F6=5,Expansion_Y5,0)))</f>
        <v>0</v>
      </c>
      <c r="G8" s="31" t="n">
        <f aca="false">IF(G6=1,Expansion_Y1,IF(G6=3,Expansion_Y3,IF(G6=5,Expansion_Y5,0)))</f>
        <v>800000</v>
      </c>
    </row>
    <row r="9" customFormat="false" ht="15" hidden="false" customHeight="false" outlineLevel="0" collapsed="false">
      <c r="B9" s="8" t="s">
        <v>90</v>
      </c>
      <c r="C9" s="31" t="n">
        <f aca="false">FD_Base*NewHire_Pct</f>
        <v>200000</v>
      </c>
      <c r="D9" s="31" t="n">
        <f aca="false">FD_Base*NewHire_Pct</f>
        <v>200000</v>
      </c>
      <c r="E9" s="31" t="n">
        <f aca="false">FD_Base*NewHire_Pct</f>
        <v>200000</v>
      </c>
      <c r="F9" s="31" t="n">
        <f aca="false">FD_Base*NewHire_Pct</f>
        <v>200000</v>
      </c>
      <c r="G9" s="31" t="n">
        <f aca="false">FD_Base*NewHire_Pct</f>
        <v>200000</v>
      </c>
    </row>
    <row r="10" customFormat="false" ht="15" hidden="false" customHeight="false" outlineLevel="0" collapsed="false">
      <c r="B10" s="8" t="s">
        <v>91</v>
      </c>
      <c r="C10" s="31" t="n">
        <f aca="false">0</f>
        <v>0</v>
      </c>
      <c r="D10" s="31" t="n">
        <f aca="false">VS_Outstanding_Y1*Refresh_Pct</f>
        <v>0</v>
      </c>
      <c r="E10" s="31" t="n">
        <f aca="false">VS_Outstanding_Y2*Refresh_Pct</f>
        <v>3200</v>
      </c>
      <c r="F10" s="31" t="n">
        <f aca="false">VS_Outstanding_Y3*Refresh_Pct</f>
        <v>8160</v>
      </c>
      <c r="G10" s="31" t="n">
        <f aca="false">VS_Outstanding_Y4*Refresh_Pct</f>
        <v>14139.2</v>
      </c>
    </row>
    <row r="11" customFormat="false" ht="15" hidden="false" customHeight="false" outlineLevel="0" collapsed="false">
      <c r="B11" s="8" t="s">
        <v>92</v>
      </c>
      <c r="C11" s="31" t="n">
        <f aca="false">C9+C10</f>
        <v>200000</v>
      </c>
      <c r="D11" s="31" t="n">
        <f aca="false">D9+D10</f>
        <v>200000</v>
      </c>
      <c r="E11" s="31" t="n">
        <f aca="false">E9+E10</f>
        <v>203200</v>
      </c>
      <c r="F11" s="31" t="n">
        <f aca="false">F9+F10</f>
        <v>208160</v>
      </c>
      <c r="G11" s="31" t="n">
        <f aca="false">G9+G10</f>
        <v>214139.2</v>
      </c>
    </row>
    <row r="12" customFormat="false" ht="15" hidden="false" customHeight="false" outlineLevel="0" collapsed="false">
      <c r="B12" s="6" t="s">
        <v>93</v>
      </c>
      <c r="C12" s="32" t="n">
        <f aca="false">MIN(C11,C7+C8)</f>
        <v>200000</v>
      </c>
      <c r="D12" s="32" t="n">
        <f aca="false">MIN(D11,D7+D8)</f>
        <v>200000</v>
      </c>
      <c r="E12" s="32" t="n">
        <f aca="false">MIN(E11,E7+E8)</f>
        <v>203200</v>
      </c>
      <c r="F12" s="32" t="n">
        <f aca="false">MIN(F11,F7+F8)</f>
        <v>208160</v>
      </c>
      <c r="G12" s="32" t="n">
        <f aca="false">MIN(G11,G7+G8)</f>
        <v>214139.2</v>
      </c>
    </row>
    <row r="13" customFormat="false" ht="15" hidden="false" customHeight="false" outlineLevel="0" collapsed="false">
      <c r="B13" s="8" t="s">
        <v>94</v>
      </c>
      <c r="C13" s="31" t="n">
        <f aca="false">VS_Forfeitures_Per_Y1</f>
        <v>40000</v>
      </c>
      <c r="D13" s="31" t="n">
        <f aca="false">VS_Forfeitures_Per_Y2</f>
        <v>72000</v>
      </c>
      <c r="E13" s="31" t="n">
        <f aca="false">VS_Forfeitures_Per_Y3</f>
        <v>90240</v>
      </c>
      <c r="F13" s="31" t="n">
        <f aca="false">VS_Forfeitures_Per_Y4</f>
        <v>101424</v>
      </c>
      <c r="G13" s="31" t="n">
        <f aca="false">VS_Forfeitures_Per_Y5</f>
        <v>109019.04</v>
      </c>
    </row>
    <row r="14" customFormat="false" ht="15" hidden="false" customHeight="false" outlineLevel="0" collapsed="false">
      <c r="B14" s="6" t="s">
        <v>95</v>
      </c>
      <c r="C14" s="33" t="n">
        <f aca="false">C7+C8-C12+C13</f>
        <v>3340000</v>
      </c>
      <c r="D14" s="33" t="n">
        <f aca="false">D7+D8-D12+D13</f>
        <v>3212000</v>
      </c>
      <c r="E14" s="33" t="n">
        <f aca="false">E7+E8-E12+E13</f>
        <v>4099040</v>
      </c>
      <c r="F14" s="33" t="n">
        <f aca="false">F7+F8-F12+F13</f>
        <v>3992304</v>
      </c>
      <c r="G14" s="33" t="n">
        <f aca="false">G7+G8-G12+G13</f>
        <v>4687183.84</v>
      </c>
    </row>
    <row r="15" customFormat="false" ht="15" hidden="false" customHeight="false" outlineLevel="0" collapsed="false">
      <c r="B15" s="8" t="s">
        <v>96</v>
      </c>
      <c r="C15" s="31" t="n">
        <f aca="false">C12</f>
        <v>200000</v>
      </c>
      <c r="D15" s="31" t="n">
        <f aca="false">C15+D12</f>
        <v>400000</v>
      </c>
      <c r="E15" s="31" t="n">
        <f aca="false">D15+E12</f>
        <v>603200</v>
      </c>
      <c r="F15" s="31" t="n">
        <f aca="false">E15+F12</f>
        <v>811360</v>
      </c>
      <c r="G15" s="31" t="n">
        <f aca="false">F15+G12</f>
        <v>1025499.2</v>
      </c>
    </row>
    <row r="16" customFormat="false" ht="15" hidden="false" customHeight="false" outlineLevel="0" collapsed="false">
      <c r="B16" s="8" t="s">
        <v>97</v>
      </c>
      <c r="C16" s="31" t="n">
        <f aca="false">C13</f>
        <v>40000</v>
      </c>
      <c r="D16" s="31" t="n">
        <f aca="false">C16+D13</f>
        <v>112000</v>
      </c>
      <c r="E16" s="31" t="n">
        <f aca="false">D16+E13</f>
        <v>202240</v>
      </c>
      <c r="F16" s="31" t="n">
        <f aca="false">E16+F13</f>
        <v>303664</v>
      </c>
      <c r="G16" s="31" t="n">
        <f aca="false">F16+G13</f>
        <v>412683.04</v>
      </c>
    </row>
    <row r="17" customFormat="false" ht="15" hidden="false" customHeight="false" outlineLevel="0" collapsed="false">
      <c r="B17" s="8" t="s">
        <v>98</v>
      </c>
      <c r="C17" s="34" t="n">
        <f aca="false">IFERROR(C15/(Founding_Pool+C8),0)</f>
        <v>0.0571428571428571</v>
      </c>
      <c r="D17" s="34" t="n">
        <f aca="false">IFERROR(D15/(Founding_Pool+SUM($C$8:D8)),0)</f>
        <v>0.114285714285714</v>
      </c>
      <c r="E17" s="34" t="n">
        <f aca="false">IFERROR(E15/(Founding_Pool+SUM($C$8:E8)),0)</f>
        <v>0.134044444444444</v>
      </c>
      <c r="F17" s="34" t="n">
        <f aca="false">IFERROR(F15/(Founding_Pool+SUM($C$8:F8)),0)</f>
        <v>0.180302222222222</v>
      </c>
      <c r="G17" s="34" t="n">
        <f aca="false">IFERROR(G15/(Founding_Pool+SUM($C$8:G8)),0)</f>
        <v>0.19349041509434</v>
      </c>
    </row>
    <row r="18" customFormat="false" ht="15" hidden="false" customHeight="false" outlineLevel="0" collapsed="false">
      <c r="B18" s="8" t="s">
        <v>99</v>
      </c>
      <c r="C18" s="34" t="n">
        <f aca="false">IFERROR(C14/(Founding_Pool+C8),0)</f>
        <v>0.954285714285714</v>
      </c>
      <c r="D18" s="34" t="n">
        <f aca="false">IFERROR(D14/(Founding_Pool+SUM($C$8:D8)),0)</f>
        <v>0.917714285714286</v>
      </c>
      <c r="E18" s="34" t="n">
        <f aca="false">IFERROR(E14/(Founding_Pool+SUM($C$8:E8)),0)</f>
        <v>0.910897777777778</v>
      </c>
      <c r="F18" s="34" t="n">
        <f aca="false">IFERROR(F14/(Founding_Pool+SUM($C$8:F8)),0)</f>
        <v>0.887178666666667</v>
      </c>
      <c r="G18" s="34" t="n">
        <f aca="false">IFERROR(G14/(Founding_Pool+SUM($C$8:G8)),0)</f>
        <v>0.884374309433962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B1:G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7.5" hidden="false" customHeight="true" outlineLevel="0" collapsed="false"/>
    <row r="2" customFormat="false" ht="17.35" hidden="false" customHeight="false" outlineLevel="0" collapsed="false">
      <c r="B2" s="22" t="s">
        <v>100</v>
      </c>
    </row>
    <row r="3" customFormat="false" ht="15" hidden="false" customHeight="false" outlineLevel="0" collapsed="false">
      <c r="B3" s="21" t="s">
        <v>101</v>
      </c>
    </row>
    <row r="4" customFormat="false" ht="15" hidden="false" customHeight="false" outlineLevel="0" collapsed="false">
      <c r="B4" s="28"/>
      <c r="C4" s="29" t="s">
        <v>82</v>
      </c>
      <c r="D4" s="29" t="s">
        <v>83</v>
      </c>
      <c r="E4" s="29" t="s">
        <v>84</v>
      </c>
      <c r="F4" s="29" t="s">
        <v>85</v>
      </c>
      <c r="G4" s="29" t="s">
        <v>86</v>
      </c>
    </row>
    <row r="5" customFormat="false" ht="15" hidden="false" customHeight="false" outlineLevel="0" collapsed="false">
      <c r="B5" s="8" t="s">
        <v>36</v>
      </c>
      <c r="C5" s="35" t="n">
        <f aca="false">Model_Start_Year</f>
        <v>2025</v>
      </c>
      <c r="D5" s="35" t="n">
        <f aca="false">Model_Start_Year+1</f>
        <v>2026</v>
      </c>
      <c r="E5" s="35" t="n">
        <f aca="false">Model_Start_Year+2</f>
        <v>2027</v>
      </c>
      <c r="F5" s="35" t="n">
        <f aca="false">Model_Start_Year+3</f>
        <v>2028</v>
      </c>
      <c r="G5" s="35" t="n">
        <f aca="false">Model_Start_Year+4</f>
        <v>2029</v>
      </c>
    </row>
    <row r="6" customFormat="false" ht="15" hidden="false" customHeight="false" outlineLevel="0" collapsed="false">
      <c r="B6" s="8" t="s">
        <v>87</v>
      </c>
      <c r="C6" s="35" t="n">
        <v>1</v>
      </c>
      <c r="D6" s="35" t="n">
        <v>2</v>
      </c>
      <c r="E6" s="35" t="n">
        <v>3</v>
      </c>
      <c r="F6" s="35" t="n">
        <v>4</v>
      </c>
      <c r="G6" s="35" t="n">
        <v>5</v>
      </c>
    </row>
    <row r="7" customFormat="false" ht="15" hidden="false" customHeight="false" outlineLevel="0" collapsed="false">
      <c r="B7" s="36" t="s">
        <v>102</v>
      </c>
      <c r="C7" s="10"/>
      <c r="D7" s="10"/>
      <c r="E7" s="10"/>
      <c r="F7" s="10"/>
      <c r="G7" s="10"/>
    </row>
    <row r="8" customFormat="false" ht="15" hidden="false" customHeight="false" outlineLevel="0" collapsed="false">
      <c r="B8" s="8" t="s">
        <v>103</v>
      </c>
      <c r="C8" s="31" t="n">
        <f aca="false">PS_Total_Grants_Y1</f>
        <v>200000</v>
      </c>
      <c r="D8" s="31" t="n">
        <f aca="false">0</f>
        <v>0</v>
      </c>
      <c r="E8" s="31" t="n">
        <f aca="false">0</f>
        <v>0</v>
      </c>
      <c r="F8" s="31" t="n">
        <f aca="false">0</f>
        <v>0</v>
      </c>
      <c r="G8" s="31" t="n">
        <f aca="false">0</f>
        <v>0</v>
      </c>
    </row>
    <row r="9" customFormat="false" ht="15" hidden="false" customHeight="false" outlineLevel="0" collapsed="false">
      <c r="B9" s="8" t="s">
        <v>104</v>
      </c>
      <c r="C9" s="31" t="n">
        <f aca="false">C8</f>
        <v>200000</v>
      </c>
      <c r="D9" s="31" t="n">
        <f aca="false">C12</f>
        <v>160000</v>
      </c>
      <c r="E9" s="31" t="n">
        <f aca="false">D12</f>
        <v>88000</v>
      </c>
      <c r="F9" s="31" t="n">
        <f aca="false">E12</f>
        <v>48400</v>
      </c>
      <c r="G9" s="31" t="n">
        <f aca="false">F12</f>
        <v>26620</v>
      </c>
    </row>
    <row r="10" customFormat="false" ht="15" hidden="false" customHeight="false" outlineLevel="0" collapsed="false">
      <c r="B10" s="8" t="s">
        <v>53</v>
      </c>
      <c r="C10" s="31" t="n">
        <f aca="false">IF(AND(C$6&gt;=1+Cliff_Period,C$6&lt;1+Vesting_Period),C9*Annual_Vest_Pct,0)</f>
        <v>0</v>
      </c>
      <c r="D10" s="31" t="n">
        <f aca="false">IF(AND(D$6&gt;=1+Cliff_Period,D$6&lt;1+Vesting_Period),D9*Annual_Vest_Pct,0)</f>
        <v>40000</v>
      </c>
      <c r="E10" s="31" t="n">
        <f aca="false">IF(AND(E$6&gt;=1+Cliff_Period,E$6&lt;1+Vesting_Period),E9*Annual_Vest_Pct,0)</f>
        <v>22000</v>
      </c>
      <c r="F10" s="31" t="n">
        <f aca="false">IF(AND(F$6&gt;=1+Cliff_Period,F$6&lt;1+Vesting_Period),F9*Annual_Vest_Pct,0)</f>
        <v>12100</v>
      </c>
      <c r="G10" s="31" t="n">
        <f aca="false">IF(AND(G$6&gt;=1+Cliff_Period,G$6&lt;1+Vesting_Period),G9*Annual_Vest_Pct,0)</f>
        <v>0</v>
      </c>
    </row>
    <row r="11" customFormat="false" ht="15" hidden="false" customHeight="false" outlineLevel="0" collapsed="false">
      <c r="B11" s="8" t="s">
        <v>105</v>
      </c>
      <c r="C11" s="31" t="n">
        <f aca="false">C9*Forfeiture_Rate</f>
        <v>40000</v>
      </c>
      <c r="D11" s="31" t="n">
        <f aca="false">D9*Forfeiture_Rate</f>
        <v>32000</v>
      </c>
      <c r="E11" s="31" t="n">
        <f aca="false">E9*Forfeiture_Rate</f>
        <v>17600</v>
      </c>
      <c r="F11" s="31" t="n">
        <f aca="false">F9*Forfeiture_Rate</f>
        <v>9680</v>
      </c>
      <c r="G11" s="31" t="n">
        <f aca="false">G9*Forfeiture_Rate</f>
        <v>5324</v>
      </c>
    </row>
    <row r="12" customFormat="false" ht="15" hidden="false" customHeight="false" outlineLevel="0" collapsed="false">
      <c r="B12" s="8" t="s">
        <v>106</v>
      </c>
      <c r="C12" s="31" t="n">
        <f aca="false">C9-C10-C11</f>
        <v>160000</v>
      </c>
      <c r="D12" s="31" t="n">
        <f aca="false">D9-D10-D11</f>
        <v>88000</v>
      </c>
      <c r="E12" s="31" t="n">
        <f aca="false">E9-E10-E11</f>
        <v>48400</v>
      </c>
      <c r="F12" s="31" t="n">
        <f aca="false">F9-F10-F11</f>
        <v>26620</v>
      </c>
      <c r="G12" s="31" t="n">
        <f aca="false">G9-G10-G11</f>
        <v>21296</v>
      </c>
    </row>
    <row r="13" customFormat="false" ht="15" hidden="false" customHeight="false" outlineLevel="0" collapsed="false">
      <c r="B13" s="8" t="s">
        <v>107</v>
      </c>
      <c r="C13" s="31" t="n">
        <f aca="false">0</f>
        <v>0</v>
      </c>
      <c r="D13" s="31" t="n">
        <f aca="false">D10</f>
        <v>40000</v>
      </c>
      <c r="E13" s="31" t="n">
        <f aca="false">D13+E10</f>
        <v>62000</v>
      </c>
      <c r="F13" s="31" t="n">
        <f aca="false">E13+F10</f>
        <v>74100</v>
      </c>
      <c r="G13" s="31" t="n">
        <f aca="false">F13+G10</f>
        <v>74100</v>
      </c>
    </row>
    <row r="14" customFormat="false" ht="15" hidden="false" customHeight="false" outlineLevel="0" collapsed="false">
      <c r="B14" s="8" t="s">
        <v>108</v>
      </c>
      <c r="C14" s="31" t="n">
        <f aca="false">C13</f>
        <v>0</v>
      </c>
      <c r="D14" s="31" t="n">
        <f aca="false">D13</f>
        <v>40000</v>
      </c>
      <c r="E14" s="31" t="n">
        <f aca="false">E13</f>
        <v>62000</v>
      </c>
      <c r="F14" s="31" t="n">
        <f aca="false">F13</f>
        <v>74100</v>
      </c>
      <c r="G14" s="31" t="n">
        <f aca="false">G13</f>
        <v>74100</v>
      </c>
    </row>
    <row r="16" customFormat="false" ht="15" hidden="false" customHeight="false" outlineLevel="0" collapsed="false">
      <c r="B16" s="36" t="s">
        <v>109</v>
      </c>
      <c r="C16" s="10"/>
      <c r="D16" s="10"/>
      <c r="E16" s="10"/>
      <c r="F16" s="10"/>
      <c r="G16" s="10"/>
    </row>
    <row r="17" customFormat="false" ht="15" hidden="false" customHeight="false" outlineLevel="0" collapsed="false">
      <c r="B17" s="8" t="s">
        <v>103</v>
      </c>
      <c r="C17" s="31" t="n">
        <f aca="false">0</f>
        <v>0</v>
      </c>
      <c r="D17" s="31" t="n">
        <f aca="false">PS_Total_Grants_Y2</f>
        <v>200000</v>
      </c>
      <c r="E17" s="31" t="n">
        <f aca="false">0</f>
        <v>0</v>
      </c>
      <c r="F17" s="31" t="n">
        <f aca="false">0</f>
        <v>0</v>
      </c>
      <c r="G17" s="31" t="n">
        <f aca="false">0</f>
        <v>0</v>
      </c>
    </row>
    <row r="18" customFormat="false" ht="15" hidden="false" customHeight="false" outlineLevel="0" collapsed="false">
      <c r="B18" s="8" t="s">
        <v>104</v>
      </c>
      <c r="C18" s="31" t="n">
        <f aca="false">0</f>
        <v>0</v>
      </c>
      <c r="D18" s="31" t="n">
        <f aca="false">D17</f>
        <v>200000</v>
      </c>
      <c r="E18" s="31" t="n">
        <f aca="false">D21</f>
        <v>160000</v>
      </c>
      <c r="F18" s="31" t="n">
        <f aca="false">E21</f>
        <v>88000</v>
      </c>
      <c r="G18" s="31" t="n">
        <f aca="false">F21</f>
        <v>48400</v>
      </c>
    </row>
    <row r="19" customFormat="false" ht="15" hidden="false" customHeight="false" outlineLevel="0" collapsed="false">
      <c r="B19" s="8" t="s">
        <v>53</v>
      </c>
      <c r="C19" s="31" t="n">
        <f aca="false">0</f>
        <v>0</v>
      </c>
      <c r="D19" s="31" t="n">
        <f aca="false">IF(AND(D$6&gt;=2+Cliff_Period,D$6&lt;2+Vesting_Period),D18*Annual_Vest_Pct,0)</f>
        <v>0</v>
      </c>
      <c r="E19" s="31" t="n">
        <f aca="false">IF(AND(E$6&gt;=2+Cliff_Period,E$6&lt;2+Vesting_Period),E18*Annual_Vest_Pct,0)</f>
        <v>40000</v>
      </c>
      <c r="F19" s="31" t="n">
        <f aca="false">IF(AND(F$6&gt;=2+Cliff_Period,F$6&lt;2+Vesting_Period),F18*Annual_Vest_Pct,0)</f>
        <v>22000</v>
      </c>
      <c r="G19" s="31" t="n">
        <f aca="false">IF(AND(G$6&gt;=2+Cliff_Period,G$6&lt;2+Vesting_Period),G18*Annual_Vest_Pct,0)</f>
        <v>12100</v>
      </c>
    </row>
    <row r="20" customFormat="false" ht="15" hidden="false" customHeight="false" outlineLevel="0" collapsed="false">
      <c r="B20" s="8" t="s">
        <v>105</v>
      </c>
      <c r="C20" s="31" t="n">
        <f aca="false">0</f>
        <v>0</v>
      </c>
      <c r="D20" s="31" t="n">
        <f aca="false">D18*Forfeiture_Rate</f>
        <v>40000</v>
      </c>
      <c r="E20" s="31" t="n">
        <f aca="false">E18*Forfeiture_Rate</f>
        <v>32000</v>
      </c>
      <c r="F20" s="31" t="n">
        <f aca="false">F18*Forfeiture_Rate</f>
        <v>17600</v>
      </c>
      <c r="G20" s="31" t="n">
        <f aca="false">G18*Forfeiture_Rate</f>
        <v>9680</v>
      </c>
    </row>
    <row r="21" customFormat="false" ht="15" hidden="false" customHeight="false" outlineLevel="0" collapsed="false">
      <c r="B21" s="8" t="s">
        <v>106</v>
      </c>
      <c r="C21" s="31" t="n">
        <f aca="false">0</f>
        <v>0</v>
      </c>
      <c r="D21" s="31" t="n">
        <f aca="false">D18-D19-D20</f>
        <v>160000</v>
      </c>
      <c r="E21" s="31" t="n">
        <f aca="false">E18-E19-E20</f>
        <v>88000</v>
      </c>
      <c r="F21" s="31" t="n">
        <f aca="false">F18-F19-F20</f>
        <v>48400</v>
      </c>
      <c r="G21" s="31" t="n">
        <f aca="false">G18-G19-G20</f>
        <v>26620</v>
      </c>
    </row>
    <row r="22" customFormat="false" ht="15" hidden="false" customHeight="false" outlineLevel="0" collapsed="false">
      <c r="B22" s="8" t="s">
        <v>107</v>
      </c>
      <c r="C22" s="31" t="n">
        <f aca="false">0</f>
        <v>0</v>
      </c>
      <c r="D22" s="31" t="n">
        <f aca="false">0</f>
        <v>0</v>
      </c>
      <c r="E22" s="31" t="n">
        <f aca="false">E19</f>
        <v>40000</v>
      </c>
      <c r="F22" s="31" t="n">
        <f aca="false">E22+F19</f>
        <v>62000</v>
      </c>
      <c r="G22" s="31" t="n">
        <f aca="false">F22+G19</f>
        <v>74100</v>
      </c>
    </row>
    <row r="23" customFormat="false" ht="15" hidden="false" customHeight="false" outlineLevel="0" collapsed="false">
      <c r="B23" s="8" t="s">
        <v>108</v>
      </c>
      <c r="C23" s="31" t="n">
        <f aca="false">C22</f>
        <v>0</v>
      </c>
      <c r="D23" s="31" t="n">
        <f aca="false">D22</f>
        <v>0</v>
      </c>
      <c r="E23" s="31" t="n">
        <f aca="false">E22</f>
        <v>40000</v>
      </c>
      <c r="F23" s="31" t="n">
        <f aca="false">F22</f>
        <v>62000</v>
      </c>
      <c r="G23" s="31" t="n">
        <f aca="false">G22</f>
        <v>74100</v>
      </c>
    </row>
    <row r="25" customFormat="false" ht="15" hidden="false" customHeight="false" outlineLevel="0" collapsed="false">
      <c r="B25" s="36" t="s">
        <v>110</v>
      </c>
      <c r="C25" s="10"/>
      <c r="D25" s="10"/>
      <c r="E25" s="10"/>
      <c r="F25" s="10"/>
      <c r="G25" s="10"/>
    </row>
    <row r="26" customFormat="false" ht="15" hidden="false" customHeight="false" outlineLevel="0" collapsed="false">
      <c r="B26" s="8" t="s">
        <v>103</v>
      </c>
      <c r="C26" s="31" t="n">
        <f aca="false">0</f>
        <v>0</v>
      </c>
      <c r="D26" s="31" t="n">
        <f aca="false">0</f>
        <v>0</v>
      </c>
      <c r="E26" s="31" t="n">
        <f aca="false">PS_Total_Grants_Y3</f>
        <v>203200</v>
      </c>
      <c r="F26" s="31" t="n">
        <f aca="false">0</f>
        <v>0</v>
      </c>
      <c r="G26" s="31" t="n">
        <f aca="false">0</f>
        <v>0</v>
      </c>
    </row>
    <row r="27" customFormat="false" ht="15" hidden="false" customHeight="false" outlineLevel="0" collapsed="false">
      <c r="B27" s="8" t="s">
        <v>104</v>
      </c>
      <c r="C27" s="31" t="n">
        <f aca="false">0</f>
        <v>0</v>
      </c>
      <c r="D27" s="31" t="n">
        <f aca="false">0</f>
        <v>0</v>
      </c>
      <c r="E27" s="31" t="n">
        <f aca="false">E26</f>
        <v>203200</v>
      </c>
      <c r="F27" s="31" t="n">
        <f aca="false">E30</f>
        <v>162560</v>
      </c>
      <c r="G27" s="31" t="n">
        <f aca="false">F30</f>
        <v>89408</v>
      </c>
    </row>
    <row r="28" customFormat="false" ht="15" hidden="false" customHeight="false" outlineLevel="0" collapsed="false">
      <c r="B28" s="8" t="s">
        <v>53</v>
      </c>
      <c r="C28" s="31" t="n">
        <f aca="false">0</f>
        <v>0</v>
      </c>
      <c r="D28" s="31" t="n">
        <f aca="false">0</f>
        <v>0</v>
      </c>
      <c r="E28" s="31" t="n">
        <f aca="false">IF(AND(E$6&gt;=3+Cliff_Period,E$6&lt;3+Vesting_Period),E27*Annual_Vest_Pct,0)</f>
        <v>0</v>
      </c>
      <c r="F28" s="31" t="n">
        <f aca="false">IF(AND(F$6&gt;=3+Cliff_Period,F$6&lt;3+Vesting_Period),F27*Annual_Vest_Pct,0)</f>
        <v>40640</v>
      </c>
      <c r="G28" s="31" t="n">
        <f aca="false">IF(AND(G$6&gt;=3+Cliff_Period,G$6&lt;3+Vesting_Period),G27*Annual_Vest_Pct,0)</f>
        <v>22352</v>
      </c>
    </row>
    <row r="29" customFormat="false" ht="15" hidden="false" customHeight="false" outlineLevel="0" collapsed="false">
      <c r="B29" s="8" t="s">
        <v>105</v>
      </c>
      <c r="C29" s="31" t="n">
        <f aca="false">0</f>
        <v>0</v>
      </c>
      <c r="D29" s="31" t="n">
        <f aca="false">0</f>
        <v>0</v>
      </c>
      <c r="E29" s="31" t="n">
        <f aca="false">E27*Forfeiture_Rate</f>
        <v>40640</v>
      </c>
      <c r="F29" s="31" t="n">
        <f aca="false">F27*Forfeiture_Rate</f>
        <v>32512</v>
      </c>
      <c r="G29" s="31" t="n">
        <f aca="false">G27*Forfeiture_Rate</f>
        <v>17881.6</v>
      </c>
    </row>
    <row r="30" customFormat="false" ht="15" hidden="false" customHeight="false" outlineLevel="0" collapsed="false">
      <c r="B30" s="8" t="s">
        <v>106</v>
      </c>
      <c r="C30" s="31" t="n">
        <f aca="false">0</f>
        <v>0</v>
      </c>
      <c r="D30" s="31" t="n">
        <f aca="false">0</f>
        <v>0</v>
      </c>
      <c r="E30" s="31" t="n">
        <f aca="false">E27-E28-E29</f>
        <v>162560</v>
      </c>
      <c r="F30" s="31" t="n">
        <f aca="false">F27-F28-F29</f>
        <v>89408</v>
      </c>
      <c r="G30" s="31" t="n">
        <f aca="false">G27-G28-G29</f>
        <v>49174.4</v>
      </c>
    </row>
    <row r="31" customFormat="false" ht="15" hidden="false" customHeight="false" outlineLevel="0" collapsed="false">
      <c r="B31" s="8" t="s">
        <v>107</v>
      </c>
      <c r="C31" s="31" t="n">
        <f aca="false">0</f>
        <v>0</v>
      </c>
      <c r="D31" s="31" t="n">
        <f aca="false">0</f>
        <v>0</v>
      </c>
      <c r="E31" s="31" t="n">
        <f aca="false">0</f>
        <v>0</v>
      </c>
      <c r="F31" s="31" t="n">
        <f aca="false">F28</f>
        <v>40640</v>
      </c>
      <c r="G31" s="31" t="n">
        <f aca="false">F31+G28</f>
        <v>62992</v>
      </c>
    </row>
    <row r="32" customFormat="false" ht="15" hidden="false" customHeight="false" outlineLevel="0" collapsed="false">
      <c r="B32" s="8" t="s">
        <v>108</v>
      </c>
      <c r="C32" s="31" t="n">
        <f aca="false">C31</f>
        <v>0</v>
      </c>
      <c r="D32" s="31" t="n">
        <f aca="false">D31</f>
        <v>0</v>
      </c>
      <c r="E32" s="31" t="n">
        <f aca="false">E31</f>
        <v>0</v>
      </c>
      <c r="F32" s="31" t="n">
        <f aca="false">F31</f>
        <v>40640</v>
      </c>
      <c r="G32" s="31" t="n">
        <f aca="false">G31</f>
        <v>62992</v>
      </c>
    </row>
    <row r="34" customFormat="false" ht="15" hidden="false" customHeight="false" outlineLevel="0" collapsed="false">
      <c r="B34" s="36" t="s">
        <v>111</v>
      </c>
      <c r="C34" s="10"/>
      <c r="D34" s="10"/>
      <c r="E34" s="10"/>
      <c r="F34" s="10"/>
      <c r="G34" s="10"/>
    </row>
    <row r="35" customFormat="false" ht="15" hidden="false" customHeight="false" outlineLevel="0" collapsed="false">
      <c r="B35" s="8" t="s">
        <v>103</v>
      </c>
      <c r="C35" s="31" t="n">
        <f aca="false">0</f>
        <v>0</v>
      </c>
      <c r="D35" s="31" t="n">
        <f aca="false">0</f>
        <v>0</v>
      </c>
      <c r="E35" s="31" t="n">
        <f aca="false">0</f>
        <v>0</v>
      </c>
      <c r="F35" s="31" t="n">
        <f aca="false">PS_Total_Grants_Y4</f>
        <v>208160</v>
      </c>
      <c r="G35" s="31" t="n">
        <f aca="false">0</f>
        <v>0</v>
      </c>
    </row>
    <row r="36" customFormat="false" ht="15" hidden="false" customHeight="false" outlineLevel="0" collapsed="false">
      <c r="B36" s="8" t="s">
        <v>104</v>
      </c>
      <c r="C36" s="31" t="n">
        <f aca="false">0</f>
        <v>0</v>
      </c>
      <c r="D36" s="31" t="n">
        <f aca="false">0</f>
        <v>0</v>
      </c>
      <c r="E36" s="31" t="n">
        <f aca="false">0</f>
        <v>0</v>
      </c>
      <c r="F36" s="31" t="n">
        <f aca="false">F35</f>
        <v>208160</v>
      </c>
      <c r="G36" s="31" t="n">
        <f aca="false">F39</f>
        <v>166528</v>
      </c>
    </row>
    <row r="37" customFormat="false" ht="15" hidden="false" customHeight="false" outlineLevel="0" collapsed="false">
      <c r="B37" s="8" t="s">
        <v>53</v>
      </c>
      <c r="C37" s="31" t="n">
        <f aca="false">0</f>
        <v>0</v>
      </c>
      <c r="D37" s="31" t="n">
        <f aca="false">0</f>
        <v>0</v>
      </c>
      <c r="E37" s="31" t="n">
        <f aca="false">0</f>
        <v>0</v>
      </c>
      <c r="F37" s="31" t="n">
        <f aca="false">IF(AND(F$6&gt;=4+Cliff_Period,F$6&lt;4+Vesting_Period),F36*Annual_Vest_Pct,0)</f>
        <v>0</v>
      </c>
      <c r="G37" s="31" t="n">
        <f aca="false">IF(AND(G$6&gt;=4+Cliff_Period,G$6&lt;4+Vesting_Period),G36*Annual_Vest_Pct,0)</f>
        <v>41632</v>
      </c>
    </row>
    <row r="38" customFormat="false" ht="15" hidden="false" customHeight="false" outlineLevel="0" collapsed="false">
      <c r="B38" s="8" t="s">
        <v>105</v>
      </c>
      <c r="C38" s="31" t="n">
        <f aca="false">0</f>
        <v>0</v>
      </c>
      <c r="D38" s="31" t="n">
        <f aca="false">0</f>
        <v>0</v>
      </c>
      <c r="E38" s="31" t="n">
        <f aca="false">0</f>
        <v>0</v>
      </c>
      <c r="F38" s="31" t="n">
        <f aca="false">F36*Forfeiture_Rate</f>
        <v>41632</v>
      </c>
      <c r="G38" s="31" t="n">
        <f aca="false">G36*Forfeiture_Rate</f>
        <v>33305.6</v>
      </c>
    </row>
    <row r="39" customFormat="false" ht="15" hidden="false" customHeight="false" outlineLevel="0" collapsed="false">
      <c r="B39" s="8" t="s">
        <v>106</v>
      </c>
      <c r="C39" s="31" t="n">
        <f aca="false">0</f>
        <v>0</v>
      </c>
      <c r="D39" s="31" t="n">
        <f aca="false">0</f>
        <v>0</v>
      </c>
      <c r="E39" s="31" t="n">
        <f aca="false">0</f>
        <v>0</v>
      </c>
      <c r="F39" s="31" t="n">
        <f aca="false">F36-F37-F38</f>
        <v>166528</v>
      </c>
      <c r="G39" s="31" t="n">
        <f aca="false">G36-G37-G38</f>
        <v>91590.4</v>
      </c>
    </row>
    <row r="40" customFormat="false" ht="15" hidden="false" customHeight="false" outlineLevel="0" collapsed="false">
      <c r="B40" s="8" t="s">
        <v>107</v>
      </c>
      <c r="C40" s="31" t="n">
        <f aca="false">0</f>
        <v>0</v>
      </c>
      <c r="D40" s="31" t="n">
        <f aca="false">0</f>
        <v>0</v>
      </c>
      <c r="E40" s="31" t="n">
        <f aca="false">0</f>
        <v>0</v>
      </c>
      <c r="F40" s="31" t="n">
        <f aca="false">0</f>
        <v>0</v>
      </c>
      <c r="G40" s="31" t="n">
        <f aca="false">G37</f>
        <v>41632</v>
      </c>
    </row>
    <row r="41" customFormat="false" ht="15" hidden="false" customHeight="false" outlineLevel="0" collapsed="false">
      <c r="B41" s="8" t="s">
        <v>108</v>
      </c>
      <c r="C41" s="31" t="n">
        <f aca="false">C40</f>
        <v>0</v>
      </c>
      <c r="D41" s="31" t="n">
        <f aca="false">D40</f>
        <v>0</v>
      </c>
      <c r="E41" s="31" t="n">
        <f aca="false">E40</f>
        <v>0</v>
      </c>
      <c r="F41" s="31" t="n">
        <f aca="false">F40</f>
        <v>0</v>
      </c>
      <c r="G41" s="31" t="n">
        <f aca="false">G40</f>
        <v>41632</v>
      </c>
    </row>
    <row r="43" customFormat="false" ht="15" hidden="false" customHeight="false" outlineLevel="0" collapsed="false">
      <c r="B43" s="36" t="s">
        <v>112</v>
      </c>
      <c r="C43" s="10"/>
      <c r="D43" s="10"/>
      <c r="E43" s="10"/>
      <c r="F43" s="10"/>
      <c r="G43" s="10"/>
    </row>
    <row r="44" customFormat="false" ht="15" hidden="false" customHeight="false" outlineLevel="0" collapsed="false">
      <c r="B44" s="8" t="s">
        <v>103</v>
      </c>
      <c r="C44" s="31" t="n">
        <f aca="false">0</f>
        <v>0</v>
      </c>
      <c r="D44" s="31" t="n">
        <f aca="false">0</f>
        <v>0</v>
      </c>
      <c r="E44" s="31" t="n">
        <f aca="false">0</f>
        <v>0</v>
      </c>
      <c r="F44" s="31" t="n">
        <f aca="false">0</f>
        <v>0</v>
      </c>
      <c r="G44" s="31" t="n">
        <f aca="false">PS_Total_Grants_Y5</f>
        <v>214139.2</v>
      </c>
    </row>
    <row r="45" customFormat="false" ht="15" hidden="false" customHeight="false" outlineLevel="0" collapsed="false">
      <c r="B45" s="8" t="s">
        <v>104</v>
      </c>
      <c r="C45" s="31" t="n">
        <f aca="false">0</f>
        <v>0</v>
      </c>
      <c r="D45" s="31" t="n">
        <f aca="false">0</f>
        <v>0</v>
      </c>
      <c r="E45" s="31" t="n">
        <f aca="false">0</f>
        <v>0</v>
      </c>
      <c r="F45" s="31" t="n">
        <f aca="false">0</f>
        <v>0</v>
      </c>
      <c r="G45" s="31" t="n">
        <f aca="false">G44</f>
        <v>214139.2</v>
      </c>
    </row>
    <row r="46" customFormat="false" ht="15" hidden="false" customHeight="false" outlineLevel="0" collapsed="false">
      <c r="B46" s="8" t="s">
        <v>53</v>
      </c>
      <c r="C46" s="31" t="n">
        <f aca="false">0</f>
        <v>0</v>
      </c>
      <c r="D46" s="31" t="n">
        <f aca="false">0</f>
        <v>0</v>
      </c>
      <c r="E46" s="31" t="n">
        <f aca="false">0</f>
        <v>0</v>
      </c>
      <c r="F46" s="31" t="n">
        <f aca="false">0</f>
        <v>0</v>
      </c>
      <c r="G46" s="31" t="n">
        <f aca="false">IF(AND(G$6&gt;=5+Cliff_Period,G$6&lt;5+Vesting_Period),G45*Annual_Vest_Pct,0)</f>
        <v>0</v>
      </c>
    </row>
    <row r="47" customFormat="false" ht="15" hidden="false" customHeight="false" outlineLevel="0" collapsed="false">
      <c r="B47" s="8" t="s">
        <v>105</v>
      </c>
      <c r="C47" s="31" t="n">
        <f aca="false">0</f>
        <v>0</v>
      </c>
      <c r="D47" s="31" t="n">
        <f aca="false">0</f>
        <v>0</v>
      </c>
      <c r="E47" s="31" t="n">
        <f aca="false">0</f>
        <v>0</v>
      </c>
      <c r="F47" s="31" t="n">
        <f aca="false">0</f>
        <v>0</v>
      </c>
      <c r="G47" s="31" t="n">
        <f aca="false">G45*Forfeiture_Rate</f>
        <v>42827.84</v>
      </c>
    </row>
    <row r="48" customFormat="false" ht="15" hidden="false" customHeight="false" outlineLevel="0" collapsed="false">
      <c r="B48" s="8" t="s">
        <v>106</v>
      </c>
      <c r="C48" s="31" t="n">
        <f aca="false">0</f>
        <v>0</v>
      </c>
      <c r="D48" s="31" t="n">
        <f aca="false">0</f>
        <v>0</v>
      </c>
      <c r="E48" s="31" t="n">
        <f aca="false">0</f>
        <v>0</v>
      </c>
      <c r="F48" s="31" t="n">
        <f aca="false">0</f>
        <v>0</v>
      </c>
      <c r="G48" s="31" t="n">
        <f aca="false">G45-G46-G47</f>
        <v>171311.36</v>
      </c>
    </row>
    <row r="49" customFormat="false" ht="15" hidden="false" customHeight="false" outlineLevel="0" collapsed="false">
      <c r="B49" s="8" t="s">
        <v>107</v>
      </c>
      <c r="C49" s="31" t="n">
        <f aca="false">0</f>
        <v>0</v>
      </c>
      <c r="D49" s="31" t="n">
        <f aca="false">0</f>
        <v>0</v>
      </c>
      <c r="E49" s="31" t="n">
        <f aca="false">0</f>
        <v>0</v>
      </c>
      <c r="F49" s="31" t="n">
        <f aca="false">0</f>
        <v>0</v>
      </c>
      <c r="G49" s="31" t="n">
        <f aca="false">0</f>
        <v>0</v>
      </c>
    </row>
    <row r="50" customFormat="false" ht="15" hidden="false" customHeight="false" outlineLevel="0" collapsed="false">
      <c r="B50" s="8" t="s">
        <v>108</v>
      </c>
      <c r="C50" s="31" t="n">
        <f aca="false">C49</f>
        <v>0</v>
      </c>
      <c r="D50" s="31" t="n">
        <f aca="false">D49</f>
        <v>0</v>
      </c>
      <c r="E50" s="31" t="n">
        <f aca="false">E49</f>
        <v>0</v>
      </c>
      <c r="F50" s="31" t="n">
        <f aca="false">F49</f>
        <v>0</v>
      </c>
      <c r="G50" s="31" t="n">
        <f aca="false">G49</f>
        <v>0</v>
      </c>
    </row>
    <row r="51" customFormat="false" ht="15" hidden="false" customHeight="false" outlineLevel="0" collapsed="false">
      <c r="B51" s="16" t="s">
        <v>113</v>
      </c>
      <c r="C51" s="24"/>
      <c r="D51" s="24"/>
      <c r="E51" s="24"/>
      <c r="F51" s="24"/>
      <c r="G51" s="24"/>
    </row>
    <row r="52" customFormat="false" ht="15" hidden="false" customHeight="false" outlineLevel="0" collapsed="false">
      <c r="B52" s="6" t="s">
        <v>114</v>
      </c>
      <c r="C52" s="37" t="n">
        <f aca="false">C12+C21+C30+C39+C48</f>
        <v>160000</v>
      </c>
      <c r="D52" s="37" t="n">
        <f aca="false">D12+D21+D30+D39+D48</f>
        <v>248000</v>
      </c>
      <c r="E52" s="37" t="n">
        <f aca="false">E12+E21+E30+E39+E48</f>
        <v>298960</v>
      </c>
      <c r="F52" s="37" t="n">
        <f aca="false">F12+F21+F30+F39+F48</f>
        <v>330956</v>
      </c>
      <c r="G52" s="37" t="n">
        <f aca="false">G12+G21+G30+G39+G48</f>
        <v>359992.16</v>
      </c>
    </row>
    <row r="53" customFormat="false" ht="15" hidden="false" customHeight="false" outlineLevel="0" collapsed="false">
      <c r="B53" s="6" t="s">
        <v>115</v>
      </c>
      <c r="C53" s="37" t="n">
        <f aca="false">C13+C22+C31+C40+C49</f>
        <v>0</v>
      </c>
      <c r="D53" s="37" t="n">
        <f aca="false">D13+D22+D31+D40+D49</f>
        <v>40000</v>
      </c>
      <c r="E53" s="37" t="n">
        <f aca="false">E13+E22+E31+E40+E49</f>
        <v>102000</v>
      </c>
      <c r="F53" s="37" t="n">
        <f aca="false">F13+F22+F31+F40+F49</f>
        <v>176740</v>
      </c>
      <c r="G53" s="37" t="n">
        <f aca="false">G13+G22+G31+G40+G49</f>
        <v>252824</v>
      </c>
    </row>
    <row r="54" customFormat="false" ht="15" hidden="false" customHeight="false" outlineLevel="0" collapsed="false">
      <c r="B54" s="8" t="s">
        <v>116</v>
      </c>
      <c r="C54" s="31" t="n">
        <f aca="false">C11+C20+C29+C38+C47</f>
        <v>40000</v>
      </c>
      <c r="D54" s="31" t="n">
        <f aca="false">D11+D20+D29+D38+D47</f>
        <v>72000</v>
      </c>
      <c r="E54" s="31" t="n">
        <f aca="false">E11+E20+E29+E38+E47</f>
        <v>90240</v>
      </c>
      <c r="F54" s="31" t="n">
        <f aca="false">F11+F20+F29+F38+F47</f>
        <v>101424</v>
      </c>
      <c r="G54" s="31" t="n">
        <f aca="false">G11+G20+G29+G38+G47</f>
        <v>109019.04</v>
      </c>
    </row>
    <row r="55" customFormat="false" ht="15" hidden="false" customHeight="false" outlineLevel="0" collapsed="false">
      <c r="B55" s="8" t="s">
        <v>117</v>
      </c>
      <c r="C55" s="31" t="n">
        <f aca="false">C53</f>
        <v>0</v>
      </c>
      <c r="D55" s="31" t="n">
        <f aca="false">D53</f>
        <v>40000</v>
      </c>
      <c r="E55" s="31" t="n">
        <f aca="false">E53</f>
        <v>102000</v>
      </c>
      <c r="F55" s="31" t="n">
        <f aca="false">F53</f>
        <v>176740</v>
      </c>
      <c r="G55" s="31" t="n">
        <f aca="false">G53</f>
        <v>252824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B1: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7.5" hidden="false" customHeight="true" outlineLevel="0" collapsed="false"/>
    <row r="2" customFormat="false" ht="17.35" hidden="false" customHeight="false" outlineLevel="0" collapsed="false">
      <c r="B2" s="22" t="s">
        <v>118</v>
      </c>
    </row>
    <row r="3" customFormat="false" ht="15" hidden="false" customHeight="false" outlineLevel="0" collapsed="false">
      <c r="B3" s="21" t="s">
        <v>119</v>
      </c>
    </row>
    <row r="4" customFormat="false" ht="15" hidden="false" customHeight="false" outlineLevel="0" collapsed="false">
      <c r="B4" s="28"/>
      <c r="C4" s="29" t="s">
        <v>82</v>
      </c>
      <c r="D4" s="29" t="s">
        <v>83</v>
      </c>
      <c r="E4" s="29" t="s">
        <v>84</v>
      </c>
      <c r="F4" s="29" t="s">
        <v>85</v>
      </c>
      <c r="G4" s="29" t="s">
        <v>86</v>
      </c>
    </row>
    <row r="5" customFormat="false" ht="15" hidden="false" customHeight="false" outlineLevel="0" collapsed="false">
      <c r="B5" s="8" t="s">
        <v>36</v>
      </c>
      <c r="C5" s="35" t="n">
        <f aca="false">Model_Start_Year</f>
        <v>2025</v>
      </c>
      <c r="D5" s="35" t="n">
        <f aca="false">Model_Start_Year+1</f>
        <v>2026</v>
      </c>
      <c r="E5" s="35" t="n">
        <f aca="false">Model_Start_Year+2</f>
        <v>2027</v>
      </c>
      <c r="F5" s="35" t="n">
        <f aca="false">Model_Start_Year+3</f>
        <v>2028</v>
      </c>
      <c r="G5" s="35" t="n">
        <f aca="false">Model_Start_Year+4</f>
        <v>2029</v>
      </c>
    </row>
    <row r="6" customFormat="false" ht="15" hidden="false" customHeight="false" outlineLevel="0" collapsed="false">
      <c r="B6" s="16" t="s">
        <v>87</v>
      </c>
      <c r="C6" s="30" t="n">
        <v>1</v>
      </c>
      <c r="D6" s="30" t="n">
        <v>2</v>
      </c>
      <c r="E6" s="30" t="n">
        <v>3</v>
      </c>
      <c r="F6" s="30" t="n">
        <v>4</v>
      </c>
      <c r="G6" s="30" t="n">
        <v>5</v>
      </c>
    </row>
    <row r="7" customFormat="false" ht="15" hidden="false" customHeight="false" outlineLevel="0" collapsed="false">
      <c r="B7" s="8" t="s">
        <v>73</v>
      </c>
      <c r="C7" s="31" t="n">
        <f aca="false">Founder_Shares</f>
        <v>6000000</v>
      </c>
      <c r="D7" s="31" t="n">
        <f aca="false">Founder_Shares</f>
        <v>6000000</v>
      </c>
      <c r="E7" s="31" t="n">
        <f aca="false">Founder_Shares</f>
        <v>6000000</v>
      </c>
      <c r="F7" s="31" t="n">
        <f aca="false">Founder_Shares</f>
        <v>6000000</v>
      </c>
      <c r="G7" s="31" t="n">
        <f aca="false">Founder_Shares</f>
        <v>6000000</v>
      </c>
    </row>
    <row r="8" customFormat="false" ht="15" hidden="false" customHeight="false" outlineLevel="0" collapsed="false">
      <c r="B8" s="8" t="s">
        <v>74</v>
      </c>
      <c r="C8" s="31" t="n">
        <f aca="false">InvA_Shares</f>
        <v>2000000</v>
      </c>
      <c r="D8" s="31" t="n">
        <f aca="false">InvA_Shares</f>
        <v>2000000</v>
      </c>
      <c r="E8" s="31" t="n">
        <f aca="false">InvA_Shares</f>
        <v>2000000</v>
      </c>
      <c r="F8" s="31" t="n">
        <f aca="false">InvA_Shares</f>
        <v>2000000</v>
      </c>
      <c r="G8" s="31" t="n">
        <f aca="false">InvA_Shares</f>
        <v>2000000</v>
      </c>
    </row>
    <row r="9" customFormat="false" ht="15" hidden="false" customHeight="false" outlineLevel="0" collapsed="false">
      <c r="B9" s="8" t="s">
        <v>76</v>
      </c>
      <c r="C9" s="31" t="n">
        <f aca="false">IF(C6&gt;=3,InvB_Shares,0)</f>
        <v>0</v>
      </c>
      <c r="D9" s="31" t="n">
        <f aca="false">IF(D6&gt;=3,InvB_Shares,0)</f>
        <v>0</v>
      </c>
      <c r="E9" s="31" t="n">
        <f aca="false">IF(E6&gt;=3,InvB_Shares,0)</f>
        <v>1500000</v>
      </c>
      <c r="F9" s="31" t="n">
        <f aca="false">IF(F6&gt;=3,InvB_Shares,0)</f>
        <v>1500000</v>
      </c>
      <c r="G9" s="31" t="n">
        <f aca="false">IF(G6&gt;=3,InvB_Shares,0)</f>
        <v>1500000</v>
      </c>
    </row>
    <row r="10" customFormat="false" ht="15" hidden="false" customHeight="false" outlineLevel="0" collapsed="false">
      <c r="B10" s="8" t="s">
        <v>78</v>
      </c>
      <c r="C10" s="31" t="n">
        <f aca="false">IF(C6&gt;=5,InvC_Shares,0)</f>
        <v>0</v>
      </c>
      <c r="D10" s="31" t="n">
        <f aca="false">IF(D6&gt;=5,InvC_Shares,0)</f>
        <v>0</v>
      </c>
      <c r="E10" s="31" t="n">
        <f aca="false">IF(E6&gt;=5,InvC_Shares,0)</f>
        <v>0</v>
      </c>
      <c r="F10" s="31" t="n">
        <f aca="false">IF(F6&gt;=5,InvC_Shares,0)</f>
        <v>0</v>
      </c>
      <c r="G10" s="31" t="n">
        <f aca="false">IF(G6&gt;=5,InvC_Shares,0)</f>
        <v>1000000</v>
      </c>
    </row>
    <row r="11" customFormat="false" ht="15" hidden="false" customHeight="false" outlineLevel="0" collapsed="false">
      <c r="B11" s="8" t="s">
        <v>120</v>
      </c>
      <c r="C11" s="31" t="n">
        <f aca="false">VS_Outstanding_Y1</f>
        <v>0</v>
      </c>
      <c r="D11" s="31" t="n">
        <f aca="false">VS_Outstanding_Y2</f>
        <v>40000</v>
      </c>
      <c r="E11" s="31" t="n">
        <f aca="false">VS_Outstanding_Y3</f>
        <v>102000</v>
      </c>
      <c r="F11" s="31" t="n">
        <f aca="false">VS_Outstanding_Y4</f>
        <v>176740</v>
      </c>
      <c r="G11" s="31" t="n">
        <f aca="false">VS_Outstanding_Y5</f>
        <v>252824</v>
      </c>
    </row>
    <row r="12" customFormat="false" ht="15" hidden="false" customHeight="false" outlineLevel="0" collapsed="false">
      <c r="B12" s="6" t="s">
        <v>121</v>
      </c>
      <c r="C12" s="33" t="n">
        <f aca="false">C7+C8+C9+C10+C11</f>
        <v>8000000</v>
      </c>
      <c r="D12" s="33" t="n">
        <f aca="false">D7+D8+D9+D10+D11</f>
        <v>8040000</v>
      </c>
      <c r="E12" s="33" t="n">
        <f aca="false">E7+E8+E9+E10+E11</f>
        <v>9602000</v>
      </c>
      <c r="F12" s="33" t="n">
        <f aca="false">F7+F8+F9+F10+F11</f>
        <v>9676740</v>
      </c>
      <c r="G12" s="33" t="n">
        <f aca="false">G7+G8+G9+G10+G11</f>
        <v>10752824</v>
      </c>
    </row>
    <row r="13" customFormat="false" ht="15" hidden="false" customHeight="false" outlineLevel="0" collapsed="false">
      <c r="B13" s="16" t="s">
        <v>122</v>
      </c>
      <c r="C13" s="24"/>
      <c r="D13" s="24"/>
      <c r="E13" s="24"/>
      <c r="F13" s="24"/>
      <c r="G13" s="24"/>
    </row>
    <row r="14" customFormat="false" ht="15" hidden="false" customHeight="false" outlineLevel="0" collapsed="false">
      <c r="B14" s="8" t="s">
        <v>123</v>
      </c>
      <c r="C14" s="34" t="n">
        <f aca="false">C7/C12</f>
        <v>0.75</v>
      </c>
      <c r="D14" s="34" t="n">
        <f aca="false">D7/D12</f>
        <v>0.746268656716418</v>
      </c>
      <c r="E14" s="34" t="n">
        <f aca="false">E7/E12</f>
        <v>0.624869818787753</v>
      </c>
      <c r="F14" s="34" t="n">
        <f aca="false">F7/F12</f>
        <v>0.620043527055599</v>
      </c>
      <c r="G14" s="34" t="n">
        <f aca="false">G7/G12</f>
        <v>0.557992951433038</v>
      </c>
    </row>
    <row r="15" customFormat="false" ht="15" hidden="false" customHeight="false" outlineLevel="0" collapsed="false">
      <c r="B15" s="8" t="s">
        <v>124</v>
      </c>
      <c r="C15" s="34" t="n">
        <f aca="false">C8/C12</f>
        <v>0.25</v>
      </c>
      <c r="D15" s="34" t="n">
        <f aca="false">D8/D12</f>
        <v>0.248756218905473</v>
      </c>
      <c r="E15" s="34" t="n">
        <f aca="false">E8/E12</f>
        <v>0.208289939595918</v>
      </c>
      <c r="F15" s="34" t="n">
        <f aca="false">F8/F12</f>
        <v>0.2066811756852</v>
      </c>
      <c r="G15" s="34" t="n">
        <f aca="false">G8/G12</f>
        <v>0.185997650477679</v>
      </c>
    </row>
    <row r="16" customFormat="false" ht="15" hidden="false" customHeight="false" outlineLevel="0" collapsed="false">
      <c r="B16" s="8" t="s">
        <v>125</v>
      </c>
      <c r="C16" s="34" t="n">
        <f aca="false">C9/C12</f>
        <v>0</v>
      </c>
      <c r="D16" s="34" t="n">
        <f aca="false">D9/D12</f>
        <v>0</v>
      </c>
      <c r="E16" s="34" t="n">
        <f aca="false">E9/E12</f>
        <v>0.156217454696938</v>
      </c>
      <c r="F16" s="34" t="n">
        <f aca="false">F9/F12</f>
        <v>0.1550108817639</v>
      </c>
      <c r="G16" s="34" t="n">
        <f aca="false">G9/G12</f>
        <v>0.139498237858259</v>
      </c>
    </row>
    <row r="17" customFormat="false" ht="15" hidden="false" customHeight="false" outlineLevel="0" collapsed="false">
      <c r="B17" s="8" t="s">
        <v>126</v>
      </c>
      <c r="C17" s="34" t="n">
        <f aca="false">C10/C12</f>
        <v>0</v>
      </c>
      <c r="D17" s="34" t="n">
        <f aca="false">D10/D12</f>
        <v>0</v>
      </c>
      <c r="E17" s="34" t="n">
        <f aca="false">E10/E12</f>
        <v>0</v>
      </c>
      <c r="F17" s="34" t="n">
        <f aca="false">F10/F12</f>
        <v>0</v>
      </c>
      <c r="G17" s="34" t="n">
        <f aca="false">G10/G12</f>
        <v>0.0929988252388396</v>
      </c>
    </row>
    <row r="18" customFormat="false" ht="15" hidden="false" customHeight="false" outlineLevel="0" collapsed="false">
      <c r="B18" s="8" t="s">
        <v>127</v>
      </c>
      <c r="C18" s="34" t="n">
        <f aca="false">C11/C12</f>
        <v>0</v>
      </c>
      <c r="D18" s="34" t="n">
        <f aca="false">D11/D12</f>
        <v>0.00497512437810945</v>
      </c>
      <c r="E18" s="34" t="n">
        <f aca="false">E11/E12</f>
        <v>0.0106227869193918</v>
      </c>
      <c r="F18" s="34" t="n">
        <f aca="false">F11/F12</f>
        <v>0.0182644154953011</v>
      </c>
      <c r="G18" s="34" t="n">
        <f aca="false">G11/G12</f>
        <v>0.0235123349921844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B1:G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7.5" hidden="false" customHeight="true" outlineLevel="0" collapsed="false"/>
    <row r="2" customFormat="false" ht="17.35" hidden="false" customHeight="false" outlineLevel="0" collapsed="false">
      <c r="B2" s="22" t="s">
        <v>128</v>
      </c>
    </row>
    <row r="3" customFormat="false" ht="15" hidden="false" customHeight="false" outlineLevel="0" collapsed="false">
      <c r="B3" s="21" t="s">
        <v>129</v>
      </c>
    </row>
    <row r="4" customFormat="false" ht="15" hidden="false" customHeight="false" outlineLevel="0" collapsed="false">
      <c r="B4" s="28"/>
      <c r="C4" s="29" t="s">
        <v>82</v>
      </c>
      <c r="D4" s="29" t="s">
        <v>83</v>
      </c>
      <c r="E4" s="29" t="s">
        <v>84</v>
      </c>
      <c r="F4" s="29" t="s">
        <v>85</v>
      </c>
      <c r="G4" s="29" t="s">
        <v>86</v>
      </c>
    </row>
    <row r="5" customFormat="false" ht="15" hidden="false" customHeight="false" outlineLevel="0" collapsed="false">
      <c r="B5" s="8" t="s">
        <v>36</v>
      </c>
      <c r="C5" s="35" t="n">
        <f aca="false">Model_Start_Year</f>
        <v>2025</v>
      </c>
      <c r="D5" s="35" t="n">
        <f aca="false">Model_Start_Year+1</f>
        <v>2026</v>
      </c>
      <c r="E5" s="35" t="n">
        <f aca="false">Model_Start_Year+2</f>
        <v>2027</v>
      </c>
      <c r="F5" s="35" t="n">
        <f aca="false">Model_Start_Year+3</f>
        <v>2028</v>
      </c>
      <c r="G5" s="35" t="n">
        <f aca="false">Model_Start_Year+4</f>
        <v>2029</v>
      </c>
    </row>
    <row r="6" customFormat="false" ht="15" hidden="false" customHeight="false" outlineLevel="0" collapsed="false">
      <c r="B6" s="8" t="s">
        <v>87</v>
      </c>
      <c r="C6" s="35" t="n">
        <v>1</v>
      </c>
      <c r="D6" s="35" t="n">
        <v>2</v>
      </c>
      <c r="E6" s="35" t="n">
        <v>3</v>
      </c>
      <c r="F6" s="35" t="n">
        <v>4</v>
      </c>
      <c r="G6" s="35" t="n">
        <v>5</v>
      </c>
    </row>
    <row r="7" customFormat="false" ht="15" hidden="false" customHeight="false" outlineLevel="0" collapsed="false">
      <c r="B7" s="36" t="s">
        <v>130</v>
      </c>
      <c r="C7" s="38" t="n">
        <f aca="false">PS_Total_Grants_Y1*FMV_Y1*(1+FMV_Growth)^0*FV_Multiple</f>
        <v>120000</v>
      </c>
      <c r="D7" s="38" t="n">
        <f aca="false">0</f>
        <v>0</v>
      </c>
      <c r="E7" s="38" t="n">
        <f aca="false">0</f>
        <v>0</v>
      </c>
      <c r="F7" s="38" t="n">
        <f aca="false">0</f>
        <v>0</v>
      </c>
      <c r="G7" s="38" t="n">
        <f aca="false">0</f>
        <v>0</v>
      </c>
    </row>
    <row r="8" customFormat="false" ht="15" hidden="false" customHeight="false" outlineLevel="0" collapsed="false">
      <c r="B8" s="8" t="s">
        <v>131</v>
      </c>
      <c r="C8" s="39" t="n">
        <f aca="false">IF(AND(C$6&gt;=1,C$6&lt;1+Vesting_Period),SBC_GrantVal_C1/Vesting_Period,0)</f>
        <v>30000</v>
      </c>
      <c r="D8" s="39" t="n">
        <f aca="false">IF(AND(D$6&gt;=1,D$6&lt;1+Vesting_Period),SBC_GrantVal_C1/Vesting_Period,0)</f>
        <v>30000</v>
      </c>
      <c r="E8" s="39" t="n">
        <f aca="false">IF(AND(E$6&gt;=1,E$6&lt;1+Vesting_Period),SBC_GrantVal_C1/Vesting_Period,0)</f>
        <v>30000</v>
      </c>
      <c r="F8" s="39" t="n">
        <f aca="false">IF(AND(F$6&gt;=1,F$6&lt;1+Vesting_Period),SBC_GrantVal_C1/Vesting_Period,0)</f>
        <v>30000</v>
      </c>
      <c r="G8" s="39" t="n">
        <f aca="false">IF(AND(G$6&gt;=1,G$6&lt;1+Vesting_Period),SBC_GrantVal_C1/Vesting_Period,0)</f>
        <v>0</v>
      </c>
    </row>
    <row r="9" customFormat="false" ht="15" hidden="false" customHeight="false" outlineLevel="0" collapsed="false">
      <c r="B9" s="8" t="s">
        <v>132</v>
      </c>
      <c r="C9" s="39" t="n">
        <f aca="false">C8</f>
        <v>30000</v>
      </c>
      <c r="D9" s="39" t="n">
        <f aca="false">C9+D8</f>
        <v>60000</v>
      </c>
      <c r="E9" s="39" t="n">
        <f aca="false">D9+E8</f>
        <v>90000</v>
      </c>
      <c r="F9" s="39" t="n">
        <f aca="false">E9+F8</f>
        <v>120000</v>
      </c>
      <c r="G9" s="39" t="n">
        <f aca="false">F9+G8</f>
        <v>120000</v>
      </c>
    </row>
    <row r="11" customFormat="false" ht="15" hidden="false" customHeight="false" outlineLevel="0" collapsed="false">
      <c r="B11" s="36" t="s">
        <v>133</v>
      </c>
      <c r="C11" s="38" t="n">
        <f aca="false">0</f>
        <v>0</v>
      </c>
      <c r="D11" s="38" t="n">
        <f aca="false">PS_Total_Grants_Y2*FMV_Y1*(1+FMV_Growth)^1*FV_Multiple</f>
        <v>156000</v>
      </c>
      <c r="E11" s="38" t="n">
        <f aca="false">0</f>
        <v>0</v>
      </c>
      <c r="F11" s="38" t="n">
        <f aca="false">0</f>
        <v>0</v>
      </c>
      <c r="G11" s="38" t="n">
        <f aca="false">0</f>
        <v>0</v>
      </c>
    </row>
    <row r="12" customFormat="false" ht="15" hidden="false" customHeight="false" outlineLevel="0" collapsed="false">
      <c r="B12" s="8" t="s">
        <v>134</v>
      </c>
      <c r="C12" s="39" t="n">
        <f aca="false">IF(AND(C$6&gt;=2,C$6&lt;2+Vesting_Period),SBC_GrantVal_C2/Vesting_Period,0)</f>
        <v>0</v>
      </c>
      <c r="D12" s="39" t="n">
        <f aca="false">IF(AND(D$6&gt;=2,D$6&lt;2+Vesting_Period),SBC_GrantVal_C2/Vesting_Period,0)</f>
        <v>39000</v>
      </c>
      <c r="E12" s="39" t="n">
        <f aca="false">IF(AND(E$6&gt;=2,E$6&lt;2+Vesting_Period),SBC_GrantVal_C2/Vesting_Period,0)</f>
        <v>39000</v>
      </c>
      <c r="F12" s="39" t="n">
        <f aca="false">IF(AND(F$6&gt;=2,F$6&lt;2+Vesting_Period),SBC_GrantVal_C2/Vesting_Period,0)</f>
        <v>39000</v>
      </c>
      <c r="G12" s="39" t="n">
        <f aca="false">IF(AND(G$6&gt;=2,G$6&lt;2+Vesting_Period),SBC_GrantVal_C2/Vesting_Period,0)</f>
        <v>39000</v>
      </c>
    </row>
    <row r="13" customFormat="false" ht="15" hidden="false" customHeight="false" outlineLevel="0" collapsed="false">
      <c r="B13" s="8" t="s">
        <v>135</v>
      </c>
      <c r="C13" s="39" t="n">
        <f aca="false">C12</f>
        <v>0</v>
      </c>
      <c r="D13" s="39" t="n">
        <f aca="false">C13+D12</f>
        <v>39000</v>
      </c>
      <c r="E13" s="39" t="n">
        <f aca="false">D13+E12</f>
        <v>78000</v>
      </c>
      <c r="F13" s="39" t="n">
        <f aca="false">E13+F12</f>
        <v>117000</v>
      </c>
      <c r="G13" s="39" t="n">
        <f aca="false">F13+G12</f>
        <v>156000</v>
      </c>
    </row>
    <row r="15" customFormat="false" ht="15" hidden="false" customHeight="false" outlineLevel="0" collapsed="false">
      <c r="B15" s="36" t="s">
        <v>136</v>
      </c>
      <c r="C15" s="38" t="n">
        <f aca="false">0</f>
        <v>0</v>
      </c>
      <c r="D15" s="38" t="n">
        <f aca="false">0</f>
        <v>0</v>
      </c>
      <c r="E15" s="38" t="n">
        <f aca="false">PS_Total_Grants_Y3*FMV_Y1*(1+FMV_Growth)^2*FV_Multiple</f>
        <v>206044.8</v>
      </c>
      <c r="F15" s="38" t="n">
        <f aca="false">0</f>
        <v>0</v>
      </c>
      <c r="G15" s="38" t="n">
        <f aca="false">0</f>
        <v>0</v>
      </c>
    </row>
    <row r="16" customFormat="false" ht="15" hidden="false" customHeight="false" outlineLevel="0" collapsed="false">
      <c r="B16" s="8" t="s">
        <v>137</v>
      </c>
      <c r="C16" s="39" t="n">
        <f aca="false">IF(AND(C$6&gt;=3,C$6&lt;3+Vesting_Period),SBC_GrantVal_C3/Vesting_Period,0)</f>
        <v>0</v>
      </c>
      <c r="D16" s="39" t="n">
        <f aca="false">IF(AND(D$6&gt;=3,D$6&lt;3+Vesting_Period),SBC_GrantVal_C3/Vesting_Period,0)</f>
        <v>0</v>
      </c>
      <c r="E16" s="39" t="n">
        <f aca="false">IF(AND(E$6&gt;=3,E$6&lt;3+Vesting_Period),SBC_GrantVal_C3/Vesting_Period,0)</f>
        <v>51511.2</v>
      </c>
      <c r="F16" s="39" t="n">
        <f aca="false">IF(AND(F$6&gt;=3,F$6&lt;3+Vesting_Period),SBC_GrantVal_C3/Vesting_Period,0)</f>
        <v>51511.2</v>
      </c>
      <c r="G16" s="39" t="n">
        <f aca="false">IF(AND(G$6&gt;=3,G$6&lt;3+Vesting_Period),SBC_GrantVal_C3/Vesting_Period,0)</f>
        <v>51511.2</v>
      </c>
    </row>
    <row r="17" customFormat="false" ht="15" hidden="false" customHeight="false" outlineLevel="0" collapsed="false">
      <c r="B17" s="8" t="s">
        <v>138</v>
      </c>
      <c r="C17" s="39" t="n">
        <f aca="false">C16</f>
        <v>0</v>
      </c>
      <c r="D17" s="39" t="n">
        <f aca="false">C17+D16</f>
        <v>0</v>
      </c>
      <c r="E17" s="39" t="n">
        <f aca="false">D17+E16</f>
        <v>51511.2</v>
      </c>
      <c r="F17" s="39" t="n">
        <f aca="false">E17+F16</f>
        <v>103022.4</v>
      </c>
      <c r="G17" s="39" t="n">
        <f aca="false">F17+G16</f>
        <v>154533.6</v>
      </c>
    </row>
    <row r="19" customFormat="false" ht="15" hidden="false" customHeight="false" outlineLevel="0" collapsed="false">
      <c r="B19" s="36" t="s">
        <v>139</v>
      </c>
      <c r="C19" s="38" t="n">
        <f aca="false">0</f>
        <v>0</v>
      </c>
      <c r="D19" s="38" t="n">
        <f aca="false">0</f>
        <v>0</v>
      </c>
      <c r="E19" s="38" t="n">
        <f aca="false">0</f>
        <v>0</v>
      </c>
      <c r="F19" s="38" t="n">
        <f aca="false">PS_Total_Grants_Y4*FMV_Y1*(1+FMV_Growth)^3*FV_Multiple</f>
        <v>274396.512</v>
      </c>
      <c r="G19" s="38" t="n">
        <f aca="false">0</f>
        <v>0</v>
      </c>
    </row>
    <row r="20" customFormat="false" ht="15" hidden="false" customHeight="false" outlineLevel="0" collapsed="false">
      <c r="B20" s="8" t="s">
        <v>140</v>
      </c>
      <c r="C20" s="39" t="n">
        <f aca="false">IF(AND(C$6&gt;=4,C$6&lt;4+Vesting_Period),SBC_GrantVal_C4/Vesting_Period,0)</f>
        <v>0</v>
      </c>
      <c r="D20" s="39" t="n">
        <f aca="false">IF(AND(D$6&gt;=4,D$6&lt;4+Vesting_Period),SBC_GrantVal_C4/Vesting_Period,0)</f>
        <v>0</v>
      </c>
      <c r="E20" s="39" t="n">
        <f aca="false">IF(AND(E$6&gt;=4,E$6&lt;4+Vesting_Period),SBC_GrantVal_C4/Vesting_Period,0)</f>
        <v>0</v>
      </c>
      <c r="F20" s="39" t="n">
        <f aca="false">IF(AND(F$6&gt;=4,F$6&lt;4+Vesting_Period),SBC_GrantVal_C4/Vesting_Period,0)</f>
        <v>68599.128</v>
      </c>
      <c r="G20" s="39" t="n">
        <f aca="false">IF(AND(G$6&gt;=4,G$6&lt;4+Vesting_Period),SBC_GrantVal_C4/Vesting_Period,0)</f>
        <v>68599.128</v>
      </c>
    </row>
    <row r="21" customFormat="false" ht="15" hidden="false" customHeight="false" outlineLevel="0" collapsed="false">
      <c r="B21" s="8" t="s">
        <v>141</v>
      </c>
      <c r="C21" s="39" t="n">
        <f aca="false">C20</f>
        <v>0</v>
      </c>
      <c r="D21" s="39" t="n">
        <f aca="false">C21+D20</f>
        <v>0</v>
      </c>
      <c r="E21" s="39" t="n">
        <f aca="false">D21+E20</f>
        <v>0</v>
      </c>
      <c r="F21" s="39" t="n">
        <f aca="false">E21+F20</f>
        <v>68599.128</v>
      </c>
      <c r="G21" s="39" t="n">
        <f aca="false">F21+G20</f>
        <v>137198.256</v>
      </c>
    </row>
    <row r="23" customFormat="false" ht="15" hidden="false" customHeight="false" outlineLevel="0" collapsed="false">
      <c r="B23" s="36" t="s">
        <v>142</v>
      </c>
      <c r="C23" s="38" t="n">
        <f aca="false">0</f>
        <v>0</v>
      </c>
      <c r="D23" s="38" t="n">
        <f aca="false">0</f>
        <v>0</v>
      </c>
      <c r="E23" s="38" t="n">
        <f aca="false">0</f>
        <v>0</v>
      </c>
      <c r="F23" s="38" t="n">
        <f aca="false">0</f>
        <v>0</v>
      </c>
      <c r="G23" s="38" t="n">
        <f aca="false">PS_Total_Grants_Y5*FMV_Y1*(1+FMV_Growth)^4*FV_Multiple</f>
        <v>366961.781472</v>
      </c>
    </row>
    <row r="24" customFormat="false" ht="15" hidden="false" customHeight="false" outlineLevel="0" collapsed="false">
      <c r="B24" s="8" t="s">
        <v>143</v>
      </c>
      <c r="C24" s="39" t="n">
        <f aca="false">IF(AND(C$6&gt;=5,C$6&lt;5+Vesting_Period),SBC_GrantVal_C5/Vesting_Period,0)</f>
        <v>0</v>
      </c>
      <c r="D24" s="39" t="n">
        <f aca="false">IF(AND(D$6&gt;=5,D$6&lt;5+Vesting_Period),SBC_GrantVal_C5/Vesting_Period,0)</f>
        <v>0</v>
      </c>
      <c r="E24" s="39" t="n">
        <f aca="false">IF(AND(E$6&gt;=5,E$6&lt;5+Vesting_Period),SBC_GrantVal_C5/Vesting_Period,0)</f>
        <v>0</v>
      </c>
      <c r="F24" s="39" t="n">
        <f aca="false">IF(AND(F$6&gt;=5,F$6&lt;5+Vesting_Period),SBC_GrantVal_C5/Vesting_Period,0)</f>
        <v>0</v>
      </c>
      <c r="G24" s="39" t="n">
        <f aca="false">IF(AND(G$6&gt;=5,G$6&lt;5+Vesting_Period),SBC_GrantVal_C5/Vesting_Period,0)</f>
        <v>91740.445368</v>
      </c>
    </row>
    <row r="25" customFormat="false" ht="15" hidden="false" customHeight="false" outlineLevel="0" collapsed="false">
      <c r="B25" s="8" t="s">
        <v>144</v>
      </c>
      <c r="C25" s="39" t="n">
        <f aca="false">C24</f>
        <v>0</v>
      </c>
      <c r="D25" s="39" t="n">
        <f aca="false">C25+D24</f>
        <v>0</v>
      </c>
      <c r="E25" s="39" t="n">
        <f aca="false">D25+E24</f>
        <v>0</v>
      </c>
      <c r="F25" s="39" t="n">
        <f aca="false">E25+F24</f>
        <v>0</v>
      </c>
      <c r="G25" s="39" t="n">
        <f aca="false">F25+G24</f>
        <v>91740.445368</v>
      </c>
    </row>
    <row r="31" customFormat="false" ht="15" hidden="false" customHeight="false" outlineLevel="0" collapsed="false">
      <c r="B31" s="16" t="s">
        <v>113</v>
      </c>
      <c r="C31" s="24"/>
      <c r="D31" s="24"/>
      <c r="E31" s="24"/>
      <c r="F31" s="24"/>
      <c r="G31" s="24"/>
    </row>
    <row r="32" customFormat="false" ht="15" hidden="false" customHeight="false" outlineLevel="0" collapsed="false">
      <c r="B32" s="6" t="s">
        <v>145</v>
      </c>
      <c r="C32" s="40" t="n">
        <f aca="false">C8+C12+C16+C20+C24</f>
        <v>30000</v>
      </c>
      <c r="D32" s="40" t="n">
        <f aca="false">D8+D12+D16+D20+D24</f>
        <v>69000</v>
      </c>
      <c r="E32" s="40" t="n">
        <f aca="false">E8+E12+E16+E20+E24</f>
        <v>120511.2</v>
      </c>
      <c r="F32" s="40" t="n">
        <f aca="false">F8+F12+F16+F20+F24</f>
        <v>189110.328</v>
      </c>
      <c r="G32" s="40" t="n">
        <f aca="false">G8+G12+G16+G20+G24</f>
        <v>250850.773368</v>
      </c>
    </row>
    <row r="33" customFormat="false" ht="15" hidden="false" customHeight="false" outlineLevel="0" collapsed="false">
      <c r="B33" s="8" t="s">
        <v>146</v>
      </c>
      <c r="C33" s="39" t="n">
        <f aca="false">C32</f>
        <v>30000</v>
      </c>
      <c r="D33" s="39" t="n">
        <f aca="false">C33+D32</f>
        <v>99000</v>
      </c>
      <c r="E33" s="39" t="n">
        <f aca="false">D33+E32</f>
        <v>219511.2</v>
      </c>
      <c r="F33" s="39" t="n">
        <f aca="false">E33+F32</f>
        <v>408621.528</v>
      </c>
      <c r="G33" s="39" t="n">
        <f aca="false">F33+G32</f>
        <v>659472.301368</v>
      </c>
    </row>
    <row r="34" customFormat="false" ht="15" hidden="false" customHeight="false" outlineLevel="0" collapsed="false">
      <c r="B34" s="8" t="s">
        <v>147</v>
      </c>
      <c r="C34" s="34" t="n">
        <f aca="false">IFERROR(C33/(C7),0)</f>
        <v>0.25</v>
      </c>
      <c r="D34" s="34" t="n">
        <f aca="false">IFERROR(D33/(C7+D11),0)</f>
        <v>0.358695652173913</v>
      </c>
      <c r="E34" s="34" t="n">
        <f aca="false">IFERROR(E33/(C7+D11+E15),0)</f>
        <v>0.455375102065202</v>
      </c>
      <c r="F34" s="34" t="n">
        <f aca="false">IFERROR(F33/(C7+D11+E15+F19),0)</f>
        <v>0.540189333286969</v>
      </c>
      <c r="G34" s="34" t="n">
        <f aca="false">IFERROR(G33/(C7+D11+E15+F19+G23),0)</f>
        <v>0.587030875382254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B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7.5" hidden="false" customHeight="true" outlineLevel="0" collapsed="false"/>
    <row r="2" customFormat="false" ht="17.35" hidden="false" customHeight="false" outlineLevel="0" collapsed="false">
      <c r="B2" s="22" t="s">
        <v>148</v>
      </c>
    </row>
    <row r="3" customFormat="false" ht="15" hidden="false" customHeight="false" outlineLevel="0" collapsed="false">
      <c r="B3" s="21" t="s">
        <v>149</v>
      </c>
    </row>
    <row r="4" customFormat="false" ht="15" hidden="false" customHeight="false" outlineLevel="0" collapsed="false">
      <c r="B4" s="28"/>
      <c r="C4" s="29" t="s">
        <v>82</v>
      </c>
      <c r="D4" s="29" t="s">
        <v>83</v>
      </c>
      <c r="E4" s="29" t="s">
        <v>84</v>
      </c>
      <c r="F4" s="29" t="s">
        <v>85</v>
      </c>
      <c r="G4" s="29" t="s">
        <v>86</v>
      </c>
    </row>
    <row r="5" customFormat="false" ht="15" hidden="false" customHeight="false" outlineLevel="0" collapsed="false">
      <c r="B5" s="8" t="s">
        <v>36</v>
      </c>
      <c r="C5" s="35" t="n">
        <f aca="false">Model_Start_Year</f>
        <v>2025</v>
      </c>
      <c r="D5" s="35" t="n">
        <f aca="false">Model_Start_Year+1</f>
        <v>2026</v>
      </c>
      <c r="E5" s="35" t="n">
        <f aca="false">Model_Start_Year+2</f>
        <v>2027</v>
      </c>
      <c r="F5" s="35" t="n">
        <f aca="false">Model_Start_Year+3</f>
        <v>2028</v>
      </c>
      <c r="G5" s="35" t="n">
        <f aca="false">Model_Start_Year+4</f>
        <v>2029</v>
      </c>
    </row>
    <row r="6" customFormat="false" ht="15" hidden="false" customHeight="false" outlineLevel="0" collapsed="false">
      <c r="B6" s="8" t="s">
        <v>87</v>
      </c>
      <c r="C6" s="35" t="n">
        <v>1</v>
      </c>
      <c r="D6" s="35" t="n">
        <v>2</v>
      </c>
      <c r="E6" s="35" t="n">
        <v>3</v>
      </c>
      <c r="F6" s="35" t="n">
        <v>4</v>
      </c>
      <c r="G6" s="35" t="n">
        <v>5</v>
      </c>
    </row>
    <row r="7" customFormat="false" ht="15" hidden="false" customHeight="false" outlineLevel="0" collapsed="false">
      <c r="B7" s="8" t="s">
        <v>150</v>
      </c>
      <c r="C7" s="39" t="n">
        <f aca="false">FMV_Y1</f>
        <v>1.5</v>
      </c>
      <c r="D7" s="39" t="n">
        <f aca="false">FMV_Y1*(1+FMV_Growth)^(D6-1)</f>
        <v>1.95</v>
      </c>
      <c r="E7" s="39" t="n">
        <f aca="false">FMV_Y1*(1+FMV_Growth)^(E6-1)</f>
        <v>2.535</v>
      </c>
      <c r="F7" s="39" t="n">
        <f aca="false">FMV_Y1*(1+FMV_Growth)^(F6-1)</f>
        <v>3.2955</v>
      </c>
      <c r="G7" s="39" t="n">
        <f aca="false">FMV_Y1*(1+FMV_Growth)^(G6-1)</f>
        <v>4.28415</v>
      </c>
    </row>
    <row r="8" customFormat="false" ht="15" hidden="false" customHeight="false" outlineLevel="0" collapsed="false">
      <c r="B8" s="8" t="s">
        <v>151</v>
      </c>
      <c r="C8" s="31" t="n">
        <f aca="false">1</f>
        <v>1</v>
      </c>
      <c r="D8" s="31" t="n">
        <f aca="false">(1+FMV_Growth)^(D6-1)</f>
        <v>1.3</v>
      </c>
      <c r="E8" s="31" t="n">
        <f aca="false">(1+FMV_Growth)^(E6-1)</f>
        <v>1.69</v>
      </c>
      <c r="F8" s="31" t="n">
        <f aca="false">(1+FMV_Growth)^(F6-1)</f>
        <v>2.197</v>
      </c>
      <c r="G8" s="31" t="n">
        <f aca="false">(1+FMV_Growth)^(G6-1)</f>
        <v>2.8561</v>
      </c>
    </row>
    <row r="9" customFormat="false" ht="15" hidden="false" customHeight="false" outlineLevel="0" collapsed="false">
      <c r="B9" s="16" t="s">
        <v>152</v>
      </c>
      <c r="C9" s="24"/>
      <c r="D9" s="24"/>
      <c r="E9" s="24"/>
      <c r="F9" s="24"/>
      <c r="G9" s="24"/>
    </row>
    <row r="10" customFormat="false" ht="15" hidden="false" customHeight="false" outlineLevel="0" collapsed="false">
      <c r="B10" s="8" t="s">
        <v>153</v>
      </c>
      <c r="C10" s="31" t="n">
        <f aca="false">0</f>
        <v>0</v>
      </c>
      <c r="D10" s="31" t="n">
        <f aca="false">VS_VestedCum_Y1-EP_ExCum_Y1</f>
        <v>0</v>
      </c>
      <c r="E10" s="31" t="n">
        <f aca="false">VS_VestedCum_Y2-EP_ExCum_Y2</f>
        <v>40000</v>
      </c>
      <c r="F10" s="31" t="n">
        <f aca="false">VS_VestedCum_Y3-EP_ExCum_Y3</f>
        <v>78000</v>
      </c>
      <c r="G10" s="31" t="n">
        <f aca="false">VS_VestedCum_Y4-EP_ExCum_Y4</f>
        <v>105940</v>
      </c>
    </row>
    <row r="11" customFormat="false" ht="15" hidden="false" customHeight="false" outlineLevel="0" collapsed="false">
      <c r="B11" s="8" t="s">
        <v>154</v>
      </c>
      <c r="C11" s="31" t="n">
        <f aca="false">C10*Exercise_Pct</f>
        <v>0</v>
      </c>
      <c r="D11" s="31" t="n">
        <f aca="false">D10*Exercise_Pct</f>
        <v>0</v>
      </c>
      <c r="E11" s="31" t="n">
        <f aca="false">E10*Exercise_Pct</f>
        <v>24000</v>
      </c>
      <c r="F11" s="31" t="n">
        <f aca="false">F10*Exercise_Pct</f>
        <v>46800</v>
      </c>
      <c r="G11" s="31" t="n">
        <f aca="false">G10*Exercise_Pct</f>
        <v>63564</v>
      </c>
    </row>
    <row r="12" customFormat="false" ht="15" hidden="false" customHeight="false" outlineLevel="0" collapsed="false">
      <c r="B12" s="8" t="s">
        <v>155</v>
      </c>
      <c r="C12" s="31" t="n">
        <f aca="false">C11</f>
        <v>0</v>
      </c>
      <c r="D12" s="31" t="n">
        <f aca="false">C12+D11</f>
        <v>0</v>
      </c>
      <c r="E12" s="31" t="n">
        <f aca="false">D12+E11</f>
        <v>24000</v>
      </c>
      <c r="F12" s="31" t="n">
        <f aca="false">E12+F11</f>
        <v>70800</v>
      </c>
      <c r="G12" s="31" t="n">
        <f aca="false">F12+G11</f>
        <v>134364</v>
      </c>
    </row>
    <row r="13" customFormat="false" ht="15" hidden="false" customHeight="false" outlineLevel="0" collapsed="false">
      <c r="B13" s="8" t="s">
        <v>156</v>
      </c>
      <c r="C13" s="39" t="n">
        <f aca="false">FMV_Y1</f>
        <v>1.5</v>
      </c>
      <c r="D13" s="39" t="n">
        <f aca="false">FMV_Y1</f>
        <v>1.5</v>
      </c>
      <c r="E13" s="39" t="n">
        <f aca="false">(FMV_Y1+FMV_Y1*(1+FMV_Growth)^1)/2</f>
        <v>1.725</v>
      </c>
      <c r="F13" s="39" t="n">
        <f aca="false">(FMV_Y1+FMV_Y1*(1+FMV_Growth)^1+FMV_Y1*(1+FMV_Growth)^2)/3</f>
        <v>1.995</v>
      </c>
      <c r="G13" s="39" t="n">
        <f aca="false">(FMV_Y1+FMV_Y1*(1+FMV_Growth)^1+FMV_Y1*(1+FMV_Growth)^2+FMV_Y1*(1+FMV_Growth)^3)/4</f>
        <v>2.320125</v>
      </c>
    </row>
    <row r="14" customFormat="false" ht="15" hidden="false" customHeight="false" outlineLevel="0" collapsed="false">
      <c r="B14" s="8" t="s">
        <v>157</v>
      </c>
      <c r="C14" s="39" t="n">
        <f aca="false">C11*C13</f>
        <v>0</v>
      </c>
      <c r="D14" s="39" t="n">
        <f aca="false">D11*D13</f>
        <v>0</v>
      </c>
      <c r="E14" s="39" t="n">
        <f aca="false">E11*E13</f>
        <v>41400</v>
      </c>
      <c r="F14" s="39" t="n">
        <f aca="false">F11*F13</f>
        <v>93366</v>
      </c>
      <c r="G14" s="39" t="n">
        <f aca="false">G11*G13</f>
        <v>147476.4255</v>
      </c>
    </row>
    <row r="15" customFormat="false" ht="15" hidden="false" customHeight="false" outlineLevel="0" collapsed="false">
      <c r="B15" s="8" t="s">
        <v>158</v>
      </c>
      <c r="C15" s="39" t="n">
        <f aca="false">C7-C13</f>
        <v>0</v>
      </c>
      <c r="D15" s="39" t="n">
        <f aca="false">D7-D13</f>
        <v>0.45</v>
      </c>
      <c r="E15" s="39" t="n">
        <f aca="false">E7-E13</f>
        <v>0.81</v>
      </c>
      <c r="F15" s="39" t="n">
        <f aca="false">F7-F13</f>
        <v>1.3005</v>
      </c>
      <c r="G15" s="39" t="n">
        <f aca="false">G7-G13</f>
        <v>1.964025</v>
      </c>
    </row>
    <row r="16" customFormat="false" ht="15" hidden="false" customHeight="false" outlineLevel="0" collapsed="false">
      <c r="B16" s="8" t="s">
        <v>159</v>
      </c>
      <c r="C16" s="39" t="n">
        <f aca="false">C11*C15</f>
        <v>0</v>
      </c>
      <c r="D16" s="39" t="n">
        <f aca="false">D11*D15</f>
        <v>0</v>
      </c>
      <c r="E16" s="39" t="n">
        <f aca="false">E11*E15</f>
        <v>19440</v>
      </c>
      <c r="F16" s="39" t="n">
        <f aca="false">F11*F15</f>
        <v>60863.4</v>
      </c>
      <c r="G16" s="39" t="n">
        <f aca="false">G11*G15</f>
        <v>124841.2851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B1:G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3" min="3" style="0" width="10"/>
  </cols>
  <sheetData>
    <row r="1" customFormat="false" ht="7.5" hidden="false" customHeight="true" outlineLevel="0" collapsed="false"/>
    <row r="2" customFormat="false" ht="17.35" hidden="false" customHeight="false" outlineLevel="0" collapsed="false">
      <c r="B2" s="22" t="s">
        <v>160</v>
      </c>
    </row>
    <row r="3" customFormat="false" ht="15" hidden="false" customHeight="false" outlineLevel="0" collapsed="false">
      <c r="B3" s="21" t="s">
        <v>161</v>
      </c>
    </row>
    <row r="4" customFormat="false" ht="15" hidden="false" customHeight="false" outlineLevel="0" collapsed="false">
      <c r="B4" s="28"/>
      <c r="C4" s="29" t="s">
        <v>82</v>
      </c>
      <c r="D4" s="29" t="s">
        <v>83</v>
      </c>
      <c r="E4" s="29" t="s">
        <v>84</v>
      </c>
      <c r="F4" s="29" t="s">
        <v>85</v>
      </c>
      <c r="G4" s="29" t="s">
        <v>86</v>
      </c>
    </row>
    <row r="5" customFormat="false" ht="15" hidden="false" customHeight="false" outlineLevel="0" collapsed="false">
      <c r="B5" s="8" t="s">
        <v>36</v>
      </c>
      <c r="C5" s="35" t="n">
        <f aca="false">Model_Start_Year</f>
        <v>2025</v>
      </c>
      <c r="D5" s="35" t="n">
        <f aca="false">Model_Start_Year+1</f>
        <v>2026</v>
      </c>
      <c r="E5" s="35" t="n">
        <f aca="false">Model_Start_Year+2</f>
        <v>2027</v>
      </c>
      <c r="F5" s="35" t="n">
        <f aca="false">Model_Start_Year+3</f>
        <v>2028</v>
      </c>
      <c r="G5" s="35" t="n">
        <f aca="false">Model_Start_Year+4</f>
        <v>2029</v>
      </c>
    </row>
    <row r="6" customFormat="false" ht="15" hidden="false" customHeight="false" outlineLevel="0" collapsed="false">
      <c r="B6" s="8" t="s">
        <v>87</v>
      </c>
      <c r="C6" s="35" t="n">
        <v>1</v>
      </c>
      <c r="D6" s="35" t="n">
        <v>2</v>
      </c>
      <c r="E6" s="35" t="n">
        <v>3</v>
      </c>
      <c r="F6" s="35" t="n">
        <v>4</v>
      </c>
      <c r="G6" s="35" t="n">
        <v>5</v>
      </c>
    </row>
    <row r="7" customFormat="false" ht="15" hidden="false" customHeight="false" outlineLevel="0" collapsed="false">
      <c r="B7" s="16" t="s">
        <v>162</v>
      </c>
      <c r="C7" s="24"/>
      <c r="D7" s="24"/>
      <c r="E7" s="24"/>
      <c r="F7" s="24"/>
      <c r="G7" s="24"/>
    </row>
    <row r="8" customFormat="false" ht="15" hidden="false" customHeight="false" outlineLevel="0" collapsed="false">
      <c r="B8" s="8" t="s">
        <v>163</v>
      </c>
      <c r="C8" s="41" t="n">
        <f aca="false">MIN(PS_Closing_Y1,PS_Closing_Y2,PS_Closing_Y3,PS_Closing_Y4,PS_Closing_Y5)&gt;=0</f>
        <v>1</v>
      </c>
    </row>
    <row r="9" customFormat="false" ht="15" hidden="false" customHeight="false" outlineLevel="0" collapsed="false">
      <c r="B9" s="8" t="s">
        <v>164</v>
      </c>
      <c r="C9" s="41" t="n">
        <f aca="false">AND(PS_Total_Grants_Y1&lt;=PS_Opening_Y1+PS_Expansion_Y1,PS_Total_Grants_Y2&lt;=PS_Opening_Y2+PS_Expansion_Y2,PS_Total_Grants_Y3&lt;=PS_Opening_Y3+PS_Expansion_Y3,PS_Total_Grants_Y4&lt;=PS_Opening_Y4+PS_Expansion_Y4,PS_Total_Grants_Y5&lt;=PS_Opening_Y5+PS_Expansion_Y5)</f>
        <v>1</v>
      </c>
    </row>
    <row r="10" customFormat="false" ht="15" hidden="false" customHeight="false" outlineLevel="0" collapsed="false">
      <c r="B10" s="8" t="s">
        <v>165</v>
      </c>
      <c r="C10" s="41" t="n">
        <f aca="false">AND(ABS(PS_Closing_Y1-(PS_Opening_Y1+PS_Expansion_Y1-PS_Total_Grants_Y1+VS_Forfeitures_Per_Y1))&lt;1,ABS(PS_Closing_Y2-(PS_Opening_Y2+PS_Expansion_Y2-PS_Total_Grants_Y2+VS_Forfeitures_Per_Y2))&lt;1,ABS(PS_Closing_Y3-(PS_Opening_Y3+PS_Expansion_Y3-PS_Total_Grants_Y3+VS_Forfeitures_Per_Y3))&lt;1,ABS(PS_Closing_Y4-(PS_Opening_Y4+PS_Expansion_Y4-PS_Total_Grants_Y4+VS_Forfeitures_Per_Y4))&lt;1,ABS(PS_Closing_Y5-(PS_Opening_Y5+PS_Expansion_Y5-PS_Total_Grants_Y5+VS_Forfeitures_Per_Y5))&lt;1)</f>
        <v>1</v>
      </c>
    </row>
    <row r="11" customFormat="false" ht="15" hidden="false" customHeight="false" outlineLevel="0" collapsed="false">
      <c r="B11" s="8" t="s">
        <v>166</v>
      </c>
      <c r="C11" s="41" t="n">
        <f aca="false">MIN(Vesting_Schedule!C52,Vesting_Schedule!D52,Vesting_Schedule!E52,Vesting_Schedule!F52,Vesting_Schedule!G52)&gt;=0</f>
        <v>1</v>
      </c>
    </row>
    <row r="12" customFormat="false" ht="15" hidden="false" customHeight="false" outlineLevel="0" collapsed="false">
      <c r="B12" s="8" t="s">
        <v>167</v>
      </c>
      <c r="C12" s="41" t="n">
        <f aca="false">AND(ABS(Dilution_Analysis!C12-(Dilution_Analysis!C7+Dilution_Analysis!C8+Dilution_Analysis!C9+Dilution_Analysis!C10+Dilution_Analysis!C11))&lt;1,ABS(Dilution_Analysis!G12-(Dilution_Analysis!G7+Dilution_Analysis!G8+Dilution_Analysis!G9+Dilution_Analysis!G10+Dilution_Analysis!G11))&lt;1)</f>
        <v>1</v>
      </c>
    </row>
    <row r="13" customFormat="false" ht="15" hidden="false" customHeight="false" outlineLevel="0" collapsed="false">
      <c r="B13" s="8" t="s">
        <v>168</v>
      </c>
      <c r="C13" s="41" t="n">
        <f aca="false">AND(EP_ExCum_Y1&lt;=VS_VestedCum_Y1,EP_ExCum_Y2&lt;=VS_VestedCum_Y2,EP_ExCum_Y3&lt;=VS_VestedCum_Y3,EP_ExCum_Y4&lt;=VS_VestedCum_Y4,EP_ExCum_Y5&lt;=VS_VestedCum_Y5)</f>
        <v>1</v>
      </c>
    </row>
    <row r="14" customFormat="false" ht="15" hidden="false" customHeight="false" outlineLevel="0" collapsed="false">
      <c r="B14" s="8" t="s">
        <v>169</v>
      </c>
      <c r="C14" s="41" t="n">
        <f aca="false">MIN(SBC_Expense!C32,SBC_Expense!D32,SBC_Expense!E32,SBC_Expense!F32,SBC_Expense!G32)&gt;=0</f>
        <v>1</v>
      </c>
    </row>
    <row r="15" customFormat="false" ht="15" hidden="false" customHeight="false" outlineLevel="0" collapsed="false">
      <c r="B15" s="8" t="s">
        <v>170</v>
      </c>
      <c r="C15" s="41" t="n">
        <f aca="false">ABS(EP_Exercisable_Y3-(VS_VestedCum_Y2-EP_ExCum_Y2))&lt;1</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2026-05-15T18:53:06Z</dcterms:created>
  <dc:creator>openpyxl</dc:creator>
  <dc:description/>
  <dc:language>en-GB</dc:language>
  <cp:lastModifiedBy/>
  <dcterms:modified xsi:type="dcterms:W3CDTF">2026-05-15T18:53:06Z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