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Asset_Returns" sheetId="4" state="visible" r:id="rId6"/>
    <sheet name="Private_Markets" sheetId="5" state="visible" r:id="rId7"/>
    <sheet name="OpCo_PL" sheetId="6" state="visible" r:id="rId8"/>
    <sheet name="Distributions_Tax" sheetId="7" state="visible" r:id="rId9"/>
    <sheet name="Cash_Flow" sheetId="8" state="visible" r:id="rId10"/>
    <sheet name="Portfolio_Build" sheetId="9" state="visible" r:id="rId11"/>
    <sheet name="Balance_Sheet" sheetId="10" state="visible" r:id="rId12"/>
    <sheet name="Checks" sheetId="11" state="visible" r:id="rId13"/>
  </sheets>
  <definedNames>
    <definedName function="false" hidden="false" name="Alloc_Cash" vbProcedure="false">Assumptions!$C$13</definedName>
    <definedName function="false" hidden="false" name="Alloc_Eq" vbProcedure="false">Assumptions!$C$9</definedName>
    <definedName function="false" hidden="false" name="Alloc_FI" vbProcedure="false">Assumptions!$C$10</definedName>
    <definedName function="false" hidden="false" name="Alloc_PE" vbProcedure="false">Assumptions!$C$11</definedName>
    <definedName function="false" hidden="false" name="Alloc_RE" vbProcedure="false">Assumptions!$C$12</definedName>
    <definedName function="false" hidden="false" name="AR_Cash_Yield_Y1" vbProcedure="false">Asset_Returns!$C$25</definedName>
    <definedName function="false" hidden="false" name="AR_Cash_Yield_Y2" vbProcedure="false">Asset_Returns!$D$25</definedName>
    <definedName function="false" hidden="false" name="AR_Cash_Yield_Y3" vbProcedure="false">Asset_Returns!$E$25</definedName>
    <definedName function="false" hidden="false" name="AR_Cash_Yield_Y4" vbProcedure="false">Asset_Returns!$F$25</definedName>
    <definedName function="false" hidden="false" name="AR_Cash_Yield_Y5" vbProcedure="false">Asset_Returns!$G$25</definedName>
    <definedName function="false" hidden="false" name="AR_Cash_Yield_Y6" vbProcedure="false">Asset_Returns!$H$25</definedName>
    <definedName function="false" hidden="false" name="AR_Cash_Yield_Y7" vbProcedure="false">Asset_Returns!$I$25</definedName>
    <definedName function="false" hidden="false" name="AR_Eq_Cap_Gain_Y1" vbProcedure="false">Asset_Returns!$C$8</definedName>
    <definedName function="false" hidden="false" name="AR_Eq_Cap_Gain_Y2" vbProcedure="false">Asset_Returns!$D$8</definedName>
    <definedName function="false" hidden="false" name="AR_Eq_Cap_Gain_Y3" vbProcedure="false">Asset_Returns!$E$8</definedName>
    <definedName function="false" hidden="false" name="AR_Eq_Cap_Gain_Y4" vbProcedure="false">Asset_Returns!$F$8</definedName>
    <definedName function="false" hidden="false" name="AR_Eq_Cap_Gain_Y5" vbProcedure="false">Asset_Returns!$G$8</definedName>
    <definedName function="false" hidden="false" name="AR_Eq_Cap_Gain_Y6" vbProcedure="false">Asset_Returns!$H$8</definedName>
    <definedName function="false" hidden="false" name="AR_Eq_Cap_Gain_Y7" vbProcedure="false">Asset_Returns!$I$8</definedName>
    <definedName function="false" hidden="false" name="AR_Eq_Total_Y1" vbProcedure="false">Asset_Returns!$C$9</definedName>
    <definedName function="false" hidden="false" name="AR_Eq_Total_Y2" vbProcedure="false">Asset_Returns!$D$9</definedName>
    <definedName function="false" hidden="false" name="AR_Eq_Total_Y3" vbProcedure="false">Asset_Returns!$E$9</definedName>
    <definedName function="false" hidden="false" name="AR_Eq_Total_Y4" vbProcedure="false">Asset_Returns!$F$9</definedName>
    <definedName function="false" hidden="false" name="AR_Eq_Total_Y5" vbProcedure="false">Asset_Returns!$G$9</definedName>
    <definedName function="false" hidden="false" name="AR_Eq_Total_Y6" vbProcedure="false">Asset_Returns!$H$9</definedName>
    <definedName function="false" hidden="false" name="AR_Eq_Total_Y7" vbProcedure="false">Asset_Returns!$I$9</definedName>
    <definedName function="false" hidden="false" name="AR_Eq_Yield_Y1" vbProcedure="false">Asset_Returns!$C$7</definedName>
    <definedName function="false" hidden="false" name="AR_Eq_Yield_Y2" vbProcedure="false">Asset_Returns!$D$7</definedName>
    <definedName function="false" hidden="false" name="AR_Eq_Yield_Y3" vbProcedure="false">Asset_Returns!$E$7</definedName>
    <definedName function="false" hidden="false" name="AR_Eq_Yield_Y4" vbProcedure="false">Asset_Returns!$F$7</definedName>
    <definedName function="false" hidden="false" name="AR_Eq_Yield_Y5" vbProcedure="false">Asset_Returns!$G$7</definedName>
    <definedName function="false" hidden="false" name="AR_Eq_Yield_Y6" vbProcedure="false">Asset_Returns!$H$7</definedName>
    <definedName function="false" hidden="false" name="AR_Eq_Yield_Y7" vbProcedure="false">Asset_Returns!$I$7</definedName>
    <definedName function="false" hidden="false" name="AR_FI_Total_Y1" vbProcedure="false">Asset_Returns!$C$15</definedName>
    <definedName function="false" hidden="false" name="AR_FI_Total_Y2" vbProcedure="false">Asset_Returns!$D$15</definedName>
    <definedName function="false" hidden="false" name="AR_FI_Total_Y3" vbProcedure="false">Asset_Returns!$E$15</definedName>
    <definedName function="false" hidden="false" name="AR_FI_Total_Y4" vbProcedure="false">Asset_Returns!$F$15</definedName>
    <definedName function="false" hidden="false" name="AR_FI_Total_Y5" vbProcedure="false">Asset_Returns!$G$15</definedName>
    <definedName function="false" hidden="false" name="AR_FI_Total_Y6" vbProcedure="false">Asset_Returns!$H$15</definedName>
    <definedName function="false" hidden="false" name="AR_FI_Total_Y7" vbProcedure="false">Asset_Returns!$I$15</definedName>
    <definedName function="false" hidden="false" name="AR_FI_Yield_Y1" vbProcedure="false">Asset_Returns!$C$13</definedName>
    <definedName function="false" hidden="false" name="AR_FI_Yield_Y2" vbProcedure="false">Asset_Returns!$D$13</definedName>
    <definedName function="false" hidden="false" name="AR_FI_Yield_Y3" vbProcedure="false">Asset_Returns!$E$13</definedName>
    <definedName function="false" hidden="false" name="AR_FI_Yield_Y4" vbProcedure="false">Asset_Returns!$F$13</definedName>
    <definedName function="false" hidden="false" name="AR_FI_Yield_Y5" vbProcedure="false">Asset_Returns!$G$13</definedName>
    <definedName function="false" hidden="false" name="AR_FI_Yield_Y6" vbProcedure="false">Asset_Returns!$H$13</definedName>
    <definedName function="false" hidden="false" name="AR_FI_Yield_Y7" vbProcedure="false">Asset_Returns!$I$13</definedName>
    <definedName function="false" hidden="false" name="AR_RE_Cap_Gain_Y1" vbProcedure="false">Asset_Returns!$C$20</definedName>
    <definedName function="false" hidden="false" name="AR_RE_Cap_Gain_Y2" vbProcedure="false">Asset_Returns!$D$20</definedName>
    <definedName function="false" hidden="false" name="AR_RE_Cap_Gain_Y3" vbProcedure="false">Asset_Returns!$E$20</definedName>
    <definedName function="false" hidden="false" name="AR_RE_Cap_Gain_Y4" vbProcedure="false">Asset_Returns!$F$20</definedName>
    <definedName function="false" hidden="false" name="AR_RE_Cap_Gain_Y5" vbProcedure="false">Asset_Returns!$G$20</definedName>
    <definedName function="false" hidden="false" name="AR_RE_Cap_Gain_Y6" vbProcedure="false">Asset_Returns!$H$20</definedName>
    <definedName function="false" hidden="false" name="AR_RE_Cap_Gain_Y7" vbProcedure="false">Asset_Returns!$I$20</definedName>
    <definedName function="false" hidden="false" name="AR_RE_Total_Y1" vbProcedure="false">Asset_Returns!$C$21</definedName>
    <definedName function="false" hidden="false" name="AR_RE_Total_Y2" vbProcedure="false">Asset_Returns!$D$21</definedName>
    <definedName function="false" hidden="false" name="AR_RE_Total_Y3" vbProcedure="false">Asset_Returns!$E$21</definedName>
    <definedName function="false" hidden="false" name="AR_RE_Total_Y4" vbProcedure="false">Asset_Returns!$F$21</definedName>
    <definedName function="false" hidden="false" name="AR_RE_Total_Y5" vbProcedure="false">Asset_Returns!$G$21</definedName>
    <definedName function="false" hidden="false" name="AR_RE_Total_Y6" vbProcedure="false">Asset_Returns!$H$21</definedName>
    <definedName function="false" hidden="false" name="AR_RE_Total_Y7" vbProcedure="false">Asset_Returns!$I$21</definedName>
    <definedName function="false" hidden="false" name="AR_RE_Yield_Y1" vbProcedure="false">Asset_Returns!$C$19</definedName>
    <definedName function="false" hidden="false" name="AR_RE_Yield_Y2" vbProcedure="false">Asset_Returns!$D$19</definedName>
    <definedName function="false" hidden="false" name="AR_RE_Yield_Y3" vbProcedure="false">Asset_Returns!$E$19</definedName>
    <definedName function="false" hidden="false" name="AR_RE_Yield_Y4" vbProcedure="false">Asset_Returns!$F$19</definedName>
    <definedName function="false" hidden="false" name="AR_RE_Yield_Y5" vbProcedure="false">Asset_Returns!$G$19</definedName>
    <definedName function="false" hidden="false" name="AR_RE_Yield_Y6" vbProcedure="false">Asset_Returns!$H$19</definedName>
    <definedName function="false" hidden="false" name="AR_RE_Yield_Y7" vbProcedure="false">Asset_Returns!$I$19</definedName>
    <definedName function="false" hidden="false" name="AR_Total_CG_Y1" vbProcedure="false">Asset_Returns!$C$28</definedName>
    <definedName function="false" hidden="false" name="AR_Total_CG_Y2" vbProcedure="false">Asset_Returns!$D$28</definedName>
    <definedName function="false" hidden="false" name="AR_Total_CG_Y3" vbProcedure="false">Asset_Returns!$E$28</definedName>
    <definedName function="false" hidden="false" name="AR_Total_CG_Y4" vbProcedure="false">Asset_Returns!$F$28</definedName>
    <definedName function="false" hidden="false" name="AR_Total_CG_Y5" vbProcedure="false">Asset_Returns!$G$28</definedName>
    <definedName function="false" hidden="false" name="AR_Total_CG_Y6" vbProcedure="false">Asset_Returns!$H$28</definedName>
    <definedName function="false" hidden="false" name="AR_Total_CG_Y7" vbProcedure="false">Asset_Returns!$I$28</definedName>
    <definedName function="false" hidden="false" name="AR_Total_Return_Y1" vbProcedure="false">Asset_Returns!$C$29</definedName>
    <definedName function="false" hidden="false" name="AR_Total_Return_Y2" vbProcedure="false">Asset_Returns!$D$29</definedName>
    <definedName function="false" hidden="false" name="AR_Total_Return_Y3" vbProcedure="false">Asset_Returns!$E$29</definedName>
    <definedName function="false" hidden="false" name="AR_Total_Return_Y4" vbProcedure="false">Asset_Returns!$F$29</definedName>
    <definedName function="false" hidden="false" name="AR_Total_Return_Y5" vbProcedure="false">Asset_Returns!$G$29</definedName>
    <definedName function="false" hidden="false" name="AR_Total_Return_Y6" vbProcedure="false">Asset_Returns!$H$29</definedName>
    <definedName function="false" hidden="false" name="AR_Total_Return_Y7" vbProcedure="false">Asset_Returns!$I$29</definedName>
    <definedName function="false" hidden="false" name="AR_Total_Yield_Y1" vbProcedure="false">Asset_Returns!$C$27</definedName>
    <definedName function="false" hidden="false" name="AR_Total_Yield_Y2" vbProcedure="false">Asset_Returns!$D$27</definedName>
    <definedName function="false" hidden="false" name="AR_Total_Yield_Y3" vbProcedure="false">Asset_Returns!$E$27</definedName>
    <definedName function="false" hidden="false" name="AR_Total_Yield_Y4" vbProcedure="false">Asset_Returns!$F$27</definedName>
    <definedName function="false" hidden="false" name="AR_Total_Yield_Y5" vbProcedure="false">Asset_Returns!$G$27</definedName>
    <definedName function="false" hidden="false" name="AR_Total_Yield_Y6" vbProcedure="false">Asset_Returns!$H$27</definedName>
    <definedName function="false" hidden="false" name="AR_Total_Yield_Y7" vbProcedure="false">Asset_Returns!$I$27</definedName>
    <definedName function="false" hidden="false" name="Avg_Comp" vbProcedure="false">Assumptions!$C$30</definedName>
    <definedName function="false" hidden="false" name="BS_Check_Y1" vbProcedure="false">Balance_Sheet!$C$24</definedName>
    <definedName function="false" hidden="false" name="BS_Check_Y2" vbProcedure="false">Balance_Sheet!$D$24</definedName>
    <definedName function="false" hidden="false" name="BS_Check_Y3" vbProcedure="false">Balance_Sheet!$E$24</definedName>
    <definedName function="false" hidden="false" name="BS_Check_Y4" vbProcedure="false">Balance_Sheet!$F$24</definedName>
    <definedName function="false" hidden="false" name="BS_Check_Y5" vbProcedure="false">Balance_Sheet!$G$24</definedName>
    <definedName function="false" hidden="false" name="BS_Check_Y6" vbProcedure="false">Balance_Sheet!$H$24</definedName>
    <definedName function="false" hidden="false" name="BS_Check_Y7" vbProcedure="false">Balance_Sheet!$I$24</definedName>
    <definedName function="false" hidden="false" name="BS_RE_Y1" vbProcedure="false">Balance_Sheet!$C$19</definedName>
    <definedName function="false" hidden="false" name="BS_RE_Y2" vbProcedure="false">Balance_Sheet!$D$19</definedName>
    <definedName function="false" hidden="false" name="BS_RE_Y3" vbProcedure="false">Balance_Sheet!$E$19</definedName>
    <definedName function="false" hidden="false" name="BS_RE_Y4" vbProcedure="false">Balance_Sheet!$F$19</definedName>
    <definedName function="false" hidden="false" name="BS_RE_Y5" vbProcedure="false">Balance_Sheet!$G$19</definedName>
    <definedName function="false" hidden="false" name="BS_RE_Y6" vbProcedure="false">Balance_Sheet!$H$19</definedName>
    <definedName function="false" hidden="false" name="BS_RE_Y7" vbProcedure="false">Balance_Sheet!$I$19</definedName>
    <definedName function="false" hidden="false" name="BS_Total_Assets_Y1" vbProcedure="false">Balance_Sheet!$C$11</definedName>
    <definedName function="false" hidden="false" name="BS_Total_Assets_Y2" vbProcedure="false">Balance_Sheet!$D$11</definedName>
    <definedName function="false" hidden="false" name="BS_Total_Assets_Y3" vbProcedure="false">Balance_Sheet!$E$11</definedName>
    <definedName function="false" hidden="false" name="BS_Total_Assets_Y4" vbProcedure="false">Balance_Sheet!$F$11</definedName>
    <definedName function="false" hidden="false" name="BS_Total_Assets_Y5" vbProcedure="false">Balance_Sheet!$G$11</definedName>
    <definedName function="false" hidden="false" name="BS_Total_Assets_Y6" vbProcedure="false">Balance_Sheet!$H$11</definedName>
    <definedName function="false" hidden="false" name="BS_Total_Assets_Y7" vbProcedure="false">Balance_Sheet!$I$11</definedName>
    <definedName function="false" hidden="false" name="BS_Total_Equity_Y1" vbProcedure="false">Balance_Sheet!$C$20</definedName>
    <definedName function="false" hidden="false" name="BS_Total_Equity_Y2" vbProcedure="false">Balance_Sheet!$D$20</definedName>
    <definedName function="false" hidden="false" name="BS_Total_Equity_Y3" vbProcedure="false">Balance_Sheet!$E$20</definedName>
    <definedName function="false" hidden="false" name="BS_Total_Equity_Y4" vbProcedure="false">Balance_Sheet!$F$20</definedName>
    <definedName function="false" hidden="false" name="BS_Total_Equity_Y5" vbProcedure="false">Balance_Sheet!$G$20</definedName>
    <definedName function="false" hidden="false" name="BS_Total_Equity_Y6" vbProcedure="false">Balance_Sheet!$H$20</definedName>
    <definedName function="false" hidden="false" name="BS_Total_Equity_Y7" vbProcedure="false">Balance_Sheet!$I$20</definedName>
    <definedName function="false" hidden="false" name="BS_Total_LE_Y1" vbProcedure="false">Balance_Sheet!$C$22</definedName>
    <definedName function="false" hidden="false" name="BS_Total_LE_Y2" vbProcedure="false">Balance_Sheet!$D$22</definedName>
    <definedName function="false" hidden="false" name="BS_Total_LE_Y3" vbProcedure="false">Balance_Sheet!$E$22</definedName>
    <definedName function="false" hidden="false" name="BS_Total_LE_Y4" vbProcedure="false">Balance_Sheet!$F$22</definedName>
    <definedName function="false" hidden="false" name="BS_Total_LE_Y5" vbProcedure="false">Balance_Sheet!$G$22</definedName>
    <definedName function="false" hidden="false" name="BS_Total_LE_Y6" vbProcedure="false">Balance_Sheet!$H$22</definedName>
    <definedName function="false" hidden="false" name="BS_Total_LE_Y7" vbProcedure="false">Balance_Sheet!$I$22</definedName>
    <definedName function="false" hidden="false" name="BS_Total_Liab_Y1" vbProcedure="false">Balance_Sheet!$C$15</definedName>
    <definedName function="false" hidden="false" name="BS_Total_Liab_Y2" vbProcedure="false">Balance_Sheet!$D$15</definedName>
    <definedName function="false" hidden="false" name="BS_Total_Liab_Y3" vbProcedure="false">Balance_Sheet!$E$15</definedName>
    <definedName function="false" hidden="false" name="BS_Total_Liab_Y4" vbProcedure="false">Balance_Sheet!$F$15</definedName>
    <definedName function="false" hidden="false" name="BS_Total_Liab_Y5" vbProcedure="false">Balance_Sheet!$G$15</definedName>
    <definedName function="false" hidden="false" name="BS_Total_Liab_Y6" vbProcedure="false">Balance_Sheet!$H$15</definedName>
    <definedName function="false" hidden="false" name="BS_Total_Liab_Y7" vbProcedure="false">Balance_Sheet!$I$15</definedName>
    <definedName function="false" hidden="false" name="Cash_Return" vbProcedure="false">Assumptions!$C$21</definedName>
    <definedName function="false" hidden="false" name="CF_After_Tax_Net_Y1" vbProcedure="false">Cash_Flow!$C$22</definedName>
    <definedName function="false" hidden="false" name="CF_After_Tax_Net_Y2" vbProcedure="false">Cash_Flow!$D$22</definedName>
    <definedName function="false" hidden="false" name="CF_After_Tax_Net_Y3" vbProcedure="false">Cash_Flow!$E$22</definedName>
    <definedName function="false" hidden="false" name="CF_After_Tax_Net_Y4" vbProcedure="false">Cash_Flow!$F$22</definedName>
    <definedName function="false" hidden="false" name="CF_After_Tax_Net_Y5" vbProcedure="false">Cash_Flow!$G$22</definedName>
    <definedName function="false" hidden="false" name="CF_After_Tax_Net_Y6" vbProcedure="false">Cash_Flow!$H$22</definedName>
    <definedName function="false" hidden="false" name="CF_After_Tax_Net_Y7" vbProcedure="false">Cash_Flow!$I$22</definedName>
    <definedName function="false" hidden="false" name="CF_Close_Cash_Y1" vbProcedure="false">Cash_Flow!$C$24</definedName>
    <definedName function="false" hidden="false" name="CF_Close_Cash_Y2" vbProcedure="false">Cash_Flow!$D$24</definedName>
    <definedName function="false" hidden="false" name="CF_Close_Cash_Y3" vbProcedure="false">Cash_Flow!$E$24</definedName>
    <definedName function="false" hidden="false" name="CF_Close_Cash_Y4" vbProcedure="false">Cash_Flow!$F$24</definedName>
    <definedName function="false" hidden="false" name="CF_Close_Cash_Y5" vbProcedure="false">Cash_Flow!$G$24</definedName>
    <definedName function="false" hidden="false" name="CF_Close_Cash_Y6" vbProcedure="false">Cash_Flow!$H$24</definedName>
    <definedName function="false" hidden="false" name="CF_Close_Cash_Y7" vbProcedure="false">Cash_Flow!$I$24</definedName>
    <definedName function="false" hidden="false" name="CF_Int_Exp_Y1" vbProcedure="false">Cash_Flow!$C$18</definedName>
    <definedName function="false" hidden="false" name="CF_Int_Exp_Y2" vbProcedure="false">Cash_Flow!$D$18</definedName>
    <definedName function="false" hidden="false" name="CF_Int_Exp_Y3" vbProcedure="false">Cash_Flow!$E$18</definedName>
    <definedName function="false" hidden="false" name="CF_Int_Exp_Y4" vbProcedure="false">Cash_Flow!$F$18</definedName>
    <definedName function="false" hidden="false" name="CF_Int_Exp_Y5" vbProcedure="false">Cash_Flow!$G$18</definedName>
    <definedName function="false" hidden="false" name="CF_Int_Exp_Y6" vbProcedure="false">Cash_Flow!$H$18</definedName>
    <definedName function="false" hidden="false" name="CF_Int_Exp_Y7" vbProcedure="false">Cash_Flow!$I$18</definedName>
    <definedName function="false" hidden="false" name="CF_PreTax_Net_Y1" vbProcedure="false">Cash_Flow!$C$20</definedName>
    <definedName function="false" hidden="false" name="CF_PreTax_Net_Y2" vbProcedure="false">Cash_Flow!$D$20</definedName>
    <definedName function="false" hidden="false" name="CF_PreTax_Net_Y3" vbProcedure="false">Cash_Flow!$E$20</definedName>
    <definedName function="false" hidden="false" name="CF_PreTax_Net_Y4" vbProcedure="false">Cash_Flow!$F$20</definedName>
    <definedName function="false" hidden="false" name="CF_PreTax_Net_Y5" vbProcedure="false">Cash_Flow!$G$20</definedName>
    <definedName function="false" hidden="false" name="CF_PreTax_Net_Y6" vbProcedure="false">Cash_Flow!$H$20</definedName>
    <definedName function="false" hidden="false" name="CF_PreTax_Net_Y7" vbProcedure="false">Cash_Flow!$I$20</definedName>
    <definedName function="false" hidden="false" name="CF_Total_Inflows_Y1" vbProcedure="false">Cash_Flow!$C$12</definedName>
    <definedName function="false" hidden="false" name="CF_Total_Inflows_Y2" vbProcedure="false">Cash_Flow!$D$12</definedName>
    <definedName function="false" hidden="false" name="CF_Total_Inflows_Y3" vbProcedure="false">Cash_Flow!$E$12</definedName>
    <definedName function="false" hidden="false" name="CF_Total_Inflows_Y4" vbProcedure="false">Cash_Flow!$F$12</definedName>
    <definedName function="false" hidden="false" name="CF_Total_Inflows_Y5" vbProcedure="false">Cash_Flow!$G$12</definedName>
    <definedName function="false" hidden="false" name="CF_Total_Inflows_Y6" vbProcedure="false">Cash_Flow!$H$12</definedName>
    <definedName function="false" hidden="false" name="CF_Total_Inflows_Y7" vbProcedure="false">Cash_Flow!$I$12</definedName>
    <definedName function="false" hidden="false" name="CF_Total_Outflows_Y1" vbProcedure="false">Cash_Flow!$C$19</definedName>
    <definedName function="false" hidden="false" name="CF_Total_Outflows_Y2" vbProcedure="false">Cash_Flow!$D$19</definedName>
    <definedName function="false" hidden="false" name="CF_Total_Outflows_Y3" vbProcedure="false">Cash_Flow!$E$19</definedName>
    <definedName function="false" hidden="false" name="CF_Total_Outflows_Y4" vbProcedure="false">Cash_Flow!$F$19</definedName>
    <definedName function="false" hidden="false" name="CF_Total_Outflows_Y5" vbProcedure="false">Cash_Flow!$G$19</definedName>
    <definedName function="false" hidden="false" name="CF_Total_Outflows_Y6" vbProcedure="false">Cash_Flow!$H$19</definedName>
    <definedName function="false" hidden="false" name="CF_Total_Outflows_Y7" vbProcedure="false">Cash_Flow!$I$19</definedName>
    <definedName function="false" hidden="false" name="CG_Tax_Rate" vbProcedure="false">Assumptions!$C$39</definedName>
    <definedName function="false" hidden="false" name="Dist_Rate" vbProcedure="false">Assumptions!$C$37</definedName>
    <definedName function="false" hidden="false" name="DT_CG_Tax_Y1" vbProcedure="false">Distributions_Tax!$C$16</definedName>
    <definedName function="false" hidden="false" name="DT_CG_Tax_Y2" vbProcedure="false">Distributions_Tax!$D$16</definedName>
    <definedName function="false" hidden="false" name="DT_CG_Tax_Y3" vbProcedure="false">Distributions_Tax!$E$16</definedName>
    <definedName function="false" hidden="false" name="DT_CG_Tax_Y4" vbProcedure="false">Distributions_Tax!$F$16</definedName>
    <definedName function="false" hidden="false" name="DT_CG_Tax_Y5" vbProcedure="false">Distributions_Tax!$G$16</definedName>
    <definedName function="false" hidden="false" name="DT_CG_Tax_Y6" vbProcedure="false">Distributions_Tax!$H$16</definedName>
    <definedName function="false" hidden="false" name="DT_CG_Tax_Y7" vbProcedure="false">Distributions_Tax!$I$16</definedName>
    <definedName function="false" hidden="false" name="DT_Distributions_Y1" vbProcedure="false">Distributions_Tax!$C$7</definedName>
    <definedName function="false" hidden="false" name="DT_Distributions_Y2" vbProcedure="false">Distributions_Tax!$D$7</definedName>
    <definedName function="false" hidden="false" name="DT_Distributions_Y3" vbProcedure="false">Distributions_Tax!$E$7</definedName>
    <definedName function="false" hidden="false" name="DT_Distributions_Y4" vbProcedure="false">Distributions_Tax!$F$7</definedName>
    <definedName function="false" hidden="false" name="DT_Distributions_Y5" vbProcedure="false">Distributions_Tax!$G$7</definedName>
    <definedName function="false" hidden="false" name="DT_Distributions_Y6" vbProcedure="false">Distributions_Tax!$H$7</definedName>
    <definedName function="false" hidden="false" name="DT_Distributions_Y7" vbProcedure="false">Distributions_Tax!$I$7</definedName>
    <definedName function="false" hidden="false" name="DT_Income_Tax_Y1" vbProcedure="false">Distributions_Tax!$C$11</definedName>
    <definedName function="false" hidden="false" name="DT_Income_Tax_Y2" vbProcedure="false">Distributions_Tax!$D$11</definedName>
    <definedName function="false" hidden="false" name="DT_Income_Tax_Y3" vbProcedure="false">Distributions_Tax!$E$11</definedName>
    <definedName function="false" hidden="false" name="DT_Income_Tax_Y4" vbProcedure="false">Distributions_Tax!$F$11</definedName>
    <definedName function="false" hidden="false" name="DT_Income_Tax_Y5" vbProcedure="false">Distributions_Tax!$G$11</definedName>
    <definedName function="false" hidden="false" name="DT_Income_Tax_Y6" vbProcedure="false">Distributions_Tax!$H$11</definedName>
    <definedName function="false" hidden="false" name="DT_Income_Tax_Y7" vbProcedure="false">Distributions_Tax!$I$11</definedName>
    <definedName function="false" hidden="false" name="DT_PE_Gain_Y1" vbProcedure="false">Distributions_Tax!$C$15</definedName>
    <definedName function="false" hidden="false" name="DT_PE_Gain_Y2" vbProcedure="false">Distributions_Tax!$D$15</definedName>
    <definedName function="false" hidden="false" name="DT_PE_Gain_Y3" vbProcedure="false">Distributions_Tax!$E$15</definedName>
    <definedName function="false" hidden="false" name="DT_PE_Gain_Y4" vbProcedure="false">Distributions_Tax!$F$15</definedName>
    <definedName function="false" hidden="false" name="DT_PE_Gain_Y5" vbProcedure="false">Distributions_Tax!$G$15</definedName>
    <definedName function="false" hidden="false" name="DT_PE_Gain_Y6" vbProcedure="false">Distributions_Tax!$H$15</definedName>
    <definedName function="false" hidden="false" name="DT_PE_Gain_Y7" vbProcedure="false">Distributions_Tax!$I$15</definedName>
    <definedName function="false" hidden="false" name="DT_Total_Tax_Y1" vbProcedure="false">Distributions_Tax!$C$18</definedName>
    <definedName function="false" hidden="false" name="DT_Total_Tax_Y2" vbProcedure="false">Distributions_Tax!$D$18</definedName>
    <definedName function="false" hidden="false" name="DT_Total_Tax_Y3" vbProcedure="false">Distributions_Tax!$E$18</definedName>
    <definedName function="false" hidden="false" name="DT_Total_Tax_Y4" vbProcedure="false">Distributions_Tax!$F$18</definedName>
    <definedName function="false" hidden="false" name="DT_Total_Tax_Y5" vbProcedure="false">Distributions_Tax!$G$18</definedName>
    <definedName function="false" hidden="false" name="DT_Total_Tax_Y6" vbProcedure="false">Distributions_Tax!$H$18</definedName>
    <definedName function="false" hidden="false" name="DT_Total_Tax_Y7" vbProcedure="false">Distributions_Tax!$I$18</definedName>
    <definedName function="false" hidden="false" name="Eq_Div_Yield" vbProcedure="false">Assumptions!$C$16</definedName>
    <definedName function="false" hidden="false" name="Eq_Total_Return" vbProcedure="false">Assumptions!$C$15</definedName>
    <definedName function="false" hidden="false" name="FI_Total_Return" vbProcedure="false">Assumptions!$C$17</definedName>
    <definedName function="false" hidden="false" name="Headcount" vbProcedure="false">Assumptions!$C$29</definedName>
    <definedName function="false" hidden="false" name="Income_Tax_Rate" vbProcedure="false">Assumptions!$C$38</definedName>
    <definedName function="false" hidden="false" name="Inflation_Rate" vbProcedure="false">Assumptions!$C$40</definedName>
    <definedName function="false" hidden="false" name="Init_Cash" vbProcedure="false">Assumptions!$C$42</definedName>
    <definedName function="false" hidden="false" name="Insurance" vbProcedure="false">Assumptions!$C$34</definedName>
    <definedName function="false" hidden="false" name="Margin_Loan" vbProcedure="false">Assumptions!$C$44</definedName>
    <definedName function="false" hidden="false" name="Margin_Rate" vbProcedure="false">Assumptions!$C$45</definedName>
    <definedName function="false" hidden="false" name="Min_Cash_Buffer" vbProcedure="false">Assumptions!$C$43</definedName>
    <definedName function="false" hidden="false" name="OP_Total_OpEx_Y1" vbProcedure="false">OpCo_PL!$C$12</definedName>
    <definedName function="false" hidden="false" name="OP_Total_OpEx_Y2" vbProcedure="false">OpCo_PL!$D$12</definedName>
    <definedName function="false" hidden="false" name="OP_Total_OpEx_Y3" vbProcedure="false">OpCo_PL!$E$12</definedName>
    <definedName function="false" hidden="false" name="OP_Total_OpEx_Y4" vbProcedure="false">OpCo_PL!$F$12</definedName>
    <definedName function="false" hidden="false" name="OP_Total_OpEx_Y5" vbProcedure="false">OpCo_PL!$G$12</definedName>
    <definedName function="false" hidden="false" name="OP_Total_OpEx_Y6" vbProcedure="false">OpCo_PL!$H$12</definedName>
    <definedName function="false" hidden="false" name="OP_Total_OpEx_Y7" vbProcedure="false">OpCo_PL!$I$12</definedName>
    <definedName function="false" hidden="false" name="Other_OpEx" vbProcedure="false">Assumptions!$C$35</definedName>
    <definedName function="false" hidden="false" name="PB_Eq_Close_Y1" vbProcedure="false">Portfolio_Build!$C$7</definedName>
    <definedName function="false" hidden="false" name="PB_Eq_Close_Y2" vbProcedure="false">Portfolio_Build!$D$7</definedName>
    <definedName function="false" hidden="false" name="PB_Eq_Close_Y3" vbProcedure="false">Portfolio_Build!$E$7</definedName>
    <definedName function="false" hidden="false" name="PB_Eq_Close_Y4" vbProcedure="false">Portfolio_Build!$F$7</definedName>
    <definedName function="false" hidden="false" name="PB_Eq_Close_Y5" vbProcedure="false">Portfolio_Build!$G$7</definedName>
    <definedName function="false" hidden="false" name="PB_Eq_Close_Y6" vbProcedure="false">Portfolio_Build!$H$7</definedName>
    <definedName function="false" hidden="false" name="PB_Eq_Close_Y7" vbProcedure="false">Portfolio_Build!$I$7</definedName>
    <definedName function="false" hidden="false" name="PB_FI_Close_Y1" vbProcedure="false">Portfolio_Build!$C$12</definedName>
    <definedName function="false" hidden="false" name="PB_FI_Close_Y2" vbProcedure="false">Portfolio_Build!$D$12</definedName>
    <definedName function="false" hidden="false" name="PB_FI_Close_Y3" vbProcedure="false">Portfolio_Build!$E$12</definedName>
    <definedName function="false" hidden="false" name="PB_FI_Close_Y4" vbProcedure="false">Portfolio_Build!$F$12</definedName>
    <definedName function="false" hidden="false" name="PB_FI_Close_Y5" vbProcedure="false">Portfolio_Build!$G$12</definedName>
    <definedName function="false" hidden="false" name="PB_FI_Close_Y6" vbProcedure="false">Portfolio_Build!$H$12</definedName>
    <definedName function="false" hidden="false" name="PB_FI_Close_Y7" vbProcedure="false">Portfolio_Build!$I$12</definedName>
    <definedName function="false" hidden="false" name="PB_PE_Close_Y1" vbProcedure="false">Portfolio_Build!$C$21</definedName>
    <definedName function="false" hidden="false" name="PB_PE_Close_Y2" vbProcedure="false">Portfolio_Build!$D$21</definedName>
    <definedName function="false" hidden="false" name="PB_PE_Close_Y3" vbProcedure="false">Portfolio_Build!$E$21</definedName>
    <definedName function="false" hidden="false" name="PB_PE_Close_Y4" vbProcedure="false">Portfolio_Build!$F$21</definedName>
    <definedName function="false" hidden="false" name="PB_PE_Close_Y5" vbProcedure="false">Portfolio_Build!$G$21</definedName>
    <definedName function="false" hidden="false" name="PB_PE_Close_Y6" vbProcedure="false">Portfolio_Build!$H$21</definedName>
    <definedName function="false" hidden="false" name="PB_PE_Close_Y7" vbProcedure="false">Portfolio_Build!$I$21</definedName>
    <definedName function="false" hidden="false" name="PB_RE_Close_Y1" vbProcedure="false">Portfolio_Build!$C$17</definedName>
    <definedName function="false" hidden="false" name="PB_RE_Close_Y2" vbProcedure="false">Portfolio_Build!$D$17</definedName>
    <definedName function="false" hidden="false" name="PB_RE_Close_Y3" vbProcedure="false">Portfolio_Build!$E$17</definedName>
    <definedName function="false" hidden="false" name="PB_RE_Close_Y4" vbProcedure="false">Portfolio_Build!$F$17</definedName>
    <definedName function="false" hidden="false" name="PB_RE_Close_Y5" vbProcedure="false">Portfolio_Build!$G$17</definedName>
    <definedName function="false" hidden="false" name="PB_RE_Close_Y6" vbProcedure="false">Portfolio_Build!$H$17</definedName>
    <definedName function="false" hidden="false" name="PB_RE_Close_Y7" vbProcedure="false">Portfolio_Build!$I$17</definedName>
    <definedName function="false" hidden="false" name="PB_Total_AUM_Y1" vbProcedure="false">Portfolio_Build!$C$27</definedName>
    <definedName function="false" hidden="false" name="PB_Total_AUM_Y2" vbProcedure="false">Portfolio_Build!$D$27</definedName>
    <definedName function="false" hidden="false" name="PB_Total_AUM_Y3" vbProcedure="false">Portfolio_Build!$E$27</definedName>
    <definedName function="false" hidden="false" name="PB_Total_AUM_Y4" vbProcedure="false">Portfolio_Build!$F$27</definedName>
    <definedName function="false" hidden="false" name="PB_Total_AUM_Y5" vbProcedure="false">Portfolio_Build!$G$27</definedName>
    <definedName function="false" hidden="false" name="PB_Total_AUM_Y6" vbProcedure="false">Portfolio_Build!$H$27</definedName>
    <definedName function="false" hidden="false" name="PB_Total_AUM_Y7" vbProcedure="false">Portfolio_Build!$I$27</definedName>
    <definedName function="false" hidden="false" name="PE_CC_Draw_Rate" vbProcedure="false">Assumptions!$C$25</definedName>
    <definedName function="false" hidden="false" name="PE_Commitment" vbProcedure="false">Assumptions!$C$23</definedName>
    <definedName function="false" hidden="false" name="PE_Dist_Rate" vbProcedure="false">Assumptions!$C$27</definedName>
    <definedName function="false" hidden="false" name="PE_J_Curve_Yrs" vbProcedure="false">Assumptions!$C$26</definedName>
    <definedName function="false" hidden="false" name="PE_Unfunded_Init" vbProcedure="false">Assumptions!$C$24</definedName>
    <definedName function="false" hidden="false" name="PE_Unrealised_Return" vbProcedure="false">Assumptions!$C$18</definedName>
    <definedName function="false" hidden="false" name="PM_Cap_Call_Y1" vbProcedure="false">Private_Markets!$C$6</definedName>
    <definedName function="false" hidden="false" name="PM_Cap_Call_Y2" vbProcedure="false">Private_Markets!$D$6</definedName>
    <definedName function="false" hidden="false" name="PM_Cap_Call_Y3" vbProcedure="false">Private_Markets!$E$6</definedName>
    <definedName function="false" hidden="false" name="PM_Cap_Call_Y4" vbProcedure="false">Private_Markets!$F$6</definedName>
    <definedName function="false" hidden="false" name="PM_Cap_Call_Y5" vbProcedure="false">Private_Markets!$G$6</definedName>
    <definedName function="false" hidden="false" name="PM_Cap_Call_Y6" vbProcedure="false">Private_Markets!$H$6</definedName>
    <definedName function="false" hidden="false" name="PM_Cap_Call_Y7" vbProcedure="false">Private_Markets!$I$6</definedName>
    <definedName function="false" hidden="false" name="PM_Cum_Cost_Y1" vbProcedure="false">Private_Markets!$C$17</definedName>
    <definedName function="false" hidden="false" name="PM_Cum_Cost_Y2" vbProcedure="false">Private_Markets!$D$17</definedName>
    <definedName function="false" hidden="false" name="PM_Cum_Cost_Y3" vbProcedure="false">Private_Markets!$E$17</definedName>
    <definedName function="false" hidden="false" name="PM_Cum_Cost_Y4" vbProcedure="false">Private_Markets!$F$17</definedName>
    <definedName function="false" hidden="false" name="PM_Cum_Cost_Y5" vbProcedure="false">Private_Markets!$G$17</definedName>
    <definedName function="false" hidden="false" name="PM_Cum_Cost_Y6" vbProcedure="false">Private_Markets!$H$17</definedName>
    <definedName function="false" hidden="false" name="PM_Cum_Cost_Y7" vbProcedure="false">Private_Markets!$I$17</definedName>
    <definedName function="false" hidden="false" name="PM_Cum_Dist_Y1" vbProcedure="false">Private_Markets!$C$18</definedName>
    <definedName function="false" hidden="false" name="PM_Cum_Dist_Y2" vbProcedure="false">Private_Markets!$D$18</definedName>
    <definedName function="false" hidden="false" name="PM_Cum_Dist_Y3" vbProcedure="false">Private_Markets!$E$18</definedName>
    <definedName function="false" hidden="false" name="PM_Cum_Dist_Y4" vbProcedure="false">Private_Markets!$F$18</definedName>
    <definedName function="false" hidden="false" name="PM_Cum_Dist_Y5" vbProcedure="false">Private_Markets!$G$18</definedName>
    <definedName function="false" hidden="false" name="PM_Cum_Dist_Y6" vbProcedure="false">Private_Markets!$H$18</definedName>
    <definedName function="false" hidden="false" name="PM_Cum_Dist_Y7" vbProcedure="false">Private_Markets!$I$18</definedName>
    <definedName function="false" hidden="false" name="PM_Dist_Y1" vbProcedure="false">Private_Markets!$C$13</definedName>
    <definedName function="false" hidden="false" name="PM_Dist_Y2" vbProcedure="false">Private_Markets!$D$13</definedName>
    <definedName function="false" hidden="false" name="PM_Dist_Y3" vbProcedure="false">Private_Markets!$E$13</definedName>
    <definedName function="false" hidden="false" name="PM_Dist_Y4" vbProcedure="false">Private_Markets!$F$13</definedName>
    <definedName function="false" hidden="false" name="PM_Dist_Y5" vbProcedure="false">Private_Markets!$G$13</definedName>
    <definedName function="false" hidden="false" name="PM_Dist_Y6" vbProcedure="false">Private_Markets!$H$13</definedName>
    <definedName function="false" hidden="false" name="PM_Dist_Y7" vbProcedure="false">Private_Markets!$I$13</definedName>
    <definedName function="false" hidden="false" name="PM_NAV_Close_Y1" vbProcedure="false">Private_Markets!$C$14</definedName>
    <definedName function="false" hidden="false" name="PM_NAV_Close_Y2" vbProcedure="false">Private_Markets!$D$14</definedName>
    <definedName function="false" hidden="false" name="PM_NAV_Close_Y3" vbProcedure="false">Private_Markets!$E$14</definedName>
    <definedName function="false" hidden="false" name="PM_NAV_Close_Y4" vbProcedure="false">Private_Markets!$F$14</definedName>
    <definedName function="false" hidden="false" name="PM_NAV_Close_Y5" vbProcedure="false">Private_Markets!$G$14</definedName>
    <definedName function="false" hidden="false" name="PM_NAV_Close_Y6" vbProcedure="false">Private_Markets!$H$14</definedName>
    <definedName function="false" hidden="false" name="PM_NAV_Close_Y7" vbProcedure="false">Private_Markets!$I$14</definedName>
    <definedName function="false" hidden="false" name="PM_ROC_Frac_Y1" vbProcedure="false">Private_Markets!$C$19</definedName>
    <definedName function="false" hidden="false" name="PM_ROC_Frac_Y2" vbProcedure="false">Private_Markets!$D$19</definedName>
    <definedName function="false" hidden="false" name="PM_ROC_Frac_Y3" vbProcedure="false">Private_Markets!$E$19</definedName>
    <definedName function="false" hidden="false" name="PM_ROC_Frac_Y4" vbProcedure="false">Private_Markets!$F$19</definedName>
    <definedName function="false" hidden="false" name="PM_ROC_Frac_Y5" vbProcedure="false">Private_Markets!$G$19</definedName>
    <definedName function="false" hidden="false" name="PM_ROC_Frac_Y6" vbProcedure="false">Private_Markets!$H$19</definedName>
    <definedName function="false" hidden="false" name="PM_ROC_Frac_Y7" vbProcedure="false">Private_Markets!$I$19</definedName>
    <definedName function="false" hidden="false" name="PM_Unfunded_Close_Y1" vbProcedure="false">Private_Markets!$C$7</definedName>
    <definedName function="false" hidden="false" name="PM_Unfunded_Close_Y2" vbProcedure="false">Private_Markets!$D$7</definedName>
    <definedName function="false" hidden="false" name="PM_Unfunded_Close_Y3" vbProcedure="false">Private_Markets!$E$7</definedName>
    <definedName function="false" hidden="false" name="PM_Unfunded_Close_Y4" vbProcedure="false">Private_Markets!$F$7</definedName>
    <definedName function="false" hidden="false" name="PM_Unfunded_Close_Y5" vbProcedure="false">Private_Markets!$G$7</definedName>
    <definedName function="false" hidden="false" name="PM_Unfunded_Close_Y6" vbProcedure="false">Private_Markets!$H$7</definedName>
    <definedName function="false" hidden="false" name="PM_Unfunded_Close_Y7" vbProcedure="false">Private_Markets!$I$7</definedName>
    <definedName function="false" hidden="false" name="PM_Unrealised_Y1" vbProcedure="false">Private_Markets!$C$12</definedName>
    <definedName function="false" hidden="false" name="PM_Unrealised_Y2" vbProcedure="false">Private_Markets!$D$12</definedName>
    <definedName function="false" hidden="false" name="PM_Unrealised_Y3" vbProcedure="false">Private_Markets!$E$12</definedName>
    <definedName function="false" hidden="false" name="PM_Unrealised_Y4" vbProcedure="false">Private_Markets!$F$12</definedName>
    <definedName function="false" hidden="false" name="PM_Unrealised_Y5" vbProcedure="false">Private_Markets!$G$12</definedName>
    <definedName function="false" hidden="false" name="PM_Unrealised_Y6" vbProcedure="false">Private_Markets!$H$12</definedName>
    <definedName function="false" hidden="false" name="PM_Unrealised_Y7" vbProcedure="false">Private_Markets!$I$12</definedName>
    <definedName function="false" hidden="false" name="Prof_Fees" vbProcedure="false">Assumptions!$C$32</definedName>
    <definedName function="false" hidden="false" name="Rent" vbProcedure="false">Assumptions!$C$33</definedName>
    <definedName function="false" hidden="false" name="RE_Rental_Yield" vbProcedure="false">Assumptions!$C$20</definedName>
    <definedName function="false" hidden="false" name="RE_Total_Return" vbProcedure="false">Assumptions!$C$19</definedName>
    <definedName function="false" hidden="false" name="Starting_AUM" vbProcedure="false">Assumptions!$C$8</definedName>
    <definedName function="false" hidden="false" name="Tech_Spend" vbProcedure="false">Assumptions!$C$31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<sst xmlns="http://schemas.openxmlformats.org/spreadsheetml/2006/main" count="282" uniqueCount="220">
  <si>
    <t xml:space="preserve">Single Family Office Model</t>
  </si>
  <si>
    <t xml:space="preserve">FINAMODEL.com</t>
  </si>
  <si>
    <t xml:space="preserve">7-Year Projection | Base Case | April 2026</t>
  </si>
  <si>
    <t xml:space="preserve">Sheet Navigation</t>
  </si>
  <si>
    <t xml:space="preserve">Purpose</t>
  </si>
  <si>
    <t xml:space="preserve">Assumptions</t>
  </si>
  <si>
    <t xml:space="preserve">Scalar inputs: allocation, returns, OpEx, tax, cash</t>
  </si>
  <si>
    <t xml:space="preserve">Asset_Returns</t>
  </si>
  <si>
    <t xml:space="preserve">Per-class yield and cap gain using beginning AUM</t>
  </si>
  <si>
    <t xml:space="preserve">Private_Markets</t>
  </si>
  <si>
    <t xml:space="preserve">PE J-curve: calls, NAV roll, distributions, ROC</t>
  </si>
  <si>
    <t xml:space="preserve">Portfolio_Build</t>
  </si>
  <si>
    <t xml:space="preserve">AUM roll-forward per class; cash reads from Cash_Flow</t>
  </si>
  <si>
    <t xml:space="preserve">OpCo_PL</t>
  </si>
  <si>
    <t xml:space="preserve">Bottom-up SFO operating expenses (inflation-escalated)</t>
  </si>
  <si>
    <t xml:space="preserve">Distributions_Tax</t>
  </si>
  <si>
    <t xml:space="preserve">Family distributions, income tax, CG tax on PE</t>
  </si>
  <si>
    <t xml:space="preserve">Cash_Flow</t>
  </si>
  <si>
    <t xml:space="preserve">Single cash source; interest before tax</t>
  </si>
  <si>
    <t xml:space="preserve">Balance_Sheet</t>
  </si>
  <si>
    <t xml:space="preserve">Assets, liabilities, contributed cap + retained earnings</t>
  </si>
  <si>
    <t xml:space="preserve">Checks</t>
  </si>
  <si>
    <t xml:space="preserve">8 quantitative validation checks (all years)</t>
  </si>
  <si>
    <t xml:space="preserve">About this model</t>
  </si>
  <si>
    <t xml:space="preserve">A family office financial model projects the management of $500 million in ultra-high-net-worth family assets across five asset classes: public equities (40%, 7.5% return), fixed income (20%, 4.5% return), private equity (25% committed, 12% return with J-curve), real estate (10%, 7% return), and cash (5%, 3.5% return). The office funds annual family distributions ($7.5 million, or 1.5% of AUM) plus operating expenses ($2.8 million, or 56 basis points of AUM), and is responsible for tax optimization, compliance, and asset allocation oversight.
The core tension is liquidity: private equity is deliberately illiquid and generates zero distributions for Years 1â3 (J-curve), while family distributions must be funded from yield (dividends, interest, rental income) and PE distributions after the curve turns positive. The model ensures that cash reserves never fall below a minimum buffer despite capital calls to PE funds totaling $6 million annually. Tax treatment separates ordinary income (37% rate on yield) from capital gains (20% rate on realized gains and the gain portion of PE distributions, with return-of-capital treated as non-taxable).
The model answers: can the family sustain $7.5 million in annual lifestyle distributions while funding a 25% PE allocation? What happens if PE returns decline or capital calls spike? This template is calibrated for institutionalized single-family offices with $300 millionâ$1 billion AUM.</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</si>
  <si>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</si>
  <si>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</si>
  <si>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</si>
  <si>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</si>
  <si>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Parameter</t>
  </si>
  <si>
    <t xml:space="preserve">Value</t>
  </si>
  <si>
    <t xml:space="preserve">Unit</t>
  </si>
  <si>
    <t xml:space="preserve">Notes</t>
  </si>
  <si>
    <t xml:space="preserve">Portfolio Parameters</t>
  </si>
  <si>
    <t xml:space="preserve">Starting AUM</t>
  </si>
  <si>
    <t xml:space="preserve">USD</t>
  </si>
  <si>
    <t xml:space="preserve">Total investable wealth at inception</t>
  </si>
  <si>
    <t xml:space="preserve">Alloc — Equities</t>
  </si>
  <si>
    <t xml:space="preserve">%</t>
  </si>
  <si>
    <t xml:space="preserve">Target equity allocation</t>
  </si>
  <si>
    <t xml:space="preserve">Alloc — Fixed Income</t>
  </si>
  <si>
    <t xml:space="preserve">Target FI allocation</t>
  </si>
  <si>
    <t xml:space="preserve">Alloc — Private Equity</t>
  </si>
  <si>
    <t xml:space="preserve">PE commitment / AUM</t>
  </si>
  <si>
    <t xml:space="preserve">Alloc — Real Estate</t>
  </si>
  <si>
    <t xml:space="preserve">Target RE allocation</t>
  </si>
  <si>
    <t xml:space="preserve">Alloc — Cash</t>
  </si>
  <si>
    <t xml:space="preserve">Target cash allocation</t>
  </si>
  <si>
    <t xml:space="preserve">Return Assumptions</t>
  </si>
  <si>
    <t xml:space="preserve">Eq Total Return</t>
  </si>
  <si>
    <t xml:space="preserve">Equity total return p.a.</t>
  </si>
  <si>
    <t xml:space="preserve">Eq Dividend Yield</t>
  </si>
  <si>
    <t xml:space="preserve">Equity dividend yield (cash portion)</t>
  </si>
  <si>
    <t xml:space="preserve">FI Total Return</t>
  </si>
  <si>
    <t xml:space="preserve">FI total return (all yield, HTM)</t>
  </si>
  <si>
    <t xml:space="preserve">PE Unrealised Return</t>
  </si>
  <si>
    <t xml:space="preserve">PE unrealised return net of fees</t>
  </si>
  <si>
    <t xml:space="preserve">RE Total Return</t>
  </si>
  <si>
    <t xml:space="preserve">RE total return p.a.</t>
  </si>
  <si>
    <t xml:space="preserve">RE Rental Yield</t>
  </si>
  <si>
    <t xml:space="preserve">RE cash rental yield</t>
  </si>
  <si>
    <t xml:space="preserve">Cash Return</t>
  </si>
  <si>
    <t xml:space="preserve">Cash / money market yield</t>
  </si>
  <si>
    <t xml:space="preserve">Private Equity Programme</t>
  </si>
  <si>
    <t xml:space="preserve">PE Commitment</t>
  </si>
  <si>
    <t xml:space="preserve">PE_Funded_Init = PE_Commitment - PE_Unfunded_Init = 50,000,000. Opening PE NAV = PE_Funded_Init, NOT PE_Commitment.</t>
  </si>
  <si>
    <t xml:space="preserve">PE Unfunded Init</t>
  </si>
  <si>
    <t xml:space="preserve">Uncalled commitments at start</t>
  </si>
  <si>
    <t xml:space="preserve">PE CC Draw Rate</t>
  </si>
  <si>
    <t xml:space="preserve">Annual drawdown rate on remaining unfunded</t>
  </si>
  <si>
    <t xml:space="preserve">PE J-Curve Yrs</t>
  </si>
  <si>
    <t xml:space="preserve">Years</t>
  </si>
  <si>
    <t xml:space="preserve">Years before distributions begin</t>
  </si>
  <si>
    <t xml:space="preserve">PE Dist Rate</t>
  </si>
  <si>
    <t xml:space="preserve">Annual dist rate on NAV from Year 4+</t>
  </si>
  <si>
    <t xml:space="preserve">OpCo Parameters</t>
  </si>
  <si>
    <t xml:space="preserve">Headcount</t>
  </si>
  <si>
    <t xml:space="preserve">FTE</t>
  </si>
  <si>
    <t xml:space="preserve">Total SFO headcount</t>
  </si>
  <si>
    <t xml:space="preserve">Avg Compensation</t>
  </si>
  <si>
    <t xml:space="preserve">Average all-in comp per FTE</t>
  </si>
  <si>
    <t xml:space="preserve">Technology Spend</t>
  </si>
  <si>
    <t xml:space="preserve">Tech &amp; data Year 1</t>
  </si>
  <si>
    <t xml:space="preserve">Professional Fees</t>
  </si>
  <si>
    <t xml:space="preserve">Legal / audit Year 1</t>
  </si>
  <si>
    <t xml:space="preserve">Rent</t>
  </si>
  <si>
    <t xml:space="preserve">Office rent Year 1</t>
  </si>
  <si>
    <t xml:space="preserve">Insurance</t>
  </si>
  <si>
    <t xml:space="preserve">D&amp;O, E&amp;O, cyber Year 1</t>
  </si>
  <si>
    <t xml:space="preserve">Other OpEx</t>
  </si>
  <si>
    <t xml:space="preserve">Miscellaneous Year 1</t>
  </si>
  <si>
    <t xml:space="preserve">Distributions &amp; Tax</t>
  </si>
  <si>
    <t xml:space="preserve">Distribution Rate</t>
  </si>
  <si>
    <t xml:space="preserve">Lifestyle dist rate % of beg AUM</t>
  </si>
  <si>
    <t xml:space="preserve">Income Tax Rate</t>
  </si>
  <si>
    <t xml:space="preserve">Ordinary income tax US top marginal</t>
  </si>
  <si>
    <t xml:space="preserve">CG Tax Rate</t>
  </si>
  <si>
    <t xml:space="preserve">Long-term capital gains tax</t>
  </si>
  <si>
    <t xml:space="preserve">Inflation Rate</t>
  </si>
  <si>
    <t xml:space="preserve">CPI inflation for OpEx escalation</t>
  </si>
  <si>
    <t xml:space="preserve">Cash &amp; Financing</t>
  </si>
  <si>
    <t xml:space="preserve">Initial Cash</t>
  </si>
  <si>
    <t xml:space="preserve">Alloc_Cash x Starting_AUM</t>
  </si>
  <si>
    <t xml:space="preserve">Min Cash Buffer</t>
  </si>
  <si>
    <t xml:space="preserve">Minimum cash floor</t>
  </si>
  <si>
    <t xml:space="preserve">Margin Loan</t>
  </si>
  <si>
    <t xml:space="preserve">Drawn margin loan (0 = no leverage)</t>
  </si>
  <si>
    <t xml:space="preserve">Margin Rate</t>
  </si>
  <si>
    <t xml:space="preserve">SOFR + 175 bps indicative 2025</t>
  </si>
  <si>
    <t xml:space="preserve">Year</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</si>
  <si>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</si>
  <si>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</si>
  <si>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</si>
  <si>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</si>
  <si>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</si>
  <si>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</si>
  <si>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</si>
  <si>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</si>
  <si>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</si>
  <si>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</si>
  <si>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</si>
  <si>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</si>
  <si>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</si>
  <si>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</si>
  <si>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</si>
  <si>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</si>
  <si>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</si>
  <si>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Asset Returns</t>
  </si>
  <si>
    <t xml:space="preserve">Public Equities</t>
  </si>
  <si>
    <t xml:space="preserve">Beg AUM</t>
  </si>
  <si>
    <t xml:space="preserve">Div Yield</t>
  </si>
  <si>
    <t xml:space="preserve">Cap Gain</t>
  </si>
  <si>
    <t xml:space="preserve">Total Return</t>
  </si>
  <si>
    <t xml:space="preserve">Fixed Income</t>
  </si>
  <si>
    <t xml:space="preserve">FI Yield</t>
  </si>
  <si>
    <t xml:space="preserve">Real Estate</t>
  </si>
  <si>
    <t xml:space="preserve">Rental Yield</t>
  </si>
  <si>
    <t xml:space="preserve">RE Apprec</t>
  </si>
  <si>
    <t xml:space="preserve">Cash</t>
  </si>
  <si>
    <t xml:space="preserve">Cash Yield</t>
  </si>
  <si>
    <t xml:space="preserve">Total Yield</t>
  </si>
  <si>
    <t xml:space="preserve">Total Cap Gain</t>
  </si>
  <si>
    <t xml:space="preserve">Private Markets</t>
  </si>
  <si>
    <t xml:space="preserve">Unfunded Commitments</t>
  </si>
  <si>
    <t xml:space="preserve">Open Unfunded</t>
  </si>
  <si>
    <t xml:space="preserve">Capital Call</t>
  </si>
  <si>
    <t xml:space="preserve">Close Unfunded</t>
  </si>
  <si>
    <t xml:space="preserve">PE NAV Roll-Forward</t>
  </si>
  <si>
    <t xml:space="preserve">Open NAV</t>
  </si>
  <si>
    <t xml:space="preserve">+ Capital Call</t>
  </si>
  <si>
    <t xml:space="preserve">+ Unrealised Gain</t>
  </si>
  <si>
    <t xml:space="preserve">- Distributions</t>
  </si>
  <si>
    <t xml:space="preserve">Close NAV</t>
  </si>
  <si>
    <t xml:space="preserve">ROC Tracker</t>
  </si>
  <si>
    <t xml:space="preserve">Cum Cost</t>
  </si>
  <si>
    <t xml:space="preserve">Cum Dist</t>
  </si>
  <si>
    <t xml:space="preserve">ROC Fraction</t>
  </si>
  <si>
    <t xml:space="preserve">OpCo P&amp;L</t>
  </si>
  <si>
    <t xml:space="preserve">Operating Expenses</t>
  </si>
  <si>
    <t xml:space="preserve">Compensation</t>
  </si>
  <si>
    <t xml:space="preserve">Technology</t>
  </si>
  <si>
    <t xml:space="preserve">Prof Fees</t>
  </si>
  <si>
    <t xml:space="preserve">TOTAL OPEX</t>
  </si>
  <si>
    <t xml:space="preserve">OpEx % AUM</t>
  </si>
  <si>
    <t xml:space="preserve">Distributions</t>
  </si>
  <si>
    <t xml:space="preserve">Tax Calculation</t>
  </si>
  <si>
    <t xml:space="preserve">Income Tax</t>
  </si>
  <si>
    <t xml:space="preserve">PE Dist</t>
  </si>
  <si>
    <t xml:space="preserve">PE Gain Component</t>
  </si>
  <si>
    <t xml:space="preserve">CG Tax</t>
  </si>
  <si>
    <t xml:space="preserve">TOTAL TAX</t>
  </si>
  <si>
    <t xml:space="preserve">Cash Flow</t>
  </si>
  <si>
    <t xml:space="preserve">Open Cash</t>
  </si>
  <si>
    <t xml:space="preserve">Inflows</t>
  </si>
  <si>
    <t xml:space="preserve">Eq Dividend</t>
  </si>
  <si>
    <t xml:space="preserve">FI Interest</t>
  </si>
  <si>
    <t xml:space="preserve">RE Rental</t>
  </si>
  <si>
    <t xml:space="preserve">Cash Interest</t>
  </si>
  <si>
    <t xml:space="preserve">PE Distributions</t>
  </si>
  <si>
    <t xml:space="preserve">Total Inflows</t>
  </si>
  <si>
    <t xml:space="preserve">Outflows (stored as positive, subtracted below)</t>
  </si>
  <si>
    <t xml:space="preserve">Capital Calls</t>
  </si>
  <si>
    <t xml:space="preserve">Total OpEx</t>
  </si>
  <si>
    <t xml:space="preserve">Interest Expense</t>
  </si>
  <si>
    <t xml:space="preserve">Total Outflows</t>
  </si>
  <si>
    <t xml:space="preserve">Pre-Tax Net</t>
  </si>
  <si>
    <t xml:space="preserve">Total Tax</t>
  </si>
  <si>
    <t xml:space="preserve">After-Tax Net</t>
  </si>
  <si>
    <t xml:space="preserve">CLOSE CASH</t>
  </si>
  <si>
    <t xml:space="preserve">Portfolio Build</t>
  </si>
  <si>
    <t xml:space="preserve">Open AUM</t>
  </si>
  <si>
    <t xml:space="preserve">Return</t>
  </si>
  <si>
    <t xml:space="preserve">Close AUM</t>
  </si>
  <si>
    <t xml:space="preserve">Private Equity</t>
  </si>
  <si>
    <t xml:space="preserve">PE NAV</t>
  </si>
  <si>
    <t xml:space="preserve">Close PE</t>
  </si>
  <si>
    <t xml:space="preserve">Cash (from CF)</t>
  </si>
  <si>
    <t xml:space="preserve">Total AUM</t>
  </si>
  <si>
    <t xml:space="preserve">TOTAL AUM</t>
  </si>
  <si>
    <t xml:space="preserve">Balance Sheet</t>
  </si>
  <si>
    <t xml:space="preserve">ASSETS</t>
  </si>
  <si>
    <t xml:space="preserve">Equities</t>
  </si>
  <si>
    <t xml:space="preserve">TOTAL ASSETS</t>
  </si>
  <si>
    <t xml:space="preserve">LIABILITIES</t>
  </si>
  <si>
    <t xml:space="preserve">Total Liabilities</t>
  </si>
  <si>
    <t xml:space="preserve">EQUITY</t>
  </si>
  <si>
    <t xml:space="preserve">Contributed Capital</t>
  </si>
  <si>
    <t xml:space="preserve">Retained Earnings</t>
  </si>
  <si>
    <t xml:space="preserve">Total Equity</t>
  </si>
  <si>
    <t xml:space="preserve">TOTAL L + E</t>
  </si>
  <si>
    <t xml:space="preserve">BS CHECK (must = 0)</t>
  </si>
  <si>
    <t xml:space="preserve">Check</t>
  </si>
  <si>
    <t xml:space="preserve">BS Balance (True = balanced)</t>
  </si>
  <si>
    <t xml:space="preserve">Cash &gt;= Min Buffer</t>
  </si>
  <si>
    <t xml:space="preserve">Alloc = 100%</t>
  </si>
  <si>
    <t xml:space="preserve">Unfunded &gt;= 0</t>
  </si>
  <si>
    <t xml:space="preserve">OpEx &lt; 1.5% AUM</t>
  </si>
  <si>
    <t xml:space="preserve">Liquidity &gt; 1.5x</t>
  </si>
  <si>
    <t xml:space="preserve">Dist &lt;= After-Tax Yield</t>
  </si>
  <si>
    <t xml:space="preserve">PE &lt;= Alloc + 5pp</t>
  </si>
</sst>
</file>

<file path=xl/styles.xml><?xml version="1.0" encoding="utf-8"?>
<styleSheet xmlns="http://schemas.openxmlformats.org/spreadsheetml/2006/main">
  <numFmts count="4">
    <numFmt numFmtId="164" formatCode="General"/>
    <numFmt numFmtId="165" formatCode="#,##0.00"/>
    <numFmt numFmtId="166" formatCode="0.00%"/>
    <numFmt numFmtId="167" formatCode="0"/>
  </numFmts>
  <fonts count="29">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4"/>
      <color theme="0"/>
      <name val="Arial"/>
      <family val="0"/>
      <charset val="1"/>
    </font>
    <font>
      <b val="true"/>
      <sz val="10"/>
      <color theme="0"/>
      <name val="Arial"/>
      <family val="0"/>
      <charset val="1"/>
    </font>
    <font>
      <sz val="10"/>
      <color theme="3"/>
      <name val="Arial"/>
      <family val="0"/>
      <charset val="1"/>
    </font>
    <font>
      <i val="true"/>
      <sz val="9"/>
      <color rgb="FF59595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4"/>
      <name val="Arial"/>
      <family val="0"/>
      <charset val="1"/>
    </font>
    <font>
      <b val="true"/>
      <sz val="10"/>
      <color rgb="FFFFFFFF"/>
      <name val="Arial"/>
      <family val="0"/>
      <charset val="1"/>
    </font>
    <font>
      <sz val="10"/>
      <color rgb="FF000000"/>
      <name val="Arial"/>
      <family val="0"/>
      <charset val="1"/>
    </font>
    <font>
      <b val="true"/>
      <sz val="10"/>
      <color rgb="FFFF0000"/>
      <name val="Arial"/>
      <family val="0"/>
      <charset val="1"/>
    </font>
  </fonts>
  <fills count="12">
    <fill>
      <patternFill patternType="none"/>
    </fill>
    <fill>
      <patternFill patternType="gray125"/>
    </fill>
    <fill>
      <patternFill patternType="solid">
        <fgColor theme="3"/>
        <bgColor rgb="FF1F4E79"/>
      </patternFill>
    </fill>
    <fill>
      <patternFill patternType="solid">
        <fgColor rgb="FFBDD7EE"/>
        <bgColor rgb="FFD9D9D9"/>
      </patternFill>
    </fill>
    <fill>
      <patternFill patternType="solid">
        <fgColor rgb="FFE2EFDA"/>
        <bgColor rgb="FFF2F2F2"/>
      </patternFill>
    </fill>
    <fill>
      <patternFill patternType="solid">
        <fgColor rgb="FFFCE4D6"/>
        <bgColor rgb="FFFFF2CC"/>
      </patternFill>
    </fill>
    <fill>
      <patternFill patternType="solid">
        <fgColor rgb="FFFFF2CC"/>
        <bgColor rgb="FFFCE4D6"/>
      </patternFill>
    </fill>
    <fill>
      <patternFill patternType="solid">
        <fgColor rgb="FFD9D9D9"/>
        <bgColor rgb="FFD6E4F0"/>
      </patternFill>
    </fill>
    <fill>
      <patternFill patternType="solid">
        <fgColor rgb="FFFFCCCC"/>
        <bgColor rgb="FFFCE4D6"/>
      </patternFill>
    </fill>
    <fill>
      <patternFill patternType="solid">
        <fgColor rgb="FFD6E4F0"/>
        <bgColor rgb="FFD9D9D9"/>
      </patternFill>
    </fill>
    <fill>
      <patternFill patternType="solid">
        <fgColor rgb="FF1F4E79"/>
        <bgColor rgb="FF1F497D"/>
      </patternFill>
    </fill>
    <fill>
      <patternFill patternType="solid">
        <fgColor rgb="FFF2F2F2"/>
        <bgColor rgb="FFE2EFDA"/>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4" fontId="10" fillId="4" borderId="0" xfId="0" applyFont="true" applyBorder="false" applyAlignment="true" applyProtection="false">
      <alignment horizontal="left" vertical="center" textRotation="0" wrapText="false" indent="0" shrinkToFit="false"/>
      <protection locked="true" hidden="false"/>
    </xf>
    <xf numFmtId="164" fontId="10" fillId="5" borderId="0" xfId="0" applyFont="true" applyBorder="false" applyAlignment="true" applyProtection="false">
      <alignment horizontal="left" vertical="center" textRotation="0" wrapText="false" indent="0" shrinkToFit="false"/>
      <protection locked="true" hidden="false"/>
    </xf>
    <xf numFmtId="164" fontId="10" fillId="6" borderId="0" xfId="0" applyFont="true" applyBorder="false" applyAlignment="true" applyProtection="false">
      <alignment horizontal="left" vertical="center" textRotation="0" wrapText="false" indent="0" shrinkToFit="false"/>
      <protection locked="true" hidden="false"/>
    </xf>
    <xf numFmtId="164" fontId="10" fillId="7" borderId="0" xfId="0" applyFont="true" applyBorder="false" applyAlignment="true" applyProtection="false">
      <alignment horizontal="left" vertical="center" textRotation="0" wrapText="false" indent="0" shrinkToFit="false"/>
      <protection locked="true" hidden="false"/>
    </xf>
    <xf numFmtId="164" fontId="10" fillId="8" borderId="0" xfId="0" applyFont="true" applyBorder="false" applyAlignment="true" applyProtection="false">
      <alignment horizontal="left" vertical="center" textRotation="0" wrapText="false" indent="0" shrinkToFit="false"/>
      <protection locked="true" hidden="false"/>
    </xf>
    <xf numFmtId="164" fontId="11" fillId="9" borderId="0" xfId="0" applyFont="true" applyBorder="false" applyAlignment="true" applyProtection="false">
      <alignment horizontal="left" vertical="center" textRotation="0" wrapText="false" indent="0" shrinkToFit="false"/>
      <protection locked="true" hidden="false"/>
    </xf>
    <xf numFmtId="164" fontId="8" fillId="9"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6" fillId="2" borderId="0" xfId="0" applyFont="true" applyBorder="false" applyAlignment="true" applyProtection="false">
      <alignment horizontal="left" vertical="center" textRotation="0" wrapText="false" indent="0" shrinkToFit="false"/>
      <protection locked="true" hidden="false"/>
    </xf>
    <xf numFmtId="164" fontId="9"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5" fontId="17" fillId="6"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6" fontId="17" fillId="6" borderId="0" xfId="0" applyFont="true" applyBorder="false" applyAlignment="true" applyProtection="false">
      <alignment horizontal="right" vertical="center" textRotation="0" wrapText="false" indent="0" shrinkToFit="false"/>
      <protection locked="true" hidden="false"/>
    </xf>
    <xf numFmtId="167" fontId="17" fillId="6" borderId="0" xfId="0" applyFont="true" applyBorder="false" applyAlignment="true" applyProtection="false">
      <alignment horizontal="right" vertical="center" textRotation="0" wrapText="false" indent="0" shrinkToFit="false"/>
      <protection locked="true" hidden="false"/>
    </xf>
    <xf numFmtId="167" fontId="10"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20" fillId="10" borderId="0" xfId="0" applyFont="true" applyBorder="false" applyAlignment="true" applyProtection="false">
      <alignment horizontal="left" vertical="center" textRotation="0" wrapText="false" indent="1" shrinkToFit="false"/>
      <protection locked="true" hidden="false"/>
    </xf>
    <xf numFmtId="164" fontId="21" fillId="0"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3" fillId="11"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7" fontId="9" fillId="4" borderId="0" xfId="0" applyFont="true" applyBorder="false" applyAlignment="true" applyProtection="false">
      <alignment horizontal="center" vertical="center" textRotation="0" wrapText="false" indent="0" shrinkToFit="false"/>
      <protection locked="true" hidden="false"/>
    </xf>
    <xf numFmtId="164" fontId="26" fillId="4" borderId="0" xfId="0" applyFont="true" applyBorder="false" applyAlignment="true" applyProtection="false">
      <alignment horizontal="left" vertical="center"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5" fontId="27"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5" fontId="9" fillId="0" borderId="2" xfId="0" applyFont="true" applyBorder="true" applyAlignment="true" applyProtection="false">
      <alignment horizontal="right" vertical="center" textRotation="0" wrapText="false" indent="0" shrinkToFit="false"/>
      <protection locked="true" hidden="false"/>
    </xf>
    <xf numFmtId="164" fontId="9" fillId="4" borderId="0" xfId="0" applyFont="true" applyBorder="false" applyAlignment="true" applyProtection="false">
      <alignment horizontal="left" vertical="center" textRotation="0" wrapText="false" indent="0" shrinkToFit="false"/>
      <protection locked="true" hidden="false"/>
    </xf>
    <xf numFmtId="165" fontId="9" fillId="4" borderId="0" xfId="0" applyFont="true" applyBorder="false" applyAlignment="true" applyProtection="false">
      <alignment horizontal="right" vertical="center" textRotation="0" wrapText="false" indent="0" shrinkToFit="false"/>
      <protection locked="true" hidden="false"/>
    </xf>
    <xf numFmtId="165" fontId="9" fillId="0" borderId="3" xfId="0" applyFont="true" applyBorder="true" applyAlignment="true" applyProtection="false">
      <alignment horizontal="right" vertical="center" textRotation="0" wrapText="false" indent="0" shrinkToFit="false"/>
      <protection locked="true" hidden="false"/>
    </xf>
    <xf numFmtId="166" fontId="27" fillId="0" borderId="0" xfId="0" applyFont="true" applyBorder="false" applyAlignment="true" applyProtection="false">
      <alignment horizontal="right" vertical="center" textRotation="0" wrapText="false" indent="0" shrinkToFit="false"/>
      <protection locked="true" hidden="false"/>
    </xf>
    <xf numFmtId="167" fontId="9" fillId="5" borderId="0" xfId="0" applyFont="true" applyBorder="false" applyAlignment="true" applyProtection="false">
      <alignment horizontal="center" vertical="center" textRotation="0" wrapText="false" indent="0" shrinkToFit="false"/>
      <protection locked="true" hidden="false"/>
    </xf>
    <xf numFmtId="164" fontId="26" fillId="5" borderId="0" xfId="0" applyFont="true" applyBorder="false" applyAlignment="true" applyProtection="false">
      <alignment horizontal="left" vertical="center"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7" fontId="9" fillId="6" borderId="0" xfId="0" applyFont="true" applyBorder="false" applyAlignment="true" applyProtection="false">
      <alignment horizontal="center" vertical="center" textRotation="0" wrapText="false" indent="0" shrinkToFit="false"/>
      <protection locked="true" hidden="false"/>
    </xf>
    <xf numFmtId="164" fontId="26" fillId="6" borderId="0" xfId="0" applyFont="true" applyBorder="false" applyAlignment="true" applyProtection="false">
      <alignment horizontal="left" vertical="center"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7" fontId="9" fillId="7" borderId="0" xfId="0" applyFont="true" applyBorder="false" applyAlignment="true" applyProtection="false">
      <alignment horizontal="center" vertical="center" textRotation="0" wrapText="false" indent="0" shrinkToFit="false"/>
      <protection locked="true" hidden="false"/>
    </xf>
    <xf numFmtId="164" fontId="26" fillId="7" borderId="0" xfId="0" applyFont="true" applyBorder="false" applyAlignment="true" applyProtection="false">
      <alignment horizontal="left" vertical="center"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5" fontId="28" fillId="0" borderId="0" xfId="0" applyFont="true" applyBorder="false" applyAlignment="true" applyProtection="false">
      <alignment horizontal="right" vertical="center" textRotation="0" wrapText="false" indent="0" shrinkToFit="false"/>
      <protection locked="true" hidden="false"/>
    </xf>
    <xf numFmtId="167" fontId="9" fillId="8" borderId="0" xfId="0" applyFont="true" applyBorder="false" applyAlignment="true" applyProtection="false">
      <alignment horizontal="center" vertical="center" textRotation="0" wrapText="false" indent="0" shrinkToFit="false"/>
      <protection locked="true" hidden="false"/>
    </xf>
    <xf numFmtId="164" fontId="27"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2CC"/>
      <rgbColor rgb="FFD6E4F0"/>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F2F2F2"/>
      <rgbColor rgb="FFE2EFDA"/>
      <rgbColor rgb="FFFCE4D6"/>
      <rgbColor rgb="FF99CCFF"/>
      <rgbColor rgb="FFFF99CC"/>
      <rgbColor rgb="FFCC99FF"/>
      <rgbColor rgb="FFFFCCCC"/>
      <rgbColor rgb="FF3366FF"/>
      <rgbColor rgb="FF33CCCC"/>
      <rgbColor rgb="FF99CC00"/>
      <rgbColor rgb="FFFFCC00"/>
      <rgbColor rgb="FFFF9900"/>
      <rgbColor rgb="FFFF6600"/>
      <rgbColor rgb="FF595959"/>
      <rgbColor rgb="FF969696"/>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3" min="3"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6" t="s">
        <v>4</v>
      </c>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7" t="s">
        <v>5</v>
      </c>
      <c r="C6" s="7" t="s">
        <v>6</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8" t="s">
        <v>7</v>
      </c>
      <c r="C7" s="8" t="s">
        <v>8</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8" t="s">
        <v>9</v>
      </c>
      <c r="C8" s="8" t="s">
        <v>10</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8" t="s">
        <v>11</v>
      </c>
      <c r="C9" s="8" t="s">
        <v>12</v>
      </c>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9" t="s">
        <v>13</v>
      </c>
      <c r="C10" s="9" t="s">
        <v>14</v>
      </c>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9" t="s">
        <v>15</v>
      </c>
      <c r="C11" s="9" t="s">
        <v>16</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10" t="s">
        <v>17</v>
      </c>
      <c r="C12" s="10" t="s">
        <v>18</v>
      </c>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11" t="s">
        <v>19</v>
      </c>
      <c r="C13" s="11" t="s">
        <v>20</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12" t="s">
        <v>21</v>
      </c>
      <c r="C14" s="12" t="s">
        <v>22</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9.5" hidden="false" customHeight="true" outlineLevel="0" collapsed="false">
      <c r="A17" s="5"/>
      <c r="B17" s="13" t="s">
        <v>23</v>
      </c>
      <c r="C17" s="14"/>
      <c r="D17" s="14"/>
      <c r="E17" s="14"/>
      <c r="F17" s="14"/>
      <c r="G17" s="14"/>
      <c r="H17" s="5"/>
      <c r="I17" s="5"/>
      <c r="J17" s="5"/>
      <c r="K17" s="5"/>
      <c r="L17" s="5"/>
      <c r="M17" s="5"/>
      <c r="N17" s="5"/>
      <c r="O17" s="5"/>
      <c r="P17" s="5"/>
      <c r="Q17" s="5"/>
      <c r="R17" s="5"/>
      <c r="S17" s="5"/>
      <c r="T17" s="5"/>
      <c r="U17" s="5"/>
      <c r="V17" s="5"/>
      <c r="W17" s="5"/>
      <c r="X17" s="5"/>
      <c r="Y17" s="5"/>
      <c r="Z17" s="5"/>
      <c r="AA17" s="5"/>
      <c r="AB17" s="5"/>
      <c r="AC17" s="5"/>
      <c r="AD17" s="5"/>
    </row>
    <row r="18" customFormat="false" ht="208.5" hidden="false" customHeight="true" outlineLevel="0" collapsed="false">
      <c r="A18" s="5"/>
      <c r="B18" s="15" t="s">
        <v>24</v>
      </c>
      <c r="C18" s="15"/>
      <c r="D18" s="15"/>
      <c r="E18" s="15"/>
      <c r="F18" s="15"/>
      <c r="G18" s="1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9.5" hidden="false" customHeight="true" outlineLevel="0" collapsed="false">
      <c r="A20" s="5"/>
      <c r="B20" s="13" t="s">
        <v>25</v>
      </c>
      <c r="C20" s="14"/>
      <c r="D20" s="14"/>
      <c r="E20" s="14"/>
      <c r="F20" s="14"/>
      <c r="G20" s="14"/>
      <c r="H20" s="5"/>
      <c r="I20" s="5"/>
      <c r="J20" s="5"/>
      <c r="K20" s="5"/>
      <c r="L20" s="5"/>
      <c r="M20" s="5"/>
      <c r="N20" s="5"/>
      <c r="O20" s="5"/>
      <c r="P20" s="5"/>
      <c r="Q20" s="5"/>
      <c r="R20" s="5"/>
      <c r="S20" s="5"/>
      <c r="T20" s="5"/>
      <c r="U20" s="5"/>
      <c r="V20" s="5"/>
      <c r="W20" s="5"/>
      <c r="X20" s="5"/>
      <c r="Y20" s="5"/>
      <c r="Z20" s="5"/>
      <c r="AA20" s="5"/>
      <c r="AB20" s="5"/>
      <c r="AC20" s="5"/>
      <c r="AD20" s="5"/>
    </row>
    <row r="21" customFormat="false" ht="57" hidden="false" customHeight="true" outlineLevel="0" collapsed="false">
      <c r="A21" s="5"/>
      <c r="B21" s="15" t="s">
        <v>26</v>
      </c>
      <c r="C21" s="15"/>
      <c r="D21" s="15"/>
      <c r="E21" s="15"/>
      <c r="F21" s="15"/>
      <c r="G21" s="1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16" t="s">
        <v>27</v>
      </c>
      <c r="C22" s="16"/>
      <c r="D22" s="16"/>
      <c r="E22" s="16"/>
      <c r="F22" s="16"/>
      <c r="G22" s="16"/>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17" t="s">
        <v>28</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sheetData>
  <mergeCells count="3">
    <mergeCell ref="B18:G18"/>
    <mergeCell ref="B21:G21"/>
    <mergeCell ref="B22:G22"/>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9D9D9"/>
    <pageSetUpPr fitToPage="false"/>
  </sheetPr>
  <dimension ref="A1:I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17.35" hidden="false" customHeight="false" outlineLevel="0" collapsed="false">
      <c r="A2" s="5"/>
      <c r="B2" s="37" t="s">
        <v>199</v>
      </c>
      <c r="C2" s="5"/>
      <c r="D2" s="5"/>
      <c r="E2" s="5"/>
      <c r="F2" s="5"/>
      <c r="G2" s="5"/>
      <c r="H2" s="5"/>
      <c r="I2" s="5"/>
    </row>
    <row r="3" customFormat="false" ht="15" hidden="false" customHeight="false" outlineLevel="0" collapsed="false">
      <c r="A3" s="5"/>
      <c r="B3" s="5"/>
      <c r="C3" s="55" t="n">
        <v>1</v>
      </c>
      <c r="D3" s="55" t="n">
        <v>2</v>
      </c>
      <c r="E3" s="55" t="n">
        <v>3</v>
      </c>
      <c r="F3" s="55" t="n">
        <v>4</v>
      </c>
      <c r="G3" s="55" t="n">
        <v>5</v>
      </c>
      <c r="H3" s="55" t="n">
        <v>6</v>
      </c>
      <c r="I3" s="55" t="n">
        <v>7</v>
      </c>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6" t="s">
        <v>200</v>
      </c>
      <c r="C5" s="57"/>
      <c r="D5" s="57"/>
      <c r="E5" s="57"/>
      <c r="F5" s="57"/>
      <c r="G5" s="57"/>
      <c r="H5" s="57"/>
      <c r="I5" s="57"/>
    </row>
    <row r="6" customFormat="false" ht="15" hidden="false" customHeight="false" outlineLevel="0" collapsed="false">
      <c r="A6" s="5"/>
      <c r="B6" s="24" t="s">
        <v>138</v>
      </c>
      <c r="C6" s="41" t="n">
        <f aca="false">CF_Close_Cash_Y1</f>
        <v>15866250</v>
      </c>
      <c r="D6" s="41" t="n">
        <f aca="false">CF_Close_Cash_Y2</f>
        <v>8072082.0625</v>
      </c>
      <c r="E6" s="41" t="n">
        <f aca="false">CF_Close_Cash_Y3</f>
        <v>449460.616040626</v>
      </c>
      <c r="F6" s="41" t="n">
        <f aca="false">CF_Close_Cash_Y4</f>
        <v>11205425.6102587</v>
      </c>
      <c r="G6" s="41" t="n">
        <f aca="false">CF_Close_Cash_Y5</f>
        <v>20979027.4958942</v>
      </c>
      <c r="H6" s="41" t="n">
        <f aca="false">CF_Close_Cash_Y6</f>
        <v>30212843.2754388</v>
      </c>
      <c r="I6" s="41" t="n">
        <f aca="false">CF_Close_Cash_Y7</f>
        <v>39128363.6752642</v>
      </c>
    </row>
    <row r="7" customFormat="false" ht="15" hidden="false" customHeight="false" outlineLevel="0" collapsed="false">
      <c r="A7" s="5"/>
      <c r="B7" s="24" t="s">
        <v>201</v>
      </c>
      <c r="C7" s="41" t="n">
        <f aca="false">PB_Eq_Close_Y1</f>
        <v>215000000</v>
      </c>
      <c r="D7" s="41" t="n">
        <f aca="false">PB_Eq_Close_Y2</f>
        <v>231125000</v>
      </c>
      <c r="E7" s="41" t="n">
        <f aca="false">PB_Eq_Close_Y3</f>
        <v>248459375</v>
      </c>
      <c r="F7" s="41" t="n">
        <f aca="false">PB_Eq_Close_Y4</f>
        <v>267093828.125</v>
      </c>
      <c r="G7" s="41" t="n">
        <f aca="false">PB_Eq_Close_Y5</f>
        <v>287125865.234375</v>
      </c>
      <c r="H7" s="41" t="n">
        <f aca="false">PB_Eq_Close_Y6</f>
        <v>308660305.126953</v>
      </c>
      <c r="I7" s="41" t="n">
        <f aca="false">PB_Eq_Close_Y7</f>
        <v>331809828.011475</v>
      </c>
    </row>
    <row r="8" customFormat="false" ht="15" hidden="false" customHeight="false" outlineLevel="0" collapsed="false">
      <c r="A8" s="5"/>
      <c r="B8" s="24" t="s">
        <v>133</v>
      </c>
      <c r="C8" s="41" t="n">
        <f aca="false">PB_FI_Close_Y1</f>
        <v>104500000</v>
      </c>
      <c r="D8" s="41" t="n">
        <f aca="false">PB_FI_Close_Y2</f>
        <v>109202500</v>
      </c>
      <c r="E8" s="41" t="n">
        <f aca="false">PB_FI_Close_Y3</f>
        <v>114116612.5</v>
      </c>
      <c r="F8" s="41" t="n">
        <f aca="false">PB_FI_Close_Y4</f>
        <v>119251860.0625</v>
      </c>
      <c r="G8" s="41" t="n">
        <f aca="false">PB_FI_Close_Y5</f>
        <v>124618193.765313</v>
      </c>
      <c r="H8" s="41" t="n">
        <f aca="false">PB_FI_Close_Y6</f>
        <v>130226012.484752</v>
      </c>
      <c r="I8" s="41" t="n">
        <f aca="false">PB_FI_Close_Y7</f>
        <v>136086183.046565</v>
      </c>
    </row>
    <row r="9" customFormat="false" ht="15" hidden="false" customHeight="false" outlineLevel="0" collapsed="false">
      <c r="A9" s="5"/>
      <c r="B9" s="24" t="s">
        <v>135</v>
      </c>
      <c r="C9" s="41" t="n">
        <f aca="false">PB_RE_Close_Y1</f>
        <v>53500000</v>
      </c>
      <c r="D9" s="41" t="n">
        <f aca="false">PB_RE_Close_Y2</f>
        <v>57245000</v>
      </c>
      <c r="E9" s="41" t="n">
        <f aca="false">PB_RE_Close_Y3</f>
        <v>61252150</v>
      </c>
      <c r="F9" s="41" t="n">
        <f aca="false">PB_RE_Close_Y4</f>
        <v>65539800.5</v>
      </c>
      <c r="G9" s="41" t="n">
        <f aca="false">PB_RE_Close_Y5</f>
        <v>70127586.535</v>
      </c>
      <c r="H9" s="41" t="n">
        <f aca="false">PB_RE_Close_Y6</f>
        <v>75036517.59245</v>
      </c>
      <c r="I9" s="41" t="n">
        <f aca="false">PB_RE_Close_Y7</f>
        <v>80289073.8239215</v>
      </c>
    </row>
    <row r="10" customFormat="false" ht="15" hidden="false" customHeight="false" outlineLevel="0" collapsed="false">
      <c r="A10" s="5"/>
      <c r="B10" s="24" t="s">
        <v>194</v>
      </c>
      <c r="C10" s="41" t="n">
        <f aca="false">PB_PE_Close_Y1</f>
        <v>62720000</v>
      </c>
      <c r="D10" s="41" t="n">
        <f aca="false">PB_PE_Close_Y2</f>
        <v>76428800</v>
      </c>
      <c r="E10" s="41" t="n">
        <f aca="false">PB_PE_Close_Y3</f>
        <v>91288064</v>
      </c>
      <c r="F10" s="41" t="n">
        <f aca="false">PB_PE_Close_Y4</f>
        <v>89217802.24</v>
      </c>
      <c r="G10" s="41" t="n">
        <f aca="false">PB_PE_Close_Y5</f>
        <v>86894538.752</v>
      </c>
      <c r="H10" s="41" t="n">
        <f aca="false">PB_PE_Close_Y6</f>
        <v>84372003.487744</v>
      </c>
      <c r="I10" s="41" t="n">
        <f aca="false">PB_PE_Close_Y7</f>
        <v>81696948.8177562</v>
      </c>
    </row>
    <row r="11" customFormat="false" ht="15" hidden="false" customHeight="false" outlineLevel="0" collapsed="false">
      <c r="A11" s="5"/>
      <c r="B11" s="42" t="s">
        <v>202</v>
      </c>
      <c r="C11" s="46" t="n">
        <f aca="false">SUM(C6:C10)</f>
        <v>451586250</v>
      </c>
      <c r="D11" s="46" t="n">
        <f aca="false">SUM(D6:D10)</f>
        <v>482073382.0625</v>
      </c>
      <c r="E11" s="46" t="n">
        <f aca="false">SUM(E6:E10)</f>
        <v>515565662.116041</v>
      </c>
      <c r="F11" s="46" t="n">
        <f aca="false">SUM(F6:F10)</f>
        <v>552308716.537759</v>
      </c>
      <c r="G11" s="46" t="n">
        <f aca="false">SUM(G6:G10)</f>
        <v>589745211.782582</v>
      </c>
      <c r="H11" s="46" t="n">
        <f aca="false">SUM(H6:H10)</f>
        <v>628507681.967338</v>
      </c>
      <c r="I11" s="46" t="n">
        <f aca="false">SUM(I6:I10)</f>
        <v>669010397.374982</v>
      </c>
    </row>
    <row r="12" customFormat="false" ht="15" hidden="false" customHeight="false" outlineLevel="0" collapsed="false">
      <c r="A12" s="5"/>
      <c r="B12" s="5"/>
      <c r="C12" s="5"/>
      <c r="D12" s="5"/>
      <c r="E12" s="5"/>
      <c r="F12" s="5"/>
      <c r="G12" s="5"/>
      <c r="H12" s="5"/>
      <c r="I12" s="5"/>
    </row>
    <row r="13" customFormat="false" ht="15" hidden="false" customHeight="false" outlineLevel="0" collapsed="false">
      <c r="A13" s="5"/>
      <c r="B13" s="56" t="s">
        <v>203</v>
      </c>
      <c r="C13" s="57"/>
      <c r="D13" s="57"/>
      <c r="E13" s="57"/>
      <c r="F13" s="57"/>
      <c r="G13" s="57"/>
      <c r="H13" s="57"/>
      <c r="I13" s="57"/>
    </row>
    <row r="14" customFormat="false" ht="15" hidden="false" customHeight="false" outlineLevel="0" collapsed="false">
      <c r="A14" s="5"/>
      <c r="B14" s="22" t="s">
        <v>105</v>
      </c>
      <c r="C14" s="41" t="n">
        <f aca="false">Margin_Loan</f>
        <v>0</v>
      </c>
      <c r="D14" s="41" t="n">
        <f aca="false">Margin_Loan</f>
        <v>0</v>
      </c>
      <c r="E14" s="41" t="n">
        <f aca="false">Margin_Loan</f>
        <v>0</v>
      </c>
      <c r="F14" s="41" t="n">
        <f aca="false">Margin_Loan</f>
        <v>0</v>
      </c>
      <c r="G14" s="41" t="n">
        <f aca="false">Margin_Loan</f>
        <v>0</v>
      </c>
      <c r="H14" s="41" t="n">
        <f aca="false">Margin_Loan</f>
        <v>0</v>
      </c>
      <c r="I14" s="41" t="n">
        <f aca="false">Margin_Loan</f>
        <v>0</v>
      </c>
    </row>
    <row r="15" customFormat="false" ht="15" hidden="false" customHeight="false" outlineLevel="0" collapsed="false">
      <c r="A15" s="5"/>
      <c r="B15" s="42" t="s">
        <v>204</v>
      </c>
      <c r="C15" s="43" t="n">
        <f aca="false">C14</f>
        <v>0</v>
      </c>
      <c r="D15" s="43" t="n">
        <f aca="false">D14</f>
        <v>0</v>
      </c>
      <c r="E15" s="43" t="n">
        <f aca="false">E14</f>
        <v>0</v>
      </c>
      <c r="F15" s="43" t="n">
        <f aca="false">F14</f>
        <v>0</v>
      </c>
      <c r="G15" s="43" t="n">
        <f aca="false">G14</f>
        <v>0</v>
      </c>
      <c r="H15" s="43" t="n">
        <f aca="false">H14</f>
        <v>0</v>
      </c>
      <c r="I15" s="43" t="n">
        <f aca="false">I14</f>
        <v>0</v>
      </c>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56" t="s">
        <v>205</v>
      </c>
      <c r="C17" s="57"/>
      <c r="D17" s="57"/>
      <c r="E17" s="57"/>
      <c r="F17" s="57"/>
      <c r="G17" s="57"/>
      <c r="H17" s="57"/>
      <c r="I17" s="57"/>
    </row>
    <row r="18" customFormat="false" ht="15" hidden="false" customHeight="false" outlineLevel="0" collapsed="false">
      <c r="A18" s="5"/>
      <c r="B18" s="22" t="s">
        <v>206</v>
      </c>
      <c r="C18" s="41" t="n">
        <f aca="false">Starting_AUM-PE_Unfunded_Init</f>
        <v>425000000</v>
      </c>
      <c r="D18" s="41" t="n">
        <f aca="false">Starting_AUM-PE_Unfunded_Init</f>
        <v>425000000</v>
      </c>
      <c r="E18" s="41" t="n">
        <f aca="false">Starting_AUM-PE_Unfunded_Init</f>
        <v>425000000</v>
      </c>
      <c r="F18" s="41" t="n">
        <f aca="false">Starting_AUM-PE_Unfunded_Init</f>
        <v>425000000</v>
      </c>
      <c r="G18" s="41" t="n">
        <f aca="false">Starting_AUM-PE_Unfunded_Init</f>
        <v>425000000</v>
      </c>
      <c r="H18" s="41" t="n">
        <f aca="false">Starting_AUM-PE_Unfunded_Init</f>
        <v>425000000</v>
      </c>
      <c r="I18" s="41" t="n">
        <f aca="false">Starting_AUM-PE_Unfunded_Init</f>
        <v>425000000</v>
      </c>
    </row>
    <row r="19" customFormat="false" ht="15" hidden="false" customHeight="false" outlineLevel="0" collapsed="false">
      <c r="A19" s="5"/>
      <c r="B19" s="22" t="s">
        <v>207</v>
      </c>
      <c r="C19" s="41" t="n">
        <f aca="false">C11-C18</f>
        <v>26586250</v>
      </c>
      <c r="D19" s="41" t="n">
        <f aca="false">D11-D18</f>
        <v>57073382.0625</v>
      </c>
      <c r="E19" s="41" t="n">
        <f aca="false">E11-E18</f>
        <v>90565662.1160407</v>
      </c>
      <c r="F19" s="41" t="n">
        <f aca="false">F11-F18</f>
        <v>127308716.537759</v>
      </c>
      <c r="G19" s="41" t="n">
        <f aca="false">G11-G18</f>
        <v>164745211.782582</v>
      </c>
      <c r="H19" s="41" t="n">
        <f aca="false">H11-H18</f>
        <v>203507681.967338</v>
      </c>
      <c r="I19" s="41" t="n">
        <f aca="false">I11-I18</f>
        <v>244010397.374982</v>
      </c>
    </row>
    <row r="20" customFormat="false" ht="15" hidden="false" customHeight="false" outlineLevel="0" collapsed="false">
      <c r="A20" s="5"/>
      <c r="B20" s="42" t="s">
        <v>208</v>
      </c>
      <c r="C20" s="43" t="n">
        <f aca="false">C18+C19</f>
        <v>451586250</v>
      </c>
      <c r="D20" s="43" t="n">
        <f aca="false">D18+D19</f>
        <v>482073382.0625</v>
      </c>
      <c r="E20" s="43" t="n">
        <f aca="false">E18+E19</f>
        <v>515565662.116041</v>
      </c>
      <c r="F20" s="43" t="n">
        <f aca="false">F18+F19</f>
        <v>552308716.537759</v>
      </c>
      <c r="G20" s="43" t="n">
        <f aca="false">G18+G19</f>
        <v>589745211.782582</v>
      </c>
      <c r="H20" s="43" t="n">
        <f aca="false">H18+H19</f>
        <v>628507681.967338</v>
      </c>
      <c r="I20" s="43" t="n">
        <f aca="false">I18+I19</f>
        <v>669010397.374982</v>
      </c>
    </row>
    <row r="21" customFormat="false" ht="15" hidden="false" customHeight="false" outlineLevel="0" collapsed="false">
      <c r="A21" s="5"/>
      <c r="B21" s="5"/>
      <c r="C21" s="5"/>
      <c r="D21" s="5"/>
      <c r="E21" s="5"/>
      <c r="F21" s="5"/>
      <c r="G21" s="5"/>
      <c r="H21" s="5"/>
      <c r="I21" s="5"/>
    </row>
    <row r="22" customFormat="false" ht="15" hidden="false" customHeight="false" outlineLevel="0" collapsed="false">
      <c r="A22" s="5"/>
      <c r="B22" s="42" t="s">
        <v>209</v>
      </c>
      <c r="C22" s="46" t="n">
        <f aca="false">C15+C20</f>
        <v>451586250</v>
      </c>
      <c r="D22" s="46" t="n">
        <f aca="false">D15+D20</f>
        <v>482073382.0625</v>
      </c>
      <c r="E22" s="46" t="n">
        <f aca="false">E15+E20</f>
        <v>515565662.116041</v>
      </c>
      <c r="F22" s="46" t="n">
        <f aca="false">F15+F20</f>
        <v>552308716.537759</v>
      </c>
      <c r="G22" s="46" t="n">
        <f aca="false">G15+G20</f>
        <v>589745211.782582</v>
      </c>
      <c r="H22" s="46" t="n">
        <f aca="false">H15+H20</f>
        <v>628507681.967338</v>
      </c>
      <c r="I22" s="46" t="n">
        <f aca="false">I15+I20</f>
        <v>669010397.374982</v>
      </c>
    </row>
    <row r="23" customFormat="false" ht="15" hidden="false" customHeight="false" outlineLevel="0" collapsed="false">
      <c r="A23" s="5"/>
      <c r="B23" s="5"/>
      <c r="C23" s="5"/>
      <c r="D23" s="5"/>
      <c r="E23" s="5"/>
      <c r="F23" s="5"/>
      <c r="G23" s="5"/>
      <c r="H23" s="5"/>
      <c r="I23" s="5"/>
    </row>
    <row r="24" customFormat="false" ht="15" hidden="false" customHeight="false" outlineLevel="0" collapsed="false">
      <c r="A24" s="5"/>
      <c r="B24" s="58" t="s">
        <v>210</v>
      </c>
      <c r="C24" s="59" t="n">
        <f aca="false">C11-C22</f>
        <v>0</v>
      </c>
      <c r="D24" s="59" t="n">
        <f aca="false">D11-D22</f>
        <v>0</v>
      </c>
      <c r="E24" s="59" t="n">
        <f aca="false">E11-E22</f>
        <v>0</v>
      </c>
      <c r="F24" s="59" t="n">
        <f aca="false">F11-F22</f>
        <v>0</v>
      </c>
      <c r="G24" s="59" t="n">
        <f aca="false">G11-G22</f>
        <v>0</v>
      </c>
      <c r="H24" s="59" t="n">
        <f aca="false">H11-H22</f>
        <v>0</v>
      </c>
      <c r="I24" s="59" t="n">
        <f aca="false">I11-I22</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CCC"/>
    <pageSetUpPr fitToPage="false"/>
  </sheetPr>
  <dimension ref="A1:I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4"/>
    <col collapsed="false" customWidth="true" hidden="false" outlineLevel="0" max="9" min="3" style="0" width="14"/>
  </cols>
  <sheetData>
    <row r="1" customFormat="false" ht="15" hidden="false" customHeight="false" outlineLevel="0" collapsed="false">
      <c r="A1" s="5"/>
      <c r="B1" s="5"/>
      <c r="C1" s="5"/>
      <c r="D1" s="5"/>
      <c r="E1" s="5"/>
      <c r="F1" s="5"/>
      <c r="G1" s="5"/>
      <c r="H1" s="5"/>
      <c r="I1" s="5"/>
    </row>
    <row r="2" customFormat="false" ht="17.35" hidden="false" customHeight="false" outlineLevel="0" collapsed="false">
      <c r="A2" s="5"/>
      <c r="B2" s="37" t="s">
        <v>21</v>
      </c>
      <c r="C2" s="5"/>
      <c r="D2" s="5"/>
      <c r="E2" s="5"/>
      <c r="F2" s="5"/>
      <c r="G2" s="5"/>
      <c r="H2" s="5"/>
      <c r="I2" s="5"/>
    </row>
    <row r="3" customFormat="false" ht="15" hidden="false" customHeight="false" outlineLevel="0" collapsed="false">
      <c r="A3" s="5"/>
      <c r="B3" s="6" t="s">
        <v>211</v>
      </c>
      <c r="C3" s="60" t="n">
        <v>1</v>
      </c>
      <c r="D3" s="60" t="n">
        <v>2</v>
      </c>
      <c r="E3" s="60" t="n">
        <v>3</v>
      </c>
      <c r="F3" s="60" t="n">
        <v>4</v>
      </c>
      <c r="G3" s="60" t="n">
        <v>5</v>
      </c>
      <c r="H3" s="60" t="n">
        <v>6</v>
      </c>
      <c r="I3" s="60" t="n">
        <v>7</v>
      </c>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2" t="s">
        <v>212</v>
      </c>
      <c r="C5" s="61" t="b">
        <f aca="false">ABS(BS_Check_Y1)&lt;1</f>
        <v>1</v>
      </c>
      <c r="D5" s="61" t="b">
        <f aca="false">ABS(BS_Check_Y2)&lt;1</f>
        <v>1</v>
      </c>
      <c r="E5" s="61" t="b">
        <f aca="false">ABS(BS_Check_Y3)&lt;1</f>
        <v>1</v>
      </c>
      <c r="F5" s="61" t="b">
        <f aca="false">ABS(BS_Check_Y4)&lt;1</f>
        <v>1</v>
      </c>
      <c r="G5" s="61" t="b">
        <f aca="false">ABS(BS_Check_Y5)&lt;1</f>
        <v>1</v>
      </c>
      <c r="H5" s="61" t="b">
        <f aca="false">ABS(BS_Check_Y6)&lt;1</f>
        <v>1</v>
      </c>
      <c r="I5" s="61" t="b">
        <f aca="false">ABS(BS_Check_Y7)&lt;1</f>
        <v>1</v>
      </c>
    </row>
    <row r="6" customFormat="false" ht="15" hidden="false" customHeight="false" outlineLevel="0" collapsed="false">
      <c r="A6" s="5"/>
      <c r="B6" s="22" t="s">
        <v>213</v>
      </c>
      <c r="C6" s="61" t="b">
        <f aca="false">CF_Close_Cash_Y1&gt;=Min_Cash_Buffer</f>
        <v>1</v>
      </c>
      <c r="D6" s="61" t="b">
        <f aca="false">CF_Close_Cash_Y2&gt;=Min_Cash_Buffer</f>
        <v>0</v>
      </c>
      <c r="E6" s="61" t="b">
        <f aca="false">CF_Close_Cash_Y3&gt;=Min_Cash_Buffer</f>
        <v>0</v>
      </c>
      <c r="F6" s="61" t="b">
        <f aca="false">CF_Close_Cash_Y4&gt;=Min_Cash_Buffer</f>
        <v>0</v>
      </c>
      <c r="G6" s="61" t="b">
        <f aca="false">CF_Close_Cash_Y5&gt;=Min_Cash_Buffer</f>
        <v>1</v>
      </c>
      <c r="H6" s="61" t="b">
        <f aca="false">CF_Close_Cash_Y6&gt;=Min_Cash_Buffer</f>
        <v>1</v>
      </c>
      <c r="I6" s="61" t="b">
        <f aca="false">CF_Close_Cash_Y7&gt;=Min_Cash_Buffer</f>
        <v>1</v>
      </c>
    </row>
    <row r="7" customFormat="false" ht="15" hidden="false" customHeight="false" outlineLevel="0" collapsed="false">
      <c r="A7" s="5"/>
      <c r="B7" s="22" t="s">
        <v>214</v>
      </c>
      <c r="C7" s="61" t="b">
        <f aca="false">ABS(Alloc_Eq+Alloc_FI+Alloc_PE+Alloc_RE+Alloc_Cash-1)&lt;0.001</f>
        <v>1</v>
      </c>
      <c r="D7" s="61" t="b">
        <f aca="false">ABS(Alloc_Eq+Alloc_FI+Alloc_PE+Alloc_RE+Alloc_Cash-1)&lt;0.001</f>
        <v>1</v>
      </c>
      <c r="E7" s="61" t="b">
        <f aca="false">ABS(Alloc_Eq+Alloc_FI+Alloc_PE+Alloc_RE+Alloc_Cash-1)&lt;0.001</f>
        <v>1</v>
      </c>
      <c r="F7" s="61" t="b">
        <f aca="false">ABS(Alloc_Eq+Alloc_FI+Alloc_PE+Alloc_RE+Alloc_Cash-1)&lt;0.001</f>
        <v>1</v>
      </c>
      <c r="G7" s="61" t="b">
        <f aca="false">ABS(Alloc_Eq+Alloc_FI+Alloc_PE+Alloc_RE+Alloc_Cash-1)&lt;0.001</f>
        <v>1</v>
      </c>
      <c r="H7" s="61" t="b">
        <f aca="false">ABS(Alloc_Eq+Alloc_FI+Alloc_PE+Alloc_RE+Alloc_Cash-1)&lt;0.001</f>
        <v>1</v>
      </c>
      <c r="I7" s="61" t="b">
        <f aca="false">ABS(Alloc_Eq+Alloc_FI+Alloc_PE+Alloc_RE+Alloc_Cash-1)&lt;0.001</f>
        <v>1</v>
      </c>
    </row>
    <row r="8" customFormat="false" ht="15" hidden="false" customHeight="false" outlineLevel="0" collapsed="false">
      <c r="A8" s="5"/>
      <c r="B8" s="22" t="s">
        <v>215</v>
      </c>
      <c r="C8" s="61" t="b">
        <f aca="false">PM_Unfunded_Close_Y1&gt;=0</f>
        <v>1</v>
      </c>
      <c r="D8" s="61" t="b">
        <f aca="false">PM_Unfunded_Close_Y2&gt;=0</f>
        <v>1</v>
      </c>
      <c r="E8" s="61" t="b">
        <f aca="false">PM_Unfunded_Close_Y3&gt;=0</f>
        <v>1</v>
      </c>
      <c r="F8" s="61" t="b">
        <f aca="false">PM_Unfunded_Close_Y4&gt;=0</f>
        <v>1</v>
      </c>
      <c r="G8" s="61" t="b">
        <f aca="false">PM_Unfunded_Close_Y5&gt;=0</f>
        <v>1</v>
      </c>
      <c r="H8" s="61" t="b">
        <f aca="false">PM_Unfunded_Close_Y6&gt;=0</f>
        <v>1</v>
      </c>
      <c r="I8" s="61" t="b">
        <f aca="false">PM_Unfunded_Close_Y7&gt;=0</f>
        <v>1</v>
      </c>
    </row>
    <row r="9" customFormat="false" ht="15" hidden="false" customHeight="false" outlineLevel="0" collapsed="false">
      <c r="A9" s="5"/>
      <c r="B9" s="22" t="s">
        <v>216</v>
      </c>
      <c r="C9" s="61" t="b">
        <f aca="false">OP_Total_OpEx_Y1/PB_Total_AUM_Y1&lt;0.015</f>
        <v>1</v>
      </c>
      <c r="D9" s="61" t="b">
        <f aca="false">OP_Total_OpEx_Y2/PB_Total_AUM_Y2&lt;0.015</f>
        <v>1</v>
      </c>
      <c r="E9" s="61" t="b">
        <f aca="false">OP_Total_OpEx_Y3/PB_Total_AUM_Y3&lt;0.015</f>
        <v>1</v>
      </c>
      <c r="F9" s="61" t="b">
        <f aca="false">OP_Total_OpEx_Y4/PB_Total_AUM_Y4&lt;0.015</f>
        <v>1</v>
      </c>
      <c r="G9" s="61" t="b">
        <f aca="false">OP_Total_OpEx_Y5/PB_Total_AUM_Y5&lt;0.015</f>
        <v>1</v>
      </c>
      <c r="H9" s="61" t="b">
        <f aca="false">OP_Total_OpEx_Y6/PB_Total_AUM_Y6&lt;0.015</f>
        <v>1</v>
      </c>
      <c r="I9" s="61" t="b">
        <f aca="false">OP_Total_OpEx_Y7/PB_Total_AUM_Y7&lt;0.015</f>
        <v>1</v>
      </c>
    </row>
    <row r="10" customFormat="false" ht="15" hidden="false" customHeight="false" outlineLevel="0" collapsed="false">
      <c r="A10" s="5"/>
      <c r="B10" s="22" t="s">
        <v>217</v>
      </c>
      <c r="C10" s="61" t="b">
        <f aca="false">CF_Close_Cash_Y1/(PM_Cap_Call_Y1+OP_Total_OpEx_Y1+DT_Distributions_Y1)&gt;1.5</f>
        <v>0</v>
      </c>
      <c r="D10" s="61" t="b">
        <f aca="false">CF_Close_Cash_Y2/(PM_Cap_Call_Y2+OP_Total_OpEx_Y2+DT_Distributions_Y2)&gt;1.5</f>
        <v>0</v>
      </c>
      <c r="E10" s="61" t="b">
        <f aca="false">CF_Close_Cash_Y3/(PM_Cap_Call_Y3+OP_Total_OpEx_Y3+DT_Distributions_Y3)&gt;1.5</f>
        <v>0</v>
      </c>
      <c r="F10" s="61" t="b">
        <f aca="false">CF_Close_Cash_Y4/(PM_Cap_Call_Y4+OP_Total_OpEx_Y4+DT_Distributions_Y4)&gt;1.5</f>
        <v>0</v>
      </c>
      <c r="G10" s="61" t="b">
        <f aca="false">CF_Close_Cash_Y5/(PM_Cap_Call_Y5+OP_Total_OpEx_Y5+DT_Distributions_Y5)&gt;1.5</f>
        <v>0</v>
      </c>
      <c r="H10" s="61" t="b">
        <f aca="false">CF_Close_Cash_Y6/(PM_Cap_Call_Y6+OP_Total_OpEx_Y6+DT_Distributions_Y6)&gt;1.5</f>
        <v>1</v>
      </c>
      <c r="I10" s="61" t="b">
        <f aca="false">CF_Close_Cash_Y7/(PM_Cap_Call_Y7+OP_Total_OpEx_Y7+DT_Distributions_Y7)&gt;1.5</f>
        <v>1</v>
      </c>
    </row>
    <row r="11" customFormat="false" ht="15" hidden="false" customHeight="false" outlineLevel="0" collapsed="false">
      <c r="A11" s="5"/>
      <c r="B11" s="22" t="s">
        <v>218</v>
      </c>
      <c r="C11" s="61" t="b">
        <f aca="false">DT_Distributions_Y1&lt;=(AR_Total_Yield_Y1+PM_Dist_Y1)*(1-Income_Tax_Rate)</f>
        <v>0</v>
      </c>
      <c r="D11" s="61" t="b">
        <f aca="false">DT_Distributions_Y2&lt;=(AR_Total_Yield_Y2+PM_Dist_Y2)*(1-Income_Tax_Rate)</f>
        <v>1</v>
      </c>
      <c r="E11" s="61" t="b">
        <f aca="false">DT_Distributions_Y3&lt;=(AR_Total_Yield_Y3+PM_Dist_Y3)*(1-Income_Tax_Rate)</f>
        <v>1</v>
      </c>
      <c r="F11" s="61" t="b">
        <f aca="false">DT_Distributions_Y4&lt;=(AR_Total_Yield_Y4+PM_Dist_Y4)*(1-Income_Tax_Rate)</f>
        <v>1</v>
      </c>
      <c r="G11" s="61" t="b">
        <f aca="false">DT_Distributions_Y5&lt;=(AR_Total_Yield_Y5+PM_Dist_Y5)*(1-Income_Tax_Rate)</f>
        <v>1</v>
      </c>
      <c r="H11" s="61" t="b">
        <f aca="false">DT_Distributions_Y6&lt;=(AR_Total_Yield_Y6+PM_Dist_Y6)*(1-Income_Tax_Rate)</f>
        <v>1</v>
      </c>
      <c r="I11" s="61" t="b">
        <f aca="false">DT_Distributions_Y7&lt;=(AR_Total_Yield_Y7+PM_Dist_Y7)*(1-Income_Tax_Rate)</f>
        <v>1</v>
      </c>
    </row>
    <row r="12" customFormat="false" ht="15" hidden="false" customHeight="false" outlineLevel="0" collapsed="false">
      <c r="A12" s="5"/>
      <c r="B12" s="22" t="s">
        <v>219</v>
      </c>
      <c r="C12" s="61" t="b">
        <f aca="false">PB_PE_Close_Y1/PB_Total_AUM_Y1&lt;=(Alloc_PE+0.05)</f>
        <v>1</v>
      </c>
      <c r="D12" s="61" t="b">
        <f aca="false">PB_PE_Close_Y2/PB_Total_AUM_Y2&lt;=(Alloc_PE+0.05)</f>
        <v>1</v>
      </c>
      <c r="E12" s="61" t="b">
        <f aca="false">PB_PE_Close_Y3/PB_Total_AUM_Y3&lt;=(Alloc_PE+0.05)</f>
        <v>1</v>
      </c>
      <c r="F12" s="61" t="b">
        <f aca="false">PB_PE_Close_Y4/PB_Total_AUM_Y4&lt;=(Alloc_PE+0.05)</f>
        <v>1</v>
      </c>
      <c r="G12" s="61" t="b">
        <f aca="false">PB_PE_Close_Y5/PB_Total_AUM_Y5&lt;=(Alloc_PE+0.05)</f>
        <v>1</v>
      </c>
      <c r="H12" s="61" t="b">
        <f aca="false">PB_PE_Close_Y6/PB_Total_AUM_Y6&lt;=(Alloc_PE+0.05)</f>
        <v>1</v>
      </c>
      <c r="I12" s="61" t="b">
        <f aca="false">PB_PE_Close_Y7/PB_Total_AUM_Y7&lt;=(Alloc_PE+0.05)</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DD7EE"/>
    <pageSetUpPr fitToPage="false"/>
  </sheetPr>
  <dimension ref="A1:AD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6"/>
    <col collapsed="false" customWidth="true" hidden="false" outlineLevel="0" max="3" min="3" style="0" width="18"/>
    <col collapsed="false" customWidth="true" hidden="false" outlineLevel="0" max="4" min="4" style="0" width="10"/>
    <col collapsed="false" customWidth="true" hidden="false" outlineLevel="0" max="5" min="5" style="0" width="5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7.35" hidden="false" customHeight="false" outlineLevel="0" collapsed="false">
      <c r="A3" s="1"/>
      <c r="B3" s="18" t="s">
        <v>5</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19" t="s">
        <v>29</v>
      </c>
      <c r="C4" s="19" t="s">
        <v>30</v>
      </c>
      <c r="D4" s="19" t="s">
        <v>31</v>
      </c>
      <c r="E4" s="19" t="s">
        <v>32</v>
      </c>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20" t="s">
        <v>33</v>
      </c>
      <c r="C7" s="21"/>
      <c r="D7" s="21"/>
      <c r="E7" s="21"/>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22" t="s">
        <v>34</v>
      </c>
      <c r="C8" s="23" t="n">
        <v>500000000</v>
      </c>
      <c r="D8" s="24" t="s">
        <v>35</v>
      </c>
      <c r="E8" s="25" t="s">
        <v>36</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22" t="s">
        <v>37</v>
      </c>
      <c r="C9" s="26" t="n">
        <v>0.4</v>
      </c>
      <c r="D9" s="24" t="s">
        <v>38</v>
      </c>
      <c r="E9" s="25" t="s">
        <v>39</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22" t="s">
        <v>40</v>
      </c>
      <c r="C10" s="26" t="n">
        <v>0.2</v>
      </c>
      <c r="D10" s="24" t="s">
        <v>38</v>
      </c>
      <c r="E10" s="25" t="s">
        <v>41</v>
      </c>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22" t="s">
        <v>42</v>
      </c>
      <c r="C11" s="26" t="n">
        <v>0.25</v>
      </c>
      <c r="D11" s="24" t="s">
        <v>38</v>
      </c>
      <c r="E11" s="25" t="s">
        <v>43</v>
      </c>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22" t="s">
        <v>44</v>
      </c>
      <c r="C12" s="26" t="n">
        <v>0.1</v>
      </c>
      <c r="D12" s="24" t="s">
        <v>38</v>
      </c>
      <c r="E12" s="25" t="s">
        <v>45</v>
      </c>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22" t="s">
        <v>46</v>
      </c>
      <c r="C13" s="26" t="n">
        <v>0.05</v>
      </c>
      <c r="D13" s="24" t="s">
        <v>38</v>
      </c>
      <c r="E13" s="25" t="s">
        <v>47</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20" t="s">
        <v>48</v>
      </c>
      <c r="C14" s="21"/>
      <c r="D14" s="21"/>
      <c r="E14" s="21"/>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22" t="s">
        <v>49</v>
      </c>
      <c r="C15" s="26" t="n">
        <v>0.075</v>
      </c>
      <c r="D15" s="24" t="s">
        <v>38</v>
      </c>
      <c r="E15" s="25" t="s">
        <v>50</v>
      </c>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22" t="s">
        <v>51</v>
      </c>
      <c r="C16" s="26" t="n">
        <v>0.02</v>
      </c>
      <c r="D16" s="24" t="s">
        <v>38</v>
      </c>
      <c r="E16" s="25" t="s">
        <v>52</v>
      </c>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22" t="s">
        <v>53</v>
      </c>
      <c r="C17" s="26" t="n">
        <v>0.045</v>
      </c>
      <c r="D17" s="24" t="s">
        <v>38</v>
      </c>
      <c r="E17" s="25" t="s">
        <v>54</v>
      </c>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22" t="s">
        <v>55</v>
      </c>
      <c r="C18" s="26" t="n">
        <v>0.12</v>
      </c>
      <c r="D18" s="24" t="s">
        <v>38</v>
      </c>
      <c r="E18" s="25" t="s">
        <v>56</v>
      </c>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22" t="s">
        <v>57</v>
      </c>
      <c r="C19" s="26" t="n">
        <v>0.07</v>
      </c>
      <c r="D19" s="24" t="s">
        <v>38</v>
      </c>
      <c r="E19" s="25" t="s">
        <v>58</v>
      </c>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22" t="s">
        <v>59</v>
      </c>
      <c r="C20" s="26" t="n">
        <v>0.04</v>
      </c>
      <c r="D20" s="24" t="s">
        <v>38</v>
      </c>
      <c r="E20" s="25" t="s">
        <v>60</v>
      </c>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22" t="s">
        <v>61</v>
      </c>
      <c r="C21" s="26" t="n">
        <v>0.035</v>
      </c>
      <c r="D21" s="24" t="s">
        <v>38</v>
      </c>
      <c r="E21" s="25" t="s">
        <v>62</v>
      </c>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20" t="s">
        <v>63</v>
      </c>
      <c r="C22" s="21"/>
      <c r="D22" s="21"/>
      <c r="E22" s="21"/>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22" t="s">
        <v>64</v>
      </c>
      <c r="C23" s="23" t="n">
        <v>125000000</v>
      </c>
      <c r="D23" s="24" t="s">
        <v>35</v>
      </c>
      <c r="E23" s="25" t="s">
        <v>65</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22" t="s">
        <v>66</v>
      </c>
      <c r="C24" s="23" t="n">
        <v>75000000</v>
      </c>
      <c r="D24" s="24" t="s">
        <v>35</v>
      </c>
      <c r="E24" s="25" t="s">
        <v>67</v>
      </c>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22" t="s">
        <v>68</v>
      </c>
      <c r="C25" s="26" t="n">
        <v>0.08</v>
      </c>
      <c r="D25" s="24" t="s">
        <v>38</v>
      </c>
      <c r="E25" s="25" t="s">
        <v>69</v>
      </c>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22" t="s">
        <v>70</v>
      </c>
      <c r="C26" s="27" t="n">
        <v>3</v>
      </c>
      <c r="D26" s="24" t="s">
        <v>71</v>
      </c>
      <c r="E26" s="25" t="s">
        <v>72</v>
      </c>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22" t="s">
        <v>73</v>
      </c>
      <c r="C27" s="26" t="n">
        <v>0.2</v>
      </c>
      <c r="D27" s="24" t="s">
        <v>38</v>
      </c>
      <c r="E27" s="25" t="s">
        <v>74</v>
      </c>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20" t="s">
        <v>75</v>
      </c>
      <c r="C28" s="21"/>
      <c r="D28" s="21"/>
      <c r="E28" s="21"/>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22" t="s">
        <v>76</v>
      </c>
      <c r="C29" s="27" t="n">
        <v>8</v>
      </c>
      <c r="D29" s="24" t="s">
        <v>77</v>
      </c>
      <c r="E29" s="25" t="s">
        <v>78</v>
      </c>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22" t="s">
        <v>79</v>
      </c>
      <c r="C30" s="23" t="n">
        <v>250000</v>
      </c>
      <c r="D30" s="24" t="s">
        <v>35</v>
      </c>
      <c r="E30" s="25" t="s">
        <v>80</v>
      </c>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22" t="s">
        <v>81</v>
      </c>
      <c r="C31" s="23" t="n">
        <v>250000</v>
      </c>
      <c r="D31" s="24" t="s">
        <v>35</v>
      </c>
      <c r="E31" s="25" t="s">
        <v>82</v>
      </c>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22" t="s">
        <v>83</v>
      </c>
      <c r="C32" s="23" t="n">
        <v>150000</v>
      </c>
      <c r="D32" s="24" t="s">
        <v>35</v>
      </c>
      <c r="E32" s="25" t="s">
        <v>84</v>
      </c>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22" t="s">
        <v>85</v>
      </c>
      <c r="C33" s="23" t="n">
        <v>200000</v>
      </c>
      <c r="D33" s="24" t="s">
        <v>35</v>
      </c>
      <c r="E33" s="25" t="s">
        <v>86</v>
      </c>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22" t="s">
        <v>87</v>
      </c>
      <c r="C34" s="23" t="n">
        <v>100000</v>
      </c>
      <c r="D34" s="24" t="s">
        <v>35</v>
      </c>
      <c r="E34" s="25" t="s">
        <v>88</v>
      </c>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22" t="s">
        <v>89</v>
      </c>
      <c r="C35" s="23" t="n">
        <v>100000</v>
      </c>
      <c r="D35" s="24" t="s">
        <v>35</v>
      </c>
      <c r="E35" s="25" t="s">
        <v>90</v>
      </c>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20" t="s">
        <v>91</v>
      </c>
      <c r="C36" s="21"/>
      <c r="D36" s="21"/>
      <c r="E36" s="21"/>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22" t="s">
        <v>92</v>
      </c>
      <c r="C37" s="26" t="n">
        <v>0.015</v>
      </c>
      <c r="D37" s="24" t="s">
        <v>38</v>
      </c>
      <c r="E37" s="25" t="s">
        <v>93</v>
      </c>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22" t="s">
        <v>94</v>
      </c>
      <c r="C38" s="26" t="n">
        <v>0.37</v>
      </c>
      <c r="D38" s="24" t="s">
        <v>38</v>
      </c>
      <c r="E38" s="25" t="s">
        <v>95</v>
      </c>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22" t="s">
        <v>96</v>
      </c>
      <c r="C39" s="26" t="n">
        <v>0.2</v>
      </c>
      <c r="D39" s="24" t="s">
        <v>38</v>
      </c>
      <c r="E39" s="25" t="s">
        <v>97</v>
      </c>
      <c r="F39" s="5"/>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22" t="s">
        <v>98</v>
      </c>
      <c r="C40" s="26" t="n">
        <v>0.025</v>
      </c>
      <c r="D40" s="24" t="s">
        <v>38</v>
      </c>
      <c r="E40" s="25" t="s">
        <v>99</v>
      </c>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20" t="s">
        <v>100</v>
      </c>
      <c r="C41" s="21"/>
      <c r="D41" s="21"/>
      <c r="E41" s="21"/>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22" t="s">
        <v>101</v>
      </c>
      <c r="C42" s="23" t="n">
        <v>25000000</v>
      </c>
      <c r="D42" s="24" t="s">
        <v>35</v>
      </c>
      <c r="E42" s="25" t="s">
        <v>102</v>
      </c>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22" t="s">
        <v>103</v>
      </c>
      <c r="C43" s="23" t="n">
        <v>15000000</v>
      </c>
      <c r="D43" s="24" t="s">
        <v>35</v>
      </c>
      <c r="E43" s="25" t="s">
        <v>104</v>
      </c>
      <c r="F43" s="5"/>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22" t="s">
        <v>105</v>
      </c>
      <c r="C44" s="23" t="n">
        <v>0</v>
      </c>
      <c r="D44" s="24" t="s">
        <v>35</v>
      </c>
      <c r="E44" s="25" t="s">
        <v>106</v>
      </c>
      <c r="F44" s="5"/>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22" t="s">
        <v>107</v>
      </c>
      <c r="C45" s="26" t="n">
        <v>0.065</v>
      </c>
      <c r="D45" s="24" t="s">
        <v>38</v>
      </c>
      <c r="E45" s="25" t="s">
        <v>108</v>
      </c>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6" t="s">
        <v>109</v>
      </c>
      <c r="C47" s="28" t="n">
        <v>1</v>
      </c>
      <c r="D47" s="28" t="n">
        <v>2</v>
      </c>
      <c r="E47" s="28" t="n">
        <v>3</v>
      </c>
      <c r="F47" s="28" t="n">
        <v>4</v>
      </c>
      <c r="G47" s="28" t="n">
        <v>5</v>
      </c>
      <c r="H47" s="28" t="n">
        <v>6</v>
      </c>
      <c r="I47" s="28" t="n">
        <v>7</v>
      </c>
      <c r="J47" s="5"/>
      <c r="K47" s="5"/>
      <c r="L47" s="5"/>
      <c r="M47" s="5"/>
      <c r="N47" s="5"/>
      <c r="O47" s="5"/>
      <c r="P47" s="5"/>
      <c r="Q47" s="5"/>
      <c r="R47" s="5"/>
      <c r="S47" s="5"/>
      <c r="T47" s="5"/>
      <c r="U47" s="5"/>
      <c r="V47" s="5"/>
      <c r="W47" s="5"/>
      <c r="X47" s="5"/>
      <c r="Y47" s="5"/>
      <c r="Z47" s="5"/>
      <c r="AA47" s="5"/>
      <c r="AB47" s="5"/>
      <c r="AC47" s="5"/>
      <c r="AD47"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9" t="s">
        <v>110</v>
      </c>
    </row>
    <row r="3" customFormat="false" ht="3.75" hidden="false" customHeight="true" outlineLevel="0" collapsed="false">
      <c r="A3" s="5"/>
      <c r="B3" s="30"/>
    </row>
    <row r="4" customFormat="false" ht="15" hidden="false" customHeight="false" outlineLevel="0" collapsed="false">
      <c r="A4" s="5"/>
      <c r="B4" s="5"/>
    </row>
    <row r="5" customFormat="false" ht="19.5" hidden="false" customHeight="true" outlineLevel="0" collapsed="false">
      <c r="A5" s="5"/>
      <c r="B5" s="31" t="s">
        <v>111</v>
      </c>
    </row>
    <row r="6" customFormat="false" ht="48" hidden="false" customHeight="true" outlineLevel="0" collapsed="false">
      <c r="A6" s="5"/>
      <c r="B6" s="32" t="s">
        <v>112</v>
      </c>
    </row>
    <row r="7" customFormat="false" ht="15" hidden="false" customHeight="false" outlineLevel="0" collapsed="false">
      <c r="A7" s="5"/>
      <c r="B7" s="5"/>
    </row>
    <row r="8" customFormat="false" ht="19.5" hidden="false" customHeight="true" outlineLevel="0" collapsed="false">
      <c r="A8" s="5"/>
      <c r="B8" s="31" t="s">
        <v>113</v>
      </c>
    </row>
    <row r="9" customFormat="false" ht="61.5" hidden="false" customHeight="true" outlineLevel="0" collapsed="false">
      <c r="A9" s="5"/>
      <c r="B9" s="32" t="s">
        <v>114</v>
      </c>
    </row>
    <row r="10" customFormat="false" ht="15" hidden="false" customHeight="false" outlineLevel="0" collapsed="false">
      <c r="A10" s="5"/>
      <c r="B10" s="5"/>
    </row>
    <row r="11" customFormat="false" ht="19.5" hidden="false" customHeight="true" outlineLevel="0" collapsed="false">
      <c r="A11" s="5"/>
      <c r="B11" s="31" t="s">
        <v>115</v>
      </c>
    </row>
    <row r="12" customFormat="false" ht="75.75" hidden="false" customHeight="true" outlineLevel="0" collapsed="false">
      <c r="A12" s="5"/>
      <c r="B12" s="32" t="s">
        <v>116</v>
      </c>
    </row>
    <row r="13" customFormat="false" ht="15" hidden="false" customHeight="false" outlineLevel="0" collapsed="false">
      <c r="A13" s="5"/>
      <c r="B13" s="5"/>
    </row>
    <row r="14" customFormat="false" ht="19.5" hidden="false" customHeight="true" outlineLevel="0" collapsed="false">
      <c r="A14" s="5"/>
      <c r="B14" s="31" t="s">
        <v>117</v>
      </c>
    </row>
    <row r="15" customFormat="false" ht="61.5" hidden="false" customHeight="true" outlineLevel="0" collapsed="false">
      <c r="A15" s="5"/>
      <c r="B15" s="32" t="s">
        <v>118</v>
      </c>
    </row>
    <row r="16" customFormat="false" ht="15" hidden="false" customHeight="false" outlineLevel="0" collapsed="false">
      <c r="A16" s="5"/>
      <c r="B16" s="5"/>
    </row>
    <row r="17" customFormat="false" ht="19.5" hidden="false" customHeight="true" outlineLevel="0" collapsed="false">
      <c r="A17" s="5"/>
      <c r="B17" s="31" t="s">
        <v>119</v>
      </c>
    </row>
    <row r="18" customFormat="false" ht="33.75" hidden="false" customHeight="true" outlineLevel="0" collapsed="false">
      <c r="A18" s="5"/>
      <c r="B18" s="32" t="s">
        <v>120</v>
      </c>
    </row>
    <row r="19" customFormat="false" ht="15" hidden="false" customHeight="false" outlineLevel="0" collapsed="false">
      <c r="A19" s="5"/>
      <c r="B19" s="5"/>
    </row>
    <row r="20" customFormat="false" ht="19.5" hidden="false" customHeight="true" outlineLevel="0" collapsed="false">
      <c r="A20" s="5"/>
      <c r="B20" s="31" t="s">
        <v>121</v>
      </c>
    </row>
    <row r="21" customFormat="false" ht="33.75" hidden="false" customHeight="true" outlineLevel="0" collapsed="false">
      <c r="A21" s="5"/>
      <c r="B21" s="32" t="s">
        <v>122</v>
      </c>
    </row>
    <row r="22" customFormat="false" ht="15" hidden="false" customHeight="false" outlineLevel="0" collapsed="false">
      <c r="A22" s="5"/>
      <c r="B22" s="5"/>
    </row>
    <row r="23" customFormat="false" ht="21.75" hidden="false" customHeight="true" outlineLevel="0" collapsed="false">
      <c r="A23" s="5"/>
      <c r="B23" s="33" t="s">
        <v>123</v>
      </c>
    </row>
    <row r="24" customFormat="false" ht="15" hidden="false" customHeight="false" outlineLevel="0" collapsed="false">
      <c r="A24" s="5"/>
      <c r="B24" s="5"/>
    </row>
    <row r="25" customFormat="false" ht="18" hidden="false" customHeight="true" outlineLevel="0" collapsed="false">
      <c r="A25" s="5"/>
      <c r="B25" s="34" t="s">
        <v>124</v>
      </c>
    </row>
    <row r="26" customFormat="false" ht="201.75" hidden="false" customHeight="true" outlineLevel="0" collapsed="false">
      <c r="A26" s="5"/>
      <c r="B26" s="35" t="s">
        <v>125</v>
      </c>
    </row>
    <row r="27" customFormat="false" ht="15" hidden="false" customHeight="false" outlineLevel="0" collapsed="false">
      <c r="A27" s="5"/>
      <c r="B27" s="5"/>
    </row>
    <row r="28" customFormat="false" ht="18" hidden="false" customHeight="true" outlineLevel="0" collapsed="false">
      <c r="A28" s="5"/>
      <c r="B28" s="36" t="s">
        <v>126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2EFDA"/>
    <pageSetUpPr fitToPage="false"/>
  </sheetPr>
  <dimension ref="A1:I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17.35" hidden="false" customHeight="false" outlineLevel="0" collapsed="false">
      <c r="A2" s="5"/>
      <c r="B2" s="37" t="s">
        <v>127</v>
      </c>
      <c r="C2" s="5"/>
      <c r="D2" s="5"/>
      <c r="E2" s="5"/>
      <c r="F2" s="5"/>
      <c r="G2" s="5"/>
      <c r="H2" s="5"/>
      <c r="I2" s="5"/>
    </row>
    <row r="3" customFormat="false" ht="15" hidden="false" customHeight="false" outlineLevel="0" collapsed="false">
      <c r="A3" s="5"/>
      <c r="B3" s="5"/>
      <c r="C3" s="38" t="n">
        <v>1</v>
      </c>
      <c r="D3" s="38" t="n">
        <v>2</v>
      </c>
      <c r="E3" s="38" t="n">
        <v>3</v>
      </c>
      <c r="F3" s="38" t="n">
        <v>4</v>
      </c>
      <c r="G3" s="38" t="n">
        <v>5</v>
      </c>
      <c r="H3" s="38" t="n">
        <v>6</v>
      </c>
      <c r="I3" s="38" t="n">
        <v>7</v>
      </c>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9" t="s">
        <v>128</v>
      </c>
      <c r="C5" s="40"/>
      <c r="D5" s="40"/>
      <c r="E5" s="40"/>
      <c r="F5" s="40"/>
      <c r="G5" s="40"/>
      <c r="H5" s="40"/>
      <c r="I5" s="40"/>
    </row>
    <row r="6" customFormat="false" ht="15" hidden="false" customHeight="false" outlineLevel="0" collapsed="false">
      <c r="A6" s="5"/>
      <c r="B6" s="24" t="s">
        <v>129</v>
      </c>
      <c r="C6" s="41" t="n">
        <f aca="false">Starting_AUM*Alloc_Eq</f>
        <v>200000000</v>
      </c>
      <c r="D6" s="41" t="n">
        <f aca="false">PB_Eq_Close_Y1</f>
        <v>215000000</v>
      </c>
      <c r="E6" s="41" t="n">
        <f aca="false">PB_Eq_Close_Y2</f>
        <v>231125000</v>
      </c>
      <c r="F6" s="41" t="n">
        <f aca="false">PB_Eq_Close_Y3</f>
        <v>248459375</v>
      </c>
      <c r="G6" s="41" t="n">
        <f aca="false">PB_Eq_Close_Y4</f>
        <v>267093828.125</v>
      </c>
      <c r="H6" s="41" t="n">
        <f aca="false">PB_Eq_Close_Y5</f>
        <v>287125865.234375</v>
      </c>
      <c r="I6" s="41" t="n">
        <f aca="false">PB_Eq_Close_Y6</f>
        <v>308660305.126953</v>
      </c>
    </row>
    <row r="7" customFormat="false" ht="15" hidden="false" customHeight="false" outlineLevel="0" collapsed="false">
      <c r="A7" s="5"/>
      <c r="B7" s="22" t="s">
        <v>130</v>
      </c>
      <c r="C7" s="41" t="n">
        <f aca="false">C6*Eq_Div_Yield</f>
        <v>4000000</v>
      </c>
      <c r="D7" s="41" t="n">
        <f aca="false">D6*Eq_Div_Yield</f>
        <v>4300000</v>
      </c>
      <c r="E7" s="41" t="n">
        <f aca="false">E6*Eq_Div_Yield</f>
        <v>4622500</v>
      </c>
      <c r="F7" s="41" t="n">
        <f aca="false">F6*Eq_Div_Yield</f>
        <v>4969187.5</v>
      </c>
      <c r="G7" s="41" t="n">
        <f aca="false">G6*Eq_Div_Yield</f>
        <v>5341876.5625</v>
      </c>
      <c r="H7" s="41" t="n">
        <f aca="false">H6*Eq_Div_Yield</f>
        <v>5742517.3046875</v>
      </c>
      <c r="I7" s="41" t="n">
        <f aca="false">I6*Eq_Div_Yield</f>
        <v>6173206.10253906</v>
      </c>
    </row>
    <row r="8" customFormat="false" ht="15" hidden="false" customHeight="false" outlineLevel="0" collapsed="false">
      <c r="A8" s="5"/>
      <c r="B8" s="22" t="s">
        <v>131</v>
      </c>
      <c r="C8" s="41" t="n">
        <f aca="false">C6*(Eq_Total_Return-Eq_Div_Yield)</f>
        <v>11000000</v>
      </c>
      <c r="D8" s="41" t="n">
        <f aca="false">D6*(Eq_Total_Return-Eq_Div_Yield)</f>
        <v>11825000</v>
      </c>
      <c r="E8" s="41" t="n">
        <f aca="false">E6*(Eq_Total_Return-Eq_Div_Yield)</f>
        <v>12711875</v>
      </c>
      <c r="F8" s="41" t="n">
        <f aca="false">F6*(Eq_Total_Return-Eq_Div_Yield)</f>
        <v>13665265.625</v>
      </c>
      <c r="G8" s="41" t="n">
        <f aca="false">G6*(Eq_Total_Return-Eq_Div_Yield)</f>
        <v>14690160.546875</v>
      </c>
      <c r="H8" s="41" t="n">
        <f aca="false">H6*(Eq_Total_Return-Eq_Div_Yield)</f>
        <v>15791922.5878906</v>
      </c>
      <c r="I8" s="41" t="n">
        <f aca="false">I6*(Eq_Total_Return-Eq_Div_Yield)</f>
        <v>16976316.7819824</v>
      </c>
    </row>
    <row r="9" customFormat="false" ht="15" hidden="false" customHeight="false" outlineLevel="0" collapsed="false">
      <c r="A9" s="5"/>
      <c r="B9" s="42" t="s">
        <v>132</v>
      </c>
      <c r="C9" s="43" t="n">
        <f aca="false">C7+C8</f>
        <v>15000000</v>
      </c>
      <c r="D9" s="43" t="n">
        <f aca="false">D7+D8</f>
        <v>16125000</v>
      </c>
      <c r="E9" s="43" t="n">
        <f aca="false">E7+E8</f>
        <v>17334375</v>
      </c>
      <c r="F9" s="43" t="n">
        <f aca="false">F7+F8</f>
        <v>18634453.125</v>
      </c>
      <c r="G9" s="43" t="n">
        <f aca="false">G7+G8</f>
        <v>20032037.109375</v>
      </c>
      <c r="H9" s="43" t="n">
        <f aca="false">H7+H8</f>
        <v>21534439.8925781</v>
      </c>
      <c r="I9" s="43" t="n">
        <f aca="false">I7+I8</f>
        <v>23149522.8845215</v>
      </c>
    </row>
    <row r="10" customFormat="false" ht="15" hidden="false" customHeight="false" outlineLevel="0" collapsed="false">
      <c r="A10" s="5"/>
      <c r="B10" s="5"/>
      <c r="C10" s="5"/>
      <c r="D10" s="5"/>
      <c r="E10" s="5"/>
      <c r="F10" s="5"/>
      <c r="G10" s="5"/>
      <c r="H10" s="5"/>
      <c r="I10" s="5"/>
    </row>
    <row r="11" customFormat="false" ht="15" hidden="false" customHeight="false" outlineLevel="0" collapsed="false">
      <c r="A11" s="5"/>
      <c r="B11" s="39" t="s">
        <v>133</v>
      </c>
      <c r="C11" s="40"/>
      <c r="D11" s="40"/>
      <c r="E11" s="40"/>
      <c r="F11" s="40"/>
      <c r="G11" s="40"/>
      <c r="H11" s="40"/>
      <c r="I11" s="40"/>
    </row>
    <row r="12" customFormat="false" ht="15" hidden="false" customHeight="false" outlineLevel="0" collapsed="false">
      <c r="A12" s="5"/>
      <c r="B12" s="24" t="s">
        <v>129</v>
      </c>
      <c r="C12" s="41" t="n">
        <f aca="false">Starting_AUM*Alloc_FI</f>
        <v>100000000</v>
      </c>
      <c r="D12" s="41" t="n">
        <f aca="false">PB_FI_Close_Y1</f>
        <v>104500000</v>
      </c>
      <c r="E12" s="41" t="n">
        <f aca="false">PB_FI_Close_Y2</f>
        <v>109202500</v>
      </c>
      <c r="F12" s="41" t="n">
        <f aca="false">PB_FI_Close_Y3</f>
        <v>114116612.5</v>
      </c>
      <c r="G12" s="41" t="n">
        <f aca="false">PB_FI_Close_Y4</f>
        <v>119251860.0625</v>
      </c>
      <c r="H12" s="41" t="n">
        <f aca="false">PB_FI_Close_Y5</f>
        <v>124618193.765313</v>
      </c>
      <c r="I12" s="41" t="n">
        <f aca="false">PB_FI_Close_Y6</f>
        <v>130226012.484752</v>
      </c>
    </row>
    <row r="13" customFormat="false" ht="15" hidden="false" customHeight="false" outlineLevel="0" collapsed="false">
      <c r="A13" s="5"/>
      <c r="B13" s="22" t="s">
        <v>134</v>
      </c>
      <c r="C13" s="41" t="n">
        <f aca="false">C12*FI_Total_Return</f>
        <v>4500000</v>
      </c>
      <c r="D13" s="41" t="n">
        <f aca="false">D12*FI_Total_Return</f>
        <v>4702500</v>
      </c>
      <c r="E13" s="41" t="n">
        <f aca="false">E12*FI_Total_Return</f>
        <v>4914112.5</v>
      </c>
      <c r="F13" s="41" t="n">
        <f aca="false">F12*FI_Total_Return</f>
        <v>5135247.5625</v>
      </c>
      <c r="G13" s="41" t="n">
        <f aca="false">G12*FI_Total_Return</f>
        <v>5366333.7028125</v>
      </c>
      <c r="H13" s="41" t="n">
        <f aca="false">H12*FI_Total_Return</f>
        <v>5607818.71943906</v>
      </c>
      <c r="I13" s="41" t="n">
        <f aca="false">I12*FI_Total_Return</f>
        <v>5860170.56181382</v>
      </c>
    </row>
    <row r="14" customFormat="false" ht="15" hidden="false" customHeight="false" outlineLevel="0" collapsed="false">
      <c r="A14" s="5"/>
      <c r="B14" s="22" t="s">
        <v>131</v>
      </c>
      <c r="C14" s="41" t="n">
        <f aca="false">0</f>
        <v>0</v>
      </c>
      <c r="D14" s="41" t="n">
        <f aca="false">0</f>
        <v>0</v>
      </c>
      <c r="E14" s="41" t="n">
        <f aca="false">0</f>
        <v>0</v>
      </c>
      <c r="F14" s="41" t="n">
        <f aca="false">0</f>
        <v>0</v>
      </c>
      <c r="G14" s="41" t="n">
        <f aca="false">0</f>
        <v>0</v>
      </c>
      <c r="H14" s="41" t="n">
        <f aca="false">0</f>
        <v>0</v>
      </c>
      <c r="I14" s="41" t="n">
        <f aca="false">0</f>
        <v>0</v>
      </c>
    </row>
    <row r="15" customFormat="false" ht="15" hidden="false" customHeight="false" outlineLevel="0" collapsed="false">
      <c r="A15" s="5"/>
      <c r="B15" s="42" t="s">
        <v>132</v>
      </c>
      <c r="C15" s="43" t="n">
        <f aca="false">C13+C14</f>
        <v>4500000</v>
      </c>
      <c r="D15" s="43" t="n">
        <f aca="false">D13+D14</f>
        <v>4702500</v>
      </c>
      <c r="E15" s="43" t="n">
        <f aca="false">E13+E14</f>
        <v>4914112.5</v>
      </c>
      <c r="F15" s="43" t="n">
        <f aca="false">F13+F14</f>
        <v>5135247.5625</v>
      </c>
      <c r="G15" s="43" t="n">
        <f aca="false">G13+G14</f>
        <v>5366333.7028125</v>
      </c>
      <c r="H15" s="43" t="n">
        <f aca="false">H13+H14</f>
        <v>5607818.71943906</v>
      </c>
      <c r="I15" s="43" t="n">
        <f aca="false">I13+I14</f>
        <v>5860170.56181382</v>
      </c>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39" t="s">
        <v>135</v>
      </c>
      <c r="C17" s="40"/>
      <c r="D17" s="40"/>
      <c r="E17" s="40"/>
      <c r="F17" s="40"/>
      <c r="G17" s="40"/>
      <c r="H17" s="40"/>
      <c r="I17" s="40"/>
    </row>
    <row r="18" customFormat="false" ht="15" hidden="false" customHeight="false" outlineLevel="0" collapsed="false">
      <c r="A18" s="5"/>
      <c r="B18" s="24" t="s">
        <v>129</v>
      </c>
      <c r="C18" s="41" t="n">
        <f aca="false">Starting_AUM*Alloc_RE</f>
        <v>50000000</v>
      </c>
      <c r="D18" s="41" t="n">
        <f aca="false">PB_RE_Close_Y1</f>
        <v>53500000</v>
      </c>
      <c r="E18" s="41" t="n">
        <f aca="false">PB_RE_Close_Y2</f>
        <v>57245000</v>
      </c>
      <c r="F18" s="41" t="n">
        <f aca="false">PB_RE_Close_Y3</f>
        <v>61252150</v>
      </c>
      <c r="G18" s="41" t="n">
        <f aca="false">PB_RE_Close_Y4</f>
        <v>65539800.5</v>
      </c>
      <c r="H18" s="41" t="n">
        <f aca="false">PB_RE_Close_Y5</f>
        <v>70127586.535</v>
      </c>
      <c r="I18" s="41" t="n">
        <f aca="false">PB_RE_Close_Y6</f>
        <v>75036517.59245</v>
      </c>
    </row>
    <row r="19" customFormat="false" ht="15" hidden="false" customHeight="false" outlineLevel="0" collapsed="false">
      <c r="A19" s="5"/>
      <c r="B19" s="22" t="s">
        <v>136</v>
      </c>
      <c r="C19" s="41" t="n">
        <f aca="false">C18*RE_Rental_Yield</f>
        <v>2000000</v>
      </c>
      <c r="D19" s="41" t="n">
        <f aca="false">D18*RE_Rental_Yield</f>
        <v>2140000</v>
      </c>
      <c r="E19" s="41" t="n">
        <f aca="false">E18*RE_Rental_Yield</f>
        <v>2289800</v>
      </c>
      <c r="F19" s="41" t="n">
        <f aca="false">F18*RE_Rental_Yield</f>
        <v>2450086</v>
      </c>
      <c r="G19" s="41" t="n">
        <f aca="false">G18*RE_Rental_Yield</f>
        <v>2621592.02</v>
      </c>
      <c r="H19" s="41" t="n">
        <f aca="false">H18*RE_Rental_Yield</f>
        <v>2805103.4614</v>
      </c>
      <c r="I19" s="41" t="n">
        <f aca="false">I18*RE_Rental_Yield</f>
        <v>3001460.703698</v>
      </c>
    </row>
    <row r="20" customFormat="false" ht="15" hidden="false" customHeight="false" outlineLevel="0" collapsed="false">
      <c r="A20" s="5"/>
      <c r="B20" s="22" t="s">
        <v>137</v>
      </c>
      <c r="C20" s="41" t="n">
        <f aca="false">C18*(RE_Total_Return-RE_Rental_Yield)</f>
        <v>1500000</v>
      </c>
      <c r="D20" s="41" t="n">
        <f aca="false">D18*(RE_Total_Return-RE_Rental_Yield)</f>
        <v>1605000</v>
      </c>
      <c r="E20" s="41" t="n">
        <f aca="false">E18*(RE_Total_Return-RE_Rental_Yield)</f>
        <v>1717350</v>
      </c>
      <c r="F20" s="41" t="n">
        <f aca="false">F18*(RE_Total_Return-RE_Rental_Yield)</f>
        <v>1837564.5</v>
      </c>
      <c r="G20" s="41" t="n">
        <f aca="false">G18*(RE_Total_Return-RE_Rental_Yield)</f>
        <v>1966194.015</v>
      </c>
      <c r="H20" s="41" t="n">
        <f aca="false">H18*(RE_Total_Return-RE_Rental_Yield)</f>
        <v>2103827.59605</v>
      </c>
      <c r="I20" s="41" t="n">
        <f aca="false">I18*(RE_Total_Return-RE_Rental_Yield)</f>
        <v>2251095.5277735</v>
      </c>
    </row>
    <row r="21" customFormat="false" ht="15" hidden="false" customHeight="false" outlineLevel="0" collapsed="false">
      <c r="A21" s="5"/>
      <c r="B21" s="42" t="s">
        <v>132</v>
      </c>
      <c r="C21" s="43" t="n">
        <f aca="false">C19+C20</f>
        <v>3500000</v>
      </c>
      <c r="D21" s="43" t="n">
        <f aca="false">D19+D20</f>
        <v>3745000</v>
      </c>
      <c r="E21" s="43" t="n">
        <f aca="false">E19+E20</f>
        <v>4007150</v>
      </c>
      <c r="F21" s="43" t="n">
        <f aca="false">F19+F20</f>
        <v>4287650.5</v>
      </c>
      <c r="G21" s="43" t="n">
        <f aca="false">G19+G20</f>
        <v>4587786.035</v>
      </c>
      <c r="H21" s="43" t="n">
        <f aca="false">H19+H20</f>
        <v>4908931.05745</v>
      </c>
      <c r="I21" s="43" t="n">
        <f aca="false">I19+I20</f>
        <v>5252556.2314715</v>
      </c>
    </row>
    <row r="22" customFormat="false" ht="15" hidden="false" customHeight="false" outlineLevel="0" collapsed="false">
      <c r="A22" s="5"/>
      <c r="B22" s="5"/>
      <c r="C22" s="5"/>
      <c r="D22" s="5"/>
      <c r="E22" s="5"/>
      <c r="F22" s="5"/>
      <c r="G22" s="5"/>
      <c r="H22" s="5"/>
      <c r="I22" s="5"/>
    </row>
    <row r="23" customFormat="false" ht="15" hidden="false" customHeight="false" outlineLevel="0" collapsed="false">
      <c r="A23" s="5"/>
      <c r="B23" s="39" t="s">
        <v>138</v>
      </c>
      <c r="C23" s="40"/>
      <c r="D23" s="40"/>
      <c r="E23" s="40"/>
      <c r="F23" s="40"/>
      <c r="G23" s="40"/>
      <c r="H23" s="40"/>
      <c r="I23" s="40"/>
    </row>
    <row r="24" customFormat="false" ht="15" hidden="false" customHeight="false" outlineLevel="0" collapsed="false">
      <c r="A24" s="5"/>
      <c r="B24" s="24" t="s">
        <v>129</v>
      </c>
      <c r="C24" s="41" t="n">
        <f aca="false">Starting_AUM*Alloc_Cash</f>
        <v>25000000</v>
      </c>
      <c r="D24" s="41" t="n">
        <f aca="false">CF_Close_Cash_Y1</f>
        <v>15866250</v>
      </c>
      <c r="E24" s="41" t="n">
        <f aca="false">CF_Close_Cash_Y2</f>
        <v>8072082.0625</v>
      </c>
      <c r="F24" s="41" t="n">
        <f aca="false">CF_Close_Cash_Y3</f>
        <v>449460.616040626</v>
      </c>
      <c r="G24" s="41" t="n">
        <f aca="false">CF_Close_Cash_Y4</f>
        <v>11205425.6102587</v>
      </c>
      <c r="H24" s="41" t="n">
        <f aca="false">CF_Close_Cash_Y5</f>
        <v>20979027.4958942</v>
      </c>
      <c r="I24" s="41" t="n">
        <f aca="false">CF_Close_Cash_Y6</f>
        <v>30212843.2754388</v>
      </c>
    </row>
    <row r="25" customFormat="false" ht="15" hidden="false" customHeight="false" outlineLevel="0" collapsed="false">
      <c r="A25" s="5"/>
      <c r="B25" s="22" t="s">
        <v>139</v>
      </c>
      <c r="C25" s="41" t="n">
        <f aca="false">C24*Cash_Return</f>
        <v>875000</v>
      </c>
      <c r="D25" s="41" t="n">
        <f aca="false">D24*Cash_Return</f>
        <v>555318.75</v>
      </c>
      <c r="E25" s="41" t="n">
        <f aca="false">E24*Cash_Return</f>
        <v>282522.8721875</v>
      </c>
      <c r="F25" s="41" t="n">
        <f aca="false">F24*Cash_Return</f>
        <v>15731.1215614219</v>
      </c>
      <c r="G25" s="41" t="n">
        <f aca="false">G24*Cash_Return</f>
        <v>392189.896359055</v>
      </c>
      <c r="H25" s="41" t="n">
        <f aca="false">H24*Cash_Return</f>
        <v>734265.962356296</v>
      </c>
      <c r="I25" s="41" t="n">
        <f aca="false">I24*Cash_Return</f>
        <v>1057449.51464036</v>
      </c>
    </row>
    <row r="26" customFormat="false" ht="15" hidden="false" customHeight="false" outlineLevel="0" collapsed="false">
      <c r="A26" s="5"/>
      <c r="B26" s="5"/>
      <c r="C26" s="5"/>
      <c r="D26" s="5"/>
      <c r="E26" s="5"/>
      <c r="F26" s="5"/>
      <c r="G26" s="5"/>
      <c r="H26" s="5"/>
      <c r="I26" s="5"/>
    </row>
    <row r="27" customFormat="false" ht="15" hidden="false" customHeight="false" outlineLevel="0" collapsed="false">
      <c r="A27" s="5"/>
      <c r="B27" s="44" t="s">
        <v>140</v>
      </c>
      <c r="C27" s="45" t="n">
        <f aca="false">C7+C13+C19+C25</f>
        <v>11375000</v>
      </c>
      <c r="D27" s="45" t="n">
        <f aca="false">D7+D13+D19+D25</f>
        <v>11697818.75</v>
      </c>
      <c r="E27" s="45" t="n">
        <f aca="false">E7+E13+E19+E25</f>
        <v>12108935.3721875</v>
      </c>
      <c r="F27" s="45" t="n">
        <f aca="false">F7+F13+F19+F25</f>
        <v>12570252.1840614</v>
      </c>
      <c r="G27" s="45" t="n">
        <f aca="false">G7+G13+G19+G25</f>
        <v>13721992.1816716</v>
      </c>
      <c r="H27" s="45" t="n">
        <f aca="false">H7+H13+H19+H25</f>
        <v>14889705.4478829</v>
      </c>
      <c r="I27" s="45" t="n">
        <f aca="false">I7+I13+I19+I25</f>
        <v>16092286.8826912</v>
      </c>
    </row>
    <row r="28" customFormat="false" ht="15" hidden="false" customHeight="false" outlineLevel="0" collapsed="false">
      <c r="A28" s="5"/>
      <c r="B28" s="22" t="s">
        <v>141</v>
      </c>
      <c r="C28" s="41" t="n">
        <f aca="false">C8+C14+C20</f>
        <v>12500000</v>
      </c>
      <c r="D28" s="41" t="n">
        <f aca="false">D8+D14+D20</f>
        <v>13430000</v>
      </c>
      <c r="E28" s="41" t="n">
        <f aca="false">E8+E14+E20</f>
        <v>14429225</v>
      </c>
      <c r="F28" s="41" t="n">
        <f aca="false">F8+F14+F20</f>
        <v>15502830.125</v>
      </c>
      <c r="G28" s="41" t="n">
        <f aca="false">G8+G14+G20</f>
        <v>16656354.561875</v>
      </c>
      <c r="H28" s="41" t="n">
        <f aca="false">H8+H14+H20</f>
        <v>17895750.1839406</v>
      </c>
      <c r="I28" s="41" t="n">
        <f aca="false">I8+I14+I20</f>
        <v>19227412.3097559</v>
      </c>
    </row>
    <row r="29" customFormat="false" ht="15" hidden="false" customHeight="false" outlineLevel="0" collapsed="false">
      <c r="A29" s="5"/>
      <c r="B29" s="42" t="s">
        <v>132</v>
      </c>
      <c r="C29" s="46" t="n">
        <f aca="false">C27+C28</f>
        <v>23875000</v>
      </c>
      <c r="D29" s="46" t="n">
        <f aca="false">D27+D28</f>
        <v>25127818.75</v>
      </c>
      <c r="E29" s="46" t="n">
        <f aca="false">E27+E28</f>
        <v>26538160.3721875</v>
      </c>
      <c r="F29" s="46" t="n">
        <f aca="false">F27+F28</f>
        <v>28073082.3090614</v>
      </c>
      <c r="G29" s="46" t="n">
        <f aca="false">G27+G28</f>
        <v>30378346.7435466</v>
      </c>
      <c r="H29" s="46" t="n">
        <f aca="false">H27+H28</f>
        <v>32785455.6318235</v>
      </c>
      <c r="I29" s="46" t="n">
        <f aca="false">I27+I28</f>
        <v>35319699.1924472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2EFDA"/>
    <pageSetUpPr fitToPage="false"/>
  </sheetPr>
  <dimension ref="A1:I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17.35" hidden="false" customHeight="false" outlineLevel="0" collapsed="false">
      <c r="A2" s="5"/>
      <c r="B2" s="37" t="s">
        <v>142</v>
      </c>
      <c r="C2" s="5"/>
      <c r="D2" s="5"/>
      <c r="E2" s="5"/>
      <c r="F2" s="5"/>
      <c r="G2" s="5"/>
      <c r="H2" s="5"/>
      <c r="I2" s="5"/>
    </row>
    <row r="3" customFormat="false" ht="15" hidden="false" customHeight="false" outlineLevel="0" collapsed="false">
      <c r="A3" s="5"/>
      <c r="B3" s="5"/>
      <c r="C3" s="38" t="n">
        <v>1</v>
      </c>
      <c r="D3" s="38" t="n">
        <v>2</v>
      </c>
      <c r="E3" s="38" t="n">
        <v>3</v>
      </c>
      <c r="F3" s="38" t="n">
        <v>4</v>
      </c>
      <c r="G3" s="38" t="n">
        <v>5</v>
      </c>
      <c r="H3" s="38" t="n">
        <v>6</v>
      </c>
      <c r="I3" s="38" t="n">
        <v>7</v>
      </c>
    </row>
    <row r="4" customFormat="false" ht="15" hidden="false" customHeight="false" outlineLevel="0" collapsed="false">
      <c r="A4" s="5"/>
      <c r="B4" s="39" t="s">
        <v>143</v>
      </c>
      <c r="C4" s="40"/>
      <c r="D4" s="40"/>
      <c r="E4" s="40"/>
      <c r="F4" s="40"/>
      <c r="G4" s="40"/>
      <c r="H4" s="40"/>
      <c r="I4" s="40"/>
    </row>
    <row r="5" customFormat="false" ht="15" hidden="false" customHeight="false" outlineLevel="0" collapsed="false">
      <c r="A5" s="5"/>
      <c r="B5" s="24" t="s">
        <v>144</v>
      </c>
      <c r="C5" s="41" t="n">
        <f aca="false">PE_Unfunded_Init</f>
        <v>75000000</v>
      </c>
      <c r="D5" s="41" t="n">
        <f aca="false">PM_Unfunded_Close_Y1</f>
        <v>69000000</v>
      </c>
      <c r="E5" s="41" t="n">
        <f aca="false">PM_Unfunded_Close_Y2</f>
        <v>63480000</v>
      </c>
      <c r="F5" s="41" t="n">
        <f aca="false">PM_Unfunded_Close_Y3</f>
        <v>58401600</v>
      </c>
      <c r="G5" s="41" t="n">
        <f aca="false">PM_Unfunded_Close_Y4</f>
        <v>53729472</v>
      </c>
      <c r="H5" s="41" t="n">
        <f aca="false">PM_Unfunded_Close_Y5</f>
        <v>49431114.24</v>
      </c>
      <c r="I5" s="41" t="n">
        <f aca="false">PM_Unfunded_Close_Y6</f>
        <v>45476625.1008</v>
      </c>
    </row>
    <row r="6" customFormat="false" ht="15" hidden="false" customHeight="false" outlineLevel="0" collapsed="false">
      <c r="A6" s="5"/>
      <c r="B6" s="22" t="s">
        <v>145</v>
      </c>
      <c r="C6" s="41" t="n">
        <f aca="false">C5*PE_CC_Draw_Rate</f>
        <v>6000000</v>
      </c>
      <c r="D6" s="41" t="n">
        <f aca="false">D5*PE_CC_Draw_Rate</f>
        <v>5520000</v>
      </c>
      <c r="E6" s="41" t="n">
        <f aca="false">E5*PE_CC_Draw_Rate</f>
        <v>5078400</v>
      </c>
      <c r="F6" s="41" t="n">
        <f aca="false">F5*PE_CC_Draw_Rate</f>
        <v>4672128</v>
      </c>
      <c r="G6" s="41" t="n">
        <f aca="false">G5*PE_CC_Draw_Rate</f>
        <v>4298357.76</v>
      </c>
      <c r="H6" s="41" t="n">
        <f aca="false">H5*PE_CC_Draw_Rate</f>
        <v>3954489.1392</v>
      </c>
      <c r="I6" s="41" t="n">
        <f aca="false">I5*PE_CC_Draw_Rate</f>
        <v>3638130.008064</v>
      </c>
    </row>
    <row r="7" customFormat="false" ht="15" hidden="false" customHeight="false" outlineLevel="0" collapsed="false">
      <c r="A7" s="5"/>
      <c r="B7" s="42" t="s">
        <v>146</v>
      </c>
      <c r="C7" s="43" t="n">
        <f aca="false">C5-C6</f>
        <v>69000000</v>
      </c>
      <c r="D7" s="43" t="n">
        <f aca="false">D5-D6</f>
        <v>63480000</v>
      </c>
      <c r="E7" s="43" t="n">
        <f aca="false">E5-E6</f>
        <v>58401600</v>
      </c>
      <c r="F7" s="43" t="n">
        <f aca="false">F5-F6</f>
        <v>53729472</v>
      </c>
      <c r="G7" s="43" t="n">
        <f aca="false">G5-G6</f>
        <v>49431114.24</v>
      </c>
      <c r="H7" s="43" t="n">
        <f aca="false">H5-H6</f>
        <v>45476625.1008</v>
      </c>
      <c r="I7" s="43" t="n">
        <f aca="false">I5-I6</f>
        <v>41838495.092736</v>
      </c>
    </row>
    <row r="8" customFormat="false" ht="15" hidden="false" customHeight="false" outlineLevel="0" collapsed="false">
      <c r="A8" s="5"/>
      <c r="B8" s="5"/>
      <c r="C8" s="5"/>
      <c r="D8" s="5"/>
      <c r="E8" s="5"/>
      <c r="F8" s="5"/>
      <c r="G8" s="5"/>
      <c r="H8" s="5"/>
      <c r="I8" s="5"/>
    </row>
    <row r="9" customFormat="false" ht="15" hidden="false" customHeight="false" outlineLevel="0" collapsed="false">
      <c r="A9" s="5"/>
      <c r="B9" s="39" t="s">
        <v>147</v>
      </c>
      <c r="C9" s="40"/>
      <c r="D9" s="40"/>
      <c r="E9" s="40"/>
      <c r="F9" s="40"/>
      <c r="G9" s="40"/>
      <c r="H9" s="40"/>
      <c r="I9" s="40"/>
    </row>
    <row r="10" customFormat="false" ht="15" hidden="false" customHeight="false" outlineLevel="0" collapsed="false">
      <c r="A10" s="5"/>
      <c r="B10" s="24" t="s">
        <v>148</v>
      </c>
      <c r="C10" s="41" t="n">
        <f aca="false">PE_Commitment-PE_Unfunded_Init</f>
        <v>50000000</v>
      </c>
      <c r="D10" s="41" t="n">
        <f aca="false">PM_NAV_Close_Y1</f>
        <v>62720000</v>
      </c>
      <c r="E10" s="41" t="n">
        <f aca="false">PM_NAV_Close_Y2</f>
        <v>76428800</v>
      </c>
      <c r="F10" s="41" t="n">
        <f aca="false">PM_NAV_Close_Y3</f>
        <v>91288064</v>
      </c>
      <c r="G10" s="41" t="n">
        <f aca="false">PM_NAV_Close_Y4</f>
        <v>89217802.24</v>
      </c>
      <c r="H10" s="41" t="n">
        <f aca="false">PM_NAV_Close_Y5</f>
        <v>86894538.752</v>
      </c>
      <c r="I10" s="41" t="n">
        <f aca="false">PM_NAV_Close_Y6</f>
        <v>84372003.487744</v>
      </c>
    </row>
    <row r="11" customFormat="false" ht="15" hidden="false" customHeight="false" outlineLevel="0" collapsed="false">
      <c r="A11" s="5"/>
      <c r="B11" s="24" t="s">
        <v>149</v>
      </c>
      <c r="C11" s="41" t="n">
        <f aca="false">PM_Cap_Call_Y1</f>
        <v>6000000</v>
      </c>
      <c r="D11" s="41" t="n">
        <f aca="false">PM_Cap_Call_Y2</f>
        <v>5520000</v>
      </c>
      <c r="E11" s="41" t="n">
        <f aca="false">PM_Cap_Call_Y3</f>
        <v>5078400</v>
      </c>
      <c r="F11" s="41" t="n">
        <f aca="false">PM_Cap_Call_Y4</f>
        <v>4672128</v>
      </c>
      <c r="G11" s="41" t="n">
        <f aca="false">PM_Cap_Call_Y5</f>
        <v>4298357.76</v>
      </c>
      <c r="H11" s="41" t="n">
        <f aca="false">PM_Cap_Call_Y6</f>
        <v>3954489.1392</v>
      </c>
      <c r="I11" s="41" t="n">
        <f aca="false">PM_Cap_Call_Y7</f>
        <v>3638130.008064</v>
      </c>
    </row>
    <row r="12" customFormat="false" ht="15" hidden="false" customHeight="false" outlineLevel="0" collapsed="false">
      <c r="A12" s="5"/>
      <c r="B12" s="22" t="s">
        <v>150</v>
      </c>
      <c r="C12" s="41" t="n">
        <f aca="false">(C10+C11)*PE_Unrealised_Return</f>
        <v>6720000</v>
      </c>
      <c r="D12" s="41" t="n">
        <f aca="false">(D10+D11)*PE_Unrealised_Return</f>
        <v>8188800</v>
      </c>
      <c r="E12" s="41" t="n">
        <f aca="false">(E10+E11)*PE_Unrealised_Return</f>
        <v>9780864</v>
      </c>
      <c r="F12" s="41" t="n">
        <f aca="false">(F10+F11)*PE_Unrealised_Return</f>
        <v>11515223.04</v>
      </c>
      <c r="G12" s="41" t="n">
        <f aca="false">(G10+G11)*PE_Unrealised_Return</f>
        <v>11221939.2</v>
      </c>
      <c r="H12" s="41" t="n">
        <f aca="false">(H10+H11)*PE_Unrealised_Return</f>
        <v>10901883.346944</v>
      </c>
      <c r="I12" s="41" t="n">
        <f aca="false">(I10+I11)*PE_Unrealised_Return</f>
        <v>10561216.019497</v>
      </c>
    </row>
    <row r="13" customFormat="false" ht="15" hidden="false" customHeight="false" outlineLevel="0" collapsed="false">
      <c r="A13" s="5"/>
      <c r="B13" s="24" t="s">
        <v>151</v>
      </c>
      <c r="C13" s="41" t="n">
        <f aca="false">IF(1&lt;=PE_J_Curve_Yrs,0,C10*PE_Dist_Rate)</f>
        <v>0</v>
      </c>
      <c r="D13" s="41" t="n">
        <f aca="false">IF(2&lt;=PE_J_Curve_Yrs,0,D10*PE_Dist_Rate)</f>
        <v>0</v>
      </c>
      <c r="E13" s="41" t="n">
        <f aca="false">IF(3&lt;=PE_J_Curve_Yrs,0,E10*PE_Dist_Rate)</f>
        <v>0</v>
      </c>
      <c r="F13" s="41" t="n">
        <f aca="false">IF(4&lt;=PE_J_Curve_Yrs,0,F10*PE_Dist_Rate)</f>
        <v>18257612.8</v>
      </c>
      <c r="G13" s="41" t="n">
        <f aca="false">IF(5&lt;=PE_J_Curve_Yrs,0,G10*PE_Dist_Rate)</f>
        <v>17843560.448</v>
      </c>
      <c r="H13" s="41" t="n">
        <f aca="false">IF(6&lt;=PE_J_Curve_Yrs,0,H10*PE_Dist_Rate)</f>
        <v>17378907.7504</v>
      </c>
      <c r="I13" s="41" t="n">
        <f aca="false">IF(7&lt;=PE_J_Curve_Yrs,0,I10*PE_Dist_Rate)</f>
        <v>16874400.6975488</v>
      </c>
    </row>
    <row r="14" customFormat="false" ht="15" hidden="false" customHeight="false" outlineLevel="0" collapsed="false">
      <c r="A14" s="5"/>
      <c r="B14" s="42" t="s">
        <v>152</v>
      </c>
      <c r="C14" s="46" t="n">
        <f aca="false">C10+C11+C12-C13</f>
        <v>62720000</v>
      </c>
      <c r="D14" s="46" t="n">
        <f aca="false">D10+D11+D12-D13</f>
        <v>76428800</v>
      </c>
      <c r="E14" s="46" t="n">
        <f aca="false">E10+E11+E12-E13</f>
        <v>91288064</v>
      </c>
      <c r="F14" s="46" t="n">
        <f aca="false">F10+F11+F12-F13</f>
        <v>89217802.24</v>
      </c>
      <c r="G14" s="46" t="n">
        <f aca="false">G10+G11+G12-G13</f>
        <v>86894538.752</v>
      </c>
      <c r="H14" s="46" t="n">
        <f aca="false">H10+H11+H12-H13</f>
        <v>84372003.487744</v>
      </c>
      <c r="I14" s="46" t="n">
        <f aca="false">I10+I11+I12-I13</f>
        <v>81696948.8177562</v>
      </c>
    </row>
    <row r="15" customFormat="false" ht="15" hidden="false" customHeight="false" outlineLevel="0" collapsed="false">
      <c r="A15" s="5"/>
      <c r="B15" s="5"/>
      <c r="C15" s="5"/>
      <c r="D15" s="5"/>
      <c r="E15" s="5"/>
      <c r="F15" s="5"/>
      <c r="G15" s="5"/>
      <c r="H15" s="5"/>
      <c r="I15" s="5"/>
    </row>
    <row r="16" customFormat="false" ht="15" hidden="false" customHeight="false" outlineLevel="0" collapsed="false">
      <c r="A16" s="5"/>
      <c r="B16" s="39" t="s">
        <v>153</v>
      </c>
      <c r="C16" s="40"/>
      <c r="D16" s="40"/>
      <c r="E16" s="40"/>
      <c r="F16" s="40"/>
      <c r="G16" s="40"/>
      <c r="H16" s="40"/>
      <c r="I16" s="40"/>
    </row>
    <row r="17" customFormat="false" ht="15" hidden="false" customHeight="false" outlineLevel="0" collapsed="false">
      <c r="A17" s="5"/>
      <c r="B17" s="24" t="s">
        <v>154</v>
      </c>
      <c r="C17" s="41" t="n">
        <f aca="false">C6</f>
        <v>6000000</v>
      </c>
      <c r="D17" s="41" t="n">
        <f aca="false">PM_Cum_Cost_Y1+PM_Cap_Call_Y2</f>
        <v>11520000</v>
      </c>
      <c r="E17" s="41" t="n">
        <f aca="false">PM_Cum_Cost_Y2+PM_Cap_Call_Y3</f>
        <v>16598400</v>
      </c>
      <c r="F17" s="41" t="n">
        <f aca="false">PM_Cum_Cost_Y3+PM_Cap_Call_Y4</f>
        <v>21270528</v>
      </c>
      <c r="G17" s="41" t="n">
        <f aca="false">PM_Cum_Cost_Y4+PM_Cap_Call_Y5</f>
        <v>25568885.76</v>
      </c>
      <c r="H17" s="41" t="n">
        <f aca="false">PM_Cum_Cost_Y5+PM_Cap_Call_Y6</f>
        <v>29523374.8992</v>
      </c>
      <c r="I17" s="41" t="n">
        <f aca="false">PM_Cum_Cost_Y6+PM_Cap_Call_Y7</f>
        <v>33161504.907264</v>
      </c>
    </row>
    <row r="18" customFormat="false" ht="15" hidden="false" customHeight="false" outlineLevel="0" collapsed="false">
      <c r="A18" s="5"/>
      <c r="B18" s="24" t="s">
        <v>155</v>
      </c>
      <c r="C18" s="41" t="n">
        <f aca="false">C13</f>
        <v>0</v>
      </c>
      <c r="D18" s="41" t="n">
        <f aca="false">PM_Cum_Dist_Y1+PM_Dist_Y2</f>
        <v>0</v>
      </c>
      <c r="E18" s="41" t="n">
        <f aca="false">PM_Cum_Dist_Y2+PM_Dist_Y3</f>
        <v>0</v>
      </c>
      <c r="F18" s="41" t="n">
        <f aca="false">PM_Cum_Dist_Y3+PM_Dist_Y4</f>
        <v>18257612.8</v>
      </c>
      <c r="G18" s="41" t="n">
        <f aca="false">PM_Cum_Dist_Y4+PM_Dist_Y5</f>
        <v>36101173.248</v>
      </c>
      <c r="H18" s="41" t="n">
        <f aca="false">PM_Cum_Dist_Y5+PM_Dist_Y6</f>
        <v>53480080.9984</v>
      </c>
      <c r="I18" s="41" t="n">
        <f aca="false">PM_Cum_Dist_Y6+PM_Dist_Y7</f>
        <v>70354481.6959488</v>
      </c>
    </row>
    <row r="19" customFormat="false" ht="15" hidden="false" customHeight="false" outlineLevel="0" collapsed="false">
      <c r="A19" s="5"/>
      <c r="B19" s="22" t="s">
        <v>156</v>
      </c>
      <c r="C19" s="47" t="n">
        <f aca="false">MIN(1,C17/MAX(1,C18))</f>
        <v>1</v>
      </c>
      <c r="D19" s="47" t="n">
        <f aca="false">MIN(1,D17/MAX(1,D18))</f>
        <v>1</v>
      </c>
      <c r="E19" s="47" t="n">
        <f aca="false">MIN(1,E17/MAX(1,E18))</f>
        <v>1</v>
      </c>
      <c r="F19" s="47" t="n">
        <f aca="false">MIN(1,F17/MAX(1,F18))</f>
        <v>1</v>
      </c>
      <c r="G19" s="47" t="n">
        <f aca="false">MIN(1,G17/MAX(1,G18))</f>
        <v>0.708256365640873</v>
      </c>
      <c r="H19" s="47" t="n">
        <f aca="false">MIN(1,H17/MAX(1,H18))</f>
        <v>0.552044319081777</v>
      </c>
      <c r="I19" s="47" t="n">
        <f aca="false">MIN(1,I17/MAX(1,I18))</f>
        <v>0.471348862330877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CE4D6"/>
    <pageSetUpPr fitToPage="false"/>
  </sheetPr>
  <dimension ref="A1:I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17.35" hidden="false" customHeight="false" outlineLevel="0" collapsed="false">
      <c r="A2" s="5"/>
      <c r="B2" s="37" t="s">
        <v>157</v>
      </c>
      <c r="C2" s="5"/>
      <c r="D2" s="5"/>
      <c r="E2" s="5"/>
      <c r="F2" s="5"/>
      <c r="G2" s="5"/>
      <c r="H2" s="5"/>
      <c r="I2" s="5"/>
    </row>
    <row r="3" customFormat="false" ht="15" hidden="false" customHeight="false" outlineLevel="0" collapsed="false">
      <c r="A3" s="5"/>
      <c r="B3" s="5"/>
      <c r="C3" s="48" t="n">
        <v>1</v>
      </c>
      <c r="D3" s="48" t="n">
        <v>2</v>
      </c>
      <c r="E3" s="48" t="n">
        <v>3</v>
      </c>
      <c r="F3" s="48" t="n">
        <v>4</v>
      </c>
      <c r="G3" s="48" t="n">
        <v>5</v>
      </c>
      <c r="H3" s="48" t="n">
        <v>6</v>
      </c>
      <c r="I3" s="48" t="n">
        <v>7</v>
      </c>
    </row>
    <row r="4" customFormat="false" ht="15" hidden="false" customHeight="false" outlineLevel="0" collapsed="false">
      <c r="A4" s="5"/>
      <c r="B4" s="49" t="s">
        <v>158</v>
      </c>
      <c r="C4" s="50"/>
      <c r="D4" s="50"/>
      <c r="E4" s="50"/>
      <c r="F4" s="50"/>
      <c r="G4" s="50"/>
      <c r="H4" s="50"/>
      <c r="I4" s="50"/>
    </row>
    <row r="5" customFormat="false" ht="15" hidden="false" customHeight="false" outlineLevel="0" collapsed="false">
      <c r="A5" s="5"/>
      <c r="B5" s="24" t="s">
        <v>159</v>
      </c>
      <c r="C5" s="41" t="n">
        <f aca="false">Headcount*Avg_Comp</f>
        <v>2000000</v>
      </c>
      <c r="D5" s="41" t="n">
        <f aca="false">Headcount*Avg_Comp*(1+Inflation_Rate)^1</f>
        <v>2050000</v>
      </c>
      <c r="E5" s="41" t="n">
        <f aca="false">Headcount*Avg_Comp*(1+Inflation_Rate)^2</f>
        <v>2101250</v>
      </c>
      <c r="F5" s="41" t="n">
        <f aca="false">Headcount*Avg_Comp*(1+Inflation_Rate)^3</f>
        <v>2153781.25</v>
      </c>
      <c r="G5" s="41" t="n">
        <f aca="false">Headcount*Avg_Comp*(1+Inflation_Rate)^4</f>
        <v>2207625.78125</v>
      </c>
      <c r="H5" s="41" t="n">
        <f aca="false">Headcount*Avg_Comp*(1+Inflation_Rate)^5</f>
        <v>2262816.42578125</v>
      </c>
      <c r="I5" s="41" t="n">
        <f aca="false">Headcount*Avg_Comp*(1+Inflation_Rate)^6</f>
        <v>2319386.83642578</v>
      </c>
    </row>
    <row r="6" customFormat="false" ht="15" hidden="false" customHeight="false" outlineLevel="0" collapsed="false">
      <c r="A6" s="5"/>
      <c r="B6" s="24" t="s">
        <v>160</v>
      </c>
      <c r="C6" s="41" t="n">
        <f aca="false">Tech_Spend</f>
        <v>250000</v>
      </c>
      <c r="D6" s="41" t="n">
        <f aca="false">Tech_Spend*(1+Inflation_Rate)^1</f>
        <v>256250</v>
      </c>
      <c r="E6" s="41" t="n">
        <f aca="false">Tech_Spend*(1+Inflation_Rate)^2</f>
        <v>262656.25</v>
      </c>
      <c r="F6" s="41" t="n">
        <f aca="false">Tech_Spend*(1+Inflation_Rate)^3</f>
        <v>269222.65625</v>
      </c>
      <c r="G6" s="41" t="n">
        <f aca="false">Tech_Spend*(1+Inflation_Rate)^4</f>
        <v>275953.22265625</v>
      </c>
      <c r="H6" s="41" t="n">
        <f aca="false">Tech_Spend*(1+Inflation_Rate)^5</f>
        <v>282852.053222656</v>
      </c>
      <c r="I6" s="41" t="n">
        <f aca="false">Tech_Spend*(1+Inflation_Rate)^6</f>
        <v>289923.354553223</v>
      </c>
    </row>
    <row r="7" customFormat="false" ht="15" hidden="false" customHeight="false" outlineLevel="0" collapsed="false">
      <c r="A7" s="5"/>
      <c r="B7" s="24" t="s">
        <v>161</v>
      </c>
      <c r="C7" s="41" t="n">
        <f aca="false">Prof_Fees</f>
        <v>150000</v>
      </c>
      <c r="D7" s="41" t="n">
        <f aca="false">Prof_Fees*(1+Inflation_Rate)^1</f>
        <v>153750</v>
      </c>
      <c r="E7" s="41" t="n">
        <f aca="false">Prof_Fees*(1+Inflation_Rate)^2</f>
        <v>157593.75</v>
      </c>
      <c r="F7" s="41" t="n">
        <f aca="false">Prof_Fees*(1+Inflation_Rate)^3</f>
        <v>161533.59375</v>
      </c>
      <c r="G7" s="41" t="n">
        <f aca="false">Prof_Fees*(1+Inflation_Rate)^4</f>
        <v>165571.93359375</v>
      </c>
      <c r="H7" s="41" t="n">
        <f aca="false">Prof_Fees*(1+Inflation_Rate)^5</f>
        <v>169711.231933594</v>
      </c>
      <c r="I7" s="41" t="n">
        <f aca="false">Prof_Fees*(1+Inflation_Rate)^6</f>
        <v>173954.012731934</v>
      </c>
    </row>
    <row r="8" customFormat="false" ht="15" hidden="false" customHeight="false" outlineLevel="0" collapsed="false">
      <c r="A8" s="5"/>
      <c r="B8" s="24" t="s">
        <v>85</v>
      </c>
      <c r="C8" s="41" t="n">
        <f aca="false">Rent</f>
        <v>200000</v>
      </c>
      <c r="D8" s="41" t="n">
        <f aca="false">Rent*(1+Inflation_Rate)^1</f>
        <v>205000</v>
      </c>
      <c r="E8" s="41" t="n">
        <f aca="false">Rent*(1+Inflation_Rate)^2</f>
        <v>210125</v>
      </c>
      <c r="F8" s="41" t="n">
        <f aca="false">Rent*(1+Inflation_Rate)^3</f>
        <v>215378.125</v>
      </c>
      <c r="G8" s="41" t="n">
        <f aca="false">Rent*(1+Inflation_Rate)^4</f>
        <v>220762.578125</v>
      </c>
      <c r="H8" s="41" t="n">
        <f aca="false">Rent*(1+Inflation_Rate)^5</f>
        <v>226281.642578125</v>
      </c>
      <c r="I8" s="41" t="n">
        <f aca="false">Rent*(1+Inflation_Rate)^6</f>
        <v>231938.683642578</v>
      </c>
    </row>
    <row r="9" customFormat="false" ht="15" hidden="false" customHeight="false" outlineLevel="0" collapsed="false">
      <c r="A9" s="5"/>
      <c r="B9" s="24" t="s">
        <v>87</v>
      </c>
      <c r="C9" s="41" t="n">
        <f aca="false">Insurance</f>
        <v>100000</v>
      </c>
      <c r="D9" s="41" t="n">
        <f aca="false">Insurance*(1+Inflation_Rate)^1</f>
        <v>102500</v>
      </c>
      <c r="E9" s="41" t="n">
        <f aca="false">Insurance*(1+Inflation_Rate)^2</f>
        <v>105062.5</v>
      </c>
      <c r="F9" s="41" t="n">
        <f aca="false">Insurance*(1+Inflation_Rate)^3</f>
        <v>107689.0625</v>
      </c>
      <c r="G9" s="41" t="n">
        <f aca="false">Insurance*(1+Inflation_Rate)^4</f>
        <v>110381.2890625</v>
      </c>
      <c r="H9" s="41" t="n">
        <f aca="false">Insurance*(1+Inflation_Rate)^5</f>
        <v>113140.821289062</v>
      </c>
      <c r="I9" s="41" t="n">
        <f aca="false">Insurance*(1+Inflation_Rate)^6</f>
        <v>115969.341821289</v>
      </c>
    </row>
    <row r="10" customFormat="false" ht="15" hidden="false" customHeight="false" outlineLevel="0" collapsed="false">
      <c r="A10" s="5"/>
      <c r="B10" s="24" t="s">
        <v>89</v>
      </c>
      <c r="C10" s="41" t="n">
        <f aca="false">Other_OpEx</f>
        <v>100000</v>
      </c>
      <c r="D10" s="41" t="n">
        <f aca="false">Other_OpEx*(1+Inflation_Rate)^1</f>
        <v>102500</v>
      </c>
      <c r="E10" s="41" t="n">
        <f aca="false">Other_OpEx*(1+Inflation_Rate)^2</f>
        <v>105062.5</v>
      </c>
      <c r="F10" s="41" t="n">
        <f aca="false">Other_OpEx*(1+Inflation_Rate)^3</f>
        <v>107689.0625</v>
      </c>
      <c r="G10" s="41" t="n">
        <f aca="false">Other_OpEx*(1+Inflation_Rate)^4</f>
        <v>110381.2890625</v>
      </c>
      <c r="H10" s="41" t="n">
        <f aca="false">Other_OpEx*(1+Inflation_Rate)^5</f>
        <v>113140.821289062</v>
      </c>
      <c r="I10" s="41" t="n">
        <f aca="false">Other_OpEx*(1+Inflation_Rate)^6</f>
        <v>115969.341821289</v>
      </c>
    </row>
    <row r="11" customFormat="false" ht="15" hidden="false" customHeight="false" outlineLevel="0" collapsed="false">
      <c r="A11" s="5"/>
      <c r="B11" s="5"/>
      <c r="C11" s="5"/>
      <c r="D11" s="5"/>
      <c r="E11" s="5"/>
      <c r="F11" s="5"/>
      <c r="G11" s="5"/>
      <c r="H11" s="5"/>
      <c r="I11" s="5"/>
    </row>
    <row r="12" customFormat="false" ht="15" hidden="false" customHeight="false" outlineLevel="0" collapsed="false">
      <c r="A12" s="5"/>
      <c r="B12" s="42" t="s">
        <v>162</v>
      </c>
      <c r="C12" s="46" t="n">
        <f aca="false">SUM(C5:C10)</f>
        <v>2800000</v>
      </c>
      <c r="D12" s="46" t="n">
        <f aca="false">SUM(D5:D10)</f>
        <v>2870000</v>
      </c>
      <c r="E12" s="46" t="n">
        <f aca="false">SUM(E5:E10)</f>
        <v>2941750</v>
      </c>
      <c r="F12" s="46" t="n">
        <f aca="false">SUM(F5:F10)</f>
        <v>3015293.75</v>
      </c>
      <c r="G12" s="46" t="n">
        <f aca="false">SUM(G5:G10)</f>
        <v>3090676.09375</v>
      </c>
      <c r="H12" s="46" t="n">
        <f aca="false">SUM(H5:H10)</f>
        <v>3167942.99609375</v>
      </c>
      <c r="I12" s="46" t="n">
        <f aca="false">SUM(I5:I10)</f>
        <v>3247141.57099609</v>
      </c>
    </row>
    <row r="13" customFormat="false" ht="15" hidden="false" customHeight="false" outlineLevel="0" collapsed="false">
      <c r="A13" s="5"/>
      <c r="B13" s="24" t="s">
        <v>163</v>
      </c>
      <c r="C13" s="47" t="n">
        <f aca="false">C12/Starting_AUM</f>
        <v>0.0056</v>
      </c>
      <c r="D13" s="47" t="n">
        <f aca="false">D12/PB_Total_AUM_Y1</f>
        <v>0.0063553750806186</v>
      </c>
      <c r="E13" s="47" t="n">
        <f aca="false">E12/PB_Total_AUM_Y2</f>
        <v>0.00610228672534052</v>
      </c>
      <c r="F13" s="47" t="n">
        <f aca="false">F12/PB_Total_AUM_Y3</f>
        <v>0.00584851546866854</v>
      </c>
      <c r="G13" s="47" t="n">
        <f aca="false">G12/PB_Total_AUM_Y4</f>
        <v>0.00559592126867819</v>
      </c>
      <c r="H13" s="47" t="n">
        <f aca="false">H12/PB_Total_AUM_Y5</f>
        <v>0.00537171465372009</v>
      </c>
      <c r="I13" s="47" t="n">
        <f aca="false">I12/PB_Total_AUM_Y6</f>
        <v>0.0051664309986347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CE4D6"/>
    <pageSetUpPr fitToPage="false"/>
  </sheetPr>
  <dimension ref="A1:I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17.35" hidden="false" customHeight="false" outlineLevel="0" collapsed="false">
      <c r="A2" s="5"/>
      <c r="B2" s="37" t="s">
        <v>91</v>
      </c>
      <c r="C2" s="5"/>
      <c r="D2" s="5"/>
      <c r="E2" s="5"/>
      <c r="F2" s="5"/>
      <c r="G2" s="5"/>
      <c r="H2" s="5"/>
      <c r="I2" s="5"/>
    </row>
    <row r="3" customFormat="false" ht="15" hidden="false" customHeight="false" outlineLevel="0" collapsed="false">
      <c r="A3" s="5"/>
      <c r="B3" s="5"/>
      <c r="C3" s="48" t="n">
        <v>1</v>
      </c>
      <c r="D3" s="48" t="n">
        <v>2</v>
      </c>
      <c r="E3" s="48" t="n">
        <v>3</v>
      </c>
      <c r="F3" s="48" t="n">
        <v>4</v>
      </c>
      <c r="G3" s="48" t="n">
        <v>5</v>
      </c>
      <c r="H3" s="48" t="n">
        <v>6</v>
      </c>
      <c r="I3" s="48" t="n">
        <v>7</v>
      </c>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49" t="s">
        <v>164</v>
      </c>
      <c r="C5" s="50"/>
      <c r="D5" s="50"/>
      <c r="E5" s="50"/>
      <c r="F5" s="50"/>
      <c r="G5" s="50"/>
      <c r="H5" s="50"/>
      <c r="I5" s="50"/>
    </row>
    <row r="6" customFormat="false" ht="15" hidden="false" customHeight="false" outlineLevel="0" collapsed="false">
      <c r="A6" s="5"/>
      <c r="B6" s="24" t="s">
        <v>129</v>
      </c>
      <c r="C6" s="41" t="n">
        <f aca="false">Starting_AUM</f>
        <v>500000000</v>
      </c>
      <c r="D6" s="41" t="n">
        <f aca="false">PB_Total_AUM_Y1</f>
        <v>451586250</v>
      </c>
      <c r="E6" s="41" t="n">
        <f aca="false">PB_Total_AUM_Y2</f>
        <v>482073382.0625</v>
      </c>
      <c r="F6" s="41" t="n">
        <f aca="false">PB_Total_AUM_Y3</f>
        <v>515565662.116041</v>
      </c>
      <c r="G6" s="41" t="n">
        <f aca="false">PB_Total_AUM_Y4</f>
        <v>552308716.537759</v>
      </c>
      <c r="H6" s="41" t="n">
        <f aca="false">PB_Total_AUM_Y5</f>
        <v>589745211.782582</v>
      </c>
      <c r="I6" s="41" t="n">
        <f aca="false">PB_Total_AUM_Y6</f>
        <v>628507681.967338</v>
      </c>
    </row>
    <row r="7" customFormat="false" ht="15" hidden="false" customHeight="false" outlineLevel="0" collapsed="false">
      <c r="A7" s="5"/>
      <c r="B7" s="22" t="s">
        <v>164</v>
      </c>
      <c r="C7" s="41" t="n">
        <f aca="false">C6*Dist_Rate</f>
        <v>7500000</v>
      </c>
      <c r="D7" s="41" t="n">
        <f aca="false">D6*Dist_Rate</f>
        <v>6773793.75</v>
      </c>
      <c r="E7" s="41" t="n">
        <f aca="false">E6*Dist_Rate</f>
        <v>7231100.7309375</v>
      </c>
      <c r="F7" s="41" t="n">
        <f aca="false">F6*Dist_Rate</f>
        <v>7733484.93174061</v>
      </c>
      <c r="G7" s="41" t="n">
        <f aca="false">G6*Dist_Rate</f>
        <v>8284630.74806638</v>
      </c>
      <c r="H7" s="41" t="n">
        <f aca="false">H6*Dist_Rate</f>
        <v>8846178.17673872</v>
      </c>
      <c r="I7" s="41" t="n">
        <f aca="false">I6*Dist_Rate</f>
        <v>9427615.22951006</v>
      </c>
    </row>
    <row r="8" customFormat="false" ht="15" hidden="false" customHeight="false" outlineLevel="0" collapsed="false">
      <c r="A8" s="5"/>
      <c r="B8" s="5"/>
      <c r="C8" s="5"/>
      <c r="D8" s="5"/>
      <c r="E8" s="5"/>
      <c r="F8" s="5"/>
      <c r="G8" s="5"/>
      <c r="H8" s="5"/>
      <c r="I8" s="5"/>
    </row>
    <row r="9" customFormat="false" ht="15" hidden="false" customHeight="false" outlineLevel="0" collapsed="false">
      <c r="A9" s="5"/>
      <c r="B9" s="49" t="s">
        <v>165</v>
      </c>
      <c r="C9" s="50"/>
      <c r="D9" s="50"/>
      <c r="E9" s="50"/>
      <c r="F9" s="50"/>
      <c r="G9" s="50"/>
      <c r="H9" s="50"/>
      <c r="I9" s="50"/>
    </row>
    <row r="10" customFormat="false" ht="15" hidden="false" customHeight="false" outlineLevel="0" collapsed="false">
      <c r="A10" s="5"/>
      <c r="B10" s="24" t="s">
        <v>140</v>
      </c>
      <c r="C10" s="41" t="n">
        <f aca="false">AR_Total_Yield_Y1</f>
        <v>11375000</v>
      </c>
      <c r="D10" s="41" t="n">
        <f aca="false">AR_Total_Yield_Y2</f>
        <v>11697818.75</v>
      </c>
      <c r="E10" s="41" t="n">
        <f aca="false">AR_Total_Yield_Y3</f>
        <v>12108935.3721875</v>
      </c>
      <c r="F10" s="41" t="n">
        <f aca="false">AR_Total_Yield_Y4</f>
        <v>12570252.1840614</v>
      </c>
      <c r="G10" s="41" t="n">
        <f aca="false">AR_Total_Yield_Y5</f>
        <v>13721992.1816716</v>
      </c>
      <c r="H10" s="41" t="n">
        <f aca="false">AR_Total_Yield_Y6</f>
        <v>14889705.4478829</v>
      </c>
      <c r="I10" s="41" t="n">
        <f aca="false">AR_Total_Yield_Y7</f>
        <v>16092286.8826912</v>
      </c>
    </row>
    <row r="11" customFormat="false" ht="15" hidden="false" customHeight="false" outlineLevel="0" collapsed="false">
      <c r="A11" s="5"/>
      <c r="B11" s="22" t="s">
        <v>166</v>
      </c>
      <c r="C11" s="41" t="n">
        <f aca="false">C10*Income_Tax_Rate</f>
        <v>4208750</v>
      </c>
      <c r="D11" s="41" t="n">
        <f aca="false">D10*Income_Tax_Rate</f>
        <v>4328192.9375</v>
      </c>
      <c r="E11" s="41" t="n">
        <f aca="false">E10*Income_Tax_Rate</f>
        <v>4480306.08770938</v>
      </c>
      <c r="F11" s="41" t="n">
        <f aca="false">F10*Income_Tax_Rate</f>
        <v>4650993.30810273</v>
      </c>
      <c r="G11" s="41" t="n">
        <f aca="false">G10*Income_Tax_Rate</f>
        <v>5077137.10721848</v>
      </c>
      <c r="H11" s="41" t="n">
        <f aca="false">H10*Income_Tax_Rate</f>
        <v>5509191.01571666</v>
      </c>
      <c r="I11" s="41" t="n">
        <f aca="false">I10*Income_Tax_Rate</f>
        <v>5954146.14659576</v>
      </c>
    </row>
    <row r="12" customFormat="false" ht="15" hidden="false" customHeight="false" outlineLevel="0" collapsed="false">
      <c r="A12" s="5"/>
      <c r="B12" s="5"/>
      <c r="C12" s="5"/>
      <c r="D12" s="5"/>
      <c r="E12" s="5"/>
      <c r="F12" s="5"/>
      <c r="G12" s="5"/>
      <c r="H12" s="5"/>
      <c r="I12" s="5"/>
    </row>
    <row r="13" customFormat="false" ht="15" hidden="false" customHeight="false" outlineLevel="0" collapsed="false">
      <c r="A13" s="5"/>
      <c r="B13" s="24" t="s">
        <v>167</v>
      </c>
      <c r="C13" s="41" t="n">
        <f aca="false">PM_Dist_Y1</f>
        <v>0</v>
      </c>
      <c r="D13" s="41" t="n">
        <f aca="false">PM_Dist_Y2</f>
        <v>0</v>
      </c>
      <c r="E13" s="41" t="n">
        <f aca="false">PM_Dist_Y3</f>
        <v>0</v>
      </c>
      <c r="F13" s="41" t="n">
        <f aca="false">PM_Dist_Y4</f>
        <v>18257612.8</v>
      </c>
      <c r="G13" s="41" t="n">
        <f aca="false">PM_Dist_Y5</f>
        <v>17843560.448</v>
      </c>
      <c r="H13" s="41" t="n">
        <f aca="false">PM_Dist_Y6</f>
        <v>17378907.7504</v>
      </c>
      <c r="I13" s="41" t="n">
        <f aca="false">PM_Dist_Y7</f>
        <v>16874400.6975488</v>
      </c>
    </row>
    <row r="14" customFormat="false" ht="15" hidden="false" customHeight="false" outlineLevel="0" collapsed="false">
      <c r="A14" s="5"/>
      <c r="B14" s="24" t="s">
        <v>156</v>
      </c>
      <c r="C14" s="47" t="n">
        <f aca="false">PM_ROC_Frac_Y1</f>
        <v>1</v>
      </c>
      <c r="D14" s="47" t="n">
        <f aca="false">PM_ROC_Frac_Y2</f>
        <v>1</v>
      </c>
      <c r="E14" s="47" t="n">
        <f aca="false">PM_ROC_Frac_Y3</f>
        <v>1</v>
      </c>
      <c r="F14" s="47" t="n">
        <f aca="false">PM_ROC_Frac_Y4</f>
        <v>1</v>
      </c>
      <c r="G14" s="47" t="n">
        <f aca="false">PM_ROC_Frac_Y5</f>
        <v>0.708256365640873</v>
      </c>
      <c r="H14" s="47" t="n">
        <f aca="false">PM_ROC_Frac_Y6</f>
        <v>0.552044319081777</v>
      </c>
      <c r="I14" s="47" t="n">
        <f aca="false">PM_ROC_Frac_Y7</f>
        <v>0.471348862330877</v>
      </c>
    </row>
    <row r="15" customFormat="false" ht="15" hidden="false" customHeight="false" outlineLevel="0" collapsed="false">
      <c r="A15" s="5"/>
      <c r="B15" s="22" t="s">
        <v>168</v>
      </c>
      <c r="C15" s="41" t="n">
        <f aca="false">C13*(1-C14)</f>
        <v>0</v>
      </c>
      <c r="D15" s="41" t="n">
        <f aca="false">D13*(1-D14)</f>
        <v>0</v>
      </c>
      <c r="E15" s="41" t="n">
        <f aca="false">E13*(1-E14)</f>
        <v>0</v>
      </c>
      <c r="F15" s="41" t="n">
        <f aca="false">F13*(1-F14)</f>
        <v>0</v>
      </c>
      <c r="G15" s="41" t="n">
        <f aca="false">G13*(1-G14)</f>
        <v>5205745.17500629</v>
      </c>
      <c r="H15" s="41" t="n">
        <f aca="false">H13*(1-H14)</f>
        <v>7784980.45494542</v>
      </c>
      <c r="I15" s="41" t="n">
        <f aca="false">I13*(1-I14)</f>
        <v>8920671.12624381</v>
      </c>
    </row>
    <row r="16" customFormat="false" ht="15" hidden="false" customHeight="false" outlineLevel="0" collapsed="false">
      <c r="A16" s="5"/>
      <c r="B16" s="22" t="s">
        <v>169</v>
      </c>
      <c r="C16" s="41" t="n">
        <f aca="false">C15*CG_Tax_Rate</f>
        <v>0</v>
      </c>
      <c r="D16" s="41" t="n">
        <f aca="false">D15*CG_Tax_Rate</f>
        <v>0</v>
      </c>
      <c r="E16" s="41" t="n">
        <f aca="false">E15*CG_Tax_Rate</f>
        <v>0</v>
      </c>
      <c r="F16" s="41" t="n">
        <f aca="false">F15*CG_Tax_Rate</f>
        <v>0</v>
      </c>
      <c r="G16" s="41" t="n">
        <f aca="false">G15*CG_Tax_Rate</f>
        <v>1041149.03500126</v>
      </c>
      <c r="H16" s="41" t="n">
        <f aca="false">H15*CG_Tax_Rate</f>
        <v>1556996.09098908</v>
      </c>
      <c r="I16" s="41" t="n">
        <f aca="false">I15*CG_Tax_Rate</f>
        <v>1784134.22524876</v>
      </c>
    </row>
    <row r="17" customFormat="false" ht="15" hidden="false" customHeight="false" outlineLevel="0" collapsed="false">
      <c r="A17" s="5"/>
      <c r="B17" s="5"/>
      <c r="C17" s="5"/>
      <c r="D17" s="5"/>
      <c r="E17" s="5"/>
      <c r="F17" s="5"/>
      <c r="G17" s="5"/>
      <c r="H17" s="5"/>
      <c r="I17" s="5"/>
    </row>
    <row r="18" customFormat="false" ht="15" hidden="false" customHeight="false" outlineLevel="0" collapsed="false">
      <c r="A18" s="5"/>
      <c r="B18" s="42" t="s">
        <v>170</v>
      </c>
      <c r="C18" s="46" t="n">
        <f aca="false">C11+C16</f>
        <v>4208750</v>
      </c>
      <c r="D18" s="46" t="n">
        <f aca="false">D11+D16</f>
        <v>4328192.9375</v>
      </c>
      <c r="E18" s="46" t="n">
        <f aca="false">E11+E16</f>
        <v>4480306.08770938</v>
      </c>
      <c r="F18" s="46" t="n">
        <f aca="false">F11+F16</f>
        <v>4650993.30810273</v>
      </c>
      <c r="G18" s="46" t="n">
        <f aca="false">G11+G16</f>
        <v>6118286.14221973</v>
      </c>
      <c r="H18" s="46" t="n">
        <f aca="false">H11+H16</f>
        <v>7066187.10670574</v>
      </c>
      <c r="I18" s="46" t="n">
        <f aca="false">I11+I16</f>
        <v>7738280.37184452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2CC"/>
    <pageSetUpPr fitToPage="false"/>
  </sheetPr>
  <dimension ref="A1:I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17.35" hidden="false" customHeight="false" outlineLevel="0" collapsed="false">
      <c r="A2" s="5"/>
      <c r="B2" s="37" t="s">
        <v>171</v>
      </c>
      <c r="C2" s="5"/>
      <c r="D2" s="5"/>
      <c r="E2" s="5"/>
      <c r="F2" s="5"/>
      <c r="G2" s="5"/>
      <c r="H2" s="5"/>
      <c r="I2" s="5"/>
    </row>
    <row r="3" customFormat="false" ht="15" hidden="false" customHeight="false" outlineLevel="0" collapsed="false">
      <c r="A3" s="5"/>
      <c r="B3" s="5"/>
      <c r="C3" s="51" t="n">
        <v>1</v>
      </c>
      <c r="D3" s="51" t="n">
        <v>2</v>
      </c>
      <c r="E3" s="51" t="n">
        <v>3</v>
      </c>
      <c r="F3" s="51" t="n">
        <v>4</v>
      </c>
      <c r="G3" s="51" t="n">
        <v>5</v>
      </c>
      <c r="H3" s="51" t="n">
        <v>6</v>
      </c>
      <c r="I3" s="51" t="n">
        <v>7</v>
      </c>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24" t="s">
        <v>172</v>
      </c>
      <c r="C5" s="41" t="n">
        <f aca="false">Init_Cash</f>
        <v>25000000</v>
      </c>
      <c r="D5" s="41" t="n">
        <f aca="false">CF_Close_Cash_Y1</f>
        <v>15866250</v>
      </c>
      <c r="E5" s="41" t="n">
        <f aca="false">CF_Close_Cash_Y2</f>
        <v>8072082.0625</v>
      </c>
      <c r="F5" s="41" t="n">
        <f aca="false">CF_Close_Cash_Y3</f>
        <v>449460.616040626</v>
      </c>
      <c r="G5" s="41" t="n">
        <f aca="false">CF_Close_Cash_Y4</f>
        <v>11205425.6102587</v>
      </c>
      <c r="H5" s="41" t="n">
        <f aca="false">CF_Close_Cash_Y5</f>
        <v>20979027.4958942</v>
      </c>
      <c r="I5" s="41" t="n">
        <f aca="false">CF_Close_Cash_Y6</f>
        <v>30212843.2754388</v>
      </c>
    </row>
    <row r="6" customFormat="false" ht="15" hidden="false" customHeight="false" outlineLevel="0" collapsed="false">
      <c r="A6" s="5"/>
      <c r="B6" s="52" t="s">
        <v>173</v>
      </c>
      <c r="C6" s="53"/>
      <c r="D6" s="53"/>
      <c r="E6" s="53"/>
      <c r="F6" s="53"/>
      <c r="G6" s="53"/>
      <c r="H6" s="53"/>
      <c r="I6" s="53"/>
    </row>
    <row r="7" customFormat="false" ht="15" hidden="false" customHeight="false" outlineLevel="0" collapsed="false">
      <c r="A7" s="5"/>
      <c r="B7" s="24" t="s">
        <v>174</v>
      </c>
      <c r="C7" s="41" t="n">
        <f aca="false">AR_Eq_Yield_Y1</f>
        <v>4000000</v>
      </c>
      <c r="D7" s="41" t="n">
        <f aca="false">AR_Eq_Yield_Y2</f>
        <v>4300000</v>
      </c>
      <c r="E7" s="41" t="n">
        <f aca="false">AR_Eq_Yield_Y3</f>
        <v>4622500</v>
      </c>
      <c r="F7" s="41" t="n">
        <f aca="false">AR_Eq_Yield_Y4</f>
        <v>4969187.5</v>
      </c>
      <c r="G7" s="41" t="n">
        <f aca="false">AR_Eq_Yield_Y5</f>
        <v>5341876.5625</v>
      </c>
      <c r="H7" s="41" t="n">
        <f aca="false">AR_Eq_Yield_Y6</f>
        <v>5742517.3046875</v>
      </c>
      <c r="I7" s="41" t="n">
        <f aca="false">AR_Eq_Yield_Y7</f>
        <v>6173206.10253906</v>
      </c>
    </row>
    <row r="8" customFormat="false" ht="15" hidden="false" customHeight="false" outlineLevel="0" collapsed="false">
      <c r="A8" s="5"/>
      <c r="B8" s="24" t="s">
        <v>175</v>
      </c>
      <c r="C8" s="41" t="n">
        <f aca="false">AR_FI_Yield_Y1</f>
        <v>4500000</v>
      </c>
      <c r="D8" s="41" t="n">
        <f aca="false">AR_FI_Yield_Y2</f>
        <v>4702500</v>
      </c>
      <c r="E8" s="41" t="n">
        <f aca="false">AR_FI_Yield_Y3</f>
        <v>4914112.5</v>
      </c>
      <c r="F8" s="41" t="n">
        <f aca="false">AR_FI_Yield_Y4</f>
        <v>5135247.5625</v>
      </c>
      <c r="G8" s="41" t="n">
        <f aca="false">AR_FI_Yield_Y5</f>
        <v>5366333.7028125</v>
      </c>
      <c r="H8" s="41" t="n">
        <f aca="false">AR_FI_Yield_Y6</f>
        <v>5607818.71943906</v>
      </c>
      <c r="I8" s="41" t="n">
        <f aca="false">AR_FI_Yield_Y7</f>
        <v>5860170.56181382</v>
      </c>
    </row>
    <row r="9" customFormat="false" ht="15" hidden="false" customHeight="false" outlineLevel="0" collapsed="false">
      <c r="A9" s="5"/>
      <c r="B9" s="24" t="s">
        <v>176</v>
      </c>
      <c r="C9" s="41" t="n">
        <f aca="false">AR_RE_Yield_Y1</f>
        <v>2000000</v>
      </c>
      <c r="D9" s="41" t="n">
        <f aca="false">AR_RE_Yield_Y2</f>
        <v>2140000</v>
      </c>
      <c r="E9" s="41" t="n">
        <f aca="false">AR_RE_Yield_Y3</f>
        <v>2289800</v>
      </c>
      <c r="F9" s="41" t="n">
        <f aca="false">AR_RE_Yield_Y4</f>
        <v>2450086</v>
      </c>
      <c r="G9" s="41" t="n">
        <f aca="false">AR_RE_Yield_Y5</f>
        <v>2621592.02</v>
      </c>
      <c r="H9" s="41" t="n">
        <f aca="false">AR_RE_Yield_Y6</f>
        <v>2805103.4614</v>
      </c>
      <c r="I9" s="41" t="n">
        <f aca="false">AR_RE_Yield_Y7</f>
        <v>3001460.703698</v>
      </c>
    </row>
    <row r="10" customFormat="false" ht="15" hidden="false" customHeight="false" outlineLevel="0" collapsed="false">
      <c r="A10" s="5"/>
      <c r="B10" s="24" t="s">
        <v>177</v>
      </c>
      <c r="C10" s="41" t="n">
        <f aca="false">AR_Cash_Yield_Y1</f>
        <v>875000</v>
      </c>
      <c r="D10" s="41" t="n">
        <f aca="false">AR_Cash_Yield_Y2</f>
        <v>555318.75</v>
      </c>
      <c r="E10" s="41" t="n">
        <f aca="false">AR_Cash_Yield_Y3</f>
        <v>282522.8721875</v>
      </c>
      <c r="F10" s="41" t="n">
        <f aca="false">AR_Cash_Yield_Y4</f>
        <v>15731.1215614219</v>
      </c>
      <c r="G10" s="41" t="n">
        <f aca="false">AR_Cash_Yield_Y5</f>
        <v>392189.896359055</v>
      </c>
      <c r="H10" s="41" t="n">
        <f aca="false">AR_Cash_Yield_Y6</f>
        <v>734265.962356296</v>
      </c>
      <c r="I10" s="41" t="n">
        <f aca="false">AR_Cash_Yield_Y7</f>
        <v>1057449.51464036</v>
      </c>
    </row>
    <row r="11" customFormat="false" ht="15" hidden="false" customHeight="false" outlineLevel="0" collapsed="false">
      <c r="A11" s="5"/>
      <c r="B11" s="24" t="s">
        <v>178</v>
      </c>
      <c r="C11" s="41" t="n">
        <f aca="false">PM_Dist_Y1</f>
        <v>0</v>
      </c>
      <c r="D11" s="41" t="n">
        <f aca="false">PM_Dist_Y2</f>
        <v>0</v>
      </c>
      <c r="E11" s="41" t="n">
        <f aca="false">PM_Dist_Y3</f>
        <v>0</v>
      </c>
      <c r="F11" s="41" t="n">
        <f aca="false">PM_Dist_Y4</f>
        <v>18257612.8</v>
      </c>
      <c r="G11" s="41" t="n">
        <f aca="false">PM_Dist_Y5</f>
        <v>17843560.448</v>
      </c>
      <c r="H11" s="41" t="n">
        <f aca="false">PM_Dist_Y6</f>
        <v>17378907.7504</v>
      </c>
      <c r="I11" s="41" t="n">
        <f aca="false">PM_Dist_Y7</f>
        <v>16874400.6975488</v>
      </c>
    </row>
    <row r="12" customFormat="false" ht="15" hidden="false" customHeight="false" outlineLevel="0" collapsed="false">
      <c r="A12" s="5"/>
      <c r="B12" s="42" t="s">
        <v>179</v>
      </c>
      <c r="C12" s="43" t="n">
        <f aca="false">SUM(C7:C11)</f>
        <v>11375000</v>
      </c>
      <c r="D12" s="43" t="n">
        <f aca="false">SUM(D7:D11)</f>
        <v>11697818.75</v>
      </c>
      <c r="E12" s="43" t="n">
        <f aca="false">SUM(E7:E11)</f>
        <v>12108935.3721875</v>
      </c>
      <c r="F12" s="43" t="n">
        <f aca="false">SUM(F7:F11)</f>
        <v>30827864.9840614</v>
      </c>
      <c r="G12" s="43" t="n">
        <f aca="false">SUM(G7:G11)</f>
        <v>31565552.6296716</v>
      </c>
      <c r="H12" s="43" t="n">
        <f aca="false">SUM(H7:H11)</f>
        <v>32268613.1982829</v>
      </c>
      <c r="I12" s="43" t="n">
        <f aca="false">SUM(I7:I11)</f>
        <v>32966687.58024</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52" t="s">
        <v>180</v>
      </c>
      <c r="C14" s="53"/>
      <c r="D14" s="53"/>
      <c r="E14" s="53"/>
      <c r="F14" s="53"/>
      <c r="G14" s="53"/>
      <c r="H14" s="53"/>
      <c r="I14" s="53"/>
    </row>
    <row r="15" customFormat="false" ht="15" hidden="false" customHeight="false" outlineLevel="0" collapsed="false">
      <c r="A15" s="5"/>
      <c r="B15" s="24" t="s">
        <v>181</v>
      </c>
      <c r="C15" s="41" t="n">
        <f aca="false">PM_Cap_Call_Y1</f>
        <v>6000000</v>
      </c>
      <c r="D15" s="41" t="n">
        <f aca="false">PM_Cap_Call_Y2</f>
        <v>5520000</v>
      </c>
      <c r="E15" s="41" t="n">
        <f aca="false">PM_Cap_Call_Y3</f>
        <v>5078400</v>
      </c>
      <c r="F15" s="41" t="n">
        <f aca="false">PM_Cap_Call_Y4</f>
        <v>4672128</v>
      </c>
      <c r="G15" s="41" t="n">
        <f aca="false">PM_Cap_Call_Y5</f>
        <v>4298357.76</v>
      </c>
      <c r="H15" s="41" t="n">
        <f aca="false">PM_Cap_Call_Y6</f>
        <v>3954489.1392</v>
      </c>
      <c r="I15" s="41" t="n">
        <f aca="false">PM_Cap_Call_Y7</f>
        <v>3638130.008064</v>
      </c>
    </row>
    <row r="16" customFormat="false" ht="15" hidden="false" customHeight="false" outlineLevel="0" collapsed="false">
      <c r="A16" s="5"/>
      <c r="B16" s="24" t="s">
        <v>182</v>
      </c>
      <c r="C16" s="41" t="n">
        <f aca="false">OP_Total_OpEx_Y1</f>
        <v>2800000</v>
      </c>
      <c r="D16" s="41" t="n">
        <f aca="false">OP_Total_OpEx_Y2</f>
        <v>2870000</v>
      </c>
      <c r="E16" s="41" t="n">
        <f aca="false">OP_Total_OpEx_Y3</f>
        <v>2941750</v>
      </c>
      <c r="F16" s="41" t="n">
        <f aca="false">OP_Total_OpEx_Y4</f>
        <v>3015293.75</v>
      </c>
      <c r="G16" s="41" t="n">
        <f aca="false">OP_Total_OpEx_Y5</f>
        <v>3090676.09375</v>
      </c>
      <c r="H16" s="41" t="n">
        <f aca="false">OP_Total_OpEx_Y6</f>
        <v>3167942.99609375</v>
      </c>
      <c r="I16" s="41" t="n">
        <f aca="false">OP_Total_OpEx_Y7</f>
        <v>3247141.57099609</v>
      </c>
    </row>
    <row r="17" customFormat="false" ht="15" hidden="false" customHeight="false" outlineLevel="0" collapsed="false">
      <c r="A17" s="5"/>
      <c r="B17" s="24" t="s">
        <v>164</v>
      </c>
      <c r="C17" s="41" t="n">
        <f aca="false">DT_Distributions_Y1</f>
        <v>7500000</v>
      </c>
      <c r="D17" s="41" t="n">
        <f aca="false">DT_Distributions_Y2</f>
        <v>6773793.75</v>
      </c>
      <c r="E17" s="41" t="n">
        <f aca="false">DT_Distributions_Y3</f>
        <v>7231100.7309375</v>
      </c>
      <c r="F17" s="41" t="n">
        <f aca="false">DT_Distributions_Y4</f>
        <v>7733484.93174061</v>
      </c>
      <c r="G17" s="41" t="n">
        <f aca="false">DT_Distributions_Y5</f>
        <v>8284630.74806638</v>
      </c>
      <c r="H17" s="41" t="n">
        <f aca="false">DT_Distributions_Y6</f>
        <v>8846178.17673872</v>
      </c>
      <c r="I17" s="41" t="n">
        <f aca="false">DT_Distributions_Y7</f>
        <v>9427615.22951006</v>
      </c>
    </row>
    <row r="18" customFormat="false" ht="15" hidden="false" customHeight="false" outlineLevel="0" collapsed="false">
      <c r="A18" s="5"/>
      <c r="B18" s="22" t="s">
        <v>183</v>
      </c>
      <c r="C18" s="41" t="n">
        <f aca="false">Margin_Loan*Margin_Rate</f>
        <v>0</v>
      </c>
      <c r="D18" s="41" t="n">
        <f aca="false">Margin_Loan*Margin_Rate</f>
        <v>0</v>
      </c>
      <c r="E18" s="41" t="n">
        <f aca="false">Margin_Loan*Margin_Rate</f>
        <v>0</v>
      </c>
      <c r="F18" s="41" t="n">
        <f aca="false">Margin_Loan*Margin_Rate</f>
        <v>0</v>
      </c>
      <c r="G18" s="41" t="n">
        <f aca="false">Margin_Loan*Margin_Rate</f>
        <v>0</v>
      </c>
      <c r="H18" s="41" t="n">
        <f aca="false">Margin_Loan*Margin_Rate</f>
        <v>0</v>
      </c>
      <c r="I18" s="41" t="n">
        <f aca="false">Margin_Loan*Margin_Rate</f>
        <v>0</v>
      </c>
    </row>
    <row r="19" customFormat="false" ht="15" hidden="false" customHeight="false" outlineLevel="0" collapsed="false">
      <c r="A19" s="5"/>
      <c r="B19" s="42" t="s">
        <v>184</v>
      </c>
      <c r="C19" s="43" t="n">
        <f aca="false">SUM(C15:C18)</f>
        <v>16300000</v>
      </c>
      <c r="D19" s="43" t="n">
        <f aca="false">SUM(D15:D18)</f>
        <v>15163793.75</v>
      </c>
      <c r="E19" s="43" t="n">
        <f aca="false">SUM(E15:E18)</f>
        <v>15251250.7309375</v>
      </c>
      <c r="F19" s="43" t="n">
        <f aca="false">SUM(F15:F18)</f>
        <v>15420906.6817406</v>
      </c>
      <c r="G19" s="43" t="n">
        <f aca="false">SUM(G15:G18)</f>
        <v>15673664.6018164</v>
      </c>
      <c r="H19" s="43" t="n">
        <f aca="false">SUM(H15:H18)</f>
        <v>15968610.3120325</v>
      </c>
      <c r="I19" s="43" t="n">
        <f aca="false">SUM(I15:I18)</f>
        <v>16312886.8085702</v>
      </c>
    </row>
    <row r="20" customFormat="false" ht="15" hidden="false" customHeight="false" outlineLevel="0" collapsed="false">
      <c r="A20" s="5"/>
      <c r="B20" s="42" t="s">
        <v>185</v>
      </c>
      <c r="C20" s="54" t="n">
        <f aca="false">C12-C19</f>
        <v>-4925000</v>
      </c>
      <c r="D20" s="54" t="n">
        <f aca="false">D12-D19</f>
        <v>-3465975</v>
      </c>
      <c r="E20" s="54" t="n">
        <f aca="false">E12-E19</f>
        <v>-3142315.35875</v>
      </c>
      <c r="F20" s="54" t="n">
        <f aca="false">F12-F19</f>
        <v>15406958.3023208</v>
      </c>
      <c r="G20" s="54" t="n">
        <f aca="false">G12-G19</f>
        <v>15891888.0278552</v>
      </c>
      <c r="H20" s="54" t="n">
        <f aca="false">H12-H19</f>
        <v>16300002.8862504</v>
      </c>
      <c r="I20" s="54" t="n">
        <f aca="false">I12-I19</f>
        <v>16653800.7716699</v>
      </c>
    </row>
    <row r="21" customFormat="false" ht="15" hidden="false" customHeight="false" outlineLevel="0" collapsed="false">
      <c r="A21" s="5"/>
      <c r="B21" s="24" t="s">
        <v>186</v>
      </c>
      <c r="C21" s="41" t="n">
        <f aca="false">DT_Total_Tax_Y1</f>
        <v>4208750</v>
      </c>
      <c r="D21" s="41" t="n">
        <f aca="false">DT_Total_Tax_Y2</f>
        <v>4328192.9375</v>
      </c>
      <c r="E21" s="41" t="n">
        <f aca="false">DT_Total_Tax_Y3</f>
        <v>4480306.08770938</v>
      </c>
      <c r="F21" s="41" t="n">
        <f aca="false">DT_Total_Tax_Y4</f>
        <v>4650993.30810273</v>
      </c>
      <c r="G21" s="41" t="n">
        <f aca="false">DT_Total_Tax_Y5</f>
        <v>6118286.14221973</v>
      </c>
      <c r="H21" s="41" t="n">
        <f aca="false">DT_Total_Tax_Y6</f>
        <v>7066187.10670574</v>
      </c>
      <c r="I21" s="41" t="n">
        <f aca="false">DT_Total_Tax_Y7</f>
        <v>7738280.37184452</v>
      </c>
    </row>
    <row r="22" customFormat="false" ht="15" hidden="false" customHeight="false" outlineLevel="0" collapsed="false">
      <c r="A22" s="5"/>
      <c r="B22" s="42" t="s">
        <v>187</v>
      </c>
      <c r="C22" s="43" t="n">
        <f aca="false">C20-C21</f>
        <v>-9133750</v>
      </c>
      <c r="D22" s="43" t="n">
        <f aca="false">D20-D21</f>
        <v>-7794167.9375</v>
      </c>
      <c r="E22" s="43" t="n">
        <f aca="false">E20-E21</f>
        <v>-7622621.44645937</v>
      </c>
      <c r="F22" s="43" t="n">
        <f aca="false">F20-F21</f>
        <v>10755964.9942181</v>
      </c>
      <c r="G22" s="43" t="n">
        <f aca="false">G20-G21</f>
        <v>9773601.88563544</v>
      </c>
      <c r="H22" s="43" t="n">
        <f aca="false">H20-H21</f>
        <v>9233815.77954465</v>
      </c>
      <c r="I22" s="43" t="n">
        <f aca="false">I20-I21</f>
        <v>8915520.39982537</v>
      </c>
    </row>
    <row r="23" customFormat="false" ht="15" hidden="false" customHeight="false" outlineLevel="0" collapsed="false">
      <c r="A23" s="5"/>
      <c r="B23" s="5"/>
      <c r="C23" s="5"/>
      <c r="D23" s="5"/>
      <c r="E23" s="5"/>
      <c r="F23" s="5"/>
      <c r="G23" s="5"/>
      <c r="H23" s="5"/>
      <c r="I23" s="5"/>
    </row>
    <row r="24" customFormat="false" ht="15" hidden="false" customHeight="false" outlineLevel="0" collapsed="false">
      <c r="A24" s="5"/>
      <c r="B24" s="42" t="s">
        <v>188</v>
      </c>
      <c r="C24" s="46" t="n">
        <f aca="false">C5+C22</f>
        <v>15866250</v>
      </c>
      <c r="D24" s="46" t="n">
        <f aca="false">D5+D22</f>
        <v>8072082.0625</v>
      </c>
      <c r="E24" s="46" t="n">
        <f aca="false">E5+E22</f>
        <v>449460.616040626</v>
      </c>
      <c r="F24" s="46" t="n">
        <f aca="false">F5+F22</f>
        <v>11205425.6102587</v>
      </c>
      <c r="G24" s="46" t="n">
        <f aca="false">G5+G22</f>
        <v>20979027.4958942</v>
      </c>
      <c r="H24" s="46" t="n">
        <f aca="false">H5+H22</f>
        <v>30212843.2754388</v>
      </c>
      <c r="I24" s="46" t="n">
        <f aca="false">I5+I22</f>
        <v>39128363.6752642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2EFDA"/>
    <pageSetUpPr fitToPage="false"/>
  </sheetPr>
  <dimension ref="A1:I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17.35" hidden="false" customHeight="false" outlineLevel="0" collapsed="false">
      <c r="A2" s="5"/>
      <c r="B2" s="37" t="s">
        <v>189</v>
      </c>
      <c r="C2" s="5"/>
      <c r="D2" s="5"/>
      <c r="E2" s="5"/>
      <c r="F2" s="5"/>
      <c r="G2" s="5"/>
      <c r="H2" s="5"/>
      <c r="I2" s="5"/>
    </row>
    <row r="3" customFormat="false" ht="15" hidden="false" customHeight="false" outlineLevel="0" collapsed="false">
      <c r="A3" s="5"/>
      <c r="B3" s="5"/>
      <c r="C3" s="38" t="n">
        <v>1</v>
      </c>
      <c r="D3" s="38" t="n">
        <v>2</v>
      </c>
      <c r="E3" s="38" t="n">
        <v>3</v>
      </c>
      <c r="F3" s="38" t="n">
        <v>4</v>
      </c>
      <c r="G3" s="38" t="n">
        <v>5</v>
      </c>
      <c r="H3" s="38" t="n">
        <v>6</v>
      </c>
      <c r="I3" s="38" t="n">
        <v>7</v>
      </c>
    </row>
    <row r="4" customFormat="false" ht="15" hidden="false" customHeight="false" outlineLevel="0" collapsed="false">
      <c r="A4" s="5"/>
      <c r="B4" s="39" t="s">
        <v>128</v>
      </c>
      <c r="C4" s="40"/>
      <c r="D4" s="40"/>
      <c r="E4" s="40"/>
      <c r="F4" s="40"/>
      <c r="G4" s="40"/>
      <c r="H4" s="40"/>
      <c r="I4" s="40"/>
    </row>
    <row r="5" customFormat="false" ht="15" hidden="false" customHeight="false" outlineLevel="0" collapsed="false">
      <c r="A5" s="5"/>
      <c r="B5" s="24" t="s">
        <v>190</v>
      </c>
      <c r="C5" s="41" t="n">
        <f aca="false">Starting_AUM*Alloc_Eq</f>
        <v>200000000</v>
      </c>
      <c r="D5" s="41" t="n">
        <f aca="false">PB_Eq_Close_Y1</f>
        <v>215000000</v>
      </c>
      <c r="E5" s="41" t="n">
        <f aca="false">PB_Eq_Close_Y2</f>
        <v>231125000</v>
      </c>
      <c r="F5" s="41" t="n">
        <f aca="false">PB_Eq_Close_Y3</f>
        <v>248459375</v>
      </c>
      <c r="G5" s="41" t="n">
        <f aca="false">PB_Eq_Close_Y4</f>
        <v>267093828.125</v>
      </c>
      <c r="H5" s="41" t="n">
        <f aca="false">PB_Eq_Close_Y5</f>
        <v>287125865.234375</v>
      </c>
      <c r="I5" s="41" t="n">
        <f aca="false">PB_Eq_Close_Y6</f>
        <v>308660305.126953</v>
      </c>
    </row>
    <row r="6" customFormat="false" ht="15" hidden="false" customHeight="false" outlineLevel="0" collapsed="false">
      <c r="A6" s="5"/>
      <c r="B6" s="24" t="s">
        <v>191</v>
      </c>
      <c r="C6" s="41" t="n">
        <f aca="false">AR_Eq_Total_Y1</f>
        <v>15000000</v>
      </c>
      <c r="D6" s="41" t="n">
        <f aca="false">AR_Eq_Total_Y2</f>
        <v>16125000</v>
      </c>
      <c r="E6" s="41" t="n">
        <f aca="false">AR_Eq_Total_Y3</f>
        <v>17334375</v>
      </c>
      <c r="F6" s="41" t="n">
        <f aca="false">AR_Eq_Total_Y4</f>
        <v>18634453.125</v>
      </c>
      <c r="G6" s="41" t="n">
        <f aca="false">AR_Eq_Total_Y5</f>
        <v>20032037.109375</v>
      </c>
      <c r="H6" s="41" t="n">
        <f aca="false">AR_Eq_Total_Y6</f>
        <v>21534439.8925781</v>
      </c>
      <c r="I6" s="41" t="n">
        <f aca="false">AR_Eq_Total_Y7</f>
        <v>23149522.8845215</v>
      </c>
    </row>
    <row r="7" customFormat="false" ht="15" hidden="false" customHeight="false" outlineLevel="0" collapsed="false">
      <c r="A7" s="5"/>
      <c r="B7" s="42" t="s">
        <v>192</v>
      </c>
      <c r="C7" s="43" t="n">
        <f aca="false">C5+C6</f>
        <v>215000000</v>
      </c>
      <c r="D7" s="43" t="n">
        <f aca="false">D5+D6</f>
        <v>231125000</v>
      </c>
      <c r="E7" s="43" t="n">
        <f aca="false">E5+E6</f>
        <v>248459375</v>
      </c>
      <c r="F7" s="43" t="n">
        <f aca="false">F5+F6</f>
        <v>267093828.125</v>
      </c>
      <c r="G7" s="43" t="n">
        <f aca="false">G5+G6</f>
        <v>287125865.234375</v>
      </c>
      <c r="H7" s="43" t="n">
        <f aca="false">H5+H6</f>
        <v>308660305.126953</v>
      </c>
      <c r="I7" s="43" t="n">
        <f aca="false">I5+I6</f>
        <v>331809828.011475</v>
      </c>
    </row>
    <row r="8" customFormat="false" ht="15" hidden="false" customHeight="false" outlineLevel="0" collapsed="false">
      <c r="A8" s="5"/>
      <c r="B8" s="5"/>
      <c r="C8" s="5"/>
      <c r="D8" s="5"/>
      <c r="E8" s="5"/>
      <c r="F8" s="5"/>
      <c r="G8" s="5"/>
      <c r="H8" s="5"/>
      <c r="I8" s="5"/>
    </row>
    <row r="9" customFormat="false" ht="15" hidden="false" customHeight="false" outlineLevel="0" collapsed="false">
      <c r="A9" s="5"/>
      <c r="B9" s="39" t="s">
        <v>133</v>
      </c>
      <c r="C9" s="40"/>
      <c r="D9" s="40"/>
      <c r="E9" s="40"/>
      <c r="F9" s="40"/>
      <c r="G9" s="40"/>
      <c r="H9" s="40"/>
      <c r="I9" s="40"/>
    </row>
    <row r="10" customFormat="false" ht="15" hidden="false" customHeight="false" outlineLevel="0" collapsed="false">
      <c r="A10" s="5"/>
      <c r="B10" s="24" t="s">
        <v>190</v>
      </c>
      <c r="C10" s="41" t="n">
        <f aca="false">Starting_AUM*Alloc_FI</f>
        <v>100000000</v>
      </c>
      <c r="D10" s="41" t="n">
        <f aca="false">PB_FI_Close_Y1</f>
        <v>104500000</v>
      </c>
      <c r="E10" s="41" t="n">
        <f aca="false">PB_FI_Close_Y2</f>
        <v>109202500</v>
      </c>
      <c r="F10" s="41" t="n">
        <f aca="false">PB_FI_Close_Y3</f>
        <v>114116612.5</v>
      </c>
      <c r="G10" s="41" t="n">
        <f aca="false">PB_FI_Close_Y4</f>
        <v>119251860.0625</v>
      </c>
      <c r="H10" s="41" t="n">
        <f aca="false">PB_FI_Close_Y5</f>
        <v>124618193.765313</v>
      </c>
      <c r="I10" s="41" t="n">
        <f aca="false">PB_FI_Close_Y6</f>
        <v>130226012.484752</v>
      </c>
    </row>
    <row r="11" customFormat="false" ht="15" hidden="false" customHeight="false" outlineLevel="0" collapsed="false">
      <c r="A11" s="5"/>
      <c r="B11" s="24" t="s">
        <v>191</v>
      </c>
      <c r="C11" s="41" t="n">
        <f aca="false">AR_FI_Total_Y1</f>
        <v>4500000</v>
      </c>
      <c r="D11" s="41" t="n">
        <f aca="false">AR_FI_Total_Y2</f>
        <v>4702500</v>
      </c>
      <c r="E11" s="41" t="n">
        <f aca="false">AR_FI_Total_Y3</f>
        <v>4914112.5</v>
      </c>
      <c r="F11" s="41" t="n">
        <f aca="false">AR_FI_Total_Y4</f>
        <v>5135247.5625</v>
      </c>
      <c r="G11" s="41" t="n">
        <f aca="false">AR_FI_Total_Y5</f>
        <v>5366333.7028125</v>
      </c>
      <c r="H11" s="41" t="n">
        <f aca="false">AR_FI_Total_Y6</f>
        <v>5607818.71943906</v>
      </c>
      <c r="I11" s="41" t="n">
        <f aca="false">AR_FI_Total_Y7</f>
        <v>5860170.56181382</v>
      </c>
    </row>
    <row r="12" customFormat="false" ht="15" hidden="false" customHeight="false" outlineLevel="0" collapsed="false">
      <c r="A12" s="5"/>
      <c r="B12" s="42" t="s">
        <v>192</v>
      </c>
      <c r="C12" s="43" t="n">
        <f aca="false">C10+C11</f>
        <v>104500000</v>
      </c>
      <c r="D12" s="43" t="n">
        <f aca="false">D10+D11</f>
        <v>109202500</v>
      </c>
      <c r="E12" s="43" t="n">
        <f aca="false">E10+E11</f>
        <v>114116612.5</v>
      </c>
      <c r="F12" s="43" t="n">
        <f aca="false">F10+F11</f>
        <v>119251860.0625</v>
      </c>
      <c r="G12" s="43" t="n">
        <f aca="false">G10+G11</f>
        <v>124618193.765313</v>
      </c>
      <c r="H12" s="43" t="n">
        <f aca="false">H10+H11</f>
        <v>130226012.484752</v>
      </c>
      <c r="I12" s="43" t="n">
        <f aca="false">I10+I11</f>
        <v>136086183.046565</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9" t="s">
        <v>135</v>
      </c>
      <c r="C14" s="40"/>
      <c r="D14" s="40"/>
      <c r="E14" s="40"/>
      <c r="F14" s="40"/>
      <c r="G14" s="40"/>
      <c r="H14" s="40"/>
      <c r="I14" s="40"/>
    </row>
    <row r="15" customFormat="false" ht="15" hidden="false" customHeight="false" outlineLevel="0" collapsed="false">
      <c r="A15" s="5"/>
      <c r="B15" s="24" t="s">
        <v>190</v>
      </c>
      <c r="C15" s="41" t="n">
        <f aca="false">Starting_AUM*Alloc_RE</f>
        <v>50000000</v>
      </c>
      <c r="D15" s="41" t="n">
        <f aca="false">PB_RE_Close_Y1</f>
        <v>53500000</v>
      </c>
      <c r="E15" s="41" t="n">
        <f aca="false">PB_RE_Close_Y2</f>
        <v>57245000</v>
      </c>
      <c r="F15" s="41" t="n">
        <f aca="false">PB_RE_Close_Y3</f>
        <v>61252150</v>
      </c>
      <c r="G15" s="41" t="n">
        <f aca="false">PB_RE_Close_Y4</f>
        <v>65539800.5</v>
      </c>
      <c r="H15" s="41" t="n">
        <f aca="false">PB_RE_Close_Y5</f>
        <v>70127586.535</v>
      </c>
      <c r="I15" s="41" t="n">
        <f aca="false">PB_RE_Close_Y6</f>
        <v>75036517.59245</v>
      </c>
    </row>
    <row r="16" customFormat="false" ht="15" hidden="false" customHeight="false" outlineLevel="0" collapsed="false">
      <c r="A16" s="5"/>
      <c r="B16" s="24" t="s">
        <v>191</v>
      </c>
      <c r="C16" s="41" t="n">
        <f aca="false">AR_RE_Total_Y1</f>
        <v>3500000</v>
      </c>
      <c r="D16" s="41" t="n">
        <f aca="false">AR_RE_Total_Y2</f>
        <v>3745000</v>
      </c>
      <c r="E16" s="41" t="n">
        <f aca="false">AR_RE_Total_Y3</f>
        <v>4007150</v>
      </c>
      <c r="F16" s="41" t="n">
        <f aca="false">AR_RE_Total_Y4</f>
        <v>4287650.5</v>
      </c>
      <c r="G16" s="41" t="n">
        <f aca="false">AR_RE_Total_Y5</f>
        <v>4587786.035</v>
      </c>
      <c r="H16" s="41" t="n">
        <f aca="false">AR_RE_Total_Y6</f>
        <v>4908931.05745</v>
      </c>
      <c r="I16" s="41" t="n">
        <f aca="false">AR_RE_Total_Y7</f>
        <v>5252556.2314715</v>
      </c>
    </row>
    <row r="17" customFormat="false" ht="15" hidden="false" customHeight="false" outlineLevel="0" collapsed="false">
      <c r="A17" s="5"/>
      <c r="B17" s="42" t="s">
        <v>192</v>
      </c>
      <c r="C17" s="43" t="n">
        <f aca="false">C15+C16</f>
        <v>53500000</v>
      </c>
      <c r="D17" s="43" t="n">
        <f aca="false">D15+D16</f>
        <v>57245000</v>
      </c>
      <c r="E17" s="43" t="n">
        <f aca="false">E15+E16</f>
        <v>61252150</v>
      </c>
      <c r="F17" s="43" t="n">
        <f aca="false">F15+F16</f>
        <v>65539800.5</v>
      </c>
      <c r="G17" s="43" t="n">
        <f aca="false">G15+G16</f>
        <v>70127586.535</v>
      </c>
      <c r="H17" s="43" t="n">
        <f aca="false">H15+H16</f>
        <v>75036517.59245</v>
      </c>
      <c r="I17" s="43" t="n">
        <f aca="false">I15+I16</f>
        <v>80289073.8239215</v>
      </c>
    </row>
    <row r="18" customFormat="false" ht="15" hidden="false" customHeight="false" outlineLevel="0" collapsed="false">
      <c r="A18" s="5"/>
      <c r="B18" s="5"/>
      <c r="C18" s="5"/>
      <c r="D18" s="5"/>
      <c r="E18" s="5"/>
      <c r="F18" s="5"/>
      <c r="G18" s="5"/>
      <c r="H18" s="5"/>
      <c r="I18" s="5"/>
    </row>
    <row r="19" customFormat="false" ht="15" hidden="false" customHeight="false" outlineLevel="0" collapsed="false">
      <c r="A19" s="5"/>
      <c r="B19" s="39" t="s">
        <v>193</v>
      </c>
      <c r="C19" s="40"/>
      <c r="D19" s="40"/>
      <c r="E19" s="40"/>
      <c r="F19" s="40"/>
      <c r="G19" s="40"/>
      <c r="H19" s="40"/>
      <c r="I19" s="40"/>
    </row>
    <row r="20" customFormat="false" ht="15" hidden="false" customHeight="false" outlineLevel="0" collapsed="false">
      <c r="A20" s="5"/>
      <c r="B20" s="24" t="s">
        <v>194</v>
      </c>
      <c r="C20" s="41" t="n">
        <f aca="false">PM_NAV_Close_Y1</f>
        <v>62720000</v>
      </c>
      <c r="D20" s="41" t="n">
        <f aca="false">PM_NAV_Close_Y2</f>
        <v>76428800</v>
      </c>
      <c r="E20" s="41" t="n">
        <f aca="false">PM_NAV_Close_Y3</f>
        <v>91288064</v>
      </c>
      <c r="F20" s="41" t="n">
        <f aca="false">PM_NAV_Close_Y4</f>
        <v>89217802.24</v>
      </c>
      <c r="G20" s="41" t="n">
        <f aca="false">PM_NAV_Close_Y5</f>
        <v>86894538.752</v>
      </c>
      <c r="H20" s="41" t="n">
        <f aca="false">PM_NAV_Close_Y6</f>
        <v>84372003.487744</v>
      </c>
      <c r="I20" s="41" t="n">
        <f aca="false">PM_NAV_Close_Y7</f>
        <v>81696948.8177562</v>
      </c>
    </row>
    <row r="21" customFormat="false" ht="15" hidden="false" customHeight="false" outlineLevel="0" collapsed="false">
      <c r="A21" s="5"/>
      <c r="B21" s="42" t="s">
        <v>195</v>
      </c>
      <c r="C21" s="43" t="n">
        <f aca="false">C20</f>
        <v>62720000</v>
      </c>
      <c r="D21" s="43" t="n">
        <f aca="false">D20</f>
        <v>76428800</v>
      </c>
      <c r="E21" s="43" t="n">
        <f aca="false">E20</f>
        <v>91288064</v>
      </c>
      <c r="F21" s="43" t="n">
        <f aca="false">F20</f>
        <v>89217802.24</v>
      </c>
      <c r="G21" s="43" t="n">
        <f aca="false">G20</f>
        <v>86894538.752</v>
      </c>
      <c r="H21" s="43" t="n">
        <f aca="false">H20</f>
        <v>84372003.487744</v>
      </c>
      <c r="I21" s="43" t="n">
        <f aca="false">I20</f>
        <v>81696948.8177562</v>
      </c>
    </row>
    <row r="22" customFormat="false" ht="15" hidden="false" customHeight="false" outlineLevel="0" collapsed="false">
      <c r="A22" s="5"/>
      <c r="B22" s="5"/>
      <c r="C22" s="5"/>
      <c r="D22" s="5"/>
      <c r="E22" s="5"/>
      <c r="F22" s="5"/>
      <c r="G22" s="5"/>
      <c r="H22" s="5"/>
      <c r="I22" s="5"/>
    </row>
    <row r="23" customFormat="false" ht="15" hidden="false" customHeight="false" outlineLevel="0" collapsed="false">
      <c r="A23" s="5"/>
      <c r="B23" s="39" t="s">
        <v>138</v>
      </c>
      <c r="C23" s="40"/>
      <c r="D23" s="40"/>
      <c r="E23" s="40"/>
      <c r="F23" s="40"/>
      <c r="G23" s="40"/>
      <c r="H23" s="40"/>
      <c r="I23" s="40"/>
    </row>
    <row r="24" customFormat="false" ht="15" hidden="false" customHeight="false" outlineLevel="0" collapsed="false">
      <c r="A24" s="5"/>
      <c r="B24" s="24" t="s">
        <v>196</v>
      </c>
      <c r="C24" s="41" t="n">
        <f aca="false">CF_Close_Cash_Y1</f>
        <v>15866250</v>
      </c>
      <c r="D24" s="41" t="n">
        <f aca="false">CF_Close_Cash_Y2</f>
        <v>8072082.0625</v>
      </c>
      <c r="E24" s="41" t="n">
        <f aca="false">CF_Close_Cash_Y3</f>
        <v>449460.616040626</v>
      </c>
      <c r="F24" s="41" t="n">
        <f aca="false">CF_Close_Cash_Y4</f>
        <v>11205425.6102587</v>
      </c>
      <c r="G24" s="41" t="n">
        <f aca="false">CF_Close_Cash_Y5</f>
        <v>20979027.4958942</v>
      </c>
      <c r="H24" s="41" t="n">
        <f aca="false">CF_Close_Cash_Y6</f>
        <v>30212843.2754388</v>
      </c>
      <c r="I24" s="41" t="n">
        <f aca="false">CF_Close_Cash_Y7</f>
        <v>39128363.6752642</v>
      </c>
    </row>
    <row r="25" customFormat="false" ht="15" hidden="false" customHeight="false" outlineLevel="0" collapsed="false">
      <c r="A25" s="5"/>
      <c r="B25" s="5"/>
      <c r="C25" s="5"/>
      <c r="D25" s="5"/>
      <c r="E25" s="5"/>
      <c r="F25" s="5"/>
      <c r="G25" s="5"/>
      <c r="H25" s="5"/>
      <c r="I25" s="5"/>
    </row>
    <row r="26" customFormat="false" ht="15" hidden="false" customHeight="false" outlineLevel="0" collapsed="false">
      <c r="A26" s="5"/>
      <c r="B26" s="39" t="s">
        <v>197</v>
      </c>
      <c r="C26" s="40"/>
      <c r="D26" s="40"/>
      <c r="E26" s="40"/>
      <c r="F26" s="40"/>
      <c r="G26" s="40"/>
      <c r="H26" s="40"/>
      <c r="I26" s="40"/>
    </row>
    <row r="27" customFormat="false" ht="15" hidden="false" customHeight="false" outlineLevel="0" collapsed="false">
      <c r="A27" s="5"/>
      <c r="B27" s="42" t="s">
        <v>198</v>
      </c>
      <c r="C27" s="46" t="n">
        <f aca="false">C7+C12+C17+C21+C24</f>
        <v>451586250</v>
      </c>
      <c r="D27" s="46" t="n">
        <f aca="false">D7+D12+D17+D21+D24</f>
        <v>482073382.0625</v>
      </c>
      <c r="E27" s="46" t="n">
        <f aca="false">E7+E12+E17+E21+E24</f>
        <v>515565662.116041</v>
      </c>
      <c r="F27" s="46" t="n">
        <f aca="false">F7+F12+F17+F21+F24</f>
        <v>552308716.537759</v>
      </c>
      <c r="G27" s="46" t="n">
        <f aca="false">G7+G12+G17+G21+G24</f>
        <v>589745211.782582</v>
      </c>
      <c r="H27" s="46" t="n">
        <f aca="false">H7+H12+H17+H21+H24</f>
        <v>628507681.967338</v>
      </c>
      <c r="I27" s="46" t="n">
        <f aca="false">I7+I12+I17+I21+I24</f>
        <v>669010397.374982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2026-05-15T18:53:10Z</dcterms:created>
  <dc:creator>openpyxl</dc:creator>
  <dc:description/>
  <dc:language>en-GB</dc:language>
  <cp:lastModifiedBy/>
  <dcterms:modified xsi:type="dcterms:W3CDTF">2026-05-15T18:53:11Z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