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Disclaimer" sheetId="2" state="visible" r:id="rId4"/>
    <sheet name="Assumptions" sheetId="3" state="visible" r:id="rId5"/>
    <sheet name="Network_Build" sheetId="4" state="visible" r:id="rId6"/>
    <sheet name="Subscribers_Revenue" sheetId="5" state="visible" r:id="rId7"/>
    <sheet name="Operating_Costs" sheetId="6" state="visible" r:id="rId8"/>
    <sheet name="Capex_Depreciation" sheetId="7" state="visible" r:id="rId9"/>
    <sheet name="Working_Capital" sheetId="8" state="visible" r:id="rId10"/>
    <sheet name="Debt_Schedule" sheetId="9" state="visible" r:id="rId11"/>
    <sheet name="Income_Statement" sheetId="10" state="visible" r:id="rId12"/>
    <sheet name="Balance_Sheet" sheetId="11" state="visible" r:id="rId13"/>
    <sheet name="Cash_Flow" sheetId="12" state="visible" r:id="rId14"/>
    <sheet name="Returns_Valuation" sheetId="13" state="visible" r:id="rId15"/>
    <sheet name="Checks" sheetId="14" state="visible" r:id="rId16"/>
  </sheets>
  <definedNames>
    <definedName function="false" hidden="false" name="Active_Life" vbProcedure="false">Assumptions!$C$35</definedName>
    <definedName function="false" hidden="false" name="Active_Pct_Build" vbProcedure="false">Assumptions!$C$36</definedName>
    <definedName function="false" hidden="false" name="Amort_Start" vbProcedure="false">Assumptions!$C$46</definedName>
    <definedName function="false" hidden="false" name="ARPU_Growth" vbProcedure="false">Assumptions!$C$21</definedName>
    <definedName function="false" hidden="false" name="Base_Year" vbProcedure="false">Assumptions!$C$7</definedName>
    <definedName function="false" hidden="false" name="BS_AP" vbProcedure="false">Balance_Sheet!$C$18:$I$18</definedName>
    <definedName function="false" hidden="false" name="BS_AR" vbProcedure="false">Balance_Sheet!$C$10:$I$10</definedName>
    <definedName function="false" hidden="false" name="BS_Cash" vbProcedure="false">Balance_Sheet!$C$9:$I$9</definedName>
    <definedName function="false" hidden="false" name="BS_Check" vbProcedure="false">Balance_Sheet!$C$30:$I$30</definedName>
    <definedName function="false" hidden="false" name="BS_Debt" vbProcedure="false">Balance_Sheet!$C$21:$I$21</definedName>
    <definedName function="false" hidden="false" name="BS_Inventory" vbProcedure="false">Balance_Sheet!$C$11:$I$11</definedName>
    <definedName function="false" hidden="false" name="BS_PPE" vbProcedure="false">Balance_Sheet!$C$14:$I$14</definedName>
    <definedName function="false" hidden="false" name="BS_Ret_Earnings" vbProcedure="false">Balance_Sheet!$C$26:$I$26</definedName>
    <definedName function="false" hidden="false" name="BS_Share_Cap" vbProcedure="false">Balance_Sheet!$C$25:$I$25</definedName>
    <definedName function="false" hidden="false" name="BS_Total_Assets" vbProcedure="false">Balance_Sheet!$C$15:$I$15</definedName>
    <definedName function="false" hidden="false" name="BS_Total_Equity" vbProcedure="false">Balance_Sheet!$C$27:$I$27</definedName>
    <definedName function="false" hidden="false" name="BS_Total_LE" vbProcedure="false">Balance_Sheet!$C$29:$I$29</definedName>
    <definedName function="false" hidden="false" name="BS_Total_Liab" vbProcedure="false">Balance_Sheet!$C$22:$I$22</definedName>
    <definedName function="false" hidden="false" name="Build_Y1" vbProcedure="false">Assumptions!$C$11</definedName>
    <definedName function="false" hidden="false" name="Build_Y2" vbProcedure="false">Assumptions!$C$12</definedName>
    <definedName function="false" hidden="false" name="Build_Y3" vbProcedure="false">Assumptions!$C$13</definedName>
    <definedName function="false" hidden="false" name="Build_Y4" vbProcedure="false">Assumptions!$C$14</definedName>
    <definedName function="false" hidden="false" name="Build_Y5" vbProcedure="false">Assumptions!$C$15</definedName>
    <definedName function="false" hidden="false" name="Build_Y6" vbProcedure="false">Assumptions!$C$16</definedName>
    <definedName function="false" hidden="false" name="Build_Y7" vbProcedure="false">Assumptions!$C$17</definedName>
    <definedName function="false" hidden="false" name="CAC_Per_Add" vbProcedure="false">Assumptions!$C$40</definedName>
    <definedName function="false" hidden="false" name="CD_Active_Close" vbProcedure="false">Capex_Depreciation!$C$23:$I$23</definedName>
    <definedName function="false" hidden="false" name="CD_Build_Capex" vbProcedure="false">Capex_Depreciation!$C$9:$I$9</definedName>
    <definedName function="false" hidden="false" name="CD_Conn_Capex" vbProcedure="false">Capex_Depreciation!$C$10:$I$10</definedName>
    <definedName function="false" hidden="false" name="CD_Maint_Capex" vbProcedure="false">Capex_Depreciation!$C$11:$I$11</definedName>
    <definedName function="false" hidden="false" name="CD_Net_PPE" vbProcedure="false">Capex_Depreciation!$C$26:$I$26</definedName>
    <definedName function="false" hidden="false" name="CD_Passive_Close" vbProcedure="false">Capex_Depreciation!$C$18:$I$18</definedName>
    <definedName function="false" hidden="false" name="CD_Total_Capex" vbProcedure="false">Capex_Depreciation!$C$12:$I$12</definedName>
    <definedName function="false" hidden="false" name="CD_Total_Dep" vbProcedure="false">Capex_Depreciation!$C$25:$I$25</definedName>
    <definedName function="false" hidden="false" name="CF_Capex" vbProcedure="false">Cash_Flow!$C$15:$I$15</definedName>
    <definedName function="false" hidden="false" name="CF_CFF" vbProcedure="false">Cash_Flow!$C$23:$I$23</definedName>
    <definedName function="false" hidden="false" name="CF_CFI" vbProcedure="false">Cash_Flow!$C$16:$I$16</definedName>
    <definedName function="false" hidden="false" name="CF_CFO" vbProcedure="false">Cash_Flow!$C$12:$I$12</definedName>
    <definedName function="false" hidden="false" name="CF_Close_Cash" vbProcedure="false">Cash_Flow!$C$28:$I$28</definedName>
    <definedName function="false" hidden="false" name="CF_DA" vbProcedure="false">Cash_Flow!$C$10:$I$10</definedName>
    <definedName function="false" hidden="false" name="CF_Debt_Draw" vbProcedure="false">Cash_Flow!$C$20:$I$20</definedName>
    <definedName function="false" hidden="false" name="CF_Debt_Repay" vbProcedure="false">Cash_Flow!$C$21:$I$21</definedName>
    <definedName function="false" hidden="false" name="CF_Equity_Inj" vbProcedure="false">Cash_Flow!$C$19:$I$19</definedName>
    <definedName function="false" hidden="false" name="CF_Net_CF" vbProcedure="false">Cash_Flow!$C$26:$I$26</definedName>
    <definedName function="false" hidden="false" name="CF_Net_Income" vbProcedure="false">Cash_Flow!$C$9:$I$9</definedName>
    <definedName function="false" hidden="false" name="CF_Open_Cash" vbProcedure="false">Cash_Flow!$C$27:$I$27</definedName>
    <definedName function="false" hidden="false" name="CF_WC_Change" vbProcedure="false">Cash_Flow!$C$11:$I$11</definedName>
    <definedName function="false" hidden="false" name="Construction_Lag" vbProcedure="false">Assumptions!$C$18</definedName>
    <definedName function="false" hidden="false" name="CPHC" vbProcedure="false">Assumptions!$C$32</definedName>
    <definedName function="false" hidden="false" name="CPHP" vbProcedure="false">Assumptions!$C$31</definedName>
    <definedName function="false" hidden="false" name="DIO_Days" vbProcedure="false">Assumptions!$C$50</definedName>
    <definedName function="false" hidden="false" name="DPO_Days" vbProcedure="false">Assumptions!$C$51</definedName>
    <definedName function="false" hidden="false" name="DSO_Days" vbProcedure="false">Assumptions!$C$49</definedName>
    <definedName function="false" hidden="false" name="DS_Closing" vbProcedure="false">Debt_Schedule!$C$13:$I$13</definedName>
    <definedName function="false" hidden="false" name="DS_Drawdown" vbProcedure="false">Debt_Schedule!$C$10:$I$10</definedName>
    <definedName function="false" hidden="false" name="DS_DSCR" vbProcedure="false">Debt_Schedule!$C$20:$I$20</definedName>
    <definedName function="false" hidden="false" name="DS_Interest" vbProcedure="false">Debt_Schedule!$C$16:$I$16</definedName>
    <definedName function="false" hidden="false" name="DS_Maturity_Rep" vbProcedure="false">Debt_Schedule!$C$12:$I$12</definedName>
    <definedName function="false" hidden="false" name="DS_Opening" vbProcedure="false">Debt_Schedule!$C$9:$I$9</definedName>
    <definedName function="false" hidden="false" name="DS_Repayment" vbProcedure="false">Debt_Schedule!$C$11:$I$11</definedName>
    <definedName function="false" hidden="false" name="DS_Total_DS" vbProcedure="false">Debt_Schedule!$C$17:$I$17</definedName>
    <definedName function="false" hidden="false" name="Enterprise_ARPU" vbProcedure="false">Assumptions!$C$22</definedName>
    <definedName function="false" hidden="false" name="Enterprise_Pct" vbProcedure="false">Assumptions!$C$23</definedName>
    <definedName function="false" hidden="false" name="Equity_Injection" vbProcedure="false">Assumptions!$C$47</definedName>
    <definedName function="false" hidden="false" name="Gross_Margin" vbProcedure="false">Assumptions!$C$29</definedName>
    <definedName function="false" hidden="false" name="Insurance_Pct" vbProcedure="false">Assumptions!$C$41</definedName>
    <definedName function="false" hidden="false" name="Interest_Rate" vbProcedure="false">Assumptions!$C$44</definedName>
    <definedName function="false" hidden="false" name="IS_DA" vbProcedure="false">Income_Statement!$C$20:$I$20</definedName>
    <definedName function="false" hidden="false" name="IS_EBIT" vbProcedure="false">Income_Statement!$C$21:$I$21</definedName>
    <definedName function="false" hidden="false" name="IS_EBITDA" vbProcedure="false">Income_Statement!$C$19:$I$19</definedName>
    <definedName function="false" hidden="false" name="IS_EBT" vbProcedure="false">Income_Statement!$C$23:$I$23</definedName>
    <definedName function="false" hidden="false" name="IS_Gross_Profit" vbProcedure="false">Income_Statement!$C$10:$I$10</definedName>
    <definedName function="false" hidden="false" name="IS_Interest" vbProcedure="false">Income_Statement!$C$22:$I$22</definedName>
    <definedName function="false" hidden="false" name="IS_Net_Income" vbProcedure="false">Income_Statement!$C$25:$I$25</definedName>
    <definedName function="false" hidden="false" name="IS_Revenue" vbProcedure="false">Income_Statement!$C$8:$I$8</definedName>
    <definedName function="false" hidden="false" name="IS_Tax" vbProcedure="false">Income_Statement!$C$24:$I$24</definedName>
    <definedName function="false" hidden="false" name="Loan_Term" vbProcedure="false">Assumptions!$C$45</definedName>
    <definedName function="false" hidden="false" name="Maint_Capex_Pct" vbProcedure="false">Assumptions!$C$33</definedName>
    <definedName function="false" hidden="false" name="Monthly_ARPU_Resi" vbProcedure="false">Assumptions!$C$20</definedName>
    <definedName function="false" hidden="false" name="Monthly_Churn" vbProcedure="false">Assumptions!$C$24</definedName>
    <definedName function="false" hidden="false" name="NB_Cum_Passed" vbProcedure="false">Network_Build!$C$10:$I$10</definedName>
    <definedName function="false" hidden="false" name="NB_Cum_RFS" vbProcedure="false">Network_Build!$C$13:$I$13</definedName>
    <definedName function="false" hidden="false" name="NB_New_Homes" vbProcedure="false">Network_Build!$C$9:$I$9</definedName>
    <definedName function="false" hidden="false" name="NB_New_RFS" vbProcedure="false">Network_Build!$C$12:$I$12</definedName>
    <definedName function="false" hidden="false" name="NB_Year_Num" vbProcedure="false">Network_Build!$C$6:$I$6</definedName>
    <definedName function="false" hidden="false" name="NOC_Pct" vbProcedure="false">Assumptions!$C$38</definedName>
    <definedName function="false" hidden="false" name="OC_COGS" vbProcedure="false">Operating_Costs!$C$12:$I$12</definedName>
    <definedName function="false" hidden="false" name="OC_EBITDA" vbProcedure="false">Operating_Costs!$C$22:$I$22</definedName>
    <definedName function="false" hidden="false" name="OC_Gross_Profit" vbProcedure="false">Operating_Costs!$C$13:$I$13</definedName>
    <definedName function="false" hidden="false" name="OC_Insurance" vbProcedure="false">Operating_Costs!$C$19:$I$19</definedName>
    <definedName function="false" hidden="false" name="OC_NOC" vbProcedure="false">Operating_Costs!$C$16:$I$16</definedName>
    <definedName function="false" hidden="false" name="OC_Revenue" vbProcedure="false">Operating_Costs!$C$9:$I$9</definedName>
    <definedName function="false" hidden="false" name="OC_SAM" vbProcedure="false">Operating_Costs!$C$18:$I$18</definedName>
    <definedName function="false" hidden="false" name="OC_Staff" vbProcedure="false">Operating_Costs!$C$17:$I$17</definedName>
    <definedName function="false" hidden="false" name="OC_Total_OpEx" vbProcedure="false">Operating_Costs!$C$20:$I$20</definedName>
    <definedName function="false" hidden="false" name="Passive_Life" vbProcedure="false">Assumptions!$C$34</definedName>
    <definedName function="false" hidden="false" name="Projection_Years" vbProcedure="false">Assumptions!$C$8</definedName>
    <definedName function="false" hidden="false" name="Ramp_Period" vbProcedure="false">Assumptions!$C$26</definedName>
    <definedName function="false" hidden="false" name="RV_EBIT" vbProcedure="false">Returns_Valuation!$C$9:$I$9</definedName>
    <definedName function="false" hidden="false" name="RV_Equity_CF" vbProcedure="false">Returns_Valuation!$C$29:$I$29</definedName>
    <definedName function="false" hidden="false" name="RV_UFCF" vbProcedure="false">Returns_Valuation!$C$15:$I$15</definedName>
    <definedName function="false" hidden="false" name="Senior_Debt" vbProcedure="false">Assumptions!$C$43</definedName>
    <definedName function="false" hidden="false" name="Setup_Fee" vbProcedure="false">Assumptions!$C$27</definedName>
    <definedName function="false" hidden="false" name="SR_Avg_Subs" vbProcedure="false">Subscribers_Revenue!$C$16:$I$16</definedName>
    <definedName function="false" hidden="false" name="SR_Churn" vbProcedure="false">Subscribers_Revenue!$C$13:$I$13</definedName>
    <definedName function="false" hidden="false" name="SR_Close_Subs" vbProcedure="false">Subscribers_Revenue!$C$15:$I$15</definedName>
    <definedName function="false" hidden="false" name="SR_Ent_Subs" vbProcedure="false">Subscribers_Revenue!$C$17:$I$17</definedName>
    <definedName function="false" hidden="false" name="SR_Gross_Adds" vbProcedure="false">Subscribers_Revenue!$C$12:$I$12</definedName>
    <definedName function="false" hidden="false" name="SR_Open_Subs" vbProcedure="false">Subscribers_Revenue!$C$9:$I$9</definedName>
    <definedName function="false" hidden="false" name="SR_Resi_ARPU" vbProcedure="false">Subscribers_Revenue!$C$21:$I$21</definedName>
    <definedName function="false" hidden="false" name="SR_Resi_Subs" vbProcedure="false">Subscribers_Revenue!$C$18:$I$18</definedName>
    <definedName function="false" hidden="false" name="SR_Total_Revenue" vbProcedure="false">Subscribers_Revenue!$C$26:$I$26</definedName>
    <definedName function="false" hidden="false" name="SR_Year_Num" vbProcedure="false">Subscribers_Revenue!$C$6:$I$6</definedName>
    <definedName function="false" hidden="false" name="Staff_Pct" vbProcedure="false">Assumptions!$C$39</definedName>
    <definedName function="false" hidden="false" name="Target_Penetration" vbProcedure="false">Assumptions!$C$25</definedName>
    <definedName function="false" hidden="false" name="Tax_Rate" vbProcedure="false">Assumptions!$C$53</definedName>
    <definedName function="false" hidden="false" name="Terminal_Growth" vbProcedure="false">Assumptions!$C$55</definedName>
    <definedName function="false" hidden="false" name="Total_Homes_Target" vbProcedure="false">Assumptions!$C$10</definedName>
    <definedName function="false" hidden="false" name="WACC_Rate" vbProcedure="false">Assumptions!$C$54</definedName>
    <definedName function="false" hidden="false" name="WC_AP" vbProcedure="false">Working_Capital!$C$11:$I$11</definedName>
    <definedName function="false" hidden="false" name="WC_AR" vbProcedure="false">Working_Capital!$C$9:$I$9</definedName>
    <definedName function="false" hidden="false" name="WC_Change" vbProcedure="false">Working_Capital!$C$18:$I$18</definedName>
    <definedName function="false" hidden="false" name="WC_Inventory" vbProcedure="false">Working_Capital!$C$10:$I$10</definedName>
    <definedName function="false" hidden="false" name="WC_NWC" vbProcedure="false">Working_Capital!$C$12:$I$12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<sst xmlns="http://schemas.openxmlformats.org/spreadsheetml/2006/main" count="410" uniqueCount="317">
  <si>
    <t xml:space="preserve">Fibre Network Financial Model</t>
  </si>
  <si>
    <t xml:space="preserve">FINAMODEL.com</t>
  </si>
  <si>
    <t xml:space="preserve">Project finance analysis</t>
  </si>
  <si>
    <t xml:space="preserve">Model Structure</t>
  </si>
  <si>
    <t xml:space="preserve">Cover</t>
  </si>
  <si>
    <t xml:space="preserve">Title and navigation</t>
  </si>
  <si>
    <t xml:space="preserve">Assumptions</t>
  </si>
  <si>
    <t xml:space="preserve">Model parameters</t>
  </si>
  <si>
    <t xml:space="preserve">Network_Build</t>
  </si>
  <si>
    <t xml:space="preserve">Rollout schedule</t>
  </si>
  <si>
    <t xml:space="preserve">Subscribers_Revenue</t>
  </si>
  <si>
    <t xml:space="preserve">Subs and revenue</t>
  </si>
  <si>
    <t xml:space="preserve">Operating_Costs</t>
  </si>
  <si>
    <t xml:space="preserve">COGS and opex</t>
  </si>
  <si>
    <t xml:space="preserve">Capex_Depreciation</t>
  </si>
  <si>
    <t xml:space="preserve">Capex and D&amp;A</t>
  </si>
  <si>
    <t xml:space="preserve">Working_Capital</t>
  </si>
  <si>
    <t xml:space="preserve">WC balances</t>
  </si>
  <si>
    <t xml:space="preserve">Debt_Schedule</t>
  </si>
  <si>
    <t xml:space="preserve">Debt and covenants</t>
  </si>
  <si>
    <t xml:space="preserve">Income_Statement</t>
  </si>
  <si>
    <t xml:space="preserve">P&amp;L summary</t>
  </si>
  <si>
    <t xml:space="preserve">Balance_Sheet</t>
  </si>
  <si>
    <t xml:space="preserve">Assets and L&amp;E</t>
  </si>
  <si>
    <t xml:space="preserve">Cash_Flow</t>
  </si>
  <si>
    <t xml:space="preserve">Cash flow statement</t>
  </si>
  <si>
    <t xml:space="preserve">Returns_Valuation</t>
  </si>
  <si>
    <t xml:space="preserve">DCF and returns</t>
  </si>
  <si>
    <t xml:space="preserve">Checks</t>
  </si>
  <si>
    <t xml:space="preserve">Validation flags</t>
  </si>
  <si>
    <t xml:space="preserve">Tab Colour Legend</t>
  </si>
  <si>
    <t xml:space="preserve">Dark Blue</t>
  </si>
  <si>
    <t xml:space="preserve">Light Blue</t>
  </si>
  <si>
    <t xml:space="preserve">Green</t>
  </si>
  <si>
    <t xml:space="preserve">Revenue drivers</t>
  </si>
  <si>
    <t xml:space="preserve">Orange</t>
  </si>
  <si>
    <t xml:space="preserve">Cost / capex</t>
  </si>
  <si>
    <t xml:space="preserve">Red</t>
  </si>
  <si>
    <t xml:space="preserve">Debt / checks</t>
  </si>
  <si>
    <t xml:space="preserve">Grey</t>
  </si>
  <si>
    <t xml:space="preserve">Financial statements</t>
  </si>
  <si>
    <t xml:space="preserve">About this model</t>
  </si>
  <si>
    <t xml:space="preserve">A fiber-to-the-premises (FTTP) network model projects the deployment of broadband infrastructure to 100,000 homes over seven years, with residential subscribers ramping from zero to 30,000+ through a 35% penetration rate on the addressable base. Revenue comes from residential broadband subscriptions ($60/month, with 3% CPI-linked inflation), enterprise services ($500/month per dedicated lease line), and installation fees ($100 per new connection). The network build capex is $650 per home passed (cost per home passed, CPHP) for the fiber and passive infrastructure, plus $250 per connection (cost per connected, CPHC) for customer drop and activation.
The model tracks the build schedule (homes passed) and the subscription ramp (homes ready for service, with a one-year lag post-build). Churn is modeled at 1.2% monthly (effective ~7-year customer lifetime). Operating expenses include IP transit and interconnect ($3% of revenue), network operations and maintenance ($3% of revenue), sales and marketing ($200 per gross new subscriber), staff ($15% of revenue at maturity), and corporate overhead ($15% of revenue). The network reaches EBITDA-positive in Year 4â5 as the subscriber base scales and fixed costs are diluted.
Capital intensity is brutal in early years (capex peaks at 200%+ of revenue during the build phase). The model is financed with $50 million debt at 7.5% and $60 million sponsor equity. This template is suitable for infrastructure funds, PE investors, and regional broadband companies evaluating FTTP network deployments.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</si>
  <si>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</si>
  <si>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</si>
  <si>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</si>
  <si>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</si>
  <si>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</si>
  <si>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</si>
  <si>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</si>
  <si>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</si>
  <si>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</si>
  <si>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</si>
  <si>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</si>
  <si>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</si>
  <si>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</si>
  <si>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</si>
  <si>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</si>
  <si>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</si>
  <si>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</si>
  <si>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</si>
  <si>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</si>
  <si>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</si>
  <si>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</si>
  <si>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Input parameters</t>
  </si>
  <si>
    <t xml:space="preserve">Parameter</t>
  </si>
  <si>
    <t xml:space="preserve">Value</t>
  </si>
  <si>
    <t xml:space="preserve">Unit</t>
  </si>
  <si>
    <t xml:space="preserve">Notes</t>
  </si>
  <si>
    <t xml:space="preserve">Macro</t>
  </si>
  <si>
    <t xml:space="preserve">Base Year</t>
  </si>
  <si>
    <t xml:space="preserve">Year</t>
  </si>
  <si>
    <t xml:space="preserve">First projection year</t>
  </si>
  <si>
    <t xml:space="preserve">Projection Years</t>
  </si>
  <si>
    <t xml:space="preserve">Years</t>
  </si>
  <si>
    <t xml:space="preserve">Model horizon</t>
  </si>
  <si>
    <t xml:space="preserve">Network Build</t>
  </si>
  <si>
    <t xml:space="preserve">Total Homes Target</t>
  </si>
  <si>
    <t xml:space="preserve">Homes</t>
  </si>
  <si>
    <t xml:space="preserve">Total addressable footprint</t>
  </si>
  <si>
    <t xml:space="preserve">Build Rate Year 1</t>
  </si>
  <si>
    <t xml:space="preserve">New homes passed</t>
  </si>
  <si>
    <t xml:space="preserve">Build Rate Year 2</t>
  </si>
  <si>
    <t xml:space="preserve">Peak build phase</t>
  </si>
  <si>
    <t xml:space="preserve">Build Rate Year 3</t>
  </si>
  <si>
    <t xml:space="preserve">Build Rate Year 4</t>
  </si>
  <si>
    <t xml:space="preserve">Tapering build</t>
  </si>
  <si>
    <t xml:space="preserve">Build Rate Year 5</t>
  </si>
  <si>
    <t xml:space="preserve">Nearing completion</t>
  </si>
  <si>
    <t xml:space="preserve">Build Rate Year 6</t>
  </si>
  <si>
    <t xml:space="preserve">Final buildout</t>
  </si>
  <si>
    <t xml:space="preserve">Build Rate Year 7</t>
  </si>
  <si>
    <t xml:space="preserve">Build complete</t>
  </si>
  <si>
    <t xml:space="preserve">Construction Lag</t>
  </si>
  <si>
    <t xml:space="preserve">Passed to RFS delay</t>
  </si>
  <si>
    <t xml:space="preserve">Subscribers &amp; Revenue</t>
  </si>
  <si>
    <t xml:space="preserve">Monthly ARPU (Resi)</t>
  </si>
  <si>
    <t xml:space="preserve">$/month</t>
  </si>
  <si>
    <t xml:space="preserve">Standard fibre pricing</t>
  </si>
  <si>
    <t xml:space="preserve">Annual ARPU Growth</t>
  </si>
  <si>
    <t xml:space="preserve">%</t>
  </si>
  <si>
    <t xml:space="preserve">CPI-linked escalation</t>
  </si>
  <si>
    <t xml:space="preserve">Monthly ARPU (Ent)</t>
  </si>
  <si>
    <t xml:space="preserve">Dedicated leased line</t>
  </si>
  <si>
    <t xml:space="preserve">Enterprise % of Subs</t>
  </si>
  <si>
    <t xml:space="preserve">Enterprise share</t>
  </si>
  <si>
    <t xml:space="preserve">Monthly Churn Rate</t>
  </si>
  <si>
    <t xml:space="preserve">~7yr avg customer life</t>
  </si>
  <si>
    <t xml:space="preserve">Target Penetration</t>
  </si>
  <si>
    <t xml:space="preserve">Realistic for overbuilder</t>
  </si>
  <si>
    <t xml:space="preserve">Penetration Ramp</t>
  </si>
  <si>
    <t xml:space="preserve">Time to reach target</t>
  </si>
  <si>
    <t xml:space="preserve">Setup Fee</t>
  </si>
  <si>
    <t xml:space="preserve">$</t>
  </si>
  <si>
    <t xml:space="preserve">Per new connection</t>
  </si>
  <si>
    <t xml:space="preserve">COGS</t>
  </si>
  <si>
    <t xml:space="preserve">Gross Margin</t>
  </si>
  <si>
    <t xml:space="preserve">IP transit, peering, backhaul</t>
  </si>
  <si>
    <t xml:space="preserve">Capex</t>
  </si>
  <si>
    <t xml:space="preserve">Cost per Home Passed</t>
  </si>
  <si>
    <t xml:space="preserve">Civil works, fibre, splicing</t>
  </si>
  <si>
    <t xml:space="preserve">Cost per Connect</t>
  </si>
  <si>
    <t xml:space="preserve">ONT, router, drop cable</t>
  </si>
  <si>
    <t xml:space="preserve">Maintenance Capex</t>
  </si>
  <si>
    <t xml:space="preserve">% of Rev</t>
  </si>
  <si>
    <t xml:space="preserve">Ongoing maintenance</t>
  </si>
  <si>
    <t xml:space="preserve">Passive Asset Life</t>
  </si>
  <si>
    <t xml:space="preserve">Ducts, dark fibre</t>
  </si>
  <si>
    <t xml:space="preserve">Active Equip Life</t>
  </si>
  <si>
    <t xml:space="preserve">Routers, OLTs</t>
  </si>
  <si>
    <t xml:space="preserve">Active % of Build</t>
  </si>
  <si>
    <t xml:space="preserve">Share of build capex</t>
  </si>
  <si>
    <t xml:space="preserve">Operating Expenses</t>
  </si>
  <si>
    <t xml:space="preserve">NOC &amp; Maintenance</t>
  </si>
  <si>
    <t xml:space="preserve">Network operations</t>
  </si>
  <si>
    <t xml:space="preserve">Staff &amp; Admin</t>
  </si>
  <si>
    <t xml:space="preserve">Corporate overhead</t>
  </si>
  <si>
    <t xml:space="preserve">Sales &amp; Marketing</t>
  </si>
  <si>
    <t xml:space="preserve">$/add</t>
  </si>
  <si>
    <t xml:space="preserve">Customer acquisition</t>
  </si>
  <si>
    <t xml:space="preserve">Insurance</t>
  </si>
  <si>
    <t xml:space="preserve">Asset protection</t>
  </si>
  <si>
    <t xml:space="preserve">Financing</t>
  </si>
  <si>
    <t xml:space="preserve">Senior Debt Facility</t>
  </si>
  <si>
    <t xml:space="preserve">Project finance</t>
  </si>
  <si>
    <t xml:space="preserve">Interest Rate</t>
  </si>
  <si>
    <t xml:space="preserve">Base + 450bps</t>
  </si>
  <si>
    <t xml:space="preserve">Loan Term</t>
  </si>
  <si>
    <t xml:space="preserve">Facility tenor</t>
  </si>
  <si>
    <t xml:space="preserve">Amort Start Year</t>
  </si>
  <si>
    <t xml:space="preserve">Post ramp-up</t>
  </si>
  <si>
    <t xml:space="preserve">Equity Injection</t>
  </si>
  <si>
    <t xml:space="preserve">Sponsor equity</t>
  </si>
  <si>
    <t xml:space="preserve">Working Capital</t>
  </si>
  <si>
    <t xml:space="preserve">Days Sales Outstanding</t>
  </si>
  <si>
    <t xml:space="preserve">Days</t>
  </si>
  <si>
    <t xml:space="preserve">Direct debit customers</t>
  </si>
  <si>
    <t xml:space="preserve">Days Inventory (CPE)</t>
  </si>
  <si>
    <t xml:space="preserve">Router/ONT inventory</t>
  </si>
  <si>
    <t xml:space="preserve">Days Payable</t>
  </si>
  <si>
    <t xml:space="preserve">Contractor terms</t>
  </si>
  <si>
    <t xml:space="preserve">Tax &amp; Valuation</t>
  </si>
  <si>
    <t xml:space="preserve">Tax Rate</t>
  </si>
  <si>
    <t xml:space="preserve">Corporate tax</t>
  </si>
  <si>
    <t xml:space="preserve">WACC</t>
  </si>
  <si>
    <t xml:space="preserve">Discount rate</t>
  </si>
  <si>
    <t xml:space="preserve">Terminal Growth</t>
  </si>
  <si>
    <t xml:space="preserve">Long-run GDP growth</t>
  </si>
  <si>
    <t xml:space="preserve">Year Number</t>
  </si>
  <si>
    <t xml:space="preserve">Homes Passed</t>
  </si>
  <si>
    <t xml:space="preserve">New Homes Built</t>
  </si>
  <si>
    <t xml:space="preserve">Cumulative Passed</t>
  </si>
  <si>
    <t xml:space="preserve">New RFS Homes</t>
  </si>
  <si>
    <t xml:space="preserve">Cumulative RFS</t>
  </si>
  <si>
    <t xml:space="preserve">Max Subs Capacity</t>
  </si>
  <si>
    <t xml:space="preserve">Penetration and revenue</t>
  </si>
  <si>
    <t xml:space="preserve">Subscriber Build</t>
  </si>
  <si>
    <t xml:space="preserve">Opening Subs</t>
  </si>
  <si>
    <t xml:space="preserve">Penetration Rate</t>
  </si>
  <si>
    <t xml:space="preserve">Target Subs</t>
  </si>
  <si>
    <t xml:space="preserve">Gross Additions</t>
  </si>
  <si>
    <t xml:space="preserve">Churned Subs</t>
  </si>
  <si>
    <t xml:space="preserve">Net Additions</t>
  </si>
  <si>
    <t xml:space="preserve">Closing Subs</t>
  </si>
  <si>
    <t xml:space="preserve">Average Subs</t>
  </si>
  <si>
    <t xml:space="preserve">Enterprise Subs</t>
  </si>
  <si>
    <t xml:space="preserve">Residential Subs</t>
  </si>
  <si>
    <t xml:space="preserve">Revenue</t>
  </si>
  <si>
    <t xml:space="preserve">Resi ARPU (Annual)</t>
  </si>
  <si>
    <t xml:space="preserve">Residential Revenue</t>
  </si>
  <si>
    <t xml:space="preserve">Ent ARPU (Annual)</t>
  </si>
  <si>
    <t xml:space="preserve">Enterprise Revenue</t>
  </si>
  <si>
    <t xml:space="preserve">Setup Fee Revenue</t>
  </si>
  <si>
    <t xml:space="preserve">TOTAL REVENUE</t>
  </si>
  <si>
    <t xml:space="preserve">Operating Costs</t>
  </si>
  <si>
    <t xml:space="preserve">COGS and OpEx</t>
  </si>
  <si>
    <t xml:space="preserve">Revenue Reference</t>
  </si>
  <si>
    <t xml:space="preserve">Total Revenue</t>
  </si>
  <si>
    <t xml:space="preserve">Cost of Goods Sold</t>
  </si>
  <si>
    <t xml:space="preserve">Gross Profit</t>
  </si>
  <si>
    <t xml:space="preserve">Total OpEx</t>
  </si>
  <si>
    <t xml:space="preserve">EBITDA</t>
  </si>
  <si>
    <t xml:space="preserve">EBITDA Margin</t>
  </si>
  <si>
    <t xml:space="preserve">Capex &amp; Depreciation</t>
  </si>
  <si>
    <t xml:space="preserve">Capital investment</t>
  </si>
  <si>
    <t xml:space="preserve">Capital Expenditure</t>
  </si>
  <si>
    <t xml:space="preserve">Build Capex</t>
  </si>
  <si>
    <t xml:space="preserve">Connection Capex</t>
  </si>
  <si>
    <t xml:space="preserve">Total Capex</t>
  </si>
  <si>
    <t xml:space="preserve">Depreciation Schedule</t>
  </si>
  <si>
    <t xml:space="preserve">Passive Open NBV</t>
  </si>
  <si>
    <t xml:space="preserve">Passive Additions</t>
  </si>
  <si>
    <t xml:space="preserve">Passive Depreciation</t>
  </si>
  <si>
    <t xml:space="preserve">Passive Close NBV</t>
  </si>
  <si>
    <t xml:space="preserve">Active Open NBV</t>
  </si>
  <si>
    <t xml:space="preserve">Active Additions</t>
  </si>
  <si>
    <t xml:space="preserve">Active Depreciation</t>
  </si>
  <si>
    <t xml:space="preserve">Active Close NBV</t>
  </si>
  <si>
    <t xml:space="preserve">Total Depreciation</t>
  </si>
  <si>
    <t xml:space="preserve">Net PP&amp;E</t>
  </si>
  <si>
    <t xml:space="preserve">WC balances and changes</t>
  </si>
  <si>
    <t xml:space="preserve">Working Capital Balances</t>
  </si>
  <si>
    <t xml:space="preserve">Accounts Receivable</t>
  </si>
  <si>
    <t xml:space="preserve">Inventory (CPE)</t>
  </si>
  <si>
    <t xml:space="preserve">Accounts Payable</t>
  </si>
  <si>
    <t xml:space="preserve">Net Working Capital</t>
  </si>
  <si>
    <t xml:space="preserve">Working Capital Changes</t>
  </si>
  <si>
    <t xml:space="preserve">Change in AR</t>
  </si>
  <si>
    <t xml:space="preserve">Change in Inventory</t>
  </si>
  <si>
    <t xml:space="preserve">Change in AP</t>
  </si>
  <si>
    <t xml:space="preserve">WC Change (Cash Impact)</t>
  </si>
  <si>
    <t xml:space="preserve">Debt Schedule</t>
  </si>
  <si>
    <t xml:space="preserve">Senior facility</t>
  </si>
  <si>
    <t xml:space="preserve">Debt Balance Walk</t>
  </si>
  <si>
    <t xml:space="preserve">Opening Balance</t>
  </si>
  <si>
    <t xml:space="preserve">Drawdown</t>
  </si>
  <si>
    <t xml:space="preserve">Amortisation</t>
  </si>
  <si>
    <t xml:space="preserve">Maturity Repayment</t>
  </si>
  <si>
    <t xml:space="preserve">Closing Balance</t>
  </si>
  <si>
    <t xml:space="preserve">Interest &amp; Debt Service</t>
  </si>
  <si>
    <t xml:space="preserve">Interest Expense</t>
  </si>
  <si>
    <t xml:space="preserve">Total Debt Service</t>
  </si>
  <si>
    <t xml:space="preserve">Covenant Metrics</t>
  </si>
  <si>
    <t xml:space="preserve">DSCR</t>
  </si>
  <si>
    <t xml:space="preserve">Income Statement</t>
  </si>
  <si>
    <t xml:space="preserve">Profit and loss</t>
  </si>
  <si>
    <t xml:space="preserve">Depreciation</t>
  </si>
  <si>
    <t xml:space="preserve">EBIT</t>
  </si>
  <si>
    <t xml:space="preserve">EBT</t>
  </si>
  <si>
    <t xml:space="preserve">Tax</t>
  </si>
  <si>
    <t xml:space="preserve">NET INCOME</t>
  </si>
  <si>
    <t xml:space="preserve">Margins</t>
  </si>
  <si>
    <t xml:space="preserve">Net Margin</t>
  </si>
  <si>
    <t xml:space="preserve">Balance Sheet</t>
  </si>
  <si>
    <t xml:space="preserve">Assets</t>
  </si>
  <si>
    <t xml:space="preserve">Cash</t>
  </si>
  <si>
    <t xml:space="preserve">Current Assets</t>
  </si>
  <si>
    <t xml:space="preserve">TOTAL ASSETS</t>
  </si>
  <si>
    <t xml:space="preserve">Liabilities</t>
  </si>
  <si>
    <t xml:space="preserve">Current Liabilities</t>
  </si>
  <si>
    <t xml:space="preserve">Long-Term Debt</t>
  </si>
  <si>
    <t xml:space="preserve">Total Liabilities</t>
  </si>
  <si>
    <t xml:space="preserve">Equity</t>
  </si>
  <si>
    <t xml:space="preserve">Share Capital</t>
  </si>
  <si>
    <t xml:space="preserve">Retained Earnings</t>
  </si>
  <si>
    <t xml:space="preserve">Total Equity</t>
  </si>
  <si>
    <t xml:space="preserve">TOTAL L&amp;E</t>
  </si>
  <si>
    <t xml:space="preserve">Balance Check</t>
  </si>
  <si>
    <t xml:space="preserve">Cash Flow Statement</t>
  </si>
  <si>
    <t xml:space="preserve">Indirect method</t>
  </si>
  <si>
    <t xml:space="preserve">Cash from Operations</t>
  </si>
  <si>
    <t xml:space="preserve">Net Income</t>
  </si>
  <si>
    <t xml:space="preserve">Depreciation (add-back)</t>
  </si>
  <si>
    <t xml:space="preserve">Working Capital Change</t>
  </si>
  <si>
    <t xml:space="preserve">CFO</t>
  </si>
  <si>
    <t xml:space="preserve">Cash from Investing</t>
  </si>
  <si>
    <t xml:space="preserve">CFI</t>
  </si>
  <si>
    <t xml:space="preserve">Cash from Financing</t>
  </si>
  <si>
    <t xml:space="preserve">Debt Drawdown</t>
  </si>
  <si>
    <t xml:space="preserve">Debt Repayment</t>
  </si>
  <si>
    <t xml:space="preserve">Interest Paid (memo)</t>
  </si>
  <si>
    <t xml:space="preserve">CFF</t>
  </si>
  <si>
    <t xml:space="preserve">Net Cash Flow</t>
  </si>
  <si>
    <t xml:space="preserve">Opening Cash</t>
  </si>
  <si>
    <t xml:space="preserve">Closing Cash</t>
  </si>
  <si>
    <t xml:space="preserve">Peak Funding Req</t>
  </si>
  <si>
    <t xml:space="preserve">Returns &amp; Valuation</t>
  </si>
  <si>
    <t xml:space="preserve">Unlevered Free Cash Flow</t>
  </si>
  <si>
    <t xml:space="preserve">Tax on EBIT</t>
  </si>
  <si>
    <t xml:space="preserve">NOPAT</t>
  </si>
  <si>
    <t xml:space="preserve">D&amp;A (add-back)</t>
  </si>
  <si>
    <t xml:space="preserve">WC Change</t>
  </si>
  <si>
    <t xml:space="preserve">UFCF</t>
  </si>
  <si>
    <t xml:space="preserve">DCF Valuation</t>
  </si>
  <si>
    <t xml:space="preserve">Discount Factor</t>
  </si>
  <si>
    <t xml:space="preserve">PV of UFCF</t>
  </si>
  <si>
    <t xml:space="preserve">Sum PV of UFCF</t>
  </si>
  <si>
    <t xml:space="preserve">Terminal Value</t>
  </si>
  <si>
    <t xml:space="preserve">PV of Terminal Value</t>
  </si>
  <si>
    <t xml:space="preserve">Enterprise Value</t>
  </si>
  <si>
    <t xml:space="preserve">Less: Net Debt</t>
  </si>
  <si>
    <t xml:space="preserve">Equity Value</t>
  </si>
  <si>
    <t xml:space="preserve">Return Metrics</t>
  </si>
  <si>
    <t xml:space="preserve">Equity Cash Flow</t>
  </si>
  <si>
    <t xml:space="preserve">Project IRR</t>
  </si>
  <si>
    <t xml:space="preserve">Equity IRR</t>
  </si>
  <si>
    <t xml:space="preserve">MOIC</t>
  </si>
  <si>
    <t xml:space="preserve">Payback Period</t>
  </si>
  <si>
    <t xml:space="preserve">Model Checks</t>
  </si>
  <si>
    <t xml:space="preserve">BS Balance</t>
  </si>
  <si>
    <t xml:space="preserve">Penetration &lt; 100%</t>
  </si>
  <si>
    <t xml:space="preserve">DSCR &gt;= 1.2x</t>
  </si>
  <si>
    <t xml:space="preserve">Cash &gt;= 0</t>
  </si>
  <si>
    <t xml:space="preserve">ARPU $40-$80</t>
  </si>
  <si>
    <t xml:space="preserve">GM 70%-90%</t>
  </si>
  <si>
    <t xml:space="preserve">Sub Reconciliation</t>
  </si>
  <si>
    <t xml:space="preserve">Capex = PP&amp;E Adds</t>
  </si>
</sst>
</file>

<file path=xl/styles.xml><?xml version="1.0" encoding="utf-8"?>
<styleSheet xmlns="http://schemas.openxmlformats.org/spreadsheetml/2006/main">
  <numFmts count="9">
    <numFmt numFmtId="164" formatCode="General"/>
    <numFmt numFmtId="165" formatCode="#,##0.00"/>
    <numFmt numFmtId="166" formatCode="0.00%"/>
    <numFmt numFmtId="167" formatCode="0"/>
    <numFmt numFmtId="168" formatCode="\$#,##0.00"/>
    <numFmt numFmtId="169" formatCode="0.00"/>
    <numFmt numFmtId="170" formatCode="0.000"/>
    <numFmt numFmtId="171" formatCode="0.00\x"/>
    <numFmt numFmtId="172" formatCode="@"/>
  </numFmts>
  <fonts count="22">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8"/>
      <color theme="0"/>
      <name val="Arial"/>
      <family val="0"/>
      <charset val="1"/>
    </font>
    <font>
      <b val="true"/>
      <sz val="11"/>
      <color theme="0"/>
      <name val="Arial"/>
      <family val="0"/>
      <charset val="1"/>
    </font>
    <font>
      <i val="true"/>
      <sz val="11"/>
      <color theme="0"/>
      <name val="Arial"/>
      <family val="0"/>
      <charset val="1"/>
    </font>
    <font>
      <sz val="11"/>
      <color theme="1"/>
      <name val="Arial"/>
      <family val="0"/>
      <charset val="1"/>
    </font>
    <font>
      <b val="true"/>
      <sz val="11"/>
      <name val="Arial"/>
      <family val="0"/>
      <charset val="1"/>
    </font>
    <font>
      <i val="true"/>
      <sz val="11"/>
      <color rgb="FF80808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
      <sz val="11"/>
      <color rgb="FF2E75B6"/>
      <name val="Arial"/>
      <family val="0"/>
      <charset val="1"/>
    </font>
  </fonts>
  <fills count="12">
    <fill>
      <patternFill patternType="none"/>
    </fill>
    <fill>
      <patternFill patternType="gray125"/>
    </fill>
    <fill>
      <patternFill patternType="solid">
        <fgColor theme="3"/>
        <bgColor rgb="FF1F4E79"/>
      </patternFill>
    </fill>
    <fill>
      <patternFill patternType="solid">
        <fgColor rgb="FF5B9BD5"/>
        <bgColor rgb="FF2E75B6"/>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A5A5A5"/>
        <bgColor rgb="FFC0C0C0"/>
      </patternFill>
    </fill>
    <fill>
      <patternFill patternType="solid">
        <fgColor rgb="FFD6E4F0"/>
        <bgColor rgb="FFEBF1FA"/>
      </patternFill>
    </fill>
    <fill>
      <patternFill patternType="solid">
        <fgColor rgb="FF1F4E79"/>
        <bgColor rgb="FF1F497D"/>
      </patternFill>
    </fill>
    <fill>
      <patternFill patternType="solid">
        <fgColor rgb="FFF2F2F2"/>
        <bgColor rgb="FFEBF1FA"/>
      </patternFill>
    </fill>
    <fill>
      <patternFill patternType="solid">
        <fgColor rgb="FFEBF1FA"/>
        <bgColor rgb="FFF2F2F2"/>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8" fillId="3"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8" fillId="5" borderId="0" xfId="0" applyFont="true" applyBorder="false" applyAlignment="false" applyProtection="false">
      <alignment horizontal="general" vertical="bottom" textRotation="0" wrapText="false" indent="0" shrinkToFit="false"/>
      <protection locked="true" hidden="false"/>
    </xf>
    <xf numFmtId="164" fontId="8" fillId="6" borderId="0" xfId="0" applyFont="true" applyBorder="false" applyAlignment="false" applyProtection="false">
      <alignment horizontal="general" vertical="bottom" textRotation="0" wrapText="false" indent="0" shrinkToFit="false"/>
      <protection locked="true" hidden="false"/>
    </xf>
    <xf numFmtId="164" fontId="8"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true" applyProtection="false">
      <alignment horizontal="left" vertical="center" textRotation="0" wrapText="false" indent="0" shrinkToFit="false"/>
      <protection locked="true" hidden="false"/>
    </xf>
    <xf numFmtId="164" fontId="8" fillId="8"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1" shrinkToFit="false"/>
      <protection locked="true" hidden="false"/>
    </xf>
    <xf numFmtId="164" fontId="17" fillId="0" borderId="0" xfId="0" applyFont="true" applyBorder="false" applyAlignment="true" applyProtection="false">
      <alignment horizontal="left" vertical="top" textRotation="0" wrapText="true" indent="1" shrinkToFit="false"/>
      <protection locked="true" hidden="false"/>
    </xf>
    <xf numFmtId="164" fontId="18" fillId="0" borderId="0" xfId="0" applyFont="true" applyBorder="false" applyAlignment="true" applyProtection="false">
      <alignment horizontal="left" vertical="center" textRotation="0" wrapText="false" indent="1" shrinkToFit="false"/>
      <protection locked="true" hidden="false"/>
    </xf>
    <xf numFmtId="164" fontId="11" fillId="0" borderId="0" xfId="0" applyFont="true" applyBorder="false" applyAlignment="true" applyProtection="false">
      <alignment horizontal="left" vertical="center" textRotation="0" wrapText="false" indent="1" shrinkToFit="false"/>
      <protection locked="true" hidden="false"/>
    </xf>
    <xf numFmtId="164" fontId="19" fillId="10" borderId="0" xfId="0" applyFont="true" applyBorder="false" applyAlignment="true" applyProtection="false">
      <alignment horizontal="left" vertical="top" textRotation="0" wrapText="true" indent="1" shrinkToFit="false"/>
      <protection locked="true" hidden="false"/>
    </xf>
    <xf numFmtId="164" fontId="20" fillId="0" borderId="0" xfId="0" applyFont="true" applyBorder="false" applyAlignment="true" applyProtection="false">
      <alignment horizontal="left" vertical="center" textRotation="0" wrapText="false" indent="1"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false">
      <alignment horizontal="left" vertical="center" textRotation="0" wrapText="false" indent="0" shrinkToFit="false"/>
      <protection locked="true" hidden="false"/>
    </xf>
    <xf numFmtId="164" fontId="16" fillId="9" borderId="0" xfId="0" applyFont="true" applyBorder="false" applyAlignment="true" applyProtection="false">
      <alignment horizontal="center" vertical="center"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5" fontId="21" fillId="11"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6" fontId="21" fillId="11" borderId="0" xfId="0" applyFont="true" applyBorder="false" applyAlignment="true" applyProtection="false">
      <alignment horizontal="right" vertical="center"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7" fontId="16" fillId="9" borderId="0" xfId="0" applyFont="true" applyBorder="fals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1" shrinkToFit="false"/>
      <protection locked="true" hidden="false"/>
    </xf>
    <xf numFmtId="165" fontId="0" fillId="0" borderId="0" xfId="0" applyFont="true" applyBorder="false" applyAlignment="true" applyProtection="false">
      <alignment horizontal="right" vertical="center" textRotation="0" wrapText="false" indent="0" shrinkToFit="false"/>
      <protection locked="true" hidden="false"/>
    </xf>
    <xf numFmtId="164" fontId="9" fillId="0" borderId="2" xfId="0" applyFont="true" applyBorder="true" applyAlignment="true" applyProtection="false">
      <alignment horizontal="left" vertical="center" textRotation="0" wrapText="false" indent="0" shrinkToFit="false"/>
      <protection locked="true" hidden="false"/>
    </xf>
    <xf numFmtId="165" fontId="9" fillId="0" borderId="2" xfId="0" applyFont="true" applyBorder="true" applyAlignment="true" applyProtection="false">
      <alignment horizontal="right" vertical="center" textRotation="0" wrapText="false" indent="0" shrinkToFit="false"/>
      <protection locked="true" hidden="false"/>
    </xf>
    <xf numFmtId="164" fontId="0" fillId="8" borderId="0" xfId="0" applyFont="true" applyBorder="false" applyAlignment="true" applyProtection="false">
      <alignment horizontal="left" vertical="center" textRotation="0" wrapText="false" indent="1" shrinkToFit="false"/>
      <protection locked="true" hidden="false"/>
    </xf>
    <xf numFmtId="165" fontId="0" fillId="8" borderId="0" xfId="0" applyFont="true" applyBorder="false" applyAlignment="true" applyProtection="false">
      <alignment horizontal="right" vertical="center" textRotation="0" wrapText="false" indent="0" shrinkToFit="false"/>
      <protection locked="true" hidden="false"/>
    </xf>
    <xf numFmtId="166" fontId="0" fillId="0" borderId="0" xfId="0" applyFont="true" applyBorder="false" applyAlignment="true" applyProtection="false">
      <alignment horizontal="right" vertical="center" textRotation="0" wrapText="false" indent="0" shrinkToFit="false"/>
      <protection locked="true" hidden="false"/>
    </xf>
    <xf numFmtId="168" fontId="0" fillId="0" borderId="0" xfId="0" applyFont="true" applyBorder="false" applyAlignment="true" applyProtection="false">
      <alignment horizontal="right" vertical="center" textRotation="0" wrapText="fals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5" fontId="9" fillId="0" borderId="3" xfId="0" applyFont="true" applyBorder="true" applyAlignment="true" applyProtection="false">
      <alignment horizontal="right"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5" fontId="9" fillId="0" borderId="0" xfId="0" applyFont="true" applyBorder="false" applyAlignment="true" applyProtection="false">
      <alignment horizontal="right" vertical="center" textRotation="0" wrapText="false" indent="0" shrinkToFit="false"/>
      <protection locked="true" hidden="false"/>
    </xf>
    <xf numFmtId="169" fontId="0" fillId="0" borderId="0" xfId="0" applyFont="true" applyBorder="false" applyAlignment="true" applyProtection="false">
      <alignment horizontal="right" vertical="center" textRotation="0" wrapText="false" indent="0" shrinkToFit="false"/>
      <protection locked="true" hidden="false"/>
    </xf>
    <xf numFmtId="170" fontId="0" fillId="0" borderId="0" xfId="0" applyFont="true" applyBorder="false" applyAlignment="true" applyProtection="false">
      <alignment horizontal="right" vertical="center" textRotation="0" wrapText="false" indent="0" shrinkToFit="false"/>
      <protection locked="true" hidden="false"/>
    </xf>
    <xf numFmtId="166" fontId="9" fillId="0" borderId="0" xfId="0" applyFont="true" applyBorder="false" applyAlignment="true" applyProtection="false">
      <alignment horizontal="right" vertical="center" textRotation="0" wrapText="false" indent="0" shrinkToFit="false"/>
      <protection locked="true" hidden="false"/>
    </xf>
    <xf numFmtId="171" fontId="9" fillId="0" borderId="0" xfId="0" applyFont="true" applyBorder="false" applyAlignment="true" applyProtection="false">
      <alignment horizontal="right" vertical="center" textRotation="0" wrapText="false" indent="0" shrinkToFit="false"/>
      <protection locked="true" hidden="false"/>
    </xf>
    <xf numFmtId="167" fontId="9" fillId="0" borderId="0" xfId="0" applyFont="true" applyBorder="false" applyAlignment="true" applyProtection="false">
      <alignment horizontal="right" vertical="center" textRotation="0" wrapText="false" indent="0" shrinkToFit="false"/>
      <protection locked="true" hidden="false"/>
    </xf>
    <xf numFmtId="172" fontId="0" fillId="0" borderId="0" xfId="0" applyFont="true" applyBorder="fals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BF1FA"/>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2E75B6"/>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25"/>
    <col collapsed="false" customWidth="true" hidden="false" outlineLevel="0" max="5"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5"/>
      <c r="B4" s="5"/>
      <c r="C4" s="5"/>
      <c r="D4" s="5"/>
      <c r="E4" s="5"/>
      <c r="F4" s="5"/>
      <c r="G4" s="5"/>
      <c r="H4" s="5"/>
      <c r="I4" s="5"/>
      <c r="J4" s="5"/>
      <c r="K4" s="5"/>
      <c r="L4" s="5"/>
      <c r="M4" s="5"/>
      <c r="N4" s="5"/>
      <c r="O4" s="5"/>
      <c r="P4" s="5"/>
      <c r="Q4" s="5"/>
      <c r="R4" s="5"/>
      <c r="S4" s="5"/>
      <c r="T4" s="5"/>
      <c r="U4" s="5"/>
      <c r="V4" s="5"/>
      <c r="W4" s="5"/>
      <c r="X4" s="5"/>
      <c r="Y4" s="5"/>
      <c r="Z4" s="5"/>
      <c r="AA4" s="5"/>
      <c r="AB4" s="5"/>
      <c r="AC4" s="5"/>
      <c r="AD4" s="5"/>
    </row>
    <row r="5" customFormat="false" ht="15" hidden="false" customHeight="false" outlineLevel="0" collapsed="false">
      <c r="A5" s="5"/>
      <c r="B5" s="6" t="s">
        <v>3</v>
      </c>
      <c r="C5" s="5"/>
      <c r="D5" s="5"/>
      <c r="E5" s="5"/>
      <c r="F5" s="5"/>
      <c r="G5" s="5"/>
      <c r="H5" s="5"/>
      <c r="I5" s="5"/>
      <c r="J5" s="5"/>
      <c r="K5" s="5"/>
      <c r="L5" s="5"/>
      <c r="M5" s="5"/>
      <c r="N5" s="5"/>
      <c r="O5" s="5"/>
      <c r="P5" s="5"/>
      <c r="Q5" s="5"/>
      <c r="R5" s="5"/>
      <c r="S5" s="5"/>
      <c r="T5" s="5"/>
      <c r="U5" s="5"/>
      <c r="V5" s="5"/>
      <c r="W5" s="5"/>
      <c r="X5" s="5"/>
      <c r="Y5" s="5"/>
      <c r="Z5" s="5"/>
      <c r="AA5" s="5"/>
      <c r="AB5" s="5"/>
      <c r="AC5" s="5"/>
      <c r="AD5" s="5"/>
    </row>
    <row r="6" customFormat="false" ht="15" hidden="false" customHeight="false" outlineLevel="0" collapsed="false">
      <c r="A6" s="5"/>
      <c r="B6" s="5"/>
      <c r="C6" s="5"/>
      <c r="D6" s="5"/>
      <c r="E6" s="5"/>
      <c r="F6" s="5"/>
      <c r="G6" s="5"/>
      <c r="H6" s="5"/>
      <c r="I6" s="5"/>
      <c r="J6" s="5"/>
      <c r="K6" s="5"/>
      <c r="L6" s="5"/>
      <c r="M6" s="5"/>
      <c r="N6" s="5"/>
      <c r="O6" s="5"/>
      <c r="P6" s="5"/>
      <c r="Q6" s="5"/>
      <c r="R6" s="5"/>
      <c r="S6" s="5"/>
      <c r="T6" s="5"/>
      <c r="U6" s="5"/>
      <c r="V6" s="5"/>
      <c r="W6" s="5"/>
      <c r="X6" s="5"/>
      <c r="Y6" s="5"/>
      <c r="Z6" s="5"/>
      <c r="AA6" s="5"/>
      <c r="AB6" s="5"/>
      <c r="AC6" s="5"/>
      <c r="AD6" s="5"/>
    </row>
    <row r="7" customFormat="false" ht="15" hidden="false" customHeight="false" outlineLevel="0" collapsed="false">
      <c r="A7" s="5"/>
      <c r="B7" s="7" t="s">
        <v>4</v>
      </c>
      <c r="C7" s="8" t="s">
        <v>5</v>
      </c>
      <c r="D7" s="9"/>
      <c r="E7" s="5"/>
      <c r="F7" s="5"/>
      <c r="G7" s="5"/>
      <c r="H7" s="5"/>
      <c r="I7" s="5"/>
      <c r="J7" s="5"/>
      <c r="K7" s="5"/>
      <c r="L7" s="5"/>
      <c r="M7" s="5"/>
      <c r="N7" s="5"/>
      <c r="O7" s="5"/>
      <c r="P7" s="5"/>
      <c r="Q7" s="5"/>
      <c r="R7" s="5"/>
      <c r="S7" s="5"/>
      <c r="T7" s="5"/>
      <c r="U7" s="5"/>
      <c r="V7" s="5"/>
      <c r="W7" s="5"/>
      <c r="X7" s="5"/>
      <c r="Y7" s="5"/>
      <c r="Z7" s="5"/>
      <c r="AA7" s="5"/>
      <c r="AB7" s="5"/>
      <c r="AC7" s="5"/>
      <c r="AD7" s="5"/>
    </row>
    <row r="8" customFormat="false" ht="15" hidden="false" customHeight="false" outlineLevel="0" collapsed="false">
      <c r="A8" s="5"/>
      <c r="B8" s="7" t="s">
        <v>6</v>
      </c>
      <c r="C8" s="8" t="s">
        <v>7</v>
      </c>
      <c r="D8" s="10"/>
      <c r="E8" s="5"/>
      <c r="F8" s="5"/>
      <c r="G8" s="5"/>
      <c r="H8" s="5"/>
      <c r="I8" s="5"/>
      <c r="J8" s="5"/>
      <c r="K8" s="5"/>
      <c r="L8" s="5"/>
      <c r="M8" s="5"/>
      <c r="N8" s="5"/>
      <c r="O8" s="5"/>
      <c r="P8" s="5"/>
      <c r="Q8" s="5"/>
      <c r="R8" s="5"/>
      <c r="S8" s="5"/>
      <c r="T8" s="5"/>
      <c r="U8" s="5"/>
      <c r="V8" s="5"/>
      <c r="W8" s="5"/>
      <c r="X8" s="5"/>
      <c r="Y8" s="5"/>
      <c r="Z8" s="5"/>
      <c r="AA8" s="5"/>
      <c r="AB8" s="5"/>
      <c r="AC8" s="5"/>
      <c r="AD8" s="5"/>
    </row>
    <row r="9" customFormat="false" ht="15" hidden="false" customHeight="false" outlineLevel="0" collapsed="false">
      <c r="A9" s="5"/>
      <c r="B9" s="7" t="s">
        <v>8</v>
      </c>
      <c r="C9" s="8" t="s">
        <v>9</v>
      </c>
      <c r="D9" s="11"/>
      <c r="E9" s="5"/>
      <c r="F9" s="5"/>
      <c r="G9" s="5"/>
      <c r="H9" s="5"/>
      <c r="I9" s="5"/>
      <c r="J9" s="5"/>
      <c r="K9" s="5"/>
      <c r="L9" s="5"/>
      <c r="M9" s="5"/>
      <c r="N9" s="5"/>
      <c r="O9" s="5"/>
      <c r="P9" s="5"/>
      <c r="Q9" s="5"/>
      <c r="R9" s="5"/>
      <c r="S9" s="5"/>
      <c r="T9" s="5"/>
      <c r="U9" s="5"/>
      <c r="V9" s="5"/>
      <c r="W9" s="5"/>
      <c r="X9" s="5"/>
      <c r="Y9" s="5"/>
      <c r="Z9" s="5"/>
      <c r="AA9" s="5"/>
      <c r="AB9" s="5"/>
      <c r="AC9" s="5"/>
      <c r="AD9" s="5"/>
    </row>
    <row r="10" customFormat="false" ht="15" hidden="false" customHeight="false" outlineLevel="0" collapsed="false">
      <c r="A10" s="5"/>
      <c r="B10" s="7" t="s">
        <v>10</v>
      </c>
      <c r="C10" s="8" t="s">
        <v>11</v>
      </c>
      <c r="D10" s="11"/>
      <c r="E10" s="5"/>
      <c r="F10" s="5"/>
      <c r="G10" s="5"/>
      <c r="H10" s="5"/>
      <c r="I10" s="5"/>
      <c r="J10" s="5"/>
      <c r="K10" s="5"/>
      <c r="L10" s="5"/>
      <c r="M10" s="5"/>
      <c r="N10" s="5"/>
      <c r="O10" s="5"/>
      <c r="P10" s="5"/>
      <c r="Q10" s="5"/>
      <c r="R10" s="5"/>
      <c r="S10" s="5"/>
      <c r="T10" s="5"/>
      <c r="U10" s="5"/>
      <c r="V10" s="5"/>
      <c r="W10" s="5"/>
      <c r="X10" s="5"/>
      <c r="Y10" s="5"/>
      <c r="Z10" s="5"/>
      <c r="AA10" s="5"/>
      <c r="AB10" s="5"/>
      <c r="AC10" s="5"/>
      <c r="AD10" s="5"/>
    </row>
    <row r="11" customFormat="false" ht="15" hidden="false" customHeight="false" outlineLevel="0" collapsed="false">
      <c r="A11" s="5"/>
      <c r="B11" s="7" t="s">
        <v>12</v>
      </c>
      <c r="C11" s="8" t="s">
        <v>13</v>
      </c>
      <c r="D11" s="12"/>
      <c r="E11" s="5"/>
      <c r="F11" s="5"/>
      <c r="G11" s="5"/>
      <c r="H11" s="5"/>
      <c r="I11" s="5"/>
      <c r="J11" s="5"/>
      <c r="K11" s="5"/>
      <c r="L11" s="5"/>
      <c r="M11" s="5"/>
      <c r="N11" s="5"/>
      <c r="O11" s="5"/>
      <c r="P11" s="5"/>
      <c r="Q11" s="5"/>
      <c r="R11" s="5"/>
      <c r="S11" s="5"/>
      <c r="T11" s="5"/>
      <c r="U11" s="5"/>
      <c r="V11" s="5"/>
      <c r="W11" s="5"/>
      <c r="X11" s="5"/>
      <c r="Y11" s="5"/>
      <c r="Z11" s="5"/>
      <c r="AA11" s="5"/>
      <c r="AB11" s="5"/>
      <c r="AC11" s="5"/>
      <c r="AD11" s="5"/>
    </row>
    <row r="12" customFormat="false" ht="15" hidden="false" customHeight="false" outlineLevel="0" collapsed="false">
      <c r="A12" s="5"/>
      <c r="B12" s="7" t="s">
        <v>14</v>
      </c>
      <c r="C12" s="8" t="s">
        <v>15</v>
      </c>
      <c r="D12" s="12"/>
      <c r="E12" s="5"/>
      <c r="F12" s="5"/>
      <c r="G12" s="5"/>
      <c r="H12" s="5"/>
      <c r="I12" s="5"/>
      <c r="J12" s="5"/>
      <c r="K12" s="5"/>
      <c r="L12" s="5"/>
      <c r="M12" s="5"/>
      <c r="N12" s="5"/>
      <c r="O12" s="5"/>
      <c r="P12" s="5"/>
      <c r="Q12" s="5"/>
      <c r="R12" s="5"/>
      <c r="S12" s="5"/>
      <c r="T12" s="5"/>
      <c r="U12" s="5"/>
      <c r="V12" s="5"/>
      <c r="W12" s="5"/>
      <c r="X12" s="5"/>
      <c r="Y12" s="5"/>
      <c r="Z12" s="5"/>
      <c r="AA12" s="5"/>
      <c r="AB12" s="5"/>
      <c r="AC12" s="5"/>
      <c r="AD12" s="5"/>
    </row>
    <row r="13" customFormat="false" ht="15" hidden="false" customHeight="false" outlineLevel="0" collapsed="false">
      <c r="A13" s="5"/>
      <c r="B13" s="7" t="s">
        <v>16</v>
      </c>
      <c r="C13" s="8" t="s">
        <v>17</v>
      </c>
      <c r="D13" s="12"/>
      <c r="E13" s="5"/>
      <c r="F13" s="5"/>
      <c r="G13" s="5"/>
      <c r="H13" s="5"/>
      <c r="I13" s="5"/>
      <c r="J13" s="5"/>
      <c r="K13" s="5"/>
      <c r="L13" s="5"/>
      <c r="M13" s="5"/>
      <c r="N13" s="5"/>
      <c r="O13" s="5"/>
      <c r="P13" s="5"/>
      <c r="Q13" s="5"/>
      <c r="R13" s="5"/>
      <c r="S13" s="5"/>
      <c r="T13" s="5"/>
      <c r="U13" s="5"/>
      <c r="V13" s="5"/>
      <c r="W13" s="5"/>
      <c r="X13" s="5"/>
      <c r="Y13" s="5"/>
      <c r="Z13" s="5"/>
      <c r="AA13" s="5"/>
      <c r="AB13" s="5"/>
      <c r="AC13" s="5"/>
      <c r="AD13" s="5"/>
    </row>
    <row r="14" customFormat="false" ht="15" hidden="false" customHeight="false" outlineLevel="0" collapsed="false">
      <c r="A14" s="5"/>
      <c r="B14" s="7" t="s">
        <v>18</v>
      </c>
      <c r="C14" s="8" t="s">
        <v>19</v>
      </c>
      <c r="D14" s="13"/>
      <c r="E14" s="5"/>
      <c r="F14" s="5"/>
      <c r="G14" s="5"/>
      <c r="H14" s="5"/>
      <c r="I14" s="5"/>
      <c r="J14" s="5"/>
      <c r="K14" s="5"/>
      <c r="L14" s="5"/>
      <c r="M14" s="5"/>
      <c r="N14" s="5"/>
      <c r="O14" s="5"/>
      <c r="P14" s="5"/>
      <c r="Q14" s="5"/>
      <c r="R14" s="5"/>
      <c r="S14" s="5"/>
      <c r="T14" s="5"/>
      <c r="U14" s="5"/>
      <c r="V14" s="5"/>
      <c r="W14" s="5"/>
      <c r="X14" s="5"/>
      <c r="Y14" s="5"/>
      <c r="Z14" s="5"/>
      <c r="AA14" s="5"/>
      <c r="AB14" s="5"/>
      <c r="AC14" s="5"/>
      <c r="AD14" s="5"/>
    </row>
    <row r="15" customFormat="false" ht="15" hidden="false" customHeight="false" outlineLevel="0" collapsed="false">
      <c r="A15" s="5"/>
      <c r="B15" s="7" t="s">
        <v>20</v>
      </c>
      <c r="C15" s="8" t="s">
        <v>21</v>
      </c>
      <c r="D15" s="14"/>
      <c r="E15" s="5"/>
      <c r="F15" s="5"/>
      <c r="G15" s="5"/>
      <c r="H15" s="5"/>
      <c r="I15" s="5"/>
      <c r="J15" s="5"/>
      <c r="K15" s="5"/>
      <c r="L15" s="5"/>
      <c r="M15" s="5"/>
      <c r="N15" s="5"/>
      <c r="O15" s="5"/>
      <c r="P15" s="5"/>
      <c r="Q15" s="5"/>
      <c r="R15" s="5"/>
      <c r="S15" s="5"/>
      <c r="T15" s="5"/>
      <c r="U15" s="5"/>
      <c r="V15" s="5"/>
      <c r="W15" s="5"/>
      <c r="X15" s="5"/>
      <c r="Y15" s="5"/>
      <c r="Z15" s="5"/>
      <c r="AA15" s="5"/>
      <c r="AB15" s="5"/>
      <c r="AC15" s="5"/>
      <c r="AD15" s="5"/>
    </row>
    <row r="16" customFormat="false" ht="15" hidden="false" customHeight="false" outlineLevel="0" collapsed="false">
      <c r="A16" s="5"/>
      <c r="B16" s="7" t="s">
        <v>22</v>
      </c>
      <c r="C16" s="8" t="s">
        <v>23</v>
      </c>
      <c r="D16" s="14"/>
      <c r="E16" s="5"/>
      <c r="F16" s="5"/>
      <c r="G16" s="5"/>
      <c r="H16" s="5"/>
      <c r="I16" s="5"/>
      <c r="J16" s="5"/>
      <c r="K16" s="5"/>
      <c r="L16" s="5"/>
      <c r="M16" s="5"/>
      <c r="N16" s="5"/>
      <c r="O16" s="5"/>
      <c r="P16" s="5"/>
      <c r="Q16" s="5"/>
      <c r="R16" s="5"/>
      <c r="S16" s="5"/>
      <c r="T16" s="5"/>
      <c r="U16" s="5"/>
      <c r="V16" s="5"/>
      <c r="W16" s="5"/>
      <c r="X16" s="5"/>
      <c r="Y16" s="5"/>
      <c r="Z16" s="5"/>
      <c r="AA16" s="5"/>
      <c r="AB16" s="5"/>
      <c r="AC16" s="5"/>
      <c r="AD16" s="5"/>
    </row>
    <row r="17" customFormat="false" ht="15" hidden="false" customHeight="false" outlineLevel="0" collapsed="false">
      <c r="A17" s="5"/>
      <c r="B17" s="7" t="s">
        <v>24</v>
      </c>
      <c r="C17" s="8" t="s">
        <v>25</v>
      </c>
      <c r="D17" s="14"/>
      <c r="E17" s="5"/>
      <c r="F17" s="5"/>
      <c r="G17" s="5"/>
      <c r="H17" s="5"/>
      <c r="I17" s="5"/>
      <c r="J17" s="5"/>
      <c r="K17" s="5"/>
      <c r="L17" s="5"/>
      <c r="M17" s="5"/>
      <c r="N17" s="5"/>
      <c r="O17" s="5"/>
      <c r="P17" s="5"/>
      <c r="Q17" s="5"/>
      <c r="R17" s="5"/>
      <c r="S17" s="5"/>
      <c r="T17" s="5"/>
      <c r="U17" s="5"/>
      <c r="V17" s="5"/>
      <c r="W17" s="5"/>
      <c r="X17" s="5"/>
      <c r="Y17" s="5"/>
      <c r="Z17" s="5"/>
      <c r="AA17" s="5"/>
      <c r="AB17" s="5"/>
      <c r="AC17" s="5"/>
      <c r="AD17" s="5"/>
    </row>
    <row r="18" customFormat="false" ht="15" hidden="false" customHeight="false" outlineLevel="0" collapsed="false">
      <c r="A18" s="5"/>
      <c r="B18" s="7" t="s">
        <v>26</v>
      </c>
      <c r="C18" s="8" t="s">
        <v>27</v>
      </c>
      <c r="D18" s="14"/>
      <c r="E18" s="5"/>
      <c r="F18" s="5"/>
      <c r="G18" s="5"/>
      <c r="H18" s="5"/>
      <c r="I18" s="5"/>
      <c r="J18" s="5"/>
      <c r="K18" s="5"/>
      <c r="L18" s="5"/>
      <c r="M18" s="5"/>
      <c r="N18" s="5"/>
      <c r="O18" s="5"/>
      <c r="P18" s="5"/>
      <c r="Q18" s="5"/>
      <c r="R18" s="5"/>
      <c r="S18" s="5"/>
      <c r="T18" s="5"/>
      <c r="U18" s="5"/>
      <c r="V18" s="5"/>
      <c r="W18" s="5"/>
      <c r="X18" s="5"/>
      <c r="Y18" s="5"/>
      <c r="Z18" s="5"/>
      <c r="AA18" s="5"/>
      <c r="AB18" s="5"/>
      <c r="AC18" s="5"/>
      <c r="AD18" s="5"/>
    </row>
    <row r="19" customFormat="false" ht="15" hidden="false" customHeight="false" outlineLevel="0" collapsed="false">
      <c r="A19" s="5"/>
      <c r="B19" s="7" t="s">
        <v>28</v>
      </c>
      <c r="C19" s="8" t="s">
        <v>29</v>
      </c>
      <c r="D19" s="13"/>
      <c r="E19" s="5"/>
      <c r="F19" s="5"/>
      <c r="G19" s="5"/>
      <c r="H19" s="5"/>
      <c r="I19" s="5"/>
      <c r="J19" s="5"/>
      <c r="K19" s="5"/>
      <c r="L19" s="5"/>
      <c r="M19" s="5"/>
      <c r="N19" s="5"/>
      <c r="O19" s="5"/>
      <c r="P19" s="5"/>
      <c r="Q19" s="5"/>
      <c r="R19" s="5"/>
      <c r="S19" s="5"/>
      <c r="T19" s="5"/>
      <c r="U19" s="5"/>
      <c r="V19" s="5"/>
      <c r="W19" s="5"/>
      <c r="X19" s="5"/>
      <c r="Y19" s="5"/>
      <c r="Z19" s="5"/>
      <c r="AA19" s="5"/>
      <c r="AB19" s="5"/>
      <c r="AC19" s="5"/>
      <c r="AD19" s="5"/>
    </row>
    <row r="20" customFormat="false" ht="15" hidden="false" customHeight="false" outlineLevel="0" collapsed="false">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row>
    <row r="21" customFormat="false" ht="15" hidden="false" customHeight="false" outlineLevel="0" collapsed="false">
      <c r="A21" s="5"/>
      <c r="B21" s="6" t="s">
        <v>30</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row>
    <row r="22" customFormat="false" ht="15" hidden="false" customHeight="false" outlineLevel="0" collapsed="false">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row>
    <row r="23" customFormat="false" ht="15" hidden="false" customHeight="false" outlineLevel="0" collapsed="false">
      <c r="A23" s="5"/>
      <c r="B23" s="7" t="s">
        <v>31</v>
      </c>
      <c r="C23" s="8" t="s">
        <v>4</v>
      </c>
      <c r="D23" s="9"/>
      <c r="E23" s="5"/>
      <c r="F23" s="5"/>
      <c r="G23" s="5"/>
      <c r="H23" s="5"/>
      <c r="I23" s="5"/>
      <c r="J23" s="5"/>
      <c r="K23" s="5"/>
      <c r="L23" s="5"/>
      <c r="M23" s="5"/>
      <c r="N23" s="5"/>
      <c r="O23" s="5"/>
      <c r="P23" s="5"/>
      <c r="Q23" s="5"/>
      <c r="R23" s="5"/>
      <c r="S23" s="5"/>
      <c r="T23" s="5"/>
      <c r="U23" s="5"/>
      <c r="V23" s="5"/>
      <c r="W23" s="5"/>
      <c r="X23" s="5"/>
      <c r="Y23" s="5"/>
      <c r="Z23" s="5"/>
      <c r="AA23" s="5"/>
      <c r="AB23" s="5"/>
      <c r="AC23" s="5"/>
      <c r="AD23" s="5"/>
    </row>
    <row r="24" customFormat="false" ht="15" hidden="false" customHeight="false" outlineLevel="0" collapsed="false">
      <c r="A24" s="5"/>
      <c r="B24" s="7" t="s">
        <v>32</v>
      </c>
      <c r="C24" s="8" t="s">
        <v>6</v>
      </c>
      <c r="D24" s="10"/>
      <c r="E24" s="5"/>
      <c r="F24" s="5"/>
      <c r="G24" s="5"/>
      <c r="H24" s="5"/>
      <c r="I24" s="5"/>
      <c r="J24" s="5"/>
      <c r="K24" s="5"/>
      <c r="L24" s="5"/>
      <c r="M24" s="5"/>
      <c r="N24" s="5"/>
      <c r="O24" s="5"/>
      <c r="P24" s="5"/>
      <c r="Q24" s="5"/>
      <c r="R24" s="5"/>
      <c r="S24" s="5"/>
      <c r="T24" s="5"/>
      <c r="U24" s="5"/>
      <c r="V24" s="5"/>
      <c r="W24" s="5"/>
      <c r="X24" s="5"/>
      <c r="Y24" s="5"/>
      <c r="Z24" s="5"/>
      <c r="AA24" s="5"/>
      <c r="AB24" s="5"/>
      <c r="AC24" s="5"/>
      <c r="AD24" s="5"/>
    </row>
    <row r="25" customFormat="false" ht="15" hidden="false" customHeight="false" outlineLevel="0" collapsed="false">
      <c r="A25" s="5"/>
      <c r="B25" s="7" t="s">
        <v>33</v>
      </c>
      <c r="C25" s="8" t="s">
        <v>34</v>
      </c>
      <c r="D25" s="11"/>
      <c r="E25" s="5"/>
      <c r="F25" s="5"/>
      <c r="G25" s="5"/>
      <c r="H25" s="5"/>
      <c r="I25" s="5"/>
      <c r="J25" s="5"/>
      <c r="K25" s="5"/>
      <c r="L25" s="5"/>
      <c r="M25" s="5"/>
      <c r="N25" s="5"/>
      <c r="O25" s="5"/>
      <c r="P25" s="5"/>
      <c r="Q25" s="5"/>
      <c r="R25" s="5"/>
      <c r="S25" s="5"/>
      <c r="T25" s="5"/>
      <c r="U25" s="5"/>
      <c r="V25" s="5"/>
      <c r="W25" s="5"/>
      <c r="X25" s="5"/>
      <c r="Y25" s="5"/>
      <c r="Z25" s="5"/>
      <c r="AA25" s="5"/>
      <c r="AB25" s="5"/>
      <c r="AC25" s="5"/>
      <c r="AD25" s="5"/>
    </row>
    <row r="26" customFormat="false" ht="15" hidden="false" customHeight="false" outlineLevel="0" collapsed="false">
      <c r="A26" s="5"/>
      <c r="B26" s="7" t="s">
        <v>35</v>
      </c>
      <c r="C26" s="8" t="s">
        <v>36</v>
      </c>
      <c r="D26" s="12"/>
      <c r="E26" s="5"/>
      <c r="F26" s="5"/>
      <c r="G26" s="5"/>
      <c r="H26" s="5"/>
      <c r="I26" s="5"/>
      <c r="J26" s="5"/>
      <c r="K26" s="5"/>
      <c r="L26" s="5"/>
      <c r="M26" s="5"/>
      <c r="N26" s="5"/>
      <c r="O26" s="5"/>
      <c r="P26" s="5"/>
      <c r="Q26" s="5"/>
      <c r="R26" s="5"/>
      <c r="S26" s="5"/>
      <c r="T26" s="5"/>
      <c r="U26" s="5"/>
      <c r="V26" s="5"/>
      <c r="W26" s="5"/>
      <c r="X26" s="5"/>
      <c r="Y26" s="5"/>
      <c r="Z26" s="5"/>
      <c r="AA26" s="5"/>
      <c r="AB26" s="5"/>
      <c r="AC26" s="5"/>
      <c r="AD26" s="5"/>
    </row>
    <row r="27" customFormat="false" ht="15" hidden="false" customHeight="false" outlineLevel="0" collapsed="false">
      <c r="A27" s="5"/>
      <c r="B27" s="7" t="s">
        <v>37</v>
      </c>
      <c r="C27" s="8" t="s">
        <v>38</v>
      </c>
      <c r="D27" s="13"/>
      <c r="E27" s="5"/>
      <c r="F27" s="5"/>
      <c r="G27" s="5"/>
      <c r="H27" s="5"/>
      <c r="I27" s="5"/>
      <c r="J27" s="5"/>
      <c r="K27" s="5"/>
      <c r="L27" s="5"/>
      <c r="M27" s="5"/>
      <c r="N27" s="5"/>
      <c r="O27" s="5"/>
      <c r="P27" s="5"/>
      <c r="Q27" s="5"/>
      <c r="R27" s="5"/>
      <c r="S27" s="5"/>
      <c r="T27" s="5"/>
      <c r="U27" s="5"/>
      <c r="V27" s="5"/>
      <c r="W27" s="5"/>
      <c r="X27" s="5"/>
      <c r="Y27" s="5"/>
      <c r="Z27" s="5"/>
      <c r="AA27" s="5"/>
      <c r="AB27" s="5"/>
      <c r="AC27" s="5"/>
      <c r="AD27" s="5"/>
    </row>
    <row r="28" customFormat="false" ht="15" hidden="false" customHeight="false" outlineLevel="0" collapsed="false">
      <c r="A28" s="5"/>
      <c r="B28" s="7" t="s">
        <v>39</v>
      </c>
      <c r="C28" s="8" t="s">
        <v>40</v>
      </c>
      <c r="D28" s="14"/>
      <c r="E28" s="5"/>
      <c r="F28" s="5"/>
      <c r="G28" s="5"/>
      <c r="H28" s="5"/>
      <c r="I28" s="5"/>
      <c r="J28" s="5"/>
      <c r="K28" s="5"/>
      <c r="L28" s="5"/>
      <c r="M28" s="5"/>
      <c r="N28" s="5"/>
      <c r="O28" s="5"/>
      <c r="P28" s="5"/>
      <c r="Q28" s="5"/>
      <c r="R28" s="5"/>
      <c r="S28" s="5"/>
      <c r="T28" s="5"/>
      <c r="U28" s="5"/>
      <c r="V28" s="5"/>
      <c r="W28" s="5"/>
      <c r="X28" s="5"/>
      <c r="Y28" s="5"/>
      <c r="Z28" s="5"/>
      <c r="AA28" s="5"/>
      <c r="AB28" s="5"/>
      <c r="AC28" s="5"/>
      <c r="AD28" s="5"/>
    </row>
    <row r="29" customFormat="false" ht="15" hidden="false" customHeight="false" outlineLevel="0" collapsed="false">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row>
    <row r="30" customFormat="false" ht="15" hidden="false" customHeight="false" outlineLevel="0" collapsed="false">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row>
    <row r="31" customFormat="false" ht="19.5" hidden="false" customHeight="true" outlineLevel="0" collapsed="false">
      <c r="A31" s="5"/>
      <c r="B31" s="15" t="s">
        <v>41</v>
      </c>
      <c r="C31" s="16"/>
      <c r="D31" s="16"/>
      <c r="E31" s="16"/>
      <c r="F31" s="16"/>
      <c r="G31" s="16"/>
      <c r="H31" s="5"/>
      <c r="I31" s="5"/>
      <c r="J31" s="5"/>
      <c r="K31" s="5"/>
      <c r="L31" s="5"/>
      <c r="M31" s="5"/>
      <c r="N31" s="5"/>
      <c r="O31" s="5"/>
      <c r="P31" s="5"/>
      <c r="Q31" s="5"/>
      <c r="R31" s="5"/>
      <c r="S31" s="5"/>
      <c r="T31" s="5"/>
      <c r="U31" s="5"/>
      <c r="V31" s="5"/>
      <c r="W31" s="5"/>
      <c r="X31" s="5"/>
      <c r="Y31" s="5"/>
      <c r="Z31" s="5"/>
      <c r="AA31" s="5"/>
      <c r="AB31" s="5"/>
      <c r="AC31" s="5"/>
      <c r="AD31" s="5"/>
    </row>
    <row r="32" customFormat="false" ht="220.5" hidden="false" customHeight="true" outlineLevel="0" collapsed="false">
      <c r="A32" s="5"/>
      <c r="B32" s="17" t="s">
        <v>42</v>
      </c>
      <c r="C32" s="17"/>
      <c r="D32" s="17"/>
      <c r="E32" s="17"/>
      <c r="F32" s="17"/>
      <c r="G32" s="17"/>
      <c r="H32" s="5"/>
      <c r="I32" s="5"/>
      <c r="J32" s="5"/>
      <c r="K32" s="5"/>
      <c r="L32" s="5"/>
      <c r="M32" s="5"/>
      <c r="N32" s="5"/>
      <c r="O32" s="5"/>
      <c r="P32" s="5"/>
      <c r="Q32" s="5"/>
      <c r="R32" s="5"/>
      <c r="S32" s="5"/>
      <c r="T32" s="5"/>
      <c r="U32" s="5"/>
      <c r="V32" s="5"/>
      <c r="W32" s="5"/>
      <c r="X32" s="5"/>
      <c r="Y32" s="5"/>
      <c r="Z32" s="5"/>
      <c r="AA32" s="5"/>
      <c r="AB32" s="5"/>
      <c r="AC32" s="5"/>
      <c r="AD32" s="5"/>
    </row>
    <row r="33" customFormat="false" ht="15" hidden="false" customHeight="false" outlineLevel="0" collapsed="false">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row>
    <row r="34" customFormat="false" ht="19.5" hidden="false" customHeight="true" outlineLevel="0" collapsed="false">
      <c r="A34" s="5"/>
      <c r="B34" s="15" t="s">
        <v>43</v>
      </c>
      <c r="C34" s="16"/>
      <c r="D34" s="16"/>
      <c r="E34" s="16"/>
      <c r="F34" s="16"/>
      <c r="G34" s="16"/>
      <c r="H34" s="5"/>
      <c r="I34" s="5"/>
      <c r="J34" s="5"/>
      <c r="K34" s="5"/>
      <c r="L34" s="5"/>
      <c r="M34" s="5"/>
      <c r="N34" s="5"/>
      <c r="O34" s="5"/>
      <c r="P34" s="5"/>
      <c r="Q34" s="5"/>
      <c r="R34" s="5"/>
      <c r="S34" s="5"/>
      <c r="T34" s="5"/>
      <c r="U34" s="5"/>
      <c r="V34" s="5"/>
      <c r="W34" s="5"/>
      <c r="X34" s="5"/>
      <c r="Y34" s="5"/>
      <c r="Z34" s="5"/>
      <c r="AA34" s="5"/>
      <c r="AB34" s="5"/>
      <c r="AC34" s="5"/>
      <c r="AD34" s="5"/>
    </row>
    <row r="35" customFormat="false" ht="57" hidden="false" customHeight="true" outlineLevel="0" collapsed="false">
      <c r="A35" s="5"/>
      <c r="B35" s="17" t="s">
        <v>44</v>
      </c>
      <c r="C35" s="17"/>
      <c r="D35" s="17"/>
      <c r="E35" s="17"/>
      <c r="F35" s="17"/>
      <c r="G35" s="17"/>
      <c r="H35" s="5"/>
      <c r="I35" s="5"/>
      <c r="J35" s="5"/>
      <c r="K35" s="5"/>
      <c r="L35" s="5"/>
      <c r="M35" s="5"/>
      <c r="N35" s="5"/>
      <c r="O35" s="5"/>
      <c r="P35" s="5"/>
      <c r="Q35" s="5"/>
      <c r="R35" s="5"/>
      <c r="S35" s="5"/>
      <c r="T35" s="5"/>
      <c r="U35" s="5"/>
      <c r="V35" s="5"/>
      <c r="W35" s="5"/>
      <c r="X35" s="5"/>
      <c r="Y35" s="5"/>
      <c r="Z35" s="5"/>
      <c r="AA35" s="5"/>
      <c r="AB35" s="5"/>
      <c r="AC35" s="5"/>
      <c r="AD35" s="5"/>
    </row>
    <row r="36" customFormat="false" ht="15" hidden="false" customHeight="false" outlineLevel="0" collapsed="false">
      <c r="A36" s="5"/>
      <c r="B36" s="18" t="s">
        <v>45</v>
      </c>
      <c r="C36" s="18"/>
      <c r="D36" s="18"/>
      <c r="E36" s="18"/>
      <c r="F36" s="18"/>
      <c r="G36" s="18"/>
      <c r="H36" s="5"/>
      <c r="I36" s="5"/>
      <c r="J36" s="5"/>
      <c r="K36" s="5"/>
      <c r="L36" s="5"/>
      <c r="M36" s="5"/>
      <c r="N36" s="5"/>
      <c r="O36" s="5"/>
      <c r="P36" s="5"/>
      <c r="Q36" s="5"/>
      <c r="R36" s="5"/>
      <c r="S36" s="5"/>
      <c r="T36" s="5"/>
      <c r="U36" s="5"/>
      <c r="V36" s="5"/>
      <c r="W36" s="5"/>
      <c r="X36" s="5"/>
      <c r="Y36" s="5"/>
      <c r="Z36" s="5"/>
      <c r="AA36" s="5"/>
      <c r="AB36" s="5"/>
      <c r="AC36" s="5"/>
      <c r="AD36" s="5"/>
    </row>
    <row r="37" customFormat="false" ht="15" hidden="false" customHeight="false" outlineLevel="0" collapsed="false">
      <c r="A37" s="5"/>
      <c r="B37" s="19" t="s">
        <v>46</v>
      </c>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row>
  </sheetData>
  <mergeCells count="3">
    <mergeCell ref="B32:G32"/>
    <mergeCell ref="B35:G35"/>
    <mergeCell ref="B36:G3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244</v>
      </c>
      <c r="C2" s="5"/>
      <c r="D2" s="5"/>
      <c r="E2" s="5"/>
      <c r="F2" s="5"/>
      <c r="G2" s="5"/>
      <c r="H2" s="5"/>
      <c r="I2" s="5"/>
    </row>
    <row r="3" customFormat="false" ht="15" hidden="false" customHeight="false" outlineLevel="0" collapsed="false">
      <c r="A3" s="5"/>
      <c r="B3" s="8" t="s">
        <v>245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47" t="s">
        <v>187</v>
      </c>
      <c r="C8" s="48" t="n">
        <f aca="false">SR_Total_Revenue</f>
        <v>0</v>
      </c>
      <c r="D8" s="48" t="n">
        <f aca="false">SR_Total_Revenue</f>
        <v>2831546.66666667</v>
      </c>
      <c r="E8" s="48" t="n">
        <f aca="false">SR_Total_Revenue</f>
        <v>11414314.8317333</v>
      </c>
      <c r="F8" s="48" t="n">
        <f aca="false">SR_Total_Revenue</f>
        <v>21052889.6051573</v>
      </c>
      <c r="G8" s="48" t="n">
        <f aca="false">SR_Total_Revenue</f>
        <v>27800261.3654731</v>
      </c>
      <c r="H8" s="48" t="n">
        <f aca="false">SR_Total_Revenue</f>
        <v>32591130.4134998</v>
      </c>
      <c r="I8" s="48" t="n">
        <f aca="false">SR_Total_Revenue</f>
        <v>35917866.6302167</v>
      </c>
    </row>
    <row r="9" customFormat="false" ht="15" hidden="false" customHeight="false" outlineLevel="0" collapsed="false">
      <c r="A9" s="5"/>
      <c r="B9" s="37" t="s">
        <v>198</v>
      </c>
      <c r="C9" s="38" t="n">
        <f aca="false">-OC_COGS</f>
        <v>-0</v>
      </c>
      <c r="D9" s="38" t="n">
        <f aca="false">-OC_COGS</f>
        <v>-566309.333333333</v>
      </c>
      <c r="E9" s="38" t="n">
        <f aca="false">-OC_COGS</f>
        <v>-2282862.96634667</v>
      </c>
      <c r="F9" s="38" t="n">
        <f aca="false">-OC_COGS</f>
        <v>-4210577.92103146</v>
      </c>
      <c r="G9" s="38" t="n">
        <f aca="false">-OC_COGS</f>
        <v>-5560052.27309461</v>
      </c>
      <c r="H9" s="38" t="n">
        <f aca="false">-OC_COGS</f>
        <v>-6518226.08269997</v>
      </c>
      <c r="I9" s="38" t="n">
        <f aca="false">-OC_COGS</f>
        <v>-7183573.32604335</v>
      </c>
    </row>
    <row r="10" customFormat="false" ht="15" hidden="false" customHeight="false" outlineLevel="0" collapsed="false">
      <c r="A10" s="5"/>
      <c r="B10" s="39" t="s">
        <v>199</v>
      </c>
      <c r="C10" s="40" t="n">
        <f aca="false">C8+C9</f>
        <v>0</v>
      </c>
      <c r="D10" s="40" t="n">
        <f aca="false">D8+D9</f>
        <v>2265237.33333333</v>
      </c>
      <c r="E10" s="40" t="n">
        <f aca="false">E8+E9</f>
        <v>9131451.86538667</v>
      </c>
      <c r="F10" s="40" t="n">
        <f aca="false">F8+F9</f>
        <v>16842311.6841258</v>
      </c>
      <c r="G10" s="40" t="n">
        <f aca="false">G8+G9</f>
        <v>22240209.0923785</v>
      </c>
      <c r="H10" s="40" t="n">
        <f aca="false">H8+H9</f>
        <v>26072904.3307999</v>
      </c>
      <c r="I10" s="40" t="n">
        <f aca="false">I8+I9</f>
        <v>28734293.3041734</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31" t="s">
        <v>132</v>
      </c>
      <c r="C12" s="16"/>
      <c r="D12" s="16"/>
      <c r="E12" s="16"/>
      <c r="F12" s="16"/>
      <c r="G12" s="16"/>
      <c r="H12" s="16"/>
      <c r="I12" s="16"/>
    </row>
    <row r="13" customFormat="false" ht="15" hidden="false" customHeight="false" outlineLevel="0" collapsed="false">
      <c r="A13" s="5"/>
      <c r="B13" s="37" t="s">
        <v>133</v>
      </c>
      <c r="C13" s="38" t="n">
        <f aca="false">-OC_NOC</f>
        <v>-0</v>
      </c>
      <c r="D13" s="38" t="n">
        <f aca="false">-OC_NOC</f>
        <v>-84946.4</v>
      </c>
      <c r="E13" s="38" t="n">
        <f aca="false">-OC_NOC</f>
        <v>-342429.444952</v>
      </c>
      <c r="F13" s="38" t="n">
        <f aca="false">-OC_NOC</f>
        <v>-631586.688154719</v>
      </c>
      <c r="G13" s="38" t="n">
        <f aca="false">-OC_NOC</f>
        <v>-834007.840964192</v>
      </c>
      <c r="H13" s="38" t="n">
        <f aca="false">-OC_NOC</f>
        <v>-977733.912404995</v>
      </c>
      <c r="I13" s="38" t="n">
        <f aca="false">-OC_NOC</f>
        <v>-1077535.9989065</v>
      </c>
    </row>
    <row r="14" customFormat="false" ht="15" hidden="false" customHeight="false" outlineLevel="0" collapsed="false">
      <c r="A14" s="5"/>
      <c r="B14" s="37" t="s">
        <v>135</v>
      </c>
      <c r="C14" s="38" t="n">
        <f aca="false">-OC_Staff</f>
        <v>-0</v>
      </c>
      <c r="D14" s="38" t="n">
        <f aca="false">-OC_Staff</f>
        <v>-424732</v>
      </c>
      <c r="E14" s="38" t="n">
        <f aca="false">-OC_Staff</f>
        <v>-1712147.22476</v>
      </c>
      <c r="F14" s="38" t="n">
        <f aca="false">-OC_Staff</f>
        <v>-3157933.4407736</v>
      </c>
      <c r="G14" s="38" t="n">
        <f aca="false">-OC_Staff</f>
        <v>-4170039.20482096</v>
      </c>
      <c r="H14" s="38" t="n">
        <f aca="false">-OC_Staff</f>
        <v>-4888669.56202497</v>
      </c>
      <c r="I14" s="38" t="n">
        <f aca="false">-OC_Staff</f>
        <v>-5387679.99453251</v>
      </c>
    </row>
    <row r="15" customFormat="false" ht="15" hidden="false" customHeight="false" outlineLevel="0" collapsed="false">
      <c r="A15" s="5"/>
      <c r="B15" s="37" t="s">
        <v>137</v>
      </c>
      <c r="C15" s="38" t="n">
        <f aca="false">-OC_SAM</f>
        <v>-0</v>
      </c>
      <c r="D15" s="38" t="n">
        <f aca="false">-OC_SAM</f>
        <v>-933333.333333333</v>
      </c>
      <c r="E15" s="38" t="n">
        <f aca="false">-OC_SAM</f>
        <v>-2216666.66666667</v>
      </c>
      <c r="F15" s="38" t="n">
        <f aca="false">-OC_SAM</f>
        <v>-1884400</v>
      </c>
      <c r="G15" s="38" t="n">
        <f aca="false">-OC_SAM</f>
        <v>-1484246.4</v>
      </c>
      <c r="H15" s="38" t="n">
        <f aca="false">-OC_SAM</f>
        <v>-1343068.5184</v>
      </c>
      <c r="I15" s="38" t="n">
        <f aca="false">-OC_SAM</f>
        <v>-1114198.1333504</v>
      </c>
    </row>
    <row r="16" customFormat="false" ht="15" hidden="false" customHeight="false" outlineLevel="0" collapsed="false">
      <c r="A16" s="5"/>
      <c r="B16" s="37" t="s">
        <v>140</v>
      </c>
      <c r="C16" s="38" t="n">
        <f aca="false">-OC_Insurance</f>
        <v>-0</v>
      </c>
      <c r="D16" s="38" t="n">
        <f aca="false">-OC_Insurance</f>
        <v>-42473.2</v>
      </c>
      <c r="E16" s="38" t="n">
        <f aca="false">-OC_Insurance</f>
        <v>-171214.722476</v>
      </c>
      <c r="F16" s="38" t="n">
        <f aca="false">-OC_Insurance</f>
        <v>-315793.34407736</v>
      </c>
      <c r="G16" s="38" t="n">
        <f aca="false">-OC_Insurance</f>
        <v>-417003.920482096</v>
      </c>
      <c r="H16" s="38" t="n">
        <f aca="false">-OC_Insurance</f>
        <v>-488866.956202498</v>
      </c>
      <c r="I16" s="38" t="n">
        <f aca="false">-OC_Insurance</f>
        <v>-538767.999453251</v>
      </c>
    </row>
    <row r="17" customFormat="false" ht="15" hidden="false" customHeight="false" outlineLevel="0" collapsed="false">
      <c r="A17" s="5"/>
      <c r="B17" s="39" t="s">
        <v>200</v>
      </c>
      <c r="C17" s="40" t="n">
        <f aca="false">C13+C14+C15+C16</f>
        <v>-0</v>
      </c>
      <c r="D17" s="40" t="n">
        <f aca="false">D13+D14+D15+D16</f>
        <v>-1485484.93333333</v>
      </c>
      <c r="E17" s="40" t="n">
        <f aca="false">E13+E14+E15+E16</f>
        <v>-4442458.05885467</v>
      </c>
      <c r="F17" s="40" t="n">
        <f aca="false">F13+F14+F15+F16</f>
        <v>-5989713.47300568</v>
      </c>
      <c r="G17" s="40" t="n">
        <f aca="false">G13+G14+G15+G16</f>
        <v>-6905297.36626725</v>
      </c>
      <c r="H17" s="40" t="n">
        <f aca="false">H13+H14+H15+H16</f>
        <v>-7698338.94903247</v>
      </c>
      <c r="I17" s="40" t="n">
        <f aca="false">I13+I14+I15+I16</f>
        <v>-8118182.12624267</v>
      </c>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39" t="s">
        <v>201</v>
      </c>
      <c r="C19" s="40" t="n">
        <f aca="false">C10+C17</f>
        <v>0</v>
      </c>
      <c r="D19" s="40" t="n">
        <f aca="false">D10+D17</f>
        <v>779752.4</v>
      </c>
      <c r="E19" s="40" t="n">
        <f aca="false">E10+E17</f>
        <v>4688993.806532</v>
      </c>
      <c r="F19" s="40" t="n">
        <f aca="false">F10+F17</f>
        <v>10852598.2111202</v>
      </c>
      <c r="G19" s="40" t="n">
        <f aca="false">G10+G17</f>
        <v>15334911.7261112</v>
      </c>
      <c r="H19" s="40" t="n">
        <f aca="false">H10+H17</f>
        <v>18374565.3817674</v>
      </c>
      <c r="I19" s="40" t="n">
        <f aca="false">I10+I17</f>
        <v>20616111.1779307</v>
      </c>
    </row>
    <row r="20" customFormat="false" ht="15" hidden="false" customHeight="false" outlineLevel="0" collapsed="false">
      <c r="A20" s="5"/>
      <c r="B20" s="37" t="s">
        <v>246</v>
      </c>
      <c r="C20" s="38" t="n">
        <f aca="false">CD_Total_Dep</f>
        <v>-789285.714285714</v>
      </c>
      <c r="D20" s="38" t="n">
        <f aca="false">CD_Total_Dep</f>
        <v>-1781701.52653061</v>
      </c>
      <c r="E20" s="38" t="n">
        <f aca="false">CD_Total_Dep</f>
        <v>-2813024.76090827</v>
      </c>
      <c r="F20" s="38" t="n">
        <f aca="false">CD_Total_Dep</f>
        <v>-3367809.03755194</v>
      </c>
      <c r="G20" s="38" t="n">
        <f aca="false">CD_Total_Dep</f>
        <v>-3673330.12503235</v>
      </c>
      <c r="H20" s="38" t="n">
        <f aca="false">CD_Total_Dep</f>
        <v>-3765239.24214067</v>
      </c>
      <c r="I20" s="38" t="n">
        <f aca="false">CD_Total_Dep</f>
        <v>-3651155.70656176</v>
      </c>
    </row>
    <row r="21" customFormat="false" ht="15" hidden="false" customHeight="false" outlineLevel="0" collapsed="false">
      <c r="A21" s="5"/>
      <c r="B21" s="39" t="s">
        <v>247</v>
      </c>
      <c r="C21" s="40" t="n">
        <f aca="false">C19+C20</f>
        <v>-789285.714285714</v>
      </c>
      <c r="D21" s="40" t="n">
        <f aca="false">D19+D20</f>
        <v>-1001949.12653061</v>
      </c>
      <c r="E21" s="40" t="n">
        <f aca="false">E19+E20</f>
        <v>1875969.04562373</v>
      </c>
      <c r="F21" s="40" t="n">
        <f aca="false">F19+F20</f>
        <v>7484789.17356823</v>
      </c>
      <c r="G21" s="40" t="n">
        <f aca="false">G19+G20</f>
        <v>11661581.6010789</v>
      </c>
      <c r="H21" s="40" t="n">
        <f aca="false">H19+H20</f>
        <v>14609326.1396267</v>
      </c>
      <c r="I21" s="40" t="n">
        <f aca="false">I19+I20</f>
        <v>16964955.471369</v>
      </c>
    </row>
    <row r="22" customFormat="false" ht="15" hidden="false" customHeight="false" outlineLevel="0" collapsed="false">
      <c r="A22" s="5"/>
      <c r="B22" s="37" t="s">
        <v>240</v>
      </c>
      <c r="C22" s="38" t="n">
        <f aca="false">DS_Interest</f>
        <v>-0</v>
      </c>
      <c r="D22" s="38" t="n">
        <f aca="false">DS_Interest</f>
        <v>-3750000</v>
      </c>
      <c r="E22" s="38" t="n">
        <f aca="false">DS_Interest</f>
        <v>-3750000</v>
      </c>
      <c r="F22" s="38" t="n">
        <f aca="false">DS_Interest</f>
        <v>-3750000</v>
      </c>
      <c r="G22" s="38" t="n">
        <f aca="false">DS_Interest</f>
        <v>-3214285.71428571</v>
      </c>
      <c r="H22" s="38" t="n">
        <f aca="false">DS_Interest</f>
        <v>-2678571.42857143</v>
      </c>
      <c r="I22" s="38" t="n">
        <f aca="false">DS_Interest</f>
        <v>-2142857.14285714</v>
      </c>
    </row>
    <row r="23" customFormat="false" ht="15" hidden="false" customHeight="false" outlineLevel="0" collapsed="false">
      <c r="A23" s="5"/>
      <c r="B23" s="39" t="s">
        <v>248</v>
      </c>
      <c r="C23" s="40" t="n">
        <f aca="false">C21+C22</f>
        <v>-789285.714285714</v>
      </c>
      <c r="D23" s="40" t="n">
        <f aca="false">D21+D22</f>
        <v>-4751949.12653061</v>
      </c>
      <c r="E23" s="40" t="n">
        <f aca="false">E21+E22</f>
        <v>-1874030.95437627</v>
      </c>
      <c r="F23" s="40" t="n">
        <f aca="false">F21+F22</f>
        <v>3734789.17356823</v>
      </c>
      <c r="G23" s="40" t="n">
        <f aca="false">G21+G22</f>
        <v>8447295.88679314</v>
      </c>
      <c r="H23" s="40" t="n">
        <f aca="false">H21+H22</f>
        <v>11930754.7110553</v>
      </c>
      <c r="I23" s="40" t="n">
        <f aca="false">I21+I22</f>
        <v>14822098.3285118</v>
      </c>
    </row>
    <row r="24" customFormat="false" ht="15" hidden="false" customHeight="false" outlineLevel="0" collapsed="false">
      <c r="A24" s="5"/>
      <c r="B24" s="37" t="s">
        <v>249</v>
      </c>
      <c r="C24" s="38" t="n">
        <f aca="false">-MAX(0,C23)*Tax_Rate</f>
        <v>-0</v>
      </c>
      <c r="D24" s="38" t="n">
        <f aca="false">-MAX(0,D23)*Tax_Rate</f>
        <v>-0</v>
      </c>
      <c r="E24" s="38" t="n">
        <f aca="false">-MAX(0,E23)*Tax_Rate</f>
        <v>-0</v>
      </c>
      <c r="F24" s="38" t="n">
        <f aca="false">-MAX(0,F23)*Tax_Rate</f>
        <v>-933697.293392058</v>
      </c>
      <c r="G24" s="38" t="n">
        <f aca="false">-MAX(0,G23)*Tax_Rate</f>
        <v>-2111823.97169828</v>
      </c>
      <c r="H24" s="38" t="n">
        <f aca="false">-MAX(0,H23)*Tax_Rate</f>
        <v>-2982688.67776382</v>
      </c>
      <c r="I24" s="38" t="n">
        <f aca="false">-MAX(0,I23)*Tax_Rate</f>
        <v>-3705524.58212796</v>
      </c>
    </row>
    <row r="25" customFormat="false" ht="15" hidden="false" customHeight="false" outlineLevel="0" collapsed="false">
      <c r="A25" s="5"/>
      <c r="B25" s="45" t="s">
        <v>250</v>
      </c>
      <c r="C25" s="46" t="n">
        <f aca="false">C23+C24</f>
        <v>-789285.714285714</v>
      </c>
      <c r="D25" s="46" t="n">
        <f aca="false">D23+D24</f>
        <v>-4751949.12653061</v>
      </c>
      <c r="E25" s="46" t="n">
        <f aca="false">E23+E24</f>
        <v>-1874030.95437627</v>
      </c>
      <c r="F25" s="46" t="n">
        <f aca="false">F23+F24</f>
        <v>2801091.88017617</v>
      </c>
      <c r="G25" s="46" t="n">
        <f aca="false">G23+G24</f>
        <v>6335471.91509485</v>
      </c>
      <c r="H25" s="46" t="n">
        <f aca="false">H23+H24</f>
        <v>8948066.03329147</v>
      </c>
      <c r="I25" s="46" t="n">
        <f aca="false">I23+I24</f>
        <v>11116573.7463839</v>
      </c>
    </row>
    <row r="26" customFormat="false" ht="15" hidden="false" customHeight="false" outlineLevel="0" collapsed="false">
      <c r="A26" s="5"/>
      <c r="B26" s="5"/>
      <c r="C26" s="5"/>
      <c r="D26" s="5"/>
      <c r="E26" s="5"/>
      <c r="F26" s="5"/>
      <c r="G26" s="5"/>
      <c r="H26" s="5"/>
      <c r="I26" s="5"/>
    </row>
    <row r="27" customFormat="false" ht="15" hidden="false" customHeight="false" outlineLevel="0" collapsed="false">
      <c r="A27" s="5"/>
      <c r="B27" s="31" t="s">
        <v>251</v>
      </c>
      <c r="C27" s="16"/>
      <c r="D27" s="16"/>
      <c r="E27" s="16"/>
      <c r="F27" s="16"/>
      <c r="G27" s="16"/>
      <c r="H27" s="16"/>
      <c r="I27" s="16"/>
    </row>
    <row r="28" customFormat="false" ht="15" hidden="false" customHeight="false" outlineLevel="0" collapsed="false">
      <c r="A28" s="5"/>
      <c r="B28" s="37" t="s">
        <v>116</v>
      </c>
      <c r="C28" s="43" t="n">
        <f aca="false">IFERROR(C10/C8,0)</f>
        <v>0</v>
      </c>
      <c r="D28" s="43" t="n">
        <f aca="false">IFERROR(D10/D8,0)</f>
        <v>0.8</v>
      </c>
      <c r="E28" s="43" t="n">
        <f aca="false">IFERROR(E10/E8,0)</f>
        <v>0.8</v>
      </c>
      <c r="F28" s="43" t="n">
        <f aca="false">IFERROR(F10/F8,0)</f>
        <v>0.8</v>
      </c>
      <c r="G28" s="43" t="n">
        <f aca="false">IFERROR(G10/G8,0)</f>
        <v>0.8</v>
      </c>
      <c r="H28" s="43" t="n">
        <f aca="false">IFERROR(H10/H8,0)</f>
        <v>0.8</v>
      </c>
      <c r="I28" s="43" t="n">
        <f aca="false">IFERROR(I10/I8,0)</f>
        <v>0.8</v>
      </c>
    </row>
    <row r="29" customFormat="false" ht="15" hidden="false" customHeight="false" outlineLevel="0" collapsed="false">
      <c r="A29" s="5"/>
      <c r="B29" s="37" t="s">
        <v>202</v>
      </c>
      <c r="C29" s="43" t="n">
        <f aca="false">IFERROR(C19/C8,0)</f>
        <v>0</v>
      </c>
      <c r="D29" s="43" t="n">
        <f aca="false">IFERROR(D19/D8,0)</f>
        <v>0.27538038104028</v>
      </c>
      <c r="E29" s="43" t="n">
        <f aca="false">IFERROR(E19/E8,0)</f>
        <v>0.410799410709784</v>
      </c>
      <c r="F29" s="43" t="n">
        <f aca="false">IFERROR(F19/F8,0)</f>
        <v>0.515492097030786</v>
      </c>
      <c r="G29" s="43" t="n">
        <f aca="false">IFERROR(G19/G8,0)</f>
        <v>0.551610343676719</v>
      </c>
      <c r="H29" s="43" t="n">
        <f aca="false">IFERROR(H19/H8,0)</f>
        <v>0.563790367153277</v>
      </c>
      <c r="I29" s="43" t="n">
        <f aca="false">IFERROR(I19/I8,0)</f>
        <v>0.573979278618596</v>
      </c>
    </row>
    <row r="30" customFormat="false" ht="15" hidden="false" customHeight="false" outlineLevel="0" collapsed="false">
      <c r="A30" s="5"/>
      <c r="B30" s="37" t="s">
        <v>252</v>
      </c>
      <c r="C30" s="43" t="n">
        <f aca="false">IFERROR(C25/C8,0)</f>
        <v>0</v>
      </c>
      <c r="D30" s="43" t="n">
        <f aca="false">IFERROR(D25/D8,0)</f>
        <v>-1.67821677900321</v>
      </c>
      <c r="E30" s="43" t="n">
        <f aca="false">IFERROR(E25/E8,0)</f>
        <v>-0.164182518355479</v>
      </c>
      <c r="F30" s="43" t="n">
        <f aca="false">IFERROR(F25/F8,0)</f>
        <v>0.133050233612111</v>
      </c>
      <c r="G30" s="43" t="n">
        <f aca="false">IFERROR(G25/G8,0)</f>
        <v>0.227892530642294</v>
      </c>
      <c r="H30" s="43" t="n">
        <f aca="false">IFERROR(H25/H8,0)</f>
        <v>0.274555252296037</v>
      </c>
      <c r="I30" s="43" t="n">
        <f aca="false">IFERROR(I25/I8,0)</f>
        <v>0.309499833629645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253</v>
      </c>
      <c r="C2" s="5"/>
      <c r="D2" s="5"/>
      <c r="E2" s="5"/>
      <c r="F2" s="5"/>
      <c r="G2" s="5"/>
      <c r="H2" s="5"/>
      <c r="I2" s="5"/>
    </row>
    <row r="3" customFormat="false" ht="15" hidden="false" customHeight="false" outlineLevel="0" collapsed="false">
      <c r="A3" s="5"/>
      <c r="B3" s="8" t="s">
        <v>23</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254</v>
      </c>
      <c r="C8" s="16"/>
      <c r="D8" s="16"/>
      <c r="E8" s="16"/>
      <c r="F8" s="16"/>
      <c r="G8" s="16"/>
      <c r="H8" s="16"/>
      <c r="I8" s="16"/>
    </row>
    <row r="9" customFormat="false" ht="15" hidden="false" customHeight="false" outlineLevel="0" collapsed="false">
      <c r="A9" s="5"/>
      <c r="B9" s="37" t="s">
        <v>255</v>
      </c>
      <c r="C9" s="38" t="n">
        <f aca="false">CF_Close_Cash</f>
        <v>97000000</v>
      </c>
      <c r="D9" s="38" t="n">
        <f aca="false">CF_Close_Cash</f>
        <v>76661811.4611872</v>
      </c>
      <c r="E9" s="38" t="n">
        <f aca="false">CF_Close_Cash</f>
        <v>58430977.4011886</v>
      </c>
      <c r="F9" s="38" t="n">
        <f aca="false">CF_Close_Cash</f>
        <v>44694223.7968</v>
      </c>
      <c r="G9" s="38" t="n">
        <f aca="false">CF_Close_Cash</f>
        <v>38329901.7539832</v>
      </c>
      <c r="H9" s="38" t="n">
        <f aca="false">CF_Close_Cash</f>
        <v>37984285.1417862</v>
      </c>
      <c r="I9" s="38" t="n">
        <f aca="false">CF_Close_Cash</f>
        <v>43114357.4380885</v>
      </c>
    </row>
    <row r="10" customFormat="false" ht="15" hidden="false" customHeight="false" outlineLevel="0" collapsed="false">
      <c r="A10" s="5"/>
      <c r="B10" s="37" t="s">
        <v>222</v>
      </c>
      <c r="C10" s="38" t="n">
        <f aca="false">WC_AR</f>
        <v>0</v>
      </c>
      <c r="D10" s="38" t="n">
        <f aca="false">WC_AR</f>
        <v>116364.931506849</v>
      </c>
      <c r="E10" s="38" t="n">
        <f aca="false">WC_AR</f>
        <v>469081.431441096</v>
      </c>
      <c r="F10" s="38" t="n">
        <f aca="false">WC_AR</f>
        <v>865187.244047561</v>
      </c>
      <c r="G10" s="38" t="n">
        <f aca="false">WC_AR</f>
        <v>1142476.4944715</v>
      </c>
      <c r="H10" s="38" t="n">
        <f aca="false">WC_AR</f>
        <v>1339361.52384246</v>
      </c>
      <c r="I10" s="38" t="n">
        <f aca="false">WC_AR</f>
        <v>1476076.71083083</v>
      </c>
    </row>
    <row r="11" customFormat="false" ht="15" hidden="false" customHeight="false" outlineLevel="0" collapsed="false">
      <c r="A11" s="5"/>
      <c r="B11" s="37" t="s">
        <v>223</v>
      </c>
      <c r="C11" s="38" t="n">
        <f aca="false">WC_Inventory</f>
        <v>0</v>
      </c>
      <c r="D11" s="38" t="n">
        <f aca="false">WC_Inventory</f>
        <v>31030.6484018265</v>
      </c>
      <c r="E11" s="38" t="n">
        <f aca="false">WC_Inventory</f>
        <v>125088.381717626</v>
      </c>
      <c r="F11" s="38" t="n">
        <f aca="false">WC_Inventory</f>
        <v>230716.598412683</v>
      </c>
      <c r="G11" s="38" t="n">
        <f aca="false">WC_Inventory</f>
        <v>304660.398525732</v>
      </c>
      <c r="H11" s="38" t="n">
        <f aca="false">WC_Inventory</f>
        <v>357163.073024656</v>
      </c>
      <c r="I11" s="38" t="n">
        <f aca="false">WC_Inventory</f>
        <v>393620.456221553</v>
      </c>
    </row>
    <row r="12" customFormat="false" ht="15" hidden="false" customHeight="false" outlineLevel="0" collapsed="false">
      <c r="A12" s="5"/>
      <c r="B12" s="39" t="s">
        <v>256</v>
      </c>
      <c r="C12" s="40" t="n">
        <f aca="false">C9+C10+C11</f>
        <v>97000000</v>
      </c>
      <c r="D12" s="40" t="n">
        <f aca="false">D9+D10+D11</f>
        <v>76809207.0410959</v>
      </c>
      <c r="E12" s="40" t="n">
        <f aca="false">E9+E10+E11</f>
        <v>59025147.2143473</v>
      </c>
      <c r="F12" s="40" t="n">
        <f aca="false">F9+F10+F11</f>
        <v>45790127.6392603</v>
      </c>
      <c r="G12" s="40" t="n">
        <f aca="false">G9+G10+G11</f>
        <v>39777038.6469805</v>
      </c>
      <c r="H12" s="40" t="n">
        <f aca="false">H9+H10+H11</f>
        <v>39680809.7386533</v>
      </c>
      <c r="I12" s="40" t="n">
        <f aca="false">I9+I10+I11</f>
        <v>44984054.6051409</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7" t="s">
        <v>219</v>
      </c>
      <c r="C14" s="38" t="n">
        <f aca="false">CD_Net_PPE</f>
        <v>12210714.2857143</v>
      </c>
      <c r="D14" s="38" t="n">
        <f aca="false">CD_Net_PPE</f>
        <v>27930625.8258503</v>
      </c>
      <c r="E14" s="38" t="n">
        <f aca="false">CD_Net_PPE</f>
        <v>44480863.8432274</v>
      </c>
      <c r="F14" s="38" t="n">
        <f aca="false">CD_Net_PPE</f>
        <v>53850141.4938302</v>
      </c>
      <c r="G14" s="38" t="n">
        <f aca="false">CD_Net_PPE</f>
        <v>59366127.209762</v>
      </c>
      <c r="H14" s="38" t="n">
        <f aca="false">CD_Net_PPE</f>
        <v>61507457.5280264</v>
      </c>
      <c r="I14" s="38" t="n">
        <f aca="false">CD_Net_PPE</f>
        <v>60326585.4870591</v>
      </c>
    </row>
    <row r="15" customFormat="false" ht="15" hidden="false" customHeight="false" outlineLevel="0" collapsed="false">
      <c r="A15" s="5"/>
      <c r="B15" s="45" t="s">
        <v>257</v>
      </c>
      <c r="C15" s="46" t="n">
        <f aca="false">C12+C14</f>
        <v>109210714.285714</v>
      </c>
      <c r="D15" s="46" t="n">
        <f aca="false">D12+D14</f>
        <v>104739832.866946</v>
      </c>
      <c r="E15" s="46" t="n">
        <f aca="false">E12+E14</f>
        <v>103506011.057575</v>
      </c>
      <c r="F15" s="46" t="n">
        <f aca="false">F12+F14</f>
        <v>99640269.1330904</v>
      </c>
      <c r="G15" s="46" t="n">
        <f aca="false">G12+G14</f>
        <v>99143165.8567425</v>
      </c>
      <c r="H15" s="46" t="n">
        <f aca="false">H12+H14</f>
        <v>101188267.26668</v>
      </c>
      <c r="I15" s="46" t="n">
        <f aca="false">I12+I14</f>
        <v>105310640.0922</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1" t="s">
        <v>258</v>
      </c>
      <c r="C17" s="16"/>
      <c r="D17" s="16"/>
      <c r="E17" s="16"/>
      <c r="F17" s="16"/>
      <c r="G17" s="16"/>
      <c r="H17" s="16"/>
      <c r="I17" s="16"/>
    </row>
    <row r="18" customFormat="false" ht="15" hidden="false" customHeight="false" outlineLevel="0" collapsed="false">
      <c r="A18" s="5"/>
      <c r="B18" s="37" t="s">
        <v>224</v>
      </c>
      <c r="C18" s="38" t="n">
        <f aca="false">WC_AP</f>
        <v>0</v>
      </c>
      <c r="D18" s="38" t="n">
        <f aca="false">WC_AP</f>
        <v>281067.707762557</v>
      </c>
      <c r="E18" s="38" t="n">
        <f aca="false">WC_AP</f>
        <v>921276.852767306</v>
      </c>
      <c r="F18" s="38" t="n">
        <f aca="false">WC_AP</f>
        <v>1397300.19096399</v>
      </c>
      <c r="G18" s="38" t="n">
        <f aca="false">WC_AP</f>
        <v>1707582.14237834</v>
      </c>
      <c r="H18" s="38" t="n">
        <f aca="false">WC_AP</f>
        <v>1947474.66188116</v>
      </c>
      <c r="I18" s="38" t="n">
        <f aca="false">WC_AP</f>
        <v>2096130.8838748</v>
      </c>
    </row>
    <row r="19" customFormat="false" ht="15" hidden="false" customHeight="false" outlineLevel="0" collapsed="false">
      <c r="A19" s="5"/>
      <c r="B19" s="39" t="s">
        <v>259</v>
      </c>
      <c r="C19" s="40" t="n">
        <f aca="false">C18</f>
        <v>0</v>
      </c>
      <c r="D19" s="40" t="n">
        <f aca="false">D18</f>
        <v>281067.707762557</v>
      </c>
      <c r="E19" s="40" t="n">
        <f aca="false">E18</f>
        <v>921276.852767306</v>
      </c>
      <c r="F19" s="40" t="n">
        <f aca="false">F18</f>
        <v>1397300.19096399</v>
      </c>
      <c r="G19" s="40" t="n">
        <f aca="false">G18</f>
        <v>1707582.14237834</v>
      </c>
      <c r="H19" s="40" t="n">
        <f aca="false">H18</f>
        <v>1947474.66188116</v>
      </c>
      <c r="I19" s="40" t="n">
        <f aca="false">I18</f>
        <v>2096130.8838748</v>
      </c>
    </row>
    <row r="20" customFormat="false" ht="15" hidden="false" customHeight="false" outlineLevel="0" collapsed="false">
      <c r="A20" s="5"/>
      <c r="B20" s="5"/>
      <c r="C20" s="5"/>
      <c r="D20" s="5"/>
      <c r="E20" s="5"/>
      <c r="F20" s="5"/>
      <c r="G20" s="5"/>
      <c r="H20" s="5"/>
      <c r="I20" s="5"/>
    </row>
    <row r="21" customFormat="false" ht="15" hidden="false" customHeight="false" outlineLevel="0" collapsed="false">
      <c r="A21" s="5"/>
      <c r="B21" s="37" t="s">
        <v>260</v>
      </c>
      <c r="C21" s="38" t="n">
        <f aca="false">DS_Closing</f>
        <v>50000000</v>
      </c>
      <c r="D21" s="38" t="n">
        <f aca="false">DS_Closing</f>
        <v>50000000</v>
      </c>
      <c r="E21" s="38" t="n">
        <f aca="false">DS_Closing</f>
        <v>50000000</v>
      </c>
      <c r="F21" s="38" t="n">
        <f aca="false">DS_Closing</f>
        <v>42857142.8571429</v>
      </c>
      <c r="G21" s="38" t="n">
        <f aca="false">DS_Closing</f>
        <v>35714285.7142857</v>
      </c>
      <c r="H21" s="38" t="n">
        <f aca="false">DS_Closing</f>
        <v>28571428.5714286</v>
      </c>
      <c r="I21" s="38" t="n">
        <f aca="false">DS_Closing</f>
        <v>21428571.4285714</v>
      </c>
    </row>
    <row r="22" customFormat="false" ht="15" hidden="false" customHeight="false" outlineLevel="0" collapsed="false">
      <c r="A22" s="5"/>
      <c r="B22" s="39" t="s">
        <v>261</v>
      </c>
      <c r="C22" s="40" t="n">
        <f aca="false">C19+C21</f>
        <v>50000000</v>
      </c>
      <c r="D22" s="40" t="n">
        <f aca="false">D19+D21</f>
        <v>50281067.7077626</v>
      </c>
      <c r="E22" s="40" t="n">
        <f aca="false">E19+E21</f>
        <v>50921276.8527673</v>
      </c>
      <c r="F22" s="40" t="n">
        <f aca="false">F19+F21</f>
        <v>44254443.0481069</v>
      </c>
      <c r="G22" s="40" t="n">
        <f aca="false">G19+G21</f>
        <v>37421867.8566641</v>
      </c>
      <c r="H22" s="40" t="n">
        <f aca="false">H19+H21</f>
        <v>30518903.2333097</v>
      </c>
      <c r="I22" s="40" t="n">
        <f aca="false">I19+I21</f>
        <v>23524702.3124462</v>
      </c>
    </row>
    <row r="23" customFormat="false" ht="15" hidden="false" customHeight="false" outlineLevel="0" collapsed="false">
      <c r="A23" s="5"/>
      <c r="B23" s="5"/>
      <c r="C23" s="5"/>
      <c r="D23" s="5"/>
      <c r="E23" s="5"/>
      <c r="F23" s="5"/>
      <c r="G23" s="5"/>
      <c r="H23" s="5"/>
      <c r="I23" s="5"/>
    </row>
    <row r="24" customFormat="false" ht="15" hidden="false" customHeight="false" outlineLevel="0" collapsed="false">
      <c r="A24" s="5"/>
      <c r="B24" s="31" t="s">
        <v>262</v>
      </c>
      <c r="C24" s="16"/>
      <c r="D24" s="16"/>
      <c r="E24" s="16"/>
      <c r="F24" s="16"/>
      <c r="G24" s="16"/>
      <c r="H24" s="16"/>
      <c r="I24" s="16"/>
    </row>
    <row r="25" customFormat="false" ht="15" hidden="false" customHeight="false" outlineLevel="0" collapsed="false">
      <c r="A25" s="5"/>
      <c r="B25" s="37" t="s">
        <v>263</v>
      </c>
      <c r="C25" s="38" t="n">
        <f aca="false">Equity_Injection</f>
        <v>60000000</v>
      </c>
      <c r="D25" s="38" t="n">
        <f aca="false">Equity_Injection</f>
        <v>60000000</v>
      </c>
      <c r="E25" s="38" t="n">
        <f aca="false">Equity_Injection</f>
        <v>60000000</v>
      </c>
      <c r="F25" s="38" t="n">
        <f aca="false">Equity_Injection</f>
        <v>60000000</v>
      </c>
      <c r="G25" s="38" t="n">
        <f aca="false">Equity_Injection</f>
        <v>60000000</v>
      </c>
      <c r="H25" s="38" t="n">
        <f aca="false">Equity_Injection</f>
        <v>60000000</v>
      </c>
      <c r="I25" s="38" t="n">
        <f aca="false">Equity_Injection</f>
        <v>60000000</v>
      </c>
    </row>
    <row r="26" customFormat="false" ht="15" hidden="false" customHeight="false" outlineLevel="0" collapsed="false">
      <c r="A26" s="5"/>
      <c r="B26" s="37" t="s">
        <v>264</v>
      </c>
      <c r="C26" s="38" t="n">
        <f aca="false">IS_Net_Income</f>
        <v>-789285.714285714</v>
      </c>
      <c r="D26" s="38" t="n">
        <f aca="false">C26+IS_Net_Income</f>
        <v>-5541234.84081633</v>
      </c>
      <c r="E26" s="38" t="n">
        <f aca="false">D26+IS_Net_Income</f>
        <v>-7415265.7951926</v>
      </c>
      <c r="F26" s="38" t="n">
        <f aca="false">E26+IS_Net_Income</f>
        <v>-4614173.91501643</v>
      </c>
      <c r="G26" s="38" t="n">
        <f aca="false">F26+IS_Net_Income</f>
        <v>1721298.00007843</v>
      </c>
      <c r="H26" s="38" t="n">
        <f aca="false">G26+IS_Net_Income</f>
        <v>10669364.0333699</v>
      </c>
      <c r="I26" s="38" t="n">
        <f aca="false">H26+IS_Net_Income</f>
        <v>21785937.7797538</v>
      </c>
    </row>
    <row r="27" customFormat="false" ht="15" hidden="false" customHeight="false" outlineLevel="0" collapsed="false">
      <c r="A27" s="5"/>
      <c r="B27" s="39" t="s">
        <v>265</v>
      </c>
      <c r="C27" s="40" t="n">
        <f aca="false">C25+C26</f>
        <v>59210714.2857143</v>
      </c>
      <c r="D27" s="40" t="n">
        <f aca="false">D25+D26</f>
        <v>54458765.1591837</v>
      </c>
      <c r="E27" s="40" t="n">
        <f aca="false">E25+E26</f>
        <v>52584734.2048074</v>
      </c>
      <c r="F27" s="40" t="n">
        <f aca="false">F25+F26</f>
        <v>55385826.0849836</v>
      </c>
      <c r="G27" s="40" t="n">
        <f aca="false">G25+G26</f>
        <v>61721298.0000784</v>
      </c>
      <c r="H27" s="40" t="n">
        <f aca="false">H25+H26</f>
        <v>70669364.0333699</v>
      </c>
      <c r="I27" s="40" t="n">
        <f aca="false">I25+I26</f>
        <v>81785937.7797538</v>
      </c>
    </row>
    <row r="28" customFormat="false" ht="15" hidden="false" customHeight="false" outlineLevel="0" collapsed="false">
      <c r="A28" s="5"/>
      <c r="B28" s="5"/>
      <c r="C28" s="5"/>
      <c r="D28" s="5"/>
      <c r="E28" s="5"/>
      <c r="F28" s="5"/>
      <c r="G28" s="5"/>
      <c r="H28" s="5"/>
      <c r="I28" s="5"/>
    </row>
    <row r="29" customFormat="false" ht="15" hidden="false" customHeight="false" outlineLevel="0" collapsed="false">
      <c r="A29" s="5"/>
      <c r="B29" s="45" t="s">
        <v>266</v>
      </c>
      <c r="C29" s="46" t="n">
        <f aca="false">C22+C27</f>
        <v>109210714.285714</v>
      </c>
      <c r="D29" s="46" t="n">
        <f aca="false">D22+D27</f>
        <v>104739832.866946</v>
      </c>
      <c r="E29" s="46" t="n">
        <f aca="false">E22+E27</f>
        <v>103506011.057575</v>
      </c>
      <c r="F29" s="46" t="n">
        <f aca="false">F22+F27</f>
        <v>99640269.1330904</v>
      </c>
      <c r="G29" s="46" t="n">
        <f aca="false">G22+G27</f>
        <v>99143165.8567425</v>
      </c>
      <c r="H29" s="46" t="n">
        <f aca="false">H22+H27</f>
        <v>101188267.26668</v>
      </c>
      <c r="I29" s="46" t="n">
        <f aca="false">I22+I27</f>
        <v>105310640.0922</v>
      </c>
    </row>
    <row r="30" customFormat="false" ht="15" hidden="false" customHeight="false" outlineLevel="0" collapsed="false">
      <c r="A30" s="5"/>
      <c r="B30" s="47" t="s">
        <v>267</v>
      </c>
      <c r="C30" s="48" t="n">
        <f aca="false">ROUND(C15-C29,0)</f>
        <v>0</v>
      </c>
      <c r="D30" s="48" t="n">
        <f aca="false">ROUND(D15-D29,0)</f>
        <v>0</v>
      </c>
      <c r="E30" s="48" t="n">
        <f aca="false">ROUND(E15-E29,0)</f>
        <v>0</v>
      </c>
      <c r="F30" s="48" t="n">
        <f aca="false">ROUND(F15-F29,0)</f>
        <v>0</v>
      </c>
      <c r="G30" s="48" t="n">
        <f aca="false">ROUND(G15-G29,0)</f>
        <v>0</v>
      </c>
      <c r="H30" s="48" t="n">
        <f aca="false">ROUND(H15-H29,0)</f>
        <v>0</v>
      </c>
      <c r="I30" s="48" t="n">
        <f aca="false">ROUND(I15-I29,0)</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268</v>
      </c>
      <c r="C2" s="5"/>
      <c r="D2" s="5"/>
      <c r="E2" s="5"/>
      <c r="F2" s="5"/>
      <c r="G2" s="5"/>
      <c r="H2" s="5"/>
      <c r="I2" s="5"/>
    </row>
    <row r="3" customFormat="false" ht="15" hidden="false" customHeight="false" outlineLevel="0" collapsed="false">
      <c r="A3" s="5"/>
      <c r="B3" s="8" t="s">
        <v>269</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270</v>
      </c>
      <c r="C8" s="16"/>
      <c r="D8" s="16"/>
      <c r="E8" s="16"/>
      <c r="F8" s="16"/>
      <c r="G8" s="16"/>
      <c r="H8" s="16"/>
      <c r="I8" s="16"/>
    </row>
    <row r="9" customFormat="false" ht="15" hidden="false" customHeight="false" outlineLevel="0" collapsed="false">
      <c r="A9" s="5"/>
      <c r="B9" s="37" t="s">
        <v>271</v>
      </c>
      <c r="C9" s="38" t="n">
        <f aca="false">IS_Net_Income</f>
        <v>-789285.714285714</v>
      </c>
      <c r="D9" s="38" t="n">
        <f aca="false">IS_Net_Income</f>
        <v>-4751949.12653061</v>
      </c>
      <c r="E9" s="38" t="n">
        <f aca="false">IS_Net_Income</f>
        <v>-1874030.95437627</v>
      </c>
      <c r="F9" s="38" t="n">
        <f aca="false">IS_Net_Income</f>
        <v>2801091.88017617</v>
      </c>
      <c r="G9" s="38" t="n">
        <f aca="false">IS_Net_Income</f>
        <v>6335471.91509485</v>
      </c>
      <c r="H9" s="38" t="n">
        <f aca="false">IS_Net_Income</f>
        <v>8948066.03329147</v>
      </c>
      <c r="I9" s="38" t="n">
        <f aca="false">IS_Net_Income</f>
        <v>11116573.7463839</v>
      </c>
    </row>
    <row r="10" customFormat="false" ht="15" hidden="false" customHeight="false" outlineLevel="0" collapsed="false">
      <c r="A10" s="5"/>
      <c r="B10" s="37" t="s">
        <v>272</v>
      </c>
      <c r="C10" s="38" t="n">
        <f aca="false">-CD_Total_Dep</f>
        <v>789285.714285714</v>
      </c>
      <c r="D10" s="38" t="n">
        <f aca="false">-CD_Total_Dep</f>
        <v>1781701.52653061</v>
      </c>
      <c r="E10" s="38" t="n">
        <f aca="false">-CD_Total_Dep</f>
        <v>2813024.76090827</v>
      </c>
      <c r="F10" s="38" t="n">
        <f aca="false">-CD_Total_Dep</f>
        <v>3367809.03755194</v>
      </c>
      <c r="G10" s="38" t="n">
        <f aca="false">-CD_Total_Dep</f>
        <v>3673330.12503235</v>
      </c>
      <c r="H10" s="38" t="n">
        <f aca="false">-CD_Total_Dep</f>
        <v>3765239.24214067</v>
      </c>
      <c r="I10" s="38" t="n">
        <f aca="false">-CD_Total_Dep</f>
        <v>3651155.70656176</v>
      </c>
    </row>
    <row r="11" customFormat="false" ht="15" hidden="false" customHeight="false" outlineLevel="0" collapsed="false">
      <c r="A11" s="5"/>
      <c r="B11" s="37" t="s">
        <v>273</v>
      </c>
      <c r="C11" s="38" t="n">
        <f aca="false">WC_Change</f>
        <v>0</v>
      </c>
      <c r="D11" s="38" t="n">
        <f aca="false">WC_Change</f>
        <v>133672.127853881</v>
      </c>
      <c r="E11" s="38" t="n">
        <f aca="false">WC_Change</f>
        <v>193434.911754703</v>
      </c>
      <c r="F11" s="38" t="n">
        <f aca="false">WC_Change</f>
        <v>-25710.6911048364</v>
      </c>
      <c r="G11" s="38" t="n">
        <f aca="false">WC_Change</f>
        <v>-40951.0991226392</v>
      </c>
      <c r="H11" s="38" t="n">
        <f aca="false">WC_Change</f>
        <v>-9495.18436706823</v>
      </c>
      <c r="I11" s="38" t="n">
        <f aca="false">WC_Change</f>
        <v>-24516.3481916229</v>
      </c>
    </row>
    <row r="12" customFormat="false" ht="15" hidden="false" customHeight="false" outlineLevel="0" collapsed="false">
      <c r="A12" s="5"/>
      <c r="B12" s="39" t="s">
        <v>274</v>
      </c>
      <c r="C12" s="40" t="n">
        <f aca="false">C9+C10+C11</f>
        <v>0</v>
      </c>
      <c r="D12" s="40" t="n">
        <f aca="false">D9+D10+D11</f>
        <v>-2836575.47214612</v>
      </c>
      <c r="E12" s="40" t="n">
        <f aca="false">E9+E10+E11</f>
        <v>1132428.7182867</v>
      </c>
      <c r="F12" s="40" t="n">
        <f aca="false">F9+F10+F11</f>
        <v>6143190.22662328</v>
      </c>
      <c r="G12" s="40" t="n">
        <f aca="false">G9+G10+G11</f>
        <v>9967850.94100457</v>
      </c>
      <c r="H12" s="40" t="n">
        <f aca="false">H9+H10+H11</f>
        <v>12703810.0910651</v>
      </c>
      <c r="I12" s="40" t="n">
        <f aca="false">I9+I10+I11</f>
        <v>14743213.104754</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1" t="s">
        <v>275</v>
      </c>
      <c r="C14" s="16"/>
      <c r="D14" s="16"/>
      <c r="E14" s="16"/>
      <c r="F14" s="16"/>
      <c r="G14" s="16"/>
      <c r="H14" s="16"/>
      <c r="I14" s="16"/>
    </row>
    <row r="15" customFormat="false" ht="15" hidden="false" customHeight="false" outlineLevel="0" collapsed="false">
      <c r="A15" s="5"/>
      <c r="B15" s="37" t="s">
        <v>205</v>
      </c>
      <c r="C15" s="38" t="n">
        <f aca="false">-CD_Total_Capex</f>
        <v>-13000000</v>
      </c>
      <c r="D15" s="38" t="n">
        <f aca="false">-CD_Total_Capex</f>
        <v>-17501613.0666667</v>
      </c>
      <c r="E15" s="38" t="n">
        <f aca="false">-CD_Total_Capex</f>
        <v>-19363262.7782853</v>
      </c>
      <c r="F15" s="38" t="n">
        <f aca="false">-CD_Total_Capex</f>
        <v>-12737086.6881547</v>
      </c>
      <c r="G15" s="38" t="n">
        <f aca="false">-CD_Total_Capex</f>
        <v>-9189315.84096419</v>
      </c>
      <c r="H15" s="38" t="n">
        <f aca="false">-CD_Total_Capex</f>
        <v>-5906569.560405</v>
      </c>
      <c r="I15" s="38" t="n">
        <f aca="false">-CD_Total_Capex</f>
        <v>-2470283.6655945</v>
      </c>
    </row>
    <row r="16" customFormat="false" ht="15" hidden="false" customHeight="false" outlineLevel="0" collapsed="false">
      <c r="A16" s="5"/>
      <c r="B16" s="39" t="s">
        <v>276</v>
      </c>
      <c r="C16" s="40" t="n">
        <f aca="false">C15</f>
        <v>-13000000</v>
      </c>
      <c r="D16" s="40" t="n">
        <f aca="false">D15</f>
        <v>-17501613.0666667</v>
      </c>
      <c r="E16" s="40" t="n">
        <f aca="false">E15</f>
        <v>-19363262.7782853</v>
      </c>
      <c r="F16" s="40" t="n">
        <f aca="false">F15</f>
        <v>-12737086.6881547</v>
      </c>
      <c r="G16" s="40" t="n">
        <f aca="false">G15</f>
        <v>-9189315.84096419</v>
      </c>
      <c r="H16" s="40" t="n">
        <f aca="false">H15</f>
        <v>-5906569.560405</v>
      </c>
      <c r="I16" s="40" t="n">
        <f aca="false">I15</f>
        <v>-2470283.6655945</v>
      </c>
    </row>
    <row r="17" customFormat="false" ht="15" hidden="false" customHeight="false" outlineLevel="0" collapsed="false">
      <c r="A17" s="5"/>
      <c r="B17" s="5"/>
      <c r="C17" s="5"/>
      <c r="D17" s="5"/>
      <c r="E17" s="5"/>
      <c r="F17" s="5"/>
      <c r="G17" s="5"/>
      <c r="H17" s="5"/>
      <c r="I17" s="5"/>
    </row>
    <row r="18" customFormat="false" ht="15" hidden="false" customHeight="false" outlineLevel="0" collapsed="false">
      <c r="A18" s="5"/>
      <c r="B18" s="31" t="s">
        <v>277</v>
      </c>
      <c r="C18" s="16"/>
      <c r="D18" s="16"/>
      <c r="E18" s="16"/>
      <c r="F18" s="16"/>
      <c r="G18" s="16"/>
      <c r="H18" s="16"/>
      <c r="I18" s="16"/>
    </row>
    <row r="19" customFormat="false" ht="15" hidden="false" customHeight="false" outlineLevel="0" collapsed="false">
      <c r="A19" s="5"/>
      <c r="B19" s="37" t="s">
        <v>151</v>
      </c>
      <c r="C19" s="38" t="n">
        <f aca="false">IF(C6=1,Equity_Injection,0)</f>
        <v>60000000</v>
      </c>
      <c r="D19" s="38" t="n">
        <f aca="false">IF(D6=1,Equity_Injection,0)</f>
        <v>0</v>
      </c>
      <c r="E19" s="38" t="n">
        <f aca="false">IF(E6=1,Equity_Injection,0)</f>
        <v>0</v>
      </c>
      <c r="F19" s="38" t="n">
        <f aca="false">IF(F6=1,Equity_Injection,0)</f>
        <v>0</v>
      </c>
      <c r="G19" s="38" t="n">
        <f aca="false">IF(G6=1,Equity_Injection,0)</f>
        <v>0</v>
      </c>
      <c r="H19" s="38" t="n">
        <f aca="false">IF(H6=1,Equity_Injection,0)</f>
        <v>0</v>
      </c>
      <c r="I19" s="38" t="n">
        <f aca="false">IF(I6=1,Equity_Injection,0)</f>
        <v>0</v>
      </c>
    </row>
    <row r="20" customFormat="false" ht="15" hidden="false" customHeight="false" outlineLevel="0" collapsed="false">
      <c r="A20" s="5"/>
      <c r="B20" s="37" t="s">
        <v>278</v>
      </c>
      <c r="C20" s="38" t="n">
        <f aca="false">DS_Drawdown</f>
        <v>50000000</v>
      </c>
      <c r="D20" s="38" t="n">
        <f aca="false">DS_Drawdown</f>
        <v>0</v>
      </c>
      <c r="E20" s="38" t="n">
        <f aca="false">DS_Drawdown</f>
        <v>0</v>
      </c>
      <c r="F20" s="38" t="n">
        <f aca="false">DS_Drawdown</f>
        <v>0</v>
      </c>
      <c r="G20" s="38" t="n">
        <f aca="false">DS_Drawdown</f>
        <v>0</v>
      </c>
      <c r="H20" s="38" t="n">
        <f aca="false">DS_Drawdown</f>
        <v>0</v>
      </c>
      <c r="I20" s="38" t="n">
        <f aca="false">DS_Drawdown</f>
        <v>0</v>
      </c>
    </row>
    <row r="21" customFormat="false" ht="15" hidden="false" customHeight="false" outlineLevel="0" collapsed="false">
      <c r="A21" s="5"/>
      <c r="B21" s="37" t="s">
        <v>279</v>
      </c>
      <c r="C21" s="38" t="n">
        <f aca="false">DS_Repayment+DS_Maturity_Rep</f>
        <v>-0</v>
      </c>
      <c r="D21" s="38" t="n">
        <f aca="false">DS_Repayment+DS_Maturity_Rep</f>
        <v>-0</v>
      </c>
      <c r="E21" s="38" t="n">
        <f aca="false">DS_Repayment+DS_Maturity_Rep</f>
        <v>-0</v>
      </c>
      <c r="F21" s="38" t="n">
        <f aca="false">DS_Repayment+DS_Maturity_Rep</f>
        <v>-7142857.14285714</v>
      </c>
      <c r="G21" s="38" t="n">
        <f aca="false">DS_Repayment+DS_Maturity_Rep</f>
        <v>-7142857.14285714</v>
      </c>
      <c r="H21" s="38" t="n">
        <f aca="false">DS_Repayment+DS_Maturity_Rep</f>
        <v>-7142857.14285714</v>
      </c>
      <c r="I21" s="38" t="n">
        <f aca="false">DS_Repayment+DS_Maturity_Rep</f>
        <v>-7142857.14285714</v>
      </c>
    </row>
    <row r="22" customFormat="false" ht="15" hidden="false" customHeight="false" outlineLevel="0" collapsed="false">
      <c r="A22" s="5"/>
      <c r="B22" s="37" t="s">
        <v>280</v>
      </c>
      <c r="C22" s="38" t="n">
        <f aca="false">DS_Interest</f>
        <v>-0</v>
      </c>
      <c r="D22" s="38" t="n">
        <f aca="false">DS_Interest</f>
        <v>-3750000</v>
      </c>
      <c r="E22" s="38" t="n">
        <f aca="false">DS_Interest</f>
        <v>-3750000</v>
      </c>
      <c r="F22" s="38" t="n">
        <f aca="false">DS_Interest</f>
        <v>-3750000</v>
      </c>
      <c r="G22" s="38" t="n">
        <f aca="false">DS_Interest</f>
        <v>-3214285.71428571</v>
      </c>
      <c r="H22" s="38" t="n">
        <f aca="false">DS_Interest</f>
        <v>-2678571.42857143</v>
      </c>
      <c r="I22" s="38" t="n">
        <f aca="false">DS_Interest</f>
        <v>-2142857.14285714</v>
      </c>
    </row>
    <row r="23" customFormat="false" ht="15" hidden="false" customHeight="false" outlineLevel="0" collapsed="false">
      <c r="A23" s="5"/>
      <c r="B23" s="39" t="s">
        <v>281</v>
      </c>
      <c r="C23" s="40" t="n">
        <f aca="false">C19+C20+C21</f>
        <v>110000000</v>
      </c>
      <c r="D23" s="40" t="n">
        <f aca="false">D19+D20+D21</f>
        <v>0</v>
      </c>
      <c r="E23" s="40" t="n">
        <f aca="false">E19+E20+E21</f>
        <v>0</v>
      </c>
      <c r="F23" s="40" t="n">
        <f aca="false">F19+F20+F21</f>
        <v>-7142857.14285714</v>
      </c>
      <c r="G23" s="40" t="n">
        <f aca="false">G19+G20+G21</f>
        <v>-7142857.14285714</v>
      </c>
      <c r="H23" s="40" t="n">
        <f aca="false">H19+H20+H21</f>
        <v>-7142857.14285714</v>
      </c>
      <c r="I23" s="40" t="n">
        <f aca="false">I19+I20+I21</f>
        <v>-7142857.14285714</v>
      </c>
    </row>
    <row r="24" customFormat="false" ht="15" hidden="false" customHeight="false" outlineLevel="0" collapsed="false">
      <c r="A24" s="5"/>
      <c r="B24" s="5"/>
      <c r="C24" s="5"/>
      <c r="D24" s="5"/>
      <c r="E24" s="5"/>
      <c r="F24" s="5"/>
      <c r="G24" s="5"/>
      <c r="H24" s="5"/>
      <c r="I24" s="5"/>
    </row>
    <row r="25" customFormat="false" ht="15" hidden="false" customHeight="false" outlineLevel="0" collapsed="false">
      <c r="A25" s="5"/>
      <c r="B25" s="31" t="s">
        <v>282</v>
      </c>
      <c r="C25" s="16"/>
      <c r="D25" s="16"/>
      <c r="E25" s="16"/>
      <c r="F25" s="16"/>
      <c r="G25" s="16"/>
      <c r="H25" s="16"/>
      <c r="I25" s="16"/>
    </row>
    <row r="26" customFormat="false" ht="15" hidden="false" customHeight="false" outlineLevel="0" collapsed="false">
      <c r="A26" s="5"/>
      <c r="B26" s="47" t="s">
        <v>282</v>
      </c>
      <c r="C26" s="48" t="n">
        <f aca="false">C12+C16+C23</f>
        <v>97000000</v>
      </c>
      <c r="D26" s="48" t="n">
        <f aca="false">D12+D16+D23</f>
        <v>-20338188.5388128</v>
      </c>
      <c r="E26" s="48" t="n">
        <f aca="false">E12+E16+E23</f>
        <v>-18230834.0599986</v>
      </c>
      <c r="F26" s="48" t="n">
        <f aca="false">F12+F16+F23</f>
        <v>-13736753.6043886</v>
      </c>
      <c r="G26" s="48" t="n">
        <f aca="false">G12+G16+G23</f>
        <v>-6364322.04281677</v>
      </c>
      <c r="H26" s="48" t="n">
        <f aca="false">H12+H16+H23</f>
        <v>-345616.612197059</v>
      </c>
      <c r="I26" s="48" t="n">
        <f aca="false">I12+I16+I23</f>
        <v>5130072.29630237</v>
      </c>
    </row>
    <row r="27" customFormat="false" ht="15" hidden="false" customHeight="false" outlineLevel="0" collapsed="false">
      <c r="A27" s="5"/>
      <c r="B27" s="37" t="s">
        <v>283</v>
      </c>
      <c r="C27" s="38" t="n">
        <f aca="false">0</f>
        <v>0</v>
      </c>
      <c r="D27" s="38" t="n">
        <f aca="false">C28</f>
        <v>97000000</v>
      </c>
      <c r="E27" s="38" t="n">
        <f aca="false">D28</f>
        <v>76661811.4611872</v>
      </c>
      <c r="F27" s="38" t="n">
        <f aca="false">E28</f>
        <v>58430977.4011886</v>
      </c>
      <c r="G27" s="38" t="n">
        <f aca="false">F28</f>
        <v>44694223.7968</v>
      </c>
      <c r="H27" s="38" t="n">
        <f aca="false">G28</f>
        <v>38329901.7539832</v>
      </c>
      <c r="I27" s="38" t="n">
        <f aca="false">H28</f>
        <v>37984285.1417862</v>
      </c>
    </row>
    <row r="28" customFormat="false" ht="15" hidden="false" customHeight="false" outlineLevel="0" collapsed="false">
      <c r="A28" s="5"/>
      <c r="B28" s="39" t="s">
        <v>284</v>
      </c>
      <c r="C28" s="40" t="n">
        <f aca="false">C27+C26</f>
        <v>97000000</v>
      </c>
      <c r="D28" s="40" t="n">
        <f aca="false">D27+D26</f>
        <v>76661811.4611872</v>
      </c>
      <c r="E28" s="40" t="n">
        <f aca="false">E27+E26</f>
        <v>58430977.4011886</v>
      </c>
      <c r="F28" s="40" t="n">
        <f aca="false">F27+F26</f>
        <v>44694223.7968</v>
      </c>
      <c r="G28" s="40" t="n">
        <f aca="false">G27+G26</f>
        <v>38329901.7539832</v>
      </c>
      <c r="H28" s="40" t="n">
        <f aca="false">H27+H26</f>
        <v>37984285.1417862</v>
      </c>
      <c r="I28" s="40" t="n">
        <f aca="false">I27+I26</f>
        <v>43114357.4380885</v>
      </c>
    </row>
    <row r="29" customFormat="false" ht="15" hidden="false" customHeight="false" outlineLevel="0" collapsed="false">
      <c r="A29" s="5"/>
      <c r="B29" s="5"/>
      <c r="C29" s="5"/>
      <c r="D29" s="5"/>
      <c r="E29" s="5"/>
      <c r="F29" s="5"/>
      <c r="G29" s="5"/>
      <c r="H29" s="5"/>
      <c r="I29" s="5"/>
    </row>
    <row r="30" customFormat="false" ht="15" hidden="false" customHeight="false" outlineLevel="0" collapsed="false">
      <c r="A30" s="5"/>
      <c r="B30" s="37" t="s">
        <v>285</v>
      </c>
      <c r="C30" s="38" t="n">
        <f aca="false">MIN(C28,0)</f>
        <v>0</v>
      </c>
      <c r="D30" s="38" t="n">
        <f aca="false">MIN(C30,D28)</f>
        <v>0</v>
      </c>
      <c r="E30" s="38" t="n">
        <f aca="false">MIN(D30,E28)</f>
        <v>0</v>
      </c>
      <c r="F30" s="38" t="n">
        <f aca="false">MIN(E30,F28)</f>
        <v>0</v>
      </c>
      <c r="G30" s="38" t="n">
        <f aca="false">MIN(F30,G28)</f>
        <v>0</v>
      </c>
      <c r="H30" s="38" t="n">
        <f aca="false">MIN(G30,H28)</f>
        <v>0</v>
      </c>
      <c r="I30" s="38" t="n">
        <f aca="false">MIN(H30,I28)</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I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286</v>
      </c>
      <c r="C2" s="5"/>
      <c r="D2" s="5"/>
      <c r="E2" s="5"/>
      <c r="F2" s="5"/>
      <c r="G2" s="5"/>
      <c r="H2" s="5"/>
      <c r="I2" s="5"/>
    </row>
    <row r="3" customFormat="false" ht="15" hidden="false" customHeight="false" outlineLevel="0" collapsed="false">
      <c r="A3" s="5"/>
      <c r="B3" s="8" t="s">
        <v>27</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287</v>
      </c>
      <c r="C8" s="16"/>
      <c r="D8" s="16"/>
      <c r="E8" s="16"/>
      <c r="F8" s="16"/>
      <c r="G8" s="16"/>
      <c r="H8" s="16"/>
      <c r="I8" s="16"/>
    </row>
    <row r="9" customFormat="false" ht="15" hidden="false" customHeight="false" outlineLevel="0" collapsed="false">
      <c r="A9" s="5"/>
      <c r="B9" s="37" t="s">
        <v>247</v>
      </c>
      <c r="C9" s="38" t="n">
        <f aca="false">IS_EBIT</f>
        <v>-789285.714285714</v>
      </c>
      <c r="D9" s="38" t="n">
        <f aca="false">IS_EBIT</f>
        <v>-1001949.12653061</v>
      </c>
      <c r="E9" s="38" t="n">
        <f aca="false">IS_EBIT</f>
        <v>1875969.04562373</v>
      </c>
      <c r="F9" s="38" t="n">
        <f aca="false">IS_EBIT</f>
        <v>7484789.17356823</v>
      </c>
      <c r="G9" s="38" t="n">
        <f aca="false">IS_EBIT</f>
        <v>11661581.6010789</v>
      </c>
      <c r="H9" s="38" t="n">
        <f aca="false">IS_EBIT</f>
        <v>14609326.1396267</v>
      </c>
      <c r="I9" s="38" t="n">
        <f aca="false">IS_EBIT</f>
        <v>16964955.471369</v>
      </c>
    </row>
    <row r="10" customFormat="false" ht="15" hidden="false" customHeight="false" outlineLevel="0" collapsed="false">
      <c r="A10" s="5"/>
      <c r="B10" s="37" t="s">
        <v>288</v>
      </c>
      <c r="C10" s="38" t="n">
        <f aca="false">-MAX(0,C9)*Tax_Rate</f>
        <v>-0</v>
      </c>
      <c r="D10" s="38" t="n">
        <f aca="false">-MAX(0,D9)*Tax_Rate</f>
        <v>-0</v>
      </c>
      <c r="E10" s="38" t="n">
        <f aca="false">-MAX(0,E9)*Tax_Rate</f>
        <v>-468992.261405932</v>
      </c>
      <c r="F10" s="38" t="n">
        <f aca="false">-MAX(0,F9)*Tax_Rate</f>
        <v>-1871197.29339206</v>
      </c>
      <c r="G10" s="38" t="n">
        <f aca="false">-MAX(0,G9)*Tax_Rate</f>
        <v>-2915395.40026971</v>
      </c>
      <c r="H10" s="38" t="n">
        <f aca="false">-MAX(0,H9)*Tax_Rate</f>
        <v>-3652331.53490668</v>
      </c>
      <c r="I10" s="38" t="n">
        <f aca="false">-MAX(0,I9)*Tax_Rate</f>
        <v>-4241238.86784224</v>
      </c>
    </row>
    <row r="11" customFormat="false" ht="15" hidden="false" customHeight="false" outlineLevel="0" collapsed="false">
      <c r="A11" s="5"/>
      <c r="B11" s="39" t="s">
        <v>289</v>
      </c>
      <c r="C11" s="40" t="n">
        <f aca="false">C9+C10</f>
        <v>-789285.714285714</v>
      </c>
      <c r="D11" s="40" t="n">
        <f aca="false">D9+D10</f>
        <v>-1001949.12653061</v>
      </c>
      <c r="E11" s="40" t="n">
        <f aca="false">E9+E10</f>
        <v>1406976.7842178</v>
      </c>
      <c r="F11" s="40" t="n">
        <f aca="false">F9+F10</f>
        <v>5613591.88017617</v>
      </c>
      <c r="G11" s="40" t="n">
        <f aca="false">G9+G10</f>
        <v>8746186.20080914</v>
      </c>
      <c r="H11" s="40" t="n">
        <f aca="false">H9+H10</f>
        <v>10956994.60472</v>
      </c>
      <c r="I11" s="40" t="n">
        <f aca="false">I9+I10</f>
        <v>12723716.6035267</v>
      </c>
    </row>
    <row r="12" customFormat="false" ht="15" hidden="false" customHeight="false" outlineLevel="0" collapsed="false">
      <c r="A12" s="5"/>
      <c r="B12" s="37" t="s">
        <v>290</v>
      </c>
      <c r="C12" s="38" t="n">
        <f aca="false">-CD_Total_Dep</f>
        <v>789285.714285714</v>
      </c>
      <c r="D12" s="38" t="n">
        <f aca="false">-CD_Total_Dep</f>
        <v>1781701.52653061</v>
      </c>
      <c r="E12" s="38" t="n">
        <f aca="false">-CD_Total_Dep</f>
        <v>2813024.76090827</v>
      </c>
      <c r="F12" s="38" t="n">
        <f aca="false">-CD_Total_Dep</f>
        <v>3367809.03755194</v>
      </c>
      <c r="G12" s="38" t="n">
        <f aca="false">-CD_Total_Dep</f>
        <v>3673330.12503235</v>
      </c>
      <c r="H12" s="38" t="n">
        <f aca="false">-CD_Total_Dep</f>
        <v>3765239.24214067</v>
      </c>
      <c r="I12" s="38" t="n">
        <f aca="false">-CD_Total_Dep</f>
        <v>3651155.70656176</v>
      </c>
    </row>
    <row r="13" customFormat="false" ht="15" hidden="false" customHeight="false" outlineLevel="0" collapsed="false">
      <c r="A13" s="5"/>
      <c r="B13" s="37" t="s">
        <v>118</v>
      </c>
      <c r="C13" s="38" t="n">
        <f aca="false">-CD_Total_Capex</f>
        <v>-13000000</v>
      </c>
      <c r="D13" s="38" t="n">
        <f aca="false">-CD_Total_Capex</f>
        <v>-17501613.0666667</v>
      </c>
      <c r="E13" s="38" t="n">
        <f aca="false">-CD_Total_Capex</f>
        <v>-19363262.7782853</v>
      </c>
      <c r="F13" s="38" t="n">
        <f aca="false">-CD_Total_Capex</f>
        <v>-12737086.6881547</v>
      </c>
      <c r="G13" s="38" t="n">
        <f aca="false">-CD_Total_Capex</f>
        <v>-9189315.84096419</v>
      </c>
      <c r="H13" s="38" t="n">
        <f aca="false">-CD_Total_Capex</f>
        <v>-5906569.560405</v>
      </c>
      <c r="I13" s="38" t="n">
        <f aca="false">-CD_Total_Capex</f>
        <v>-2470283.6655945</v>
      </c>
    </row>
    <row r="14" customFormat="false" ht="15" hidden="false" customHeight="false" outlineLevel="0" collapsed="false">
      <c r="A14" s="5"/>
      <c r="B14" s="37" t="s">
        <v>291</v>
      </c>
      <c r="C14" s="38" t="n">
        <f aca="false">WC_Change</f>
        <v>0</v>
      </c>
      <c r="D14" s="38" t="n">
        <f aca="false">WC_Change</f>
        <v>133672.127853881</v>
      </c>
      <c r="E14" s="38" t="n">
        <f aca="false">WC_Change</f>
        <v>193434.911754703</v>
      </c>
      <c r="F14" s="38" t="n">
        <f aca="false">WC_Change</f>
        <v>-25710.6911048364</v>
      </c>
      <c r="G14" s="38" t="n">
        <f aca="false">WC_Change</f>
        <v>-40951.0991226392</v>
      </c>
      <c r="H14" s="38" t="n">
        <f aca="false">WC_Change</f>
        <v>-9495.18436706823</v>
      </c>
      <c r="I14" s="38" t="n">
        <f aca="false">WC_Change</f>
        <v>-24516.3481916229</v>
      </c>
    </row>
    <row r="15" customFormat="false" ht="15" hidden="false" customHeight="false" outlineLevel="0" collapsed="false">
      <c r="A15" s="5"/>
      <c r="B15" s="39" t="s">
        <v>292</v>
      </c>
      <c r="C15" s="40" t="n">
        <f aca="false">C11+C12+C13+C14</f>
        <v>-13000000</v>
      </c>
      <c r="D15" s="40" t="n">
        <f aca="false">D11+D12+D13+D14</f>
        <v>-16588188.5388128</v>
      </c>
      <c r="E15" s="40" t="n">
        <f aca="false">E11+E12+E13+E14</f>
        <v>-14949826.3214046</v>
      </c>
      <c r="F15" s="40" t="n">
        <f aca="false">F11+F12+F13+F14</f>
        <v>-3781396.46153144</v>
      </c>
      <c r="G15" s="40" t="n">
        <f aca="false">G11+G12+G13+G14</f>
        <v>3189249.38575466</v>
      </c>
      <c r="H15" s="40" t="n">
        <f aca="false">H11+H12+H13+H14</f>
        <v>8806169.10208865</v>
      </c>
      <c r="I15" s="40" t="n">
        <f aca="false">I11+I12+I13+I14</f>
        <v>13880072.2963024</v>
      </c>
    </row>
    <row r="16" customFormat="false" ht="15" hidden="false" customHeight="false" outlineLevel="0" collapsed="false">
      <c r="A16" s="5"/>
      <c r="B16" s="5"/>
      <c r="C16" s="5"/>
      <c r="D16" s="5"/>
      <c r="E16" s="5"/>
      <c r="F16" s="5"/>
      <c r="G16" s="5"/>
      <c r="H16" s="5"/>
      <c r="I16" s="5"/>
    </row>
    <row r="17" customFormat="false" ht="15" hidden="false" customHeight="false" outlineLevel="0" collapsed="false">
      <c r="A17" s="5"/>
      <c r="B17" s="31" t="s">
        <v>293</v>
      </c>
      <c r="C17" s="16"/>
      <c r="D17" s="16"/>
      <c r="E17" s="16"/>
      <c r="F17" s="16"/>
      <c r="G17" s="16"/>
      <c r="H17" s="16"/>
      <c r="I17" s="16"/>
    </row>
    <row r="18" customFormat="false" ht="15" hidden="false" customHeight="false" outlineLevel="0" collapsed="false">
      <c r="A18" s="5"/>
      <c r="B18" s="37" t="s">
        <v>294</v>
      </c>
      <c r="C18" s="50" t="n">
        <f aca="false">1/(1+WACC_Rate)^C6</f>
        <v>0.91743119266055</v>
      </c>
      <c r="D18" s="50" t="n">
        <f aca="false">1/(1+WACC_Rate)^D6</f>
        <v>0.84167999326656</v>
      </c>
      <c r="E18" s="50" t="n">
        <f aca="false">1/(1+WACC_Rate)^E6</f>
        <v>0.772183480061064</v>
      </c>
      <c r="F18" s="50" t="n">
        <f aca="false">1/(1+WACC_Rate)^F6</f>
        <v>0.708425211065196</v>
      </c>
      <c r="G18" s="50" t="n">
        <f aca="false">1/(1+WACC_Rate)^G6</f>
        <v>0.649931386298345</v>
      </c>
      <c r="H18" s="50" t="n">
        <f aca="false">1/(1+WACC_Rate)^H6</f>
        <v>0.596267326879216</v>
      </c>
      <c r="I18" s="50" t="n">
        <f aca="false">1/(1+WACC_Rate)^I6</f>
        <v>0.547034244843317</v>
      </c>
    </row>
    <row r="19" customFormat="false" ht="15" hidden="false" customHeight="false" outlineLevel="0" collapsed="false">
      <c r="A19" s="5"/>
      <c r="B19" s="37" t="s">
        <v>295</v>
      </c>
      <c r="C19" s="38" t="n">
        <f aca="false">C15*C18</f>
        <v>-11926605.5045872</v>
      </c>
      <c r="D19" s="38" t="n">
        <f aca="false">D15*D18</f>
        <v>-13961946.4176524</v>
      </c>
      <c r="E19" s="38" t="n">
        <f aca="false">E15*E18</f>
        <v>-11544008.9151707</v>
      </c>
      <c r="F19" s="38" t="n">
        <f aca="false">F15*F18</f>
        <v>-2678836.5863816</v>
      </c>
      <c r="G19" s="38" t="n">
        <f aca="false">G15*G18</f>
        <v>2072793.27453467</v>
      </c>
      <c r="H19" s="38" t="n">
        <f aca="false">H15*H18</f>
        <v>5250830.91054875</v>
      </c>
      <c r="I19" s="38" t="n">
        <f aca="false">I15*I18</f>
        <v>7592874.86697841</v>
      </c>
    </row>
    <row r="20" customFormat="false" ht="15" hidden="false" customHeight="false" outlineLevel="0" collapsed="false">
      <c r="A20" s="5"/>
      <c r="B20" s="5"/>
      <c r="C20" s="5"/>
      <c r="D20" s="5"/>
      <c r="E20" s="5"/>
      <c r="F20" s="5"/>
      <c r="G20" s="5"/>
      <c r="H20" s="5"/>
      <c r="I20" s="5"/>
    </row>
    <row r="21" customFormat="false" ht="15" hidden="false" customHeight="false" outlineLevel="0" collapsed="false">
      <c r="A21" s="5"/>
      <c r="B21" s="47" t="s">
        <v>296</v>
      </c>
      <c r="C21" s="48" t="n">
        <f aca="false">SUM(C19:I19)</f>
        <v>-25194898.37173</v>
      </c>
      <c r="D21" s="5"/>
      <c r="E21" s="5"/>
      <c r="F21" s="5"/>
      <c r="G21" s="5"/>
      <c r="H21" s="5"/>
      <c r="I21" s="5"/>
    </row>
    <row r="22" customFormat="false" ht="15" hidden="false" customHeight="false" outlineLevel="0" collapsed="false">
      <c r="A22" s="5"/>
      <c r="B22" s="47" t="s">
        <v>297</v>
      </c>
      <c r="C22" s="48" t="n">
        <f aca="false">I15*(1+Terminal_Growth)/(WACC_Rate-Terminal_Growth)</f>
        <v>202252482.031835</v>
      </c>
      <c r="D22" s="5"/>
      <c r="E22" s="5"/>
      <c r="F22" s="5"/>
      <c r="G22" s="5"/>
      <c r="H22" s="5"/>
      <c r="I22" s="5"/>
    </row>
    <row r="23" customFormat="false" ht="15" hidden="false" customHeight="false" outlineLevel="0" collapsed="false">
      <c r="A23" s="5"/>
      <c r="B23" s="47" t="s">
        <v>298</v>
      </c>
      <c r="C23" s="48" t="n">
        <f aca="false">C22/(1+WACC_Rate)^7</f>
        <v>110639033.775971</v>
      </c>
      <c r="D23" s="5"/>
      <c r="E23" s="5"/>
      <c r="F23" s="5"/>
      <c r="G23" s="5"/>
      <c r="H23" s="5"/>
      <c r="I23" s="5"/>
    </row>
    <row r="24" customFormat="false" ht="15" hidden="false" customHeight="false" outlineLevel="0" collapsed="false">
      <c r="A24" s="5"/>
      <c r="B24" s="47" t="s">
        <v>299</v>
      </c>
      <c r="C24" s="40" t="n">
        <f aca="false">C21+C23</f>
        <v>85444135.4042412</v>
      </c>
      <c r="D24" s="5"/>
      <c r="E24" s="5"/>
      <c r="F24" s="5"/>
      <c r="G24" s="5"/>
      <c r="H24" s="5"/>
      <c r="I24" s="5"/>
    </row>
    <row r="25" customFormat="false" ht="15" hidden="false" customHeight="false" outlineLevel="0" collapsed="false">
      <c r="A25" s="5"/>
      <c r="B25" s="7" t="s">
        <v>300</v>
      </c>
      <c r="C25" s="38" t="n">
        <f aca="false">-INDEX(DS_Closing,1,7)+INDEX(CF_Close_Cash,1,7)</f>
        <v>21685786.0095171</v>
      </c>
      <c r="D25" s="5"/>
      <c r="E25" s="5"/>
      <c r="F25" s="5"/>
      <c r="G25" s="5"/>
      <c r="H25" s="5"/>
      <c r="I25" s="5"/>
    </row>
    <row r="26" customFormat="false" ht="15" hidden="false" customHeight="false" outlineLevel="0" collapsed="false">
      <c r="A26" s="5"/>
      <c r="B26" s="47" t="s">
        <v>301</v>
      </c>
      <c r="C26" s="46" t="n">
        <f aca="false">C24+C25</f>
        <v>107129921.413758</v>
      </c>
      <c r="D26" s="5"/>
      <c r="E26" s="5"/>
      <c r="F26" s="5"/>
      <c r="G26" s="5"/>
      <c r="H26" s="5"/>
      <c r="I26" s="5"/>
    </row>
    <row r="27" customFormat="false" ht="15" hidden="false" customHeight="false" outlineLevel="0" collapsed="false">
      <c r="A27" s="5"/>
      <c r="B27" s="5"/>
      <c r="C27" s="5"/>
      <c r="D27" s="5"/>
      <c r="E27" s="5"/>
      <c r="F27" s="5"/>
      <c r="G27" s="5"/>
      <c r="H27" s="5"/>
      <c r="I27" s="5"/>
    </row>
    <row r="28" customFormat="false" ht="15" hidden="false" customHeight="false" outlineLevel="0" collapsed="false">
      <c r="A28" s="5"/>
      <c r="B28" s="31" t="s">
        <v>302</v>
      </c>
      <c r="C28" s="16"/>
      <c r="D28" s="16"/>
      <c r="E28" s="16"/>
      <c r="F28" s="16"/>
      <c r="G28" s="16"/>
      <c r="H28" s="16"/>
      <c r="I28" s="16"/>
    </row>
    <row r="29" customFormat="false" ht="15" hidden="false" customHeight="false" outlineLevel="0" collapsed="false">
      <c r="A29" s="5"/>
      <c r="B29" s="37" t="s">
        <v>303</v>
      </c>
      <c r="C29" s="38" t="n">
        <f aca="false">IF(C6=1,-Equity_Injection,0)+IF(C6=7,C26,0)</f>
        <v>-60000000</v>
      </c>
      <c r="D29" s="38" t="n">
        <f aca="false">IF(D6=1,-Equity_Injection,0)+IF(D6=7,C26,0)</f>
        <v>0</v>
      </c>
      <c r="E29" s="38" t="n">
        <f aca="false">IF(E6=1,-Equity_Injection,0)+IF(E6=7,C26,0)</f>
        <v>0</v>
      </c>
      <c r="F29" s="38" t="n">
        <f aca="false">IF(F6=1,-Equity_Injection,0)+IF(F6=7,C26,0)</f>
        <v>0</v>
      </c>
      <c r="G29" s="38" t="n">
        <f aca="false">IF(G6=1,-Equity_Injection,0)+IF(G6=7,C26,0)</f>
        <v>0</v>
      </c>
      <c r="H29" s="38" t="n">
        <f aca="false">IF(H6=1,-Equity_Injection,0)+IF(H6=7,C26,0)</f>
        <v>0</v>
      </c>
      <c r="I29" s="38" t="n">
        <f aca="false">IF(I6=1,-Equity_Injection,0)+IF(I6=7,C26,0)</f>
        <v>107129921.413758</v>
      </c>
    </row>
    <row r="30" customFormat="false" ht="15" hidden="false" customHeight="false" outlineLevel="0" collapsed="false">
      <c r="A30" s="5"/>
      <c r="B30" s="47" t="s">
        <v>304</v>
      </c>
      <c r="C30" s="51" t="n">
        <f aca="false">IFERROR(IRR(C15:H15,I15+C22),0)</f>
        <v>0</v>
      </c>
      <c r="D30" s="5"/>
      <c r="E30" s="5"/>
      <c r="F30" s="5"/>
      <c r="G30" s="5"/>
      <c r="H30" s="5"/>
      <c r="I30" s="5"/>
    </row>
    <row r="31" customFormat="false" ht="15" hidden="false" customHeight="false" outlineLevel="0" collapsed="false">
      <c r="A31" s="5"/>
      <c r="B31" s="47" t="s">
        <v>305</v>
      </c>
      <c r="C31" s="51" t="n">
        <f aca="false">IFERROR(IRR(C29:I29),0)</f>
        <v>0.101437662542407</v>
      </c>
      <c r="D31" s="5"/>
      <c r="E31" s="5"/>
      <c r="F31" s="5"/>
      <c r="G31" s="5"/>
      <c r="H31" s="5"/>
      <c r="I31" s="5"/>
    </row>
    <row r="32" customFormat="false" ht="15" hidden="false" customHeight="false" outlineLevel="0" collapsed="false">
      <c r="A32" s="5"/>
      <c r="B32" s="47" t="s">
        <v>306</v>
      </c>
      <c r="C32" s="52" t="n">
        <f aca="false">IFERROR(-SUM(D29:I29)/C29,0)</f>
        <v>1.78549869022931</v>
      </c>
      <c r="D32" s="5"/>
      <c r="E32" s="5"/>
      <c r="F32" s="5"/>
      <c r="G32" s="5"/>
      <c r="H32" s="5"/>
      <c r="I32" s="5"/>
    </row>
    <row r="33" customFormat="false" ht="15" hidden="false" customHeight="false" outlineLevel="0" collapsed="false">
      <c r="A33" s="5"/>
      <c r="B33" s="47" t="s">
        <v>307</v>
      </c>
      <c r="C33" s="53" t="n">
        <f aca="false">IFERROR(MATCH(TRUE(),INDEX(CF_Close_Cash&gt;0,0),0),"N/A")</f>
        <v>1</v>
      </c>
      <c r="D33" s="5"/>
      <c r="E33" s="5"/>
      <c r="F33" s="5"/>
      <c r="G33" s="5"/>
      <c r="H33" s="5"/>
      <c r="I33" s="5"/>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308</v>
      </c>
      <c r="C2" s="5"/>
      <c r="D2" s="5"/>
      <c r="E2" s="5"/>
      <c r="F2" s="5"/>
      <c r="G2" s="5"/>
      <c r="H2" s="5"/>
      <c r="I2" s="5"/>
    </row>
    <row r="3" customFormat="false" ht="15" hidden="false" customHeight="false" outlineLevel="0" collapsed="false">
      <c r="A3" s="5"/>
      <c r="B3" s="8" t="s">
        <v>29</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7" t="s">
        <v>309</v>
      </c>
      <c r="C7" s="54" t="str">
        <f aca="false">IF(ABS(BS_Check)&lt;1,"PASS","FAIL")</f>
        <v>PASS</v>
      </c>
      <c r="D7" s="54" t="str">
        <f aca="false">IF(ABS(BS_Check)&lt;1,"PASS","FAIL")</f>
        <v>PASS</v>
      </c>
      <c r="E7" s="54" t="str">
        <f aca="false">IF(ABS(BS_Check)&lt;1,"PASS","FAIL")</f>
        <v>PASS</v>
      </c>
      <c r="F7" s="54" t="str">
        <f aca="false">IF(ABS(BS_Check)&lt;1,"PASS","FAIL")</f>
        <v>PASS</v>
      </c>
      <c r="G7" s="54" t="str">
        <f aca="false">IF(ABS(BS_Check)&lt;1,"PASS","FAIL")</f>
        <v>PASS</v>
      </c>
      <c r="H7" s="54" t="str">
        <f aca="false">IF(ABS(BS_Check)&lt;1,"PASS","FAIL")</f>
        <v>PASS</v>
      </c>
      <c r="I7" s="54" t="str">
        <f aca="false">IF(ABS(BS_Check)&lt;1,"PASS","FAIL")</f>
        <v>PASS</v>
      </c>
    </row>
    <row r="8" customFormat="false" ht="15" hidden="false" customHeight="false" outlineLevel="0" collapsed="false">
      <c r="A8" s="5"/>
      <c r="B8" s="7" t="s">
        <v>310</v>
      </c>
      <c r="C8" s="54" t="str">
        <f aca="false">IF(IFERROR(Subscribers_Revenue!C15/NB_Cum_RFS,0)&lt;=1,"PASS","FAIL")</f>
        <v>PASS</v>
      </c>
      <c r="D8" s="54" t="str">
        <f aca="false">IF(IFERROR(Subscribers_Revenue!D15/NB_Cum_RFS,0)&lt;=1,"PASS","FAIL")</f>
        <v>PASS</v>
      </c>
      <c r="E8" s="54" t="str">
        <f aca="false">IF(IFERROR(Subscribers_Revenue!E15/NB_Cum_RFS,0)&lt;=1,"PASS","FAIL")</f>
        <v>PASS</v>
      </c>
      <c r="F8" s="54" t="str">
        <f aca="false">IF(IFERROR(Subscribers_Revenue!F15/NB_Cum_RFS,0)&lt;=1,"PASS","FAIL")</f>
        <v>PASS</v>
      </c>
      <c r="G8" s="54" t="str">
        <f aca="false">IF(IFERROR(Subscribers_Revenue!G15/NB_Cum_RFS,0)&lt;=1,"PASS","FAIL")</f>
        <v>PASS</v>
      </c>
      <c r="H8" s="54" t="str">
        <f aca="false">IF(IFERROR(Subscribers_Revenue!H15/NB_Cum_RFS,0)&lt;=1,"PASS","FAIL")</f>
        <v>PASS</v>
      </c>
      <c r="I8" s="54" t="str">
        <f aca="false">IF(IFERROR(Subscribers_Revenue!I15/NB_Cum_RFS,0)&lt;=1,"PASS","FAIL")</f>
        <v>PASS</v>
      </c>
    </row>
    <row r="9" customFormat="false" ht="15" hidden="false" customHeight="false" outlineLevel="0" collapsed="false">
      <c r="A9" s="5"/>
      <c r="B9" s="7" t="s">
        <v>311</v>
      </c>
      <c r="C9" s="54" t="str">
        <f aca="false">IF(OR(DS_DSCR=0,DS_DSCR&gt;=1.2),"PASS","WARN")</f>
        <v>PASS</v>
      </c>
      <c r="D9" s="54" t="str">
        <f aca="false">IF(OR(DS_DSCR=0,DS_DSCR&gt;=1.2),"PASS","WARN")</f>
        <v>WARN</v>
      </c>
      <c r="E9" s="54" t="str">
        <f aca="false">IF(OR(DS_DSCR=0,DS_DSCR&gt;=1.2),"PASS","WARN")</f>
        <v>PASS</v>
      </c>
      <c r="F9" s="54" t="str">
        <f aca="false">IF(OR(DS_DSCR=0,DS_DSCR&gt;=1.2),"PASS","WARN")</f>
        <v>WARN</v>
      </c>
      <c r="G9" s="54" t="str">
        <f aca="false">IF(OR(DS_DSCR=0,DS_DSCR&gt;=1.2),"PASS","WARN")</f>
        <v>PASS</v>
      </c>
      <c r="H9" s="54" t="str">
        <f aca="false">IF(OR(DS_DSCR=0,DS_DSCR&gt;=1.2),"PASS","WARN")</f>
        <v>PASS</v>
      </c>
      <c r="I9" s="54" t="str">
        <f aca="false">IF(OR(DS_DSCR=0,DS_DSCR&gt;=1.2),"PASS","WARN")</f>
        <v>PASS</v>
      </c>
    </row>
    <row r="10" customFormat="false" ht="15" hidden="false" customHeight="false" outlineLevel="0" collapsed="false">
      <c r="A10" s="5"/>
      <c r="B10" s="7" t="s">
        <v>312</v>
      </c>
      <c r="C10" s="54" t="str">
        <f aca="false">IF(CF_Close_Cash&gt;=0,"PASS","FAIL")</f>
        <v>PASS</v>
      </c>
      <c r="D10" s="54" t="str">
        <f aca="false">IF(CF_Close_Cash&gt;=0,"PASS","FAIL")</f>
        <v>PASS</v>
      </c>
      <c r="E10" s="54" t="str">
        <f aca="false">IF(CF_Close_Cash&gt;=0,"PASS","FAIL")</f>
        <v>PASS</v>
      </c>
      <c r="F10" s="54" t="str">
        <f aca="false">IF(CF_Close_Cash&gt;=0,"PASS","FAIL")</f>
        <v>PASS</v>
      </c>
      <c r="G10" s="54" t="str">
        <f aca="false">IF(CF_Close_Cash&gt;=0,"PASS","FAIL")</f>
        <v>PASS</v>
      </c>
      <c r="H10" s="54" t="str">
        <f aca="false">IF(CF_Close_Cash&gt;=0,"PASS","FAIL")</f>
        <v>PASS</v>
      </c>
      <c r="I10" s="54" t="str">
        <f aca="false">IF(CF_Close_Cash&gt;=0,"PASS","FAIL")</f>
        <v>PASS</v>
      </c>
    </row>
    <row r="11" customFormat="false" ht="15" hidden="false" customHeight="false" outlineLevel="0" collapsed="false">
      <c r="A11" s="5"/>
      <c r="B11" s="7" t="s">
        <v>313</v>
      </c>
      <c r="C11" s="54" t="str">
        <f aca="false">IF(AND(SR_Resi_ARPU/12&gt;=40,SR_Resi_ARPU/12&lt;=80),"PASS","FAIL")</f>
        <v>PASS</v>
      </c>
      <c r="D11" s="54" t="str">
        <f aca="false">IF(AND(SR_Resi_ARPU/12&gt;=40,SR_Resi_ARPU/12&lt;=80),"PASS","FAIL")</f>
        <v>PASS</v>
      </c>
      <c r="E11" s="54" t="str">
        <f aca="false">IF(AND(SR_Resi_ARPU/12&gt;=40,SR_Resi_ARPU/12&lt;=80),"PASS","FAIL")</f>
        <v>PASS</v>
      </c>
      <c r="F11" s="54" t="str">
        <f aca="false">IF(AND(SR_Resi_ARPU/12&gt;=40,SR_Resi_ARPU/12&lt;=80),"PASS","FAIL")</f>
        <v>PASS</v>
      </c>
      <c r="G11" s="54" t="str">
        <f aca="false">IF(AND(SR_Resi_ARPU/12&gt;=40,SR_Resi_ARPU/12&lt;=80),"PASS","FAIL")</f>
        <v>PASS</v>
      </c>
      <c r="H11" s="54" t="str">
        <f aca="false">IF(AND(SR_Resi_ARPU/12&gt;=40,SR_Resi_ARPU/12&lt;=80),"PASS","FAIL")</f>
        <v>PASS</v>
      </c>
      <c r="I11" s="54" t="str">
        <f aca="false">IF(AND(SR_Resi_ARPU/12&gt;=40,SR_Resi_ARPU/12&lt;=80),"PASS","FAIL")</f>
        <v>PASS</v>
      </c>
    </row>
    <row r="12" customFormat="false" ht="15" hidden="false" customHeight="false" outlineLevel="0" collapsed="false">
      <c r="A12" s="5"/>
      <c r="B12" s="7" t="s">
        <v>314</v>
      </c>
      <c r="C12" s="54" t="str">
        <f aca="false">IF(OC_Revenue=0,"PASS",IF(IFERROR(OC_Gross_Profit/OC_Revenue,0)&gt;=0.7,"PASS","WARN"))</f>
        <v>PASS</v>
      </c>
      <c r="D12" s="54" t="str">
        <f aca="false">IF(OC_Revenue=0,"PASS",IF(IFERROR(OC_Gross_Profit/OC_Revenue,0)&gt;=0.7,"PASS","WARN"))</f>
        <v>PASS</v>
      </c>
      <c r="E12" s="54" t="str">
        <f aca="false">IF(OC_Revenue=0,"PASS",IF(IFERROR(OC_Gross_Profit/OC_Revenue,0)&gt;=0.7,"PASS","WARN"))</f>
        <v>PASS</v>
      </c>
      <c r="F12" s="54" t="str">
        <f aca="false">IF(OC_Revenue=0,"PASS",IF(IFERROR(OC_Gross_Profit/OC_Revenue,0)&gt;=0.7,"PASS","WARN"))</f>
        <v>PASS</v>
      </c>
      <c r="G12" s="54" t="str">
        <f aca="false">IF(OC_Revenue=0,"PASS",IF(IFERROR(OC_Gross_Profit/OC_Revenue,0)&gt;=0.7,"PASS","WARN"))</f>
        <v>PASS</v>
      </c>
      <c r="H12" s="54" t="str">
        <f aca="false">IF(OC_Revenue=0,"PASS",IF(IFERROR(OC_Gross_Profit/OC_Revenue,0)&gt;=0.7,"PASS","WARN"))</f>
        <v>PASS</v>
      </c>
      <c r="I12" s="54" t="str">
        <f aca="false">IF(OC_Revenue=0,"PASS",IF(IFERROR(OC_Gross_Profit/OC_Revenue,0)&gt;=0.7,"PASS","WARN"))</f>
        <v>PASS</v>
      </c>
    </row>
    <row r="13" customFormat="false" ht="15" hidden="false" customHeight="false" outlineLevel="0" collapsed="false">
      <c r="A13" s="5"/>
      <c r="B13" s="7" t="s">
        <v>315</v>
      </c>
      <c r="C13" s="54" t="str">
        <f aca="false">IF(ABS(SR_Close_Subs-SR_Open_Subs-(SR_Gross_Adds+SR_Churn))&lt;1,"PASS","FAIL")</f>
        <v>PASS</v>
      </c>
      <c r="D13" s="54" t="str">
        <f aca="false">IF(ABS(SR_Close_Subs-SR_Open_Subs-(SR_Gross_Adds+SR_Churn))&lt;1,"PASS","FAIL")</f>
        <v>PASS</v>
      </c>
      <c r="E13" s="54" t="str">
        <f aca="false">IF(ABS(SR_Close_Subs-SR_Open_Subs-(SR_Gross_Adds+SR_Churn))&lt;1,"PASS","FAIL")</f>
        <v>PASS</v>
      </c>
      <c r="F13" s="54" t="str">
        <f aca="false">IF(ABS(SR_Close_Subs-SR_Open_Subs-(SR_Gross_Adds+SR_Churn))&lt;1,"PASS","FAIL")</f>
        <v>PASS</v>
      </c>
      <c r="G13" s="54" t="str">
        <f aca="false">IF(ABS(SR_Close_Subs-SR_Open_Subs-(SR_Gross_Adds+SR_Churn))&lt;1,"PASS","FAIL")</f>
        <v>PASS</v>
      </c>
      <c r="H13" s="54" t="str">
        <f aca="false">IF(ABS(SR_Close_Subs-SR_Open_Subs-(SR_Gross_Adds+SR_Churn))&lt;1,"PASS","FAIL")</f>
        <v>PASS</v>
      </c>
      <c r="I13" s="54" t="str">
        <f aca="false">IF(ABS(SR_Close_Subs-SR_Open_Subs-(SR_Gross_Adds+SR_Churn))&lt;1,"PASS","FAIL")</f>
        <v>PASS</v>
      </c>
    </row>
    <row r="14" customFormat="false" ht="15" hidden="false" customHeight="false" outlineLevel="0" collapsed="false">
      <c r="A14" s="5"/>
      <c r="B14" s="7" t="s">
        <v>316</v>
      </c>
      <c r="C14" s="54" t="str">
        <f aca="false">IF(ABS(CD_Total_Capex-(CD_Build_Capex+CD_Conn_Capex+CD_Maint_Capex))&lt;1,"PASS","FAIL")</f>
        <v>PASS</v>
      </c>
      <c r="D14" s="54" t="str">
        <f aca="false">IF(ABS(CD_Total_Capex-(CD_Build_Capex+CD_Conn_Capex+CD_Maint_Capex))&lt;1,"PASS","FAIL")</f>
        <v>PASS</v>
      </c>
      <c r="E14" s="54" t="str">
        <f aca="false">IF(ABS(CD_Total_Capex-(CD_Build_Capex+CD_Conn_Capex+CD_Maint_Capex))&lt;1,"PASS","FAIL")</f>
        <v>PASS</v>
      </c>
      <c r="F14" s="54" t="str">
        <f aca="false">IF(ABS(CD_Total_Capex-(CD_Build_Capex+CD_Conn_Capex+CD_Maint_Capex))&lt;1,"PASS","FAIL")</f>
        <v>PASS</v>
      </c>
      <c r="G14" s="54" t="str">
        <f aca="false">IF(ABS(CD_Total_Capex-(CD_Build_Capex+CD_Conn_Capex+CD_Maint_Capex))&lt;1,"PASS","FAIL")</f>
        <v>PASS</v>
      </c>
      <c r="H14" s="54" t="str">
        <f aca="false">IF(ABS(CD_Total_Capex-(CD_Build_Capex+CD_Conn_Capex+CD_Maint_Capex))&lt;1,"PASS","FAIL")</f>
        <v>PASS</v>
      </c>
      <c r="I14" s="54" t="str">
        <f aca="false">IF(ABS(CD_Total_Capex-(CD_Build_Capex+CD_Conn_Capex+CD_Maint_Capex))&lt;1,"PASS","FAIL")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5"/>
      <c r="B1" s="5"/>
    </row>
    <row r="2" customFormat="false" ht="31.5" hidden="false" customHeight="true" outlineLevel="0" collapsed="false">
      <c r="A2" s="5"/>
      <c r="B2" s="20" t="s">
        <v>47</v>
      </c>
    </row>
    <row r="3" customFormat="false" ht="3.75" hidden="false" customHeight="true" outlineLevel="0" collapsed="false">
      <c r="A3" s="5"/>
      <c r="B3" s="21"/>
    </row>
    <row r="4" customFormat="false" ht="15" hidden="false" customHeight="false" outlineLevel="0" collapsed="false">
      <c r="A4" s="5"/>
      <c r="B4" s="5"/>
    </row>
    <row r="5" customFormat="false" ht="19.5" hidden="false" customHeight="true" outlineLevel="0" collapsed="false">
      <c r="A5" s="5"/>
      <c r="B5" s="22" t="s">
        <v>48</v>
      </c>
    </row>
    <row r="6" customFormat="false" ht="48" hidden="false" customHeight="true" outlineLevel="0" collapsed="false">
      <c r="A6" s="5"/>
      <c r="B6" s="23" t="s">
        <v>49</v>
      </c>
    </row>
    <row r="7" customFormat="false" ht="15" hidden="false" customHeight="false" outlineLevel="0" collapsed="false">
      <c r="A7" s="5"/>
      <c r="B7" s="5"/>
    </row>
    <row r="8" customFormat="false" ht="19.5" hidden="false" customHeight="true" outlineLevel="0" collapsed="false">
      <c r="A8" s="5"/>
      <c r="B8" s="22" t="s">
        <v>50</v>
      </c>
    </row>
    <row r="9" customFormat="false" ht="61.5" hidden="false" customHeight="true" outlineLevel="0" collapsed="false">
      <c r="A9" s="5"/>
      <c r="B9" s="23" t="s">
        <v>51</v>
      </c>
    </row>
    <row r="10" customFormat="false" ht="15" hidden="false" customHeight="false" outlineLevel="0" collapsed="false">
      <c r="A10" s="5"/>
      <c r="B10" s="5"/>
    </row>
    <row r="11" customFormat="false" ht="19.5" hidden="false" customHeight="true" outlineLevel="0" collapsed="false">
      <c r="A11" s="5"/>
      <c r="B11" s="22" t="s">
        <v>52</v>
      </c>
    </row>
    <row r="12" customFormat="false" ht="75.75" hidden="false" customHeight="true" outlineLevel="0" collapsed="false">
      <c r="A12" s="5"/>
      <c r="B12" s="23" t="s">
        <v>53</v>
      </c>
    </row>
    <row r="13" customFormat="false" ht="15" hidden="false" customHeight="false" outlineLevel="0" collapsed="false">
      <c r="A13" s="5"/>
      <c r="B13" s="5"/>
    </row>
    <row r="14" customFormat="false" ht="19.5" hidden="false" customHeight="true" outlineLevel="0" collapsed="false">
      <c r="A14" s="5"/>
      <c r="B14" s="22" t="s">
        <v>54</v>
      </c>
    </row>
    <row r="15" customFormat="false" ht="61.5" hidden="false" customHeight="true" outlineLevel="0" collapsed="false">
      <c r="A15" s="5"/>
      <c r="B15" s="23" t="s">
        <v>55</v>
      </c>
    </row>
    <row r="16" customFormat="false" ht="15" hidden="false" customHeight="false" outlineLevel="0" collapsed="false">
      <c r="A16" s="5"/>
      <c r="B16" s="5"/>
    </row>
    <row r="17" customFormat="false" ht="19.5" hidden="false" customHeight="true" outlineLevel="0" collapsed="false">
      <c r="A17" s="5"/>
      <c r="B17" s="22" t="s">
        <v>56</v>
      </c>
    </row>
    <row r="18" customFormat="false" ht="33.75" hidden="false" customHeight="true" outlineLevel="0" collapsed="false">
      <c r="A18" s="5"/>
      <c r="B18" s="23" t="s">
        <v>57</v>
      </c>
    </row>
    <row r="19" customFormat="false" ht="15" hidden="false" customHeight="false" outlineLevel="0" collapsed="false">
      <c r="A19" s="5"/>
      <c r="B19" s="5"/>
    </row>
    <row r="20" customFormat="false" ht="19.5" hidden="false" customHeight="true" outlineLevel="0" collapsed="false">
      <c r="A20" s="5"/>
      <c r="B20" s="22" t="s">
        <v>58</v>
      </c>
    </row>
    <row r="21" customFormat="false" ht="33.75" hidden="false" customHeight="true" outlineLevel="0" collapsed="false">
      <c r="A21" s="5"/>
      <c r="B21" s="23" t="s">
        <v>59</v>
      </c>
    </row>
    <row r="22" customFormat="false" ht="15" hidden="false" customHeight="false" outlineLevel="0" collapsed="false">
      <c r="A22" s="5"/>
      <c r="B22" s="5"/>
    </row>
    <row r="23" customFormat="false" ht="21.75" hidden="false" customHeight="true" outlineLevel="0" collapsed="false">
      <c r="A23" s="5"/>
      <c r="B23" s="24" t="s">
        <v>60</v>
      </c>
    </row>
    <row r="24" customFormat="false" ht="15" hidden="false" customHeight="false" outlineLevel="0" collapsed="false">
      <c r="A24" s="5"/>
      <c r="B24" s="5"/>
    </row>
    <row r="25" customFormat="false" ht="18" hidden="false" customHeight="true" outlineLevel="0" collapsed="false">
      <c r="A25" s="5"/>
      <c r="B25" s="25" t="s">
        <v>61</v>
      </c>
    </row>
    <row r="26" customFormat="false" ht="201.75" hidden="false" customHeight="true" outlineLevel="0" collapsed="false">
      <c r="A26" s="5"/>
      <c r="B26" s="26" t="s">
        <v>62</v>
      </c>
    </row>
    <row r="27" customFormat="false" ht="15" hidden="false" customHeight="false" outlineLevel="0" collapsed="false">
      <c r="A27" s="5"/>
      <c r="B27" s="5"/>
    </row>
    <row r="28" customFormat="false" ht="18" hidden="false" customHeight="true" outlineLevel="0" collapsed="false">
      <c r="A28" s="5"/>
      <c r="B28" s="27" t="s">
        <v>63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E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8"/>
    <col collapsed="false" customWidth="true" hidden="false" outlineLevel="0" max="4" min="4" style="0" width="12"/>
    <col collapsed="false" customWidth="true" hidden="false" outlineLevel="0" max="5" min="5" style="0" width="35"/>
  </cols>
  <sheetData>
    <row r="1" customFormat="false" ht="15" hidden="false" customHeight="false" outlineLevel="0" collapsed="false">
      <c r="A1" s="5"/>
      <c r="B1" s="5"/>
      <c r="C1" s="5"/>
      <c r="D1" s="5"/>
      <c r="E1" s="5"/>
    </row>
    <row r="2" customFormat="false" ht="22.05" hidden="false" customHeight="false" outlineLevel="0" collapsed="false">
      <c r="A2" s="5"/>
      <c r="B2" s="28" t="s">
        <v>6</v>
      </c>
      <c r="C2" s="5"/>
      <c r="D2" s="5"/>
      <c r="E2" s="5"/>
    </row>
    <row r="3" customFormat="false" ht="15" hidden="false" customHeight="false" outlineLevel="0" collapsed="false">
      <c r="A3" s="5"/>
      <c r="B3" s="8" t="s">
        <v>64</v>
      </c>
      <c r="C3" s="5"/>
      <c r="D3" s="5"/>
      <c r="E3" s="5"/>
    </row>
    <row r="4" customFormat="false" ht="15" hidden="false" customHeight="false" outlineLevel="0" collapsed="false">
      <c r="A4" s="5"/>
      <c r="B4" s="5"/>
      <c r="C4" s="5"/>
      <c r="D4" s="5"/>
      <c r="E4" s="5"/>
    </row>
    <row r="5" customFormat="false" ht="15" hidden="false" customHeight="false" outlineLevel="0" collapsed="false">
      <c r="A5" s="5"/>
      <c r="B5" s="29" t="s">
        <v>65</v>
      </c>
      <c r="C5" s="30" t="s">
        <v>66</v>
      </c>
      <c r="D5" s="30" t="s">
        <v>67</v>
      </c>
      <c r="E5" s="30" t="s">
        <v>68</v>
      </c>
    </row>
    <row r="6" customFormat="false" ht="15" hidden="false" customHeight="false" outlineLevel="0" collapsed="false">
      <c r="A6" s="5"/>
      <c r="B6" s="31" t="s">
        <v>69</v>
      </c>
      <c r="C6" s="16"/>
      <c r="D6" s="16"/>
      <c r="E6" s="16"/>
    </row>
    <row r="7" customFormat="false" ht="15" hidden="false" customHeight="false" outlineLevel="0" collapsed="false">
      <c r="A7" s="5"/>
      <c r="B7" s="7" t="s">
        <v>70</v>
      </c>
      <c r="C7" s="32" t="n">
        <v>2025</v>
      </c>
      <c r="D7" s="33" t="s">
        <v>71</v>
      </c>
      <c r="E7" s="8" t="s">
        <v>72</v>
      </c>
    </row>
    <row r="8" customFormat="false" ht="15" hidden="false" customHeight="false" outlineLevel="0" collapsed="false">
      <c r="A8" s="5"/>
      <c r="B8" s="7" t="s">
        <v>73</v>
      </c>
      <c r="C8" s="32" t="n">
        <v>7</v>
      </c>
      <c r="D8" s="33" t="s">
        <v>74</v>
      </c>
      <c r="E8" s="8" t="s">
        <v>75</v>
      </c>
    </row>
    <row r="9" customFormat="false" ht="15" hidden="false" customHeight="false" outlineLevel="0" collapsed="false">
      <c r="A9" s="5"/>
      <c r="B9" s="31" t="s">
        <v>76</v>
      </c>
      <c r="C9" s="16"/>
      <c r="D9" s="16"/>
      <c r="E9" s="16"/>
    </row>
    <row r="10" customFormat="false" ht="15" hidden="false" customHeight="false" outlineLevel="0" collapsed="false">
      <c r="A10" s="5"/>
      <c r="B10" s="7" t="s">
        <v>77</v>
      </c>
      <c r="C10" s="32" t="n">
        <v>100000</v>
      </c>
      <c r="D10" s="33" t="s">
        <v>78</v>
      </c>
      <c r="E10" s="8" t="s">
        <v>79</v>
      </c>
    </row>
    <row r="11" customFormat="false" ht="15" hidden="false" customHeight="false" outlineLevel="0" collapsed="false">
      <c r="A11" s="5"/>
      <c r="B11" s="7" t="s">
        <v>80</v>
      </c>
      <c r="C11" s="32" t="n">
        <v>20000</v>
      </c>
      <c r="D11" s="33" t="s">
        <v>78</v>
      </c>
      <c r="E11" s="8" t="s">
        <v>81</v>
      </c>
    </row>
    <row r="12" customFormat="false" ht="15" hidden="false" customHeight="false" outlineLevel="0" collapsed="false">
      <c r="A12" s="5"/>
      <c r="B12" s="7" t="s">
        <v>82</v>
      </c>
      <c r="C12" s="32" t="n">
        <v>25000</v>
      </c>
      <c r="D12" s="33" t="s">
        <v>78</v>
      </c>
      <c r="E12" s="8" t="s">
        <v>83</v>
      </c>
    </row>
    <row r="13" customFormat="false" ht="15" hidden="false" customHeight="false" outlineLevel="0" collapsed="false">
      <c r="A13" s="5"/>
      <c r="B13" s="7" t="s">
        <v>84</v>
      </c>
      <c r="C13" s="32" t="n">
        <v>25000</v>
      </c>
      <c r="D13" s="33" t="s">
        <v>78</v>
      </c>
      <c r="E13" s="8" t="s">
        <v>83</v>
      </c>
    </row>
    <row r="14" customFormat="false" ht="15" hidden="false" customHeight="false" outlineLevel="0" collapsed="false">
      <c r="A14" s="5"/>
      <c r="B14" s="7" t="s">
        <v>85</v>
      </c>
      <c r="C14" s="32" t="n">
        <v>15000</v>
      </c>
      <c r="D14" s="33" t="s">
        <v>78</v>
      </c>
      <c r="E14" s="8" t="s">
        <v>86</v>
      </c>
    </row>
    <row r="15" customFormat="false" ht="15" hidden="false" customHeight="false" outlineLevel="0" collapsed="false">
      <c r="A15" s="5"/>
      <c r="B15" s="7" t="s">
        <v>87</v>
      </c>
      <c r="C15" s="32" t="n">
        <v>10000</v>
      </c>
      <c r="D15" s="33" t="s">
        <v>78</v>
      </c>
      <c r="E15" s="8" t="s">
        <v>88</v>
      </c>
    </row>
    <row r="16" customFormat="false" ht="15" hidden="false" customHeight="false" outlineLevel="0" collapsed="false">
      <c r="A16" s="5"/>
      <c r="B16" s="7" t="s">
        <v>89</v>
      </c>
      <c r="C16" s="32" t="n">
        <v>5000</v>
      </c>
      <c r="D16" s="33" t="s">
        <v>78</v>
      </c>
      <c r="E16" s="8" t="s">
        <v>90</v>
      </c>
    </row>
    <row r="17" customFormat="false" ht="15" hidden="false" customHeight="false" outlineLevel="0" collapsed="false">
      <c r="A17" s="5"/>
      <c r="B17" s="7" t="s">
        <v>91</v>
      </c>
      <c r="C17" s="32" t="n">
        <v>0</v>
      </c>
      <c r="D17" s="33" t="s">
        <v>78</v>
      </c>
      <c r="E17" s="8" t="s">
        <v>92</v>
      </c>
    </row>
    <row r="18" customFormat="false" ht="15" hidden="false" customHeight="false" outlineLevel="0" collapsed="false">
      <c r="A18" s="5"/>
      <c r="B18" s="7" t="s">
        <v>93</v>
      </c>
      <c r="C18" s="32" t="n">
        <v>1</v>
      </c>
      <c r="D18" s="33" t="s">
        <v>71</v>
      </c>
      <c r="E18" s="8" t="s">
        <v>94</v>
      </c>
    </row>
    <row r="19" customFormat="false" ht="15" hidden="false" customHeight="false" outlineLevel="0" collapsed="false">
      <c r="A19" s="5"/>
      <c r="B19" s="31" t="s">
        <v>95</v>
      </c>
      <c r="C19" s="16"/>
      <c r="D19" s="16"/>
      <c r="E19" s="16"/>
    </row>
    <row r="20" customFormat="false" ht="15" hidden="false" customHeight="false" outlineLevel="0" collapsed="false">
      <c r="A20" s="5"/>
      <c r="B20" s="7" t="s">
        <v>96</v>
      </c>
      <c r="C20" s="32" t="n">
        <v>60</v>
      </c>
      <c r="D20" s="33" t="s">
        <v>97</v>
      </c>
      <c r="E20" s="8" t="s">
        <v>98</v>
      </c>
    </row>
    <row r="21" customFormat="false" ht="15" hidden="false" customHeight="false" outlineLevel="0" collapsed="false">
      <c r="A21" s="5"/>
      <c r="B21" s="7" t="s">
        <v>99</v>
      </c>
      <c r="C21" s="34" t="n">
        <v>0.03</v>
      </c>
      <c r="D21" s="33" t="s">
        <v>100</v>
      </c>
      <c r="E21" s="8" t="s">
        <v>101</v>
      </c>
    </row>
    <row r="22" customFormat="false" ht="15" hidden="false" customHeight="false" outlineLevel="0" collapsed="false">
      <c r="A22" s="5"/>
      <c r="B22" s="7" t="s">
        <v>102</v>
      </c>
      <c r="C22" s="32" t="n">
        <v>500</v>
      </c>
      <c r="D22" s="33" t="s">
        <v>97</v>
      </c>
      <c r="E22" s="8" t="s">
        <v>103</v>
      </c>
    </row>
    <row r="23" customFormat="false" ht="15" hidden="false" customHeight="false" outlineLevel="0" collapsed="false">
      <c r="A23" s="5"/>
      <c r="B23" s="7" t="s">
        <v>104</v>
      </c>
      <c r="C23" s="34" t="n">
        <v>0.05</v>
      </c>
      <c r="D23" s="33" t="s">
        <v>100</v>
      </c>
      <c r="E23" s="8" t="s">
        <v>105</v>
      </c>
    </row>
    <row r="24" customFormat="false" ht="15" hidden="false" customHeight="false" outlineLevel="0" collapsed="false">
      <c r="A24" s="5"/>
      <c r="B24" s="7" t="s">
        <v>106</v>
      </c>
      <c r="C24" s="34" t="n">
        <v>0.012</v>
      </c>
      <c r="D24" s="33" t="s">
        <v>100</v>
      </c>
      <c r="E24" s="8" t="s">
        <v>107</v>
      </c>
    </row>
    <row r="25" customFormat="false" ht="15" hidden="false" customHeight="false" outlineLevel="0" collapsed="false">
      <c r="A25" s="5"/>
      <c r="B25" s="7" t="s">
        <v>108</v>
      </c>
      <c r="C25" s="34" t="n">
        <v>0.35</v>
      </c>
      <c r="D25" s="33" t="s">
        <v>100</v>
      </c>
      <c r="E25" s="8" t="s">
        <v>109</v>
      </c>
    </row>
    <row r="26" customFormat="false" ht="15" hidden="false" customHeight="false" outlineLevel="0" collapsed="false">
      <c r="A26" s="5"/>
      <c r="B26" s="7" t="s">
        <v>110</v>
      </c>
      <c r="C26" s="32" t="n">
        <v>3</v>
      </c>
      <c r="D26" s="33" t="s">
        <v>74</v>
      </c>
      <c r="E26" s="8" t="s">
        <v>111</v>
      </c>
    </row>
    <row r="27" customFormat="false" ht="15" hidden="false" customHeight="false" outlineLevel="0" collapsed="false">
      <c r="A27" s="5"/>
      <c r="B27" s="7" t="s">
        <v>112</v>
      </c>
      <c r="C27" s="32" t="n">
        <v>100</v>
      </c>
      <c r="D27" s="33" t="s">
        <v>113</v>
      </c>
      <c r="E27" s="8" t="s">
        <v>114</v>
      </c>
    </row>
    <row r="28" customFormat="false" ht="15" hidden="false" customHeight="false" outlineLevel="0" collapsed="false">
      <c r="A28" s="5"/>
      <c r="B28" s="31" t="s">
        <v>115</v>
      </c>
      <c r="C28" s="16"/>
      <c r="D28" s="16"/>
      <c r="E28" s="16"/>
    </row>
    <row r="29" customFormat="false" ht="15" hidden="false" customHeight="false" outlineLevel="0" collapsed="false">
      <c r="A29" s="5"/>
      <c r="B29" s="7" t="s">
        <v>116</v>
      </c>
      <c r="C29" s="34" t="n">
        <v>0.8</v>
      </c>
      <c r="D29" s="33" t="s">
        <v>100</v>
      </c>
      <c r="E29" s="8" t="s">
        <v>117</v>
      </c>
    </row>
    <row r="30" customFormat="false" ht="15" hidden="false" customHeight="false" outlineLevel="0" collapsed="false">
      <c r="A30" s="5"/>
      <c r="B30" s="31" t="s">
        <v>118</v>
      </c>
      <c r="C30" s="16"/>
      <c r="D30" s="16"/>
      <c r="E30" s="16"/>
    </row>
    <row r="31" customFormat="false" ht="15" hidden="false" customHeight="false" outlineLevel="0" collapsed="false">
      <c r="A31" s="5"/>
      <c r="B31" s="7" t="s">
        <v>119</v>
      </c>
      <c r="C31" s="32" t="n">
        <v>650</v>
      </c>
      <c r="D31" s="33" t="s">
        <v>113</v>
      </c>
      <c r="E31" s="8" t="s">
        <v>120</v>
      </c>
    </row>
    <row r="32" customFormat="false" ht="15" hidden="false" customHeight="false" outlineLevel="0" collapsed="false">
      <c r="A32" s="5"/>
      <c r="B32" s="7" t="s">
        <v>121</v>
      </c>
      <c r="C32" s="32" t="n">
        <v>250</v>
      </c>
      <c r="D32" s="33" t="s">
        <v>113</v>
      </c>
      <c r="E32" s="8" t="s">
        <v>122</v>
      </c>
    </row>
    <row r="33" customFormat="false" ht="15" hidden="false" customHeight="false" outlineLevel="0" collapsed="false">
      <c r="A33" s="5"/>
      <c r="B33" s="7" t="s">
        <v>123</v>
      </c>
      <c r="C33" s="34" t="n">
        <v>0.03</v>
      </c>
      <c r="D33" s="33" t="s">
        <v>124</v>
      </c>
      <c r="E33" s="8" t="s">
        <v>125</v>
      </c>
    </row>
    <row r="34" customFormat="false" ht="15" hidden="false" customHeight="false" outlineLevel="0" collapsed="false">
      <c r="A34" s="5"/>
      <c r="B34" s="7" t="s">
        <v>126</v>
      </c>
      <c r="C34" s="32" t="n">
        <v>30</v>
      </c>
      <c r="D34" s="33" t="s">
        <v>74</v>
      </c>
      <c r="E34" s="8" t="s">
        <v>127</v>
      </c>
    </row>
    <row r="35" customFormat="false" ht="15" hidden="false" customHeight="false" outlineLevel="0" collapsed="false">
      <c r="A35" s="5"/>
      <c r="B35" s="7" t="s">
        <v>128</v>
      </c>
      <c r="C35" s="32" t="n">
        <v>7</v>
      </c>
      <c r="D35" s="33" t="s">
        <v>74</v>
      </c>
      <c r="E35" s="8" t="s">
        <v>129</v>
      </c>
    </row>
    <row r="36" customFormat="false" ht="15" hidden="false" customHeight="false" outlineLevel="0" collapsed="false">
      <c r="A36" s="5"/>
      <c r="B36" s="7" t="s">
        <v>130</v>
      </c>
      <c r="C36" s="34" t="n">
        <v>0.25</v>
      </c>
      <c r="D36" s="33" t="s">
        <v>100</v>
      </c>
      <c r="E36" s="8" t="s">
        <v>131</v>
      </c>
    </row>
    <row r="37" customFormat="false" ht="15" hidden="false" customHeight="false" outlineLevel="0" collapsed="false">
      <c r="A37" s="5"/>
      <c r="B37" s="31" t="s">
        <v>132</v>
      </c>
      <c r="C37" s="16"/>
      <c r="D37" s="16"/>
      <c r="E37" s="16"/>
    </row>
    <row r="38" customFormat="false" ht="15" hidden="false" customHeight="false" outlineLevel="0" collapsed="false">
      <c r="A38" s="5"/>
      <c r="B38" s="7" t="s">
        <v>133</v>
      </c>
      <c r="C38" s="34" t="n">
        <v>0.03</v>
      </c>
      <c r="D38" s="33" t="s">
        <v>124</v>
      </c>
      <c r="E38" s="8" t="s">
        <v>134</v>
      </c>
    </row>
    <row r="39" customFormat="false" ht="15" hidden="false" customHeight="false" outlineLevel="0" collapsed="false">
      <c r="A39" s="5"/>
      <c r="B39" s="7" t="s">
        <v>135</v>
      </c>
      <c r="C39" s="34" t="n">
        <v>0.15</v>
      </c>
      <c r="D39" s="33" t="s">
        <v>124</v>
      </c>
      <c r="E39" s="8" t="s">
        <v>136</v>
      </c>
    </row>
    <row r="40" customFormat="false" ht="15" hidden="false" customHeight="false" outlineLevel="0" collapsed="false">
      <c r="A40" s="5"/>
      <c r="B40" s="7" t="s">
        <v>137</v>
      </c>
      <c r="C40" s="32" t="n">
        <v>200</v>
      </c>
      <c r="D40" s="33" t="s">
        <v>138</v>
      </c>
      <c r="E40" s="8" t="s">
        <v>139</v>
      </c>
    </row>
    <row r="41" customFormat="false" ht="15" hidden="false" customHeight="false" outlineLevel="0" collapsed="false">
      <c r="A41" s="5"/>
      <c r="B41" s="7" t="s">
        <v>140</v>
      </c>
      <c r="C41" s="34" t="n">
        <v>0.015</v>
      </c>
      <c r="D41" s="33" t="s">
        <v>124</v>
      </c>
      <c r="E41" s="8" t="s">
        <v>141</v>
      </c>
    </row>
    <row r="42" customFormat="false" ht="15" hidden="false" customHeight="false" outlineLevel="0" collapsed="false">
      <c r="A42" s="5"/>
      <c r="B42" s="31" t="s">
        <v>142</v>
      </c>
      <c r="C42" s="16"/>
      <c r="D42" s="16"/>
      <c r="E42" s="16"/>
    </row>
    <row r="43" customFormat="false" ht="15" hidden="false" customHeight="false" outlineLevel="0" collapsed="false">
      <c r="A43" s="5"/>
      <c r="B43" s="7" t="s">
        <v>143</v>
      </c>
      <c r="C43" s="32" t="n">
        <v>50000000</v>
      </c>
      <c r="D43" s="33" t="s">
        <v>113</v>
      </c>
      <c r="E43" s="8" t="s">
        <v>144</v>
      </c>
    </row>
    <row r="44" customFormat="false" ht="15" hidden="false" customHeight="false" outlineLevel="0" collapsed="false">
      <c r="A44" s="5"/>
      <c r="B44" s="7" t="s">
        <v>145</v>
      </c>
      <c r="C44" s="34" t="n">
        <v>0.075</v>
      </c>
      <c r="D44" s="33" t="s">
        <v>100</v>
      </c>
      <c r="E44" s="8" t="s">
        <v>146</v>
      </c>
    </row>
    <row r="45" customFormat="false" ht="15" hidden="false" customHeight="false" outlineLevel="0" collapsed="false">
      <c r="A45" s="5"/>
      <c r="B45" s="7" t="s">
        <v>147</v>
      </c>
      <c r="C45" s="32" t="n">
        <v>10</v>
      </c>
      <c r="D45" s="33" t="s">
        <v>74</v>
      </c>
      <c r="E45" s="8" t="s">
        <v>148</v>
      </c>
    </row>
    <row r="46" customFormat="false" ht="15" hidden="false" customHeight="false" outlineLevel="0" collapsed="false">
      <c r="A46" s="5"/>
      <c r="B46" s="7" t="s">
        <v>149</v>
      </c>
      <c r="C46" s="32" t="n">
        <v>4</v>
      </c>
      <c r="D46" s="33" t="s">
        <v>71</v>
      </c>
      <c r="E46" s="8" t="s">
        <v>150</v>
      </c>
    </row>
    <row r="47" customFormat="false" ht="15" hidden="false" customHeight="false" outlineLevel="0" collapsed="false">
      <c r="A47" s="5"/>
      <c r="B47" s="7" t="s">
        <v>151</v>
      </c>
      <c r="C47" s="32" t="n">
        <v>60000000</v>
      </c>
      <c r="D47" s="33" t="s">
        <v>113</v>
      </c>
      <c r="E47" s="8" t="s">
        <v>152</v>
      </c>
    </row>
    <row r="48" customFormat="false" ht="15" hidden="false" customHeight="false" outlineLevel="0" collapsed="false">
      <c r="A48" s="5"/>
      <c r="B48" s="31" t="s">
        <v>153</v>
      </c>
      <c r="C48" s="16"/>
      <c r="D48" s="16"/>
      <c r="E48" s="16"/>
    </row>
    <row r="49" customFormat="false" ht="15" hidden="false" customHeight="false" outlineLevel="0" collapsed="false">
      <c r="A49" s="5"/>
      <c r="B49" s="7" t="s">
        <v>154</v>
      </c>
      <c r="C49" s="32" t="n">
        <v>15</v>
      </c>
      <c r="D49" s="33" t="s">
        <v>155</v>
      </c>
      <c r="E49" s="8" t="s">
        <v>156</v>
      </c>
    </row>
    <row r="50" customFormat="false" ht="15" hidden="false" customHeight="false" outlineLevel="0" collapsed="false">
      <c r="A50" s="5"/>
      <c r="B50" s="7" t="s">
        <v>157</v>
      </c>
      <c r="C50" s="32" t="n">
        <v>20</v>
      </c>
      <c r="D50" s="33" t="s">
        <v>155</v>
      </c>
      <c r="E50" s="8" t="s">
        <v>158</v>
      </c>
    </row>
    <row r="51" customFormat="false" ht="15" hidden="false" customHeight="false" outlineLevel="0" collapsed="false">
      <c r="A51" s="5"/>
      <c r="B51" s="7" t="s">
        <v>159</v>
      </c>
      <c r="C51" s="32" t="n">
        <v>50</v>
      </c>
      <c r="D51" s="33" t="s">
        <v>155</v>
      </c>
      <c r="E51" s="8" t="s">
        <v>160</v>
      </c>
    </row>
    <row r="52" customFormat="false" ht="15" hidden="false" customHeight="false" outlineLevel="0" collapsed="false">
      <c r="A52" s="5"/>
      <c r="B52" s="31" t="s">
        <v>161</v>
      </c>
      <c r="C52" s="16"/>
      <c r="D52" s="16"/>
      <c r="E52" s="16"/>
    </row>
    <row r="53" customFormat="false" ht="15" hidden="false" customHeight="false" outlineLevel="0" collapsed="false">
      <c r="A53" s="5"/>
      <c r="B53" s="7" t="s">
        <v>162</v>
      </c>
      <c r="C53" s="34" t="n">
        <v>0.25</v>
      </c>
      <c r="D53" s="33" t="s">
        <v>100</v>
      </c>
      <c r="E53" s="8" t="s">
        <v>163</v>
      </c>
    </row>
    <row r="54" customFormat="false" ht="15" hidden="false" customHeight="false" outlineLevel="0" collapsed="false">
      <c r="A54" s="5"/>
      <c r="B54" s="7" t="s">
        <v>164</v>
      </c>
      <c r="C54" s="34" t="n">
        <v>0.09</v>
      </c>
      <c r="D54" s="33" t="s">
        <v>100</v>
      </c>
      <c r="E54" s="8" t="s">
        <v>165</v>
      </c>
    </row>
    <row r="55" customFormat="false" ht="15" hidden="false" customHeight="false" outlineLevel="0" collapsed="false">
      <c r="A55" s="5"/>
      <c r="B55" s="7" t="s">
        <v>166</v>
      </c>
      <c r="C55" s="34" t="n">
        <v>0.02</v>
      </c>
      <c r="D55" s="33" t="s">
        <v>100</v>
      </c>
      <c r="E55" s="8" t="s">
        <v>167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76</v>
      </c>
      <c r="C2" s="5"/>
      <c r="D2" s="5"/>
      <c r="E2" s="5"/>
      <c r="F2" s="5"/>
      <c r="G2" s="5"/>
      <c r="H2" s="5"/>
      <c r="I2" s="5"/>
    </row>
    <row r="3" customFormat="false" ht="15" hidden="false" customHeight="false" outlineLevel="0" collapsed="false">
      <c r="A3" s="5"/>
      <c r="B3" s="8" t="s">
        <v>9</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169</v>
      </c>
      <c r="C8" s="16"/>
      <c r="D8" s="16"/>
      <c r="E8" s="16"/>
      <c r="F8" s="16"/>
      <c r="G8" s="16"/>
      <c r="H8" s="16"/>
      <c r="I8" s="16"/>
    </row>
    <row r="9" customFormat="false" ht="15" hidden="false" customHeight="false" outlineLevel="0" collapsed="false">
      <c r="A9" s="5"/>
      <c r="B9" s="37" t="s">
        <v>170</v>
      </c>
      <c r="C9" s="38" t="n">
        <f aca="false">MIN(CHOOSE(C6,Build_Y1,Build_Y2,Build_Y3,Build_Y4,Build_Y5,Build_Y6,Build_Y7),Total_Homes_Target)</f>
        <v>20000</v>
      </c>
      <c r="D9" s="38" t="n">
        <f aca="false">MIN(CHOOSE(D6,Build_Y1,Build_Y2,Build_Y3,Build_Y4,Build_Y5,Build_Y6,Build_Y7),MAX(0,Total_Homes_Target-C10))</f>
        <v>25000</v>
      </c>
      <c r="E9" s="38" t="n">
        <f aca="false">MIN(CHOOSE(E6,Build_Y1,Build_Y2,Build_Y3,Build_Y4,Build_Y5,Build_Y6,Build_Y7),MAX(0,Total_Homes_Target-D10))</f>
        <v>25000</v>
      </c>
      <c r="F9" s="38" t="n">
        <f aca="false">MIN(CHOOSE(F6,Build_Y1,Build_Y2,Build_Y3,Build_Y4,Build_Y5,Build_Y6,Build_Y7),MAX(0,Total_Homes_Target-E10))</f>
        <v>15000</v>
      </c>
      <c r="G9" s="38" t="n">
        <f aca="false">MIN(CHOOSE(G6,Build_Y1,Build_Y2,Build_Y3,Build_Y4,Build_Y5,Build_Y6,Build_Y7),MAX(0,Total_Homes_Target-F10))</f>
        <v>10000</v>
      </c>
      <c r="H9" s="38" t="n">
        <f aca="false">MIN(CHOOSE(H6,Build_Y1,Build_Y2,Build_Y3,Build_Y4,Build_Y5,Build_Y6,Build_Y7),MAX(0,Total_Homes_Target-G10))</f>
        <v>5000</v>
      </c>
      <c r="I9" s="38" t="n">
        <f aca="false">MIN(CHOOSE(I6,Build_Y1,Build_Y2,Build_Y3,Build_Y4,Build_Y5,Build_Y6,Build_Y7),MAX(0,Total_Homes_Target-H10))</f>
        <v>0</v>
      </c>
    </row>
    <row r="10" customFormat="false" ht="15" hidden="false" customHeight="false" outlineLevel="0" collapsed="false">
      <c r="A10" s="5"/>
      <c r="B10" s="39" t="s">
        <v>171</v>
      </c>
      <c r="C10" s="40" t="n">
        <f aca="false">C9</f>
        <v>20000</v>
      </c>
      <c r="D10" s="40" t="n">
        <f aca="false">C10+D9</f>
        <v>45000</v>
      </c>
      <c r="E10" s="40" t="n">
        <f aca="false">D10+E9</f>
        <v>70000</v>
      </c>
      <c r="F10" s="40" t="n">
        <f aca="false">E10+F9</f>
        <v>85000</v>
      </c>
      <c r="G10" s="40" t="n">
        <f aca="false">F10+G9</f>
        <v>95000</v>
      </c>
      <c r="H10" s="40" t="n">
        <f aca="false">G10+H9</f>
        <v>100000</v>
      </c>
      <c r="I10" s="40" t="n">
        <f aca="false">H10+I9</f>
        <v>100000</v>
      </c>
    </row>
    <row r="11" customFormat="false" ht="15" hidden="false" customHeight="false" outlineLevel="0" collapsed="false">
      <c r="A11" s="5"/>
      <c r="B11" s="5"/>
      <c r="C11" s="5"/>
      <c r="D11" s="5"/>
      <c r="E11" s="5"/>
      <c r="F11" s="5"/>
      <c r="G11" s="5"/>
      <c r="H11" s="5"/>
      <c r="I11" s="5"/>
    </row>
    <row r="12" customFormat="false" ht="15" hidden="false" customHeight="false" outlineLevel="0" collapsed="false">
      <c r="A12" s="5"/>
      <c r="B12" s="41" t="s">
        <v>172</v>
      </c>
      <c r="C12" s="42" t="n">
        <f aca="false">IF(C6&lt;=Construction_Lag,0,B9)</f>
        <v>0</v>
      </c>
      <c r="D12" s="42" t="n">
        <f aca="false">IF(D6&lt;=Construction_Lag,0,C9)</f>
        <v>20000</v>
      </c>
      <c r="E12" s="42" t="n">
        <f aca="false">IF(E6&lt;=Construction_Lag,0,D9)</f>
        <v>25000</v>
      </c>
      <c r="F12" s="42" t="n">
        <f aca="false">IF(F6&lt;=Construction_Lag,0,E9)</f>
        <v>25000</v>
      </c>
      <c r="G12" s="42" t="n">
        <f aca="false">IF(G6&lt;=Construction_Lag,0,F9)</f>
        <v>15000</v>
      </c>
      <c r="H12" s="42" t="n">
        <f aca="false">IF(H6&lt;=Construction_Lag,0,G9)</f>
        <v>10000</v>
      </c>
      <c r="I12" s="42" t="n">
        <f aca="false">IF(I6&lt;=Construction_Lag,0,H9)</f>
        <v>5000</v>
      </c>
    </row>
    <row r="13" customFormat="false" ht="15" hidden="false" customHeight="false" outlineLevel="0" collapsed="false">
      <c r="A13" s="5"/>
      <c r="B13" s="39" t="s">
        <v>173</v>
      </c>
      <c r="C13" s="40" t="n">
        <f aca="false">C12</f>
        <v>0</v>
      </c>
      <c r="D13" s="40" t="n">
        <f aca="false">C13+D12</f>
        <v>20000</v>
      </c>
      <c r="E13" s="40" t="n">
        <f aca="false">D13+E12</f>
        <v>45000</v>
      </c>
      <c r="F13" s="40" t="n">
        <f aca="false">E13+F12</f>
        <v>70000</v>
      </c>
      <c r="G13" s="40" t="n">
        <f aca="false">F13+G12</f>
        <v>85000</v>
      </c>
      <c r="H13" s="40" t="n">
        <f aca="false">G13+H12</f>
        <v>95000</v>
      </c>
      <c r="I13" s="40" t="n">
        <f aca="false">H13+I12</f>
        <v>100000</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7" t="s">
        <v>174</v>
      </c>
      <c r="C15" s="38" t="n">
        <f aca="false">C13</f>
        <v>0</v>
      </c>
      <c r="D15" s="38" t="n">
        <f aca="false">D13</f>
        <v>20000</v>
      </c>
      <c r="E15" s="38" t="n">
        <f aca="false">E13</f>
        <v>45000</v>
      </c>
      <c r="F15" s="38" t="n">
        <f aca="false">F13</f>
        <v>70000</v>
      </c>
      <c r="G15" s="38" t="n">
        <f aca="false">G13</f>
        <v>85000</v>
      </c>
      <c r="H15" s="38" t="n">
        <f aca="false">H13</f>
        <v>95000</v>
      </c>
      <c r="I15" s="38" t="n">
        <f aca="false">I13</f>
        <v>100000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I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95</v>
      </c>
      <c r="C2" s="5"/>
      <c r="D2" s="5"/>
      <c r="E2" s="5"/>
      <c r="F2" s="5"/>
      <c r="G2" s="5"/>
      <c r="H2" s="5"/>
      <c r="I2" s="5"/>
    </row>
    <row r="3" customFormat="false" ht="15" hidden="false" customHeight="false" outlineLevel="0" collapsed="false">
      <c r="A3" s="5"/>
      <c r="B3" s="8" t="s">
        <v>175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176</v>
      </c>
      <c r="C8" s="16"/>
      <c r="D8" s="16"/>
      <c r="E8" s="16"/>
      <c r="F8" s="16"/>
      <c r="G8" s="16"/>
      <c r="H8" s="16"/>
      <c r="I8" s="16"/>
    </row>
    <row r="9" customFormat="false" ht="15" hidden="false" customHeight="false" outlineLevel="0" collapsed="false">
      <c r="A9" s="5"/>
      <c r="B9" s="37" t="s">
        <v>177</v>
      </c>
      <c r="C9" s="38" t="n">
        <f aca="false">0</f>
        <v>0</v>
      </c>
      <c r="D9" s="38" t="n">
        <f aca="false">C15</f>
        <v>0</v>
      </c>
      <c r="E9" s="38" t="n">
        <f aca="false">D15</f>
        <v>4666.66666666667</v>
      </c>
      <c r="F9" s="38" t="n">
        <f aca="false">E15</f>
        <v>15078</v>
      </c>
      <c r="G9" s="38" t="n">
        <f aca="false">F15</f>
        <v>22328.768</v>
      </c>
      <c r="H9" s="38" t="n">
        <f aca="false">G15</f>
        <v>26534.657408</v>
      </c>
      <c r="I9" s="38" t="n">
        <f aca="false">H15</f>
        <v>29429.009333248</v>
      </c>
    </row>
    <row r="10" customFormat="false" ht="15" hidden="false" customHeight="false" outlineLevel="0" collapsed="false">
      <c r="A10" s="5"/>
      <c r="B10" s="37" t="s">
        <v>178</v>
      </c>
      <c r="C10" s="43" t="n">
        <f aca="false">MIN(Target_Penetration,Target_Penetration*C6/Ramp_Period)</f>
        <v>0.116666666666667</v>
      </c>
      <c r="D10" s="43" t="n">
        <f aca="false">MIN(Target_Penetration,Target_Penetration*D6/Ramp_Period)</f>
        <v>0.233333333333333</v>
      </c>
      <c r="E10" s="43" t="n">
        <f aca="false">MIN(Target_Penetration,Target_Penetration*E6/Ramp_Period)</f>
        <v>0.35</v>
      </c>
      <c r="F10" s="43" t="n">
        <f aca="false">MIN(Target_Penetration,Target_Penetration*F6/Ramp_Period)</f>
        <v>0.35</v>
      </c>
      <c r="G10" s="43" t="n">
        <f aca="false">MIN(Target_Penetration,Target_Penetration*G6/Ramp_Period)</f>
        <v>0.35</v>
      </c>
      <c r="H10" s="43" t="n">
        <f aca="false">MIN(Target_Penetration,Target_Penetration*H6/Ramp_Period)</f>
        <v>0.35</v>
      </c>
      <c r="I10" s="43" t="n">
        <f aca="false">MIN(Target_Penetration,Target_Penetration*I6/Ramp_Period)</f>
        <v>0.35</v>
      </c>
    </row>
    <row r="11" customFormat="false" ht="15" hidden="false" customHeight="false" outlineLevel="0" collapsed="false">
      <c r="A11" s="5"/>
      <c r="B11" s="37" t="s">
        <v>179</v>
      </c>
      <c r="C11" s="38" t="n">
        <f aca="false">NB_Cum_RFS*C10</f>
        <v>0</v>
      </c>
      <c r="D11" s="38" t="n">
        <f aca="false">NB_Cum_RFS*D10</f>
        <v>4666.66666666667</v>
      </c>
      <c r="E11" s="38" t="n">
        <f aca="false">NB_Cum_RFS*E10</f>
        <v>15750</v>
      </c>
      <c r="F11" s="38" t="n">
        <f aca="false">NB_Cum_RFS*F10</f>
        <v>24500</v>
      </c>
      <c r="G11" s="38" t="n">
        <f aca="false">NB_Cum_RFS*G10</f>
        <v>29750</v>
      </c>
      <c r="H11" s="38" t="n">
        <f aca="false">NB_Cum_RFS*H10</f>
        <v>33250</v>
      </c>
      <c r="I11" s="38" t="n">
        <f aca="false">NB_Cum_RFS*I10</f>
        <v>35000</v>
      </c>
    </row>
    <row r="12" customFormat="false" ht="15" hidden="false" customHeight="false" outlineLevel="0" collapsed="false">
      <c r="A12" s="5"/>
      <c r="B12" s="37" t="s">
        <v>180</v>
      </c>
      <c r="C12" s="38" t="n">
        <f aca="false">MAX(0,C11-C9)</f>
        <v>0</v>
      </c>
      <c r="D12" s="38" t="n">
        <f aca="false">MAX(0,D11-D9)</f>
        <v>4666.66666666667</v>
      </c>
      <c r="E12" s="38" t="n">
        <f aca="false">MAX(0,E11-E9)</f>
        <v>11083.3333333333</v>
      </c>
      <c r="F12" s="38" t="n">
        <f aca="false">MAX(0,F11-F9)</f>
        <v>9422</v>
      </c>
      <c r="G12" s="38" t="n">
        <f aca="false">MAX(0,G11-G9)</f>
        <v>7421.232</v>
      </c>
      <c r="H12" s="38" t="n">
        <f aca="false">MAX(0,H11-H9)</f>
        <v>6715.342592</v>
      </c>
      <c r="I12" s="38" t="n">
        <f aca="false">MAX(0,I11-I9)</f>
        <v>5570.990666752</v>
      </c>
    </row>
    <row r="13" customFormat="false" ht="15" hidden="false" customHeight="false" outlineLevel="0" collapsed="false">
      <c r="A13" s="5"/>
      <c r="B13" s="37" t="s">
        <v>181</v>
      </c>
      <c r="C13" s="38" t="n">
        <f aca="false">-C9*Monthly_Churn*12</f>
        <v>-0</v>
      </c>
      <c r="D13" s="38" t="n">
        <f aca="false">-D9*Monthly_Churn*12</f>
        <v>-0</v>
      </c>
      <c r="E13" s="38" t="n">
        <f aca="false">-E9*Monthly_Churn*12</f>
        <v>-672</v>
      </c>
      <c r="F13" s="38" t="n">
        <f aca="false">-F9*Monthly_Churn*12</f>
        <v>-2171.232</v>
      </c>
      <c r="G13" s="38" t="n">
        <f aca="false">-G9*Monthly_Churn*12</f>
        <v>-3215.342592</v>
      </c>
      <c r="H13" s="38" t="n">
        <f aca="false">-H9*Monthly_Churn*12</f>
        <v>-3820.990666752</v>
      </c>
      <c r="I13" s="38" t="n">
        <f aca="false">-I9*Monthly_Churn*12</f>
        <v>-4237.77734398771</v>
      </c>
    </row>
    <row r="14" customFormat="false" ht="15" hidden="false" customHeight="false" outlineLevel="0" collapsed="false">
      <c r="A14" s="5"/>
      <c r="B14" s="37" t="s">
        <v>182</v>
      </c>
      <c r="C14" s="38" t="n">
        <f aca="false">C12+C13</f>
        <v>0</v>
      </c>
      <c r="D14" s="38" t="n">
        <f aca="false">D12+D13</f>
        <v>4666.66666666667</v>
      </c>
      <c r="E14" s="38" t="n">
        <f aca="false">E12+E13</f>
        <v>10411.3333333333</v>
      </c>
      <c r="F14" s="38" t="n">
        <f aca="false">F12+F13</f>
        <v>7250.768</v>
      </c>
      <c r="G14" s="38" t="n">
        <f aca="false">G12+G13</f>
        <v>4205.889408</v>
      </c>
      <c r="H14" s="38" t="n">
        <f aca="false">H12+H13</f>
        <v>2894.35192524801</v>
      </c>
      <c r="I14" s="38" t="n">
        <f aca="false">I12+I13</f>
        <v>1333.21332276429</v>
      </c>
    </row>
    <row r="15" customFormat="false" ht="15" hidden="false" customHeight="false" outlineLevel="0" collapsed="false">
      <c r="A15" s="5"/>
      <c r="B15" s="39" t="s">
        <v>183</v>
      </c>
      <c r="C15" s="40" t="n">
        <f aca="false">C9+C14</f>
        <v>0</v>
      </c>
      <c r="D15" s="40" t="n">
        <f aca="false">D9+D14</f>
        <v>4666.66666666667</v>
      </c>
      <c r="E15" s="40" t="n">
        <f aca="false">E9+E14</f>
        <v>15078</v>
      </c>
      <c r="F15" s="40" t="n">
        <f aca="false">F9+F14</f>
        <v>22328.768</v>
      </c>
      <c r="G15" s="40" t="n">
        <f aca="false">G9+G14</f>
        <v>26534.657408</v>
      </c>
      <c r="H15" s="40" t="n">
        <f aca="false">H9+H14</f>
        <v>29429.009333248</v>
      </c>
      <c r="I15" s="40" t="n">
        <f aca="false">I9+I14</f>
        <v>30762.2226560123</v>
      </c>
    </row>
    <row r="16" customFormat="false" ht="15" hidden="false" customHeight="false" outlineLevel="0" collapsed="false">
      <c r="A16" s="5"/>
      <c r="B16" s="37" t="s">
        <v>184</v>
      </c>
      <c r="C16" s="38" t="n">
        <f aca="false">(C9+C15)/2</f>
        <v>0</v>
      </c>
      <c r="D16" s="38" t="n">
        <f aca="false">(D9+D15)/2</f>
        <v>2333.33333333333</v>
      </c>
      <c r="E16" s="38" t="n">
        <f aca="false">(E9+E15)/2</f>
        <v>9872.33333333333</v>
      </c>
      <c r="F16" s="38" t="n">
        <f aca="false">(F9+F15)/2</f>
        <v>18703.384</v>
      </c>
      <c r="G16" s="38" t="n">
        <f aca="false">(G9+G15)/2</f>
        <v>24431.712704</v>
      </c>
      <c r="H16" s="38" t="n">
        <f aca="false">(H9+H15)/2</f>
        <v>27981.833370624</v>
      </c>
      <c r="I16" s="38" t="n">
        <f aca="false">(I9+I15)/2</f>
        <v>30095.6159946301</v>
      </c>
    </row>
    <row r="17" customFormat="false" ht="15" hidden="false" customHeight="false" outlineLevel="0" collapsed="false">
      <c r="A17" s="5"/>
      <c r="B17" s="37" t="s">
        <v>185</v>
      </c>
      <c r="C17" s="38" t="n">
        <f aca="false">C16*Enterprise_Pct</f>
        <v>0</v>
      </c>
      <c r="D17" s="38" t="n">
        <f aca="false">D16*Enterprise_Pct</f>
        <v>116.666666666667</v>
      </c>
      <c r="E17" s="38" t="n">
        <f aca="false">E16*Enterprise_Pct</f>
        <v>493.616666666667</v>
      </c>
      <c r="F17" s="38" t="n">
        <f aca="false">F16*Enterprise_Pct</f>
        <v>935.1692</v>
      </c>
      <c r="G17" s="38" t="n">
        <f aca="false">G16*Enterprise_Pct</f>
        <v>1221.5856352</v>
      </c>
      <c r="H17" s="38" t="n">
        <f aca="false">H16*Enterprise_Pct</f>
        <v>1399.0916685312</v>
      </c>
      <c r="I17" s="38" t="n">
        <f aca="false">I16*Enterprise_Pct</f>
        <v>1504.78079973151</v>
      </c>
    </row>
    <row r="18" customFormat="false" ht="15" hidden="false" customHeight="false" outlineLevel="0" collapsed="false">
      <c r="A18" s="5"/>
      <c r="B18" s="37" t="s">
        <v>186</v>
      </c>
      <c r="C18" s="38" t="n">
        <f aca="false">C16-C17</f>
        <v>0</v>
      </c>
      <c r="D18" s="38" t="n">
        <f aca="false">D16-D17</f>
        <v>2216.66666666667</v>
      </c>
      <c r="E18" s="38" t="n">
        <f aca="false">E16-E17</f>
        <v>9378.71666666667</v>
      </c>
      <c r="F18" s="38" t="n">
        <f aca="false">F16-F17</f>
        <v>17768.2148</v>
      </c>
      <c r="G18" s="38" t="n">
        <f aca="false">G16-G17</f>
        <v>23210.1270688</v>
      </c>
      <c r="H18" s="38" t="n">
        <f aca="false">H16-H17</f>
        <v>26582.7417020928</v>
      </c>
      <c r="I18" s="38" t="n">
        <f aca="false">I16-I17</f>
        <v>28590.8351948986</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1" t="s">
        <v>187</v>
      </c>
      <c r="C20" s="16"/>
      <c r="D20" s="16"/>
      <c r="E20" s="16"/>
      <c r="F20" s="16"/>
      <c r="G20" s="16"/>
      <c r="H20" s="16"/>
      <c r="I20" s="16"/>
    </row>
    <row r="21" customFormat="false" ht="15" hidden="false" customHeight="false" outlineLevel="0" collapsed="false">
      <c r="A21" s="5"/>
      <c r="B21" s="37" t="s">
        <v>188</v>
      </c>
      <c r="C21" s="44" t="n">
        <f aca="false">Monthly_ARPU_Resi*(1+ARPU_Growth)^(C6-1)*12</f>
        <v>720</v>
      </c>
      <c r="D21" s="44" t="n">
        <f aca="false">Monthly_ARPU_Resi*(1+ARPU_Growth)^(D6-1)*12</f>
        <v>741.6</v>
      </c>
      <c r="E21" s="44" t="n">
        <f aca="false">Monthly_ARPU_Resi*(1+ARPU_Growth)^(E6-1)*12</f>
        <v>763.848</v>
      </c>
      <c r="F21" s="44" t="n">
        <f aca="false">Monthly_ARPU_Resi*(1+ARPU_Growth)^(F6-1)*12</f>
        <v>786.76344</v>
      </c>
      <c r="G21" s="44" t="n">
        <f aca="false">Monthly_ARPU_Resi*(1+ARPU_Growth)^(G6-1)*12</f>
        <v>810.3663432</v>
      </c>
      <c r="H21" s="44" t="n">
        <f aca="false">Monthly_ARPU_Resi*(1+ARPU_Growth)^(H6-1)*12</f>
        <v>834.677333496</v>
      </c>
      <c r="I21" s="44" t="n">
        <f aca="false">Monthly_ARPU_Resi*(1+ARPU_Growth)^(I6-1)*12</f>
        <v>859.71765350088</v>
      </c>
    </row>
    <row r="22" customFormat="false" ht="15" hidden="false" customHeight="false" outlineLevel="0" collapsed="false">
      <c r="A22" s="5"/>
      <c r="B22" s="37" t="s">
        <v>189</v>
      </c>
      <c r="C22" s="38" t="n">
        <f aca="false">C18*C21</f>
        <v>0</v>
      </c>
      <c r="D22" s="38" t="n">
        <f aca="false">D18*D21</f>
        <v>1643880</v>
      </c>
      <c r="E22" s="38" t="n">
        <f aca="false">E18*E21</f>
        <v>7163913.9684</v>
      </c>
      <c r="F22" s="38" t="n">
        <f aca="false">F18*F21</f>
        <v>13979381.7987069</v>
      </c>
      <c r="G22" s="38" t="n">
        <f aca="false">G18*G21</f>
        <v>18808705.7979508</v>
      </c>
      <c r="H22" s="38" t="n">
        <f aca="false">H18*H21</f>
        <v>22188011.9609157</v>
      </c>
      <c r="I22" s="38" t="n">
        <f aca="false">I18*I21</f>
        <v>24580045.7453886</v>
      </c>
    </row>
    <row r="23" customFormat="false" ht="15" hidden="false" customHeight="false" outlineLevel="0" collapsed="false">
      <c r="A23" s="5"/>
      <c r="B23" s="37" t="s">
        <v>190</v>
      </c>
      <c r="C23" s="44" t="n">
        <f aca="false">Enterprise_ARPU*(1+ARPU_Growth)^(C6-1)*12</f>
        <v>6000</v>
      </c>
      <c r="D23" s="44" t="n">
        <f aca="false">Enterprise_ARPU*(1+ARPU_Growth)^(D6-1)*12</f>
        <v>6180</v>
      </c>
      <c r="E23" s="44" t="n">
        <f aca="false">Enterprise_ARPU*(1+ARPU_Growth)^(E6-1)*12</f>
        <v>6365.4</v>
      </c>
      <c r="F23" s="44" t="n">
        <f aca="false">Enterprise_ARPU*(1+ARPU_Growth)^(F6-1)*12</f>
        <v>6556.362</v>
      </c>
      <c r="G23" s="44" t="n">
        <f aca="false">Enterprise_ARPU*(1+ARPU_Growth)^(G6-1)*12</f>
        <v>6753.05286</v>
      </c>
      <c r="H23" s="44" t="n">
        <f aca="false">Enterprise_ARPU*(1+ARPU_Growth)^(H6-1)*12</f>
        <v>6955.6444458</v>
      </c>
      <c r="I23" s="44" t="n">
        <f aca="false">Enterprise_ARPU*(1+ARPU_Growth)^(I6-1)*12</f>
        <v>7164.313779174</v>
      </c>
    </row>
    <row r="24" customFormat="false" ht="15" hidden="false" customHeight="false" outlineLevel="0" collapsed="false">
      <c r="A24" s="5"/>
      <c r="B24" s="37" t="s">
        <v>191</v>
      </c>
      <c r="C24" s="38" t="n">
        <f aca="false">C17*C23</f>
        <v>0</v>
      </c>
      <c r="D24" s="38" t="n">
        <f aca="false">D17*D23</f>
        <v>721000</v>
      </c>
      <c r="E24" s="38" t="n">
        <f aca="false">E17*E23</f>
        <v>3142067.53</v>
      </c>
      <c r="F24" s="38" t="n">
        <f aca="false">F17*F23</f>
        <v>6131307.8064504</v>
      </c>
      <c r="G24" s="38" t="n">
        <f aca="false">G17*G23</f>
        <v>8249432.36752228</v>
      </c>
      <c r="H24" s="38" t="n">
        <f aca="false">H17*H23</f>
        <v>9731584.1933841</v>
      </c>
      <c r="I24" s="38" t="n">
        <f aca="false">I17*I23</f>
        <v>10780721.8181529</v>
      </c>
    </row>
    <row r="25" customFormat="false" ht="15" hidden="false" customHeight="false" outlineLevel="0" collapsed="false">
      <c r="A25" s="5"/>
      <c r="B25" s="37" t="s">
        <v>192</v>
      </c>
      <c r="C25" s="38" t="n">
        <f aca="false">MAX(0,C12)*Setup_Fee</f>
        <v>0</v>
      </c>
      <c r="D25" s="38" t="n">
        <f aca="false">MAX(0,D12)*Setup_Fee</f>
        <v>466666.666666667</v>
      </c>
      <c r="E25" s="38" t="n">
        <f aca="false">MAX(0,E12)*Setup_Fee</f>
        <v>1108333.33333333</v>
      </c>
      <c r="F25" s="38" t="n">
        <f aca="false">MAX(0,F12)*Setup_Fee</f>
        <v>942200</v>
      </c>
      <c r="G25" s="38" t="n">
        <f aca="false">MAX(0,G12)*Setup_Fee</f>
        <v>742123.2</v>
      </c>
      <c r="H25" s="38" t="n">
        <f aca="false">MAX(0,H12)*Setup_Fee</f>
        <v>671534.2592</v>
      </c>
      <c r="I25" s="38" t="n">
        <f aca="false">MAX(0,I12)*Setup_Fee</f>
        <v>557099.0666752</v>
      </c>
    </row>
    <row r="26" customFormat="false" ht="15" hidden="false" customHeight="false" outlineLevel="0" collapsed="false">
      <c r="A26" s="5"/>
      <c r="B26" s="45" t="s">
        <v>193</v>
      </c>
      <c r="C26" s="46" t="n">
        <f aca="false">C22+C24+C25</f>
        <v>0</v>
      </c>
      <c r="D26" s="46" t="n">
        <f aca="false">D22+D24+D25</f>
        <v>2831546.66666667</v>
      </c>
      <c r="E26" s="46" t="n">
        <f aca="false">E22+E24+E25</f>
        <v>11414314.8317333</v>
      </c>
      <c r="F26" s="46" t="n">
        <f aca="false">F22+F24+F25</f>
        <v>21052889.6051573</v>
      </c>
      <c r="G26" s="46" t="n">
        <f aca="false">G22+G24+G25</f>
        <v>27800261.3654731</v>
      </c>
      <c r="H26" s="46" t="n">
        <f aca="false">H22+H24+H25</f>
        <v>32591130.4134998</v>
      </c>
      <c r="I26" s="46" t="n">
        <f aca="false">I22+I24+I25</f>
        <v>35917866.6302167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194</v>
      </c>
      <c r="C2" s="5"/>
      <c r="D2" s="5"/>
      <c r="E2" s="5"/>
      <c r="F2" s="5"/>
      <c r="G2" s="5"/>
      <c r="H2" s="5"/>
      <c r="I2" s="5"/>
    </row>
    <row r="3" customFormat="false" ht="15" hidden="false" customHeight="false" outlineLevel="0" collapsed="false">
      <c r="A3" s="5"/>
      <c r="B3" s="8" t="s">
        <v>195</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196</v>
      </c>
      <c r="C8" s="16"/>
      <c r="D8" s="16"/>
      <c r="E8" s="16"/>
      <c r="F8" s="16"/>
      <c r="G8" s="16"/>
      <c r="H8" s="16"/>
      <c r="I8" s="16"/>
    </row>
    <row r="9" customFormat="false" ht="15" hidden="false" customHeight="false" outlineLevel="0" collapsed="false">
      <c r="A9" s="5"/>
      <c r="B9" s="47" t="s">
        <v>197</v>
      </c>
      <c r="C9" s="48" t="n">
        <f aca="false">SR_Total_Revenue</f>
        <v>0</v>
      </c>
      <c r="D9" s="48" t="n">
        <f aca="false">SR_Total_Revenue</f>
        <v>2831546.66666667</v>
      </c>
      <c r="E9" s="48" t="n">
        <f aca="false">SR_Total_Revenue</f>
        <v>11414314.8317333</v>
      </c>
      <c r="F9" s="48" t="n">
        <f aca="false">SR_Total_Revenue</f>
        <v>21052889.6051573</v>
      </c>
      <c r="G9" s="48" t="n">
        <f aca="false">SR_Total_Revenue</f>
        <v>27800261.3654731</v>
      </c>
      <c r="H9" s="48" t="n">
        <f aca="false">SR_Total_Revenue</f>
        <v>32591130.4134998</v>
      </c>
      <c r="I9" s="48" t="n">
        <f aca="false">SR_Total_Revenue</f>
        <v>35917866.6302167</v>
      </c>
    </row>
    <row r="10" customFormat="false" ht="15" hidden="false" customHeight="false" outlineLevel="0" collapsed="false">
      <c r="A10" s="5"/>
      <c r="B10" s="5"/>
      <c r="C10" s="5"/>
      <c r="D10" s="5"/>
      <c r="E10" s="5"/>
      <c r="F10" s="5"/>
      <c r="G10" s="5"/>
      <c r="H10" s="5"/>
      <c r="I10" s="5"/>
    </row>
    <row r="11" customFormat="false" ht="15" hidden="false" customHeight="false" outlineLevel="0" collapsed="false">
      <c r="A11" s="5"/>
      <c r="B11" s="31" t="s">
        <v>198</v>
      </c>
      <c r="C11" s="16"/>
      <c r="D11" s="16"/>
      <c r="E11" s="16"/>
      <c r="F11" s="16"/>
      <c r="G11" s="16"/>
      <c r="H11" s="16"/>
      <c r="I11" s="16"/>
    </row>
    <row r="12" customFormat="false" ht="15" hidden="false" customHeight="false" outlineLevel="0" collapsed="false">
      <c r="A12" s="5"/>
      <c r="B12" s="37" t="s">
        <v>115</v>
      </c>
      <c r="C12" s="38" t="n">
        <f aca="false">C9*(1-Gross_Margin)</f>
        <v>0</v>
      </c>
      <c r="D12" s="38" t="n">
        <f aca="false">D9*(1-Gross_Margin)</f>
        <v>566309.333333333</v>
      </c>
      <c r="E12" s="38" t="n">
        <f aca="false">E9*(1-Gross_Margin)</f>
        <v>2282862.96634667</v>
      </c>
      <c r="F12" s="38" t="n">
        <f aca="false">F9*(1-Gross_Margin)</f>
        <v>4210577.92103146</v>
      </c>
      <c r="G12" s="38" t="n">
        <f aca="false">G9*(1-Gross_Margin)</f>
        <v>5560052.27309461</v>
      </c>
      <c r="H12" s="38" t="n">
        <f aca="false">H9*(1-Gross_Margin)</f>
        <v>6518226.08269997</v>
      </c>
      <c r="I12" s="38" t="n">
        <f aca="false">I9*(1-Gross_Margin)</f>
        <v>7183573.32604335</v>
      </c>
    </row>
    <row r="13" customFormat="false" ht="15" hidden="false" customHeight="false" outlineLevel="0" collapsed="false">
      <c r="A13" s="5"/>
      <c r="B13" s="39" t="s">
        <v>199</v>
      </c>
      <c r="C13" s="40" t="n">
        <f aca="false">C9-C12</f>
        <v>0</v>
      </c>
      <c r="D13" s="40" t="n">
        <f aca="false">D9-D12</f>
        <v>2265237.33333333</v>
      </c>
      <c r="E13" s="40" t="n">
        <f aca="false">E9-E12</f>
        <v>9131451.86538667</v>
      </c>
      <c r="F13" s="40" t="n">
        <f aca="false">F9-F12</f>
        <v>16842311.6841258</v>
      </c>
      <c r="G13" s="40" t="n">
        <f aca="false">G9-G12</f>
        <v>22240209.0923785</v>
      </c>
      <c r="H13" s="40" t="n">
        <f aca="false">H9-H12</f>
        <v>26072904.3307999</v>
      </c>
      <c r="I13" s="40" t="n">
        <f aca="false">I9-I12</f>
        <v>28734293.3041734</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1" t="s">
        <v>132</v>
      </c>
      <c r="C15" s="16"/>
      <c r="D15" s="16"/>
      <c r="E15" s="16"/>
      <c r="F15" s="16"/>
      <c r="G15" s="16"/>
      <c r="H15" s="16"/>
      <c r="I15" s="16"/>
    </row>
    <row r="16" customFormat="false" ht="15" hidden="false" customHeight="false" outlineLevel="0" collapsed="false">
      <c r="A16" s="5"/>
      <c r="B16" s="37" t="s">
        <v>133</v>
      </c>
      <c r="C16" s="38" t="n">
        <f aca="false">C9*NOC_Pct</f>
        <v>0</v>
      </c>
      <c r="D16" s="38" t="n">
        <f aca="false">D9*NOC_Pct</f>
        <v>84946.4</v>
      </c>
      <c r="E16" s="38" t="n">
        <f aca="false">E9*NOC_Pct</f>
        <v>342429.444952</v>
      </c>
      <c r="F16" s="38" t="n">
        <f aca="false">F9*NOC_Pct</f>
        <v>631586.688154719</v>
      </c>
      <c r="G16" s="38" t="n">
        <f aca="false">G9*NOC_Pct</f>
        <v>834007.840964192</v>
      </c>
      <c r="H16" s="38" t="n">
        <f aca="false">H9*NOC_Pct</f>
        <v>977733.912404995</v>
      </c>
      <c r="I16" s="38" t="n">
        <f aca="false">I9*NOC_Pct</f>
        <v>1077535.9989065</v>
      </c>
    </row>
    <row r="17" customFormat="false" ht="15" hidden="false" customHeight="false" outlineLevel="0" collapsed="false">
      <c r="A17" s="5"/>
      <c r="B17" s="37" t="s">
        <v>135</v>
      </c>
      <c r="C17" s="38" t="n">
        <f aca="false">C9*Staff_Pct</f>
        <v>0</v>
      </c>
      <c r="D17" s="38" t="n">
        <f aca="false">D9*Staff_Pct</f>
        <v>424732</v>
      </c>
      <c r="E17" s="38" t="n">
        <f aca="false">E9*Staff_Pct</f>
        <v>1712147.22476</v>
      </c>
      <c r="F17" s="38" t="n">
        <f aca="false">F9*Staff_Pct</f>
        <v>3157933.4407736</v>
      </c>
      <c r="G17" s="38" t="n">
        <f aca="false">G9*Staff_Pct</f>
        <v>4170039.20482096</v>
      </c>
      <c r="H17" s="38" t="n">
        <f aca="false">H9*Staff_Pct</f>
        <v>4888669.56202497</v>
      </c>
      <c r="I17" s="38" t="n">
        <f aca="false">I9*Staff_Pct</f>
        <v>5387679.99453251</v>
      </c>
    </row>
    <row r="18" customFormat="false" ht="15" hidden="false" customHeight="false" outlineLevel="0" collapsed="false">
      <c r="A18" s="5"/>
      <c r="B18" s="37" t="s">
        <v>137</v>
      </c>
      <c r="C18" s="38" t="n">
        <f aca="false">MAX(0,Subscribers_Revenue!C12)*CAC_Per_Add</f>
        <v>0</v>
      </c>
      <c r="D18" s="38" t="n">
        <f aca="false">MAX(0,Subscribers_Revenue!D12)*CAC_Per_Add</f>
        <v>933333.333333333</v>
      </c>
      <c r="E18" s="38" t="n">
        <f aca="false">MAX(0,Subscribers_Revenue!E12)*CAC_Per_Add</f>
        <v>2216666.66666667</v>
      </c>
      <c r="F18" s="38" t="n">
        <f aca="false">MAX(0,Subscribers_Revenue!F12)*CAC_Per_Add</f>
        <v>1884400</v>
      </c>
      <c r="G18" s="38" t="n">
        <f aca="false">MAX(0,Subscribers_Revenue!G12)*CAC_Per_Add</f>
        <v>1484246.4</v>
      </c>
      <c r="H18" s="38" t="n">
        <f aca="false">MAX(0,Subscribers_Revenue!H12)*CAC_Per_Add</f>
        <v>1343068.5184</v>
      </c>
      <c r="I18" s="38" t="n">
        <f aca="false">MAX(0,Subscribers_Revenue!I12)*CAC_Per_Add</f>
        <v>1114198.1333504</v>
      </c>
    </row>
    <row r="19" customFormat="false" ht="15" hidden="false" customHeight="false" outlineLevel="0" collapsed="false">
      <c r="A19" s="5"/>
      <c r="B19" s="37" t="s">
        <v>140</v>
      </c>
      <c r="C19" s="38" t="n">
        <f aca="false">C9*Insurance_Pct</f>
        <v>0</v>
      </c>
      <c r="D19" s="38" t="n">
        <f aca="false">D9*Insurance_Pct</f>
        <v>42473.2</v>
      </c>
      <c r="E19" s="38" t="n">
        <f aca="false">E9*Insurance_Pct</f>
        <v>171214.722476</v>
      </c>
      <c r="F19" s="38" t="n">
        <f aca="false">F9*Insurance_Pct</f>
        <v>315793.34407736</v>
      </c>
      <c r="G19" s="38" t="n">
        <f aca="false">G9*Insurance_Pct</f>
        <v>417003.920482096</v>
      </c>
      <c r="H19" s="38" t="n">
        <f aca="false">H9*Insurance_Pct</f>
        <v>488866.956202498</v>
      </c>
      <c r="I19" s="38" t="n">
        <f aca="false">I9*Insurance_Pct</f>
        <v>538767.999453251</v>
      </c>
    </row>
    <row r="20" customFormat="false" ht="15" hidden="false" customHeight="false" outlineLevel="0" collapsed="false">
      <c r="A20" s="5"/>
      <c r="B20" s="39" t="s">
        <v>200</v>
      </c>
      <c r="C20" s="40" t="n">
        <f aca="false">C16+C17+C18+C19</f>
        <v>0</v>
      </c>
      <c r="D20" s="40" t="n">
        <f aca="false">D16+D17+D18+D19</f>
        <v>1485484.93333333</v>
      </c>
      <c r="E20" s="40" t="n">
        <f aca="false">E16+E17+E18+E19</f>
        <v>4442458.05885467</v>
      </c>
      <c r="F20" s="40" t="n">
        <f aca="false">F16+F17+F18+F19</f>
        <v>5989713.47300568</v>
      </c>
      <c r="G20" s="40" t="n">
        <f aca="false">G16+G17+G18+G19</f>
        <v>6905297.36626725</v>
      </c>
      <c r="H20" s="40" t="n">
        <f aca="false">H16+H17+H18+H19</f>
        <v>7698338.94903247</v>
      </c>
      <c r="I20" s="40" t="n">
        <f aca="false">I16+I17+I18+I19</f>
        <v>8118182.12624267</v>
      </c>
    </row>
    <row r="21" customFormat="false" ht="15" hidden="false" customHeight="false" outlineLevel="0" collapsed="false">
      <c r="A21" s="5"/>
      <c r="B21" s="5"/>
      <c r="C21" s="5"/>
      <c r="D21" s="5"/>
      <c r="E21" s="5"/>
      <c r="F21" s="5"/>
      <c r="G21" s="5"/>
      <c r="H21" s="5"/>
      <c r="I21" s="5"/>
    </row>
    <row r="22" customFormat="false" ht="15" hidden="false" customHeight="false" outlineLevel="0" collapsed="false">
      <c r="A22" s="5"/>
      <c r="B22" s="45" t="s">
        <v>201</v>
      </c>
      <c r="C22" s="46" t="n">
        <f aca="false">C13-C20</f>
        <v>0</v>
      </c>
      <c r="D22" s="46" t="n">
        <f aca="false">D13-D20</f>
        <v>779752.4</v>
      </c>
      <c r="E22" s="46" t="n">
        <f aca="false">E13-E20</f>
        <v>4688993.806532</v>
      </c>
      <c r="F22" s="46" t="n">
        <f aca="false">F13-F20</f>
        <v>10852598.2111202</v>
      </c>
      <c r="G22" s="46" t="n">
        <f aca="false">G13-G20</f>
        <v>15334911.7261112</v>
      </c>
      <c r="H22" s="46" t="n">
        <f aca="false">H13-H20</f>
        <v>18374565.3817674</v>
      </c>
      <c r="I22" s="46" t="n">
        <f aca="false">I13-I20</f>
        <v>20616111.1779307</v>
      </c>
    </row>
    <row r="23" customFormat="false" ht="15" hidden="false" customHeight="false" outlineLevel="0" collapsed="false">
      <c r="A23" s="5"/>
      <c r="B23" s="37" t="s">
        <v>202</v>
      </c>
      <c r="C23" s="43" t="n">
        <f aca="false">IFERROR(C22/C9,0)</f>
        <v>0</v>
      </c>
      <c r="D23" s="43" t="n">
        <f aca="false">IFERROR(D22/D9,0)</f>
        <v>0.27538038104028</v>
      </c>
      <c r="E23" s="43" t="n">
        <f aca="false">IFERROR(E22/E9,0)</f>
        <v>0.410799410709784</v>
      </c>
      <c r="F23" s="43" t="n">
        <f aca="false">IFERROR(F22/F9,0)</f>
        <v>0.515492097030786</v>
      </c>
      <c r="G23" s="43" t="n">
        <f aca="false">IFERROR(G22/G9,0)</f>
        <v>0.551610343676719</v>
      </c>
      <c r="H23" s="43" t="n">
        <f aca="false">IFERROR(H22/H9,0)</f>
        <v>0.563790367153277</v>
      </c>
      <c r="I23" s="43" t="n">
        <f aca="false">IFERROR(I22/I9,0)</f>
        <v>0.573979278618596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203</v>
      </c>
      <c r="C2" s="5"/>
      <c r="D2" s="5"/>
      <c r="E2" s="5"/>
      <c r="F2" s="5"/>
      <c r="G2" s="5"/>
      <c r="H2" s="5"/>
      <c r="I2" s="5"/>
    </row>
    <row r="3" customFormat="false" ht="15" hidden="false" customHeight="false" outlineLevel="0" collapsed="false">
      <c r="A3" s="5"/>
      <c r="B3" s="8" t="s">
        <v>204</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205</v>
      </c>
      <c r="C8" s="16"/>
      <c r="D8" s="16"/>
      <c r="E8" s="16"/>
      <c r="F8" s="16"/>
      <c r="G8" s="16"/>
      <c r="H8" s="16"/>
      <c r="I8" s="16"/>
    </row>
    <row r="9" customFormat="false" ht="15" hidden="false" customHeight="false" outlineLevel="0" collapsed="false">
      <c r="A9" s="5"/>
      <c r="B9" s="37" t="s">
        <v>206</v>
      </c>
      <c r="C9" s="38" t="n">
        <f aca="false">NB_New_Homes*CPHP</f>
        <v>13000000</v>
      </c>
      <c r="D9" s="38" t="n">
        <f aca="false">NB_New_Homes*CPHP</f>
        <v>16250000</v>
      </c>
      <c r="E9" s="38" t="n">
        <f aca="false">NB_New_Homes*CPHP</f>
        <v>16250000</v>
      </c>
      <c r="F9" s="38" t="n">
        <f aca="false">NB_New_Homes*CPHP</f>
        <v>9750000</v>
      </c>
      <c r="G9" s="38" t="n">
        <f aca="false">NB_New_Homes*CPHP</f>
        <v>6500000</v>
      </c>
      <c r="H9" s="38" t="n">
        <f aca="false">NB_New_Homes*CPHP</f>
        <v>3250000</v>
      </c>
      <c r="I9" s="38" t="n">
        <f aca="false">NB_New_Homes*CPHP</f>
        <v>0</v>
      </c>
    </row>
    <row r="10" customFormat="false" ht="15" hidden="false" customHeight="false" outlineLevel="0" collapsed="false">
      <c r="A10" s="5"/>
      <c r="B10" s="37" t="s">
        <v>207</v>
      </c>
      <c r="C10" s="38" t="n">
        <f aca="false">MAX(0,Subscribers_Revenue!C12)*CPHC</f>
        <v>0</v>
      </c>
      <c r="D10" s="38" t="n">
        <f aca="false">MAX(0,Subscribers_Revenue!D12)*CPHC</f>
        <v>1166666.66666667</v>
      </c>
      <c r="E10" s="38" t="n">
        <f aca="false">MAX(0,Subscribers_Revenue!E12)*CPHC</f>
        <v>2770833.33333333</v>
      </c>
      <c r="F10" s="38" t="n">
        <f aca="false">MAX(0,Subscribers_Revenue!F12)*CPHC</f>
        <v>2355500</v>
      </c>
      <c r="G10" s="38" t="n">
        <f aca="false">MAX(0,Subscribers_Revenue!G12)*CPHC</f>
        <v>1855308</v>
      </c>
      <c r="H10" s="38" t="n">
        <f aca="false">MAX(0,Subscribers_Revenue!H12)*CPHC</f>
        <v>1678835.648</v>
      </c>
      <c r="I10" s="38" t="n">
        <f aca="false">MAX(0,Subscribers_Revenue!I12)*CPHC</f>
        <v>1392747.666688</v>
      </c>
    </row>
    <row r="11" customFormat="false" ht="15" hidden="false" customHeight="false" outlineLevel="0" collapsed="false">
      <c r="A11" s="5"/>
      <c r="B11" s="37" t="s">
        <v>123</v>
      </c>
      <c r="C11" s="38" t="n">
        <f aca="false">SR_Total_Revenue*Maint_Capex_Pct</f>
        <v>0</v>
      </c>
      <c r="D11" s="38" t="n">
        <f aca="false">SR_Total_Revenue*Maint_Capex_Pct</f>
        <v>84946.4</v>
      </c>
      <c r="E11" s="38" t="n">
        <f aca="false">SR_Total_Revenue*Maint_Capex_Pct</f>
        <v>342429.444952</v>
      </c>
      <c r="F11" s="38" t="n">
        <f aca="false">SR_Total_Revenue*Maint_Capex_Pct</f>
        <v>631586.688154719</v>
      </c>
      <c r="G11" s="38" t="n">
        <f aca="false">SR_Total_Revenue*Maint_Capex_Pct</f>
        <v>834007.840964192</v>
      </c>
      <c r="H11" s="38" t="n">
        <f aca="false">SR_Total_Revenue*Maint_Capex_Pct</f>
        <v>977733.912404995</v>
      </c>
      <c r="I11" s="38" t="n">
        <f aca="false">SR_Total_Revenue*Maint_Capex_Pct</f>
        <v>1077535.9989065</v>
      </c>
    </row>
    <row r="12" customFormat="false" ht="15" hidden="false" customHeight="false" outlineLevel="0" collapsed="false">
      <c r="A12" s="5"/>
      <c r="B12" s="39" t="s">
        <v>208</v>
      </c>
      <c r="C12" s="40" t="n">
        <f aca="false">C9+C10+C11</f>
        <v>13000000</v>
      </c>
      <c r="D12" s="40" t="n">
        <f aca="false">D9+D10+D11</f>
        <v>17501613.0666667</v>
      </c>
      <c r="E12" s="40" t="n">
        <f aca="false">E9+E10+E11</f>
        <v>19363262.7782853</v>
      </c>
      <c r="F12" s="40" t="n">
        <f aca="false">F9+F10+F11</f>
        <v>12737086.6881547</v>
      </c>
      <c r="G12" s="40" t="n">
        <f aca="false">G9+G10+G11</f>
        <v>9189315.84096419</v>
      </c>
      <c r="H12" s="40" t="n">
        <f aca="false">H9+H10+H11</f>
        <v>5906569.560405</v>
      </c>
      <c r="I12" s="40" t="n">
        <f aca="false">I9+I10+I11</f>
        <v>2470283.6655945</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1" t="s">
        <v>209</v>
      </c>
      <c r="C14" s="16"/>
      <c r="D14" s="16"/>
      <c r="E14" s="16"/>
      <c r="F14" s="16"/>
      <c r="G14" s="16"/>
      <c r="H14" s="16"/>
      <c r="I14" s="16"/>
    </row>
    <row r="15" customFormat="false" ht="15" hidden="false" customHeight="false" outlineLevel="0" collapsed="false">
      <c r="A15" s="5"/>
      <c r="B15" s="37" t="s">
        <v>210</v>
      </c>
      <c r="C15" s="38" t="n">
        <f aca="false">0</f>
        <v>0</v>
      </c>
      <c r="D15" s="38" t="n">
        <f aca="false">C18</f>
        <v>9425000</v>
      </c>
      <c r="E15" s="38" t="n">
        <f aca="false">D18</f>
        <v>21737916.6666667</v>
      </c>
      <c r="F15" s="38" t="n">
        <f aca="false">E18</f>
        <v>34803423.6111111</v>
      </c>
      <c r="G15" s="38" t="n">
        <f aca="false">F18</f>
        <v>42419796.9907407</v>
      </c>
      <c r="H15" s="38" t="n">
        <f aca="false">G18</f>
        <v>47063402.0577161</v>
      </c>
      <c r="I15" s="38" t="n">
        <f aca="false">H18</f>
        <v>49068027.8339255</v>
      </c>
    </row>
    <row r="16" customFormat="false" ht="15" hidden="false" customHeight="false" outlineLevel="0" collapsed="false">
      <c r="A16" s="5"/>
      <c r="B16" s="37" t="s">
        <v>211</v>
      </c>
      <c r="C16" s="38" t="n">
        <f aca="false">(1-Active_Pct_Build)*(C9+C10)</f>
        <v>9750000</v>
      </c>
      <c r="D16" s="38" t="n">
        <f aca="false">(1-Active_Pct_Build)*(D9+D10)</f>
        <v>13062500</v>
      </c>
      <c r="E16" s="38" t="n">
        <f aca="false">(1-Active_Pct_Build)*(E9+E10)</f>
        <v>14265625</v>
      </c>
      <c r="F16" s="38" t="n">
        <f aca="false">(1-Active_Pct_Build)*(F9+F10)</f>
        <v>9079125</v>
      </c>
      <c r="G16" s="38" t="n">
        <f aca="false">(1-Active_Pct_Build)*(G9+G10)</f>
        <v>6266481</v>
      </c>
      <c r="H16" s="38" t="n">
        <f aca="false">(1-Active_Pct_Build)*(H9+H10)</f>
        <v>3696626.736</v>
      </c>
      <c r="I16" s="38" t="n">
        <f aca="false">(1-Active_Pct_Build)*(I9+I10)</f>
        <v>1044560.750016</v>
      </c>
    </row>
    <row r="17" customFormat="false" ht="15" hidden="false" customHeight="false" outlineLevel="0" collapsed="false">
      <c r="A17" s="5"/>
      <c r="B17" s="37" t="s">
        <v>212</v>
      </c>
      <c r="C17" s="38" t="n">
        <f aca="false">-MIN(C15+C16,(C15+C16)/Passive_Life)</f>
        <v>-325000</v>
      </c>
      <c r="D17" s="38" t="n">
        <f aca="false">-MIN(D15+D16,(D15+D16)/Passive_Life)</f>
        <v>-749583.333333333</v>
      </c>
      <c r="E17" s="38" t="n">
        <f aca="false">-MIN(E15+E16,(E15+E16)/Passive_Life)</f>
        <v>-1200118.05555556</v>
      </c>
      <c r="F17" s="38" t="n">
        <f aca="false">-MIN(F15+F16,(F15+F16)/Passive_Life)</f>
        <v>-1462751.62037037</v>
      </c>
      <c r="G17" s="38" t="n">
        <f aca="false">-MIN(G15+G16,(G15+G16)/Passive_Life)</f>
        <v>-1622875.93302469</v>
      </c>
      <c r="H17" s="38" t="n">
        <f aca="false">-MIN(H15+H16,(H15+H16)/Passive_Life)</f>
        <v>-1692000.95979054</v>
      </c>
      <c r="I17" s="38" t="n">
        <f aca="false">-MIN(I15+I16,(I15+I16)/Passive_Life)</f>
        <v>-1670419.61946472</v>
      </c>
    </row>
    <row r="18" customFormat="false" ht="15" hidden="false" customHeight="false" outlineLevel="0" collapsed="false">
      <c r="A18" s="5"/>
      <c r="B18" s="39" t="s">
        <v>213</v>
      </c>
      <c r="C18" s="40" t="n">
        <f aca="false">C15+C16+C17</f>
        <v>9425000</v>
      </c>
      <c r="D18" s="40" t="n">
        <f aca="false">D15+D16+D17</f>
        <v>21737916.6666667</v>
      </c>
      <c r="E18" s="40" t="n">
        <f aca="false">E15+E16+E17</f>
        <v>34803423.6111111</v>
      </c>
      <c r="F18" s="40" t="n">
        <f aca="false">F15+F16+F17</f>
        <v>42419796.9907407</v>
      </c>
      <c r="G18" s="40" t="n">
        <f aca="false">G15+G16+G17</f>
        <v>47063402.0577161</v>
      </c>
      <c r="H18" s="40" t="n">
        <f aca="false">H15+H16+H17</f>
        <v>49068027.8339255</v>
      </c>
      <c r="I18" s="40" t="n">
        <f aca="false">I15+I16+I17</f>
        <v>48442168.9644768</v>
      </c>
    </row>
    <row r="19" customFormat="false" ht="15" hidden="false" customHeight="false" outlineLevel="0" collapsed="false">
      <c r="A19" s="5"/>
      <c r="B19" s="5"/>
      <c r="C19" s="5"/>
      <c r="D19" s="5"/>
      <c r="E19" s="5"/>
      <c r="F19" s="5"/>
      <c r="G19" s="5"/>
      <c r="H19" s="5"/>
      <c r="I19" s="5"/>
    </row>
    <row r="20" customFormat="false" ht="15" hidden="false" customHeight="false" outlineLevel="0" collapsed="false">
      <c r="A20" s="5"/>
      <c r="B20" s="37" t="s">
        <v>214</v>
      </c>
      <c r="C20" s="38" t="n">
        <f aca="false">0</f>
        <v>0</v>
      </c>
      <c r="D20" s="38" t="n">
        <f aca="false">C23</f>
        <v>2785714.28571429</v>
      </c>
      <c r="E20" s="38" t="n">
        <f aca="false">D23</f>
        <v>6192709.15918367</v>
      </c>
      <c r="F20" s="38" t="n">
        <f aca="false">E23</f>
        <v>9677440.23211629</v>
      </c>
      <c r="G20" s="38" t="n">
        <f aca="false">F23</f>
        <v>11430344.5030894</v>
      </c>
      <c r="H20" s="38" t="n">
        <f aca="false">G23</f>
        <v>12302725.152046</v>
      </c>
      <c r="I20" s="38" t="n">
        <f aca="false">H23</f>
        <v>12439429.6941008</v>
      </c>
    </row>
    <row r="21" customFormat="false" ht="15" hidden="false" customHeight="false" outlineLevel="0" collapsed="false">
      <c r="A21" s="5"/>
      <c r="B21" s="37" t="s">
        <v>215</v>
      </c>
      <c r="C21" s="38" t="n">
        <f aca="false">Active_Pct_Build*(C9+C10)+C11</f>
        <v>3250000</v>
      </c>
      <c r="D21" s="38" t="n">
        <f aca="false">Active_Pct_Build*(D9+D10)+D11</f>
        <v>4439113.06666667</v>
      </c>
      <c r="E21" s="38" t="n">
        <f aca="false">Active_Pct_Build*(E9+E10)+E11</f>
        <v>5097637.77828533</v>
      </c>
      <c r="F21" s="38" t="n">
        <f aca="false">Active_Pct_Build*(F9+F10)+F11</f>
        <v>3657961.68815472</v>
      </c>
      <c r="G21" s="38" t="n">
        <f aca="false">Active_Pct_Build*(G9+G10)+G11</f>
        <v>2922834.84096419</v>
      </c>
      <c r="H21" s="38" t="n">
        <f aca="false">Active_Pct_Build*(H9+H10)+H11</f>
        <v>2209942.824405</v>
      </c>
      <c r="I21" s="38" t="n">
        <f aca="false">Active_Pct_Build*(I9+I10)+I11</f>
        <v>1425722.9155785</v>
      </c>
    </row>
    <row r="22" customFormat="false" ht="15" hidden="false" customHeight="false" outlineLevel="0" collapsed="false">
      <c r="A22" s="5"/>
      <c r="B22" s="37" t="s">
        <v>216</v>
      </c>
      <c r="C22" s="38" t="n">
        <f aca="false">-MIN(C20+C21,(C20+C21)/Active_Life)</f>
        <v>-464285.714285714</v>
      </c>
      <c r="D22" s="38" t="n">
        <f aca="false">-MIN(D20+D21,(D20+D21)/Active_Life)</f>
        <v>-1032118.19319728</v>
      </c>
      <c r="E22" s="38" t="n">
        <f aca="false">-MIN(E20+E21,(E20+E21)/Active_Life)</f>
        <v>-1612906.70535272</v>
      </c>
      <c r="F22" s="38" t="n">
        <f aca="false">-MIN(F20+F21,(F20+F21)/Active_Life)</f>
        <v>-1905057.41718157</v>
      </c>
      <c r="G22" s="38" t="n">
        <f aca="false">-MIN(G20+G21,(G20+G21)/Active_Life)</f>
        <v>-2050454.19200766</v>
      </c>
      <c r="H22" s="38" t="n">
        <f aca="false">-MIN(H20+H21,(H20+H21)/Active_Life)</f>
        <v>-2073238.28235014</v>
      </c>
      <c r="I22" s="38" t="n">
        <f aca="false">-MIN(I20+I21,(I20+I21)/Active_Life)</f>
        <v>-1980736.08709705</v>
      </c>
    </row>
    <row r="23" customFormat="false" ht="15" hidden="false" customHeight="false" outlineLevel="0" collapsed="false">
      <c r="A23" s="5"/>
      <c r="B23" s="39" t="s">
        <v>217</v>
      </c>
      <c r="C23" s="40" t="n">
        <f aca="false">C20+C21+C22</f>
        <v>2785714.28571429</v>
      </c>
      <c r="D23" s="40" t="n">
        <f aca="false">D20+D21+D22</f>
        <v>6192709.15918367</v>
      </c>
      <c r="E23" s="40" t="n">
        <f aca="false">E20+E21+E22</f>
        <v>9677440.23211629</v>
      </c>
      <c r="F23" s="40" t="n">
        <f aca="false">F20+F21+F22</f>
        <v>11430344.5030894</v>
      </c>
      <c r="G23" s="40" t="n">
        <f aca="false">G20+G21+G22</f>
        <v>12302725.152046</v>
      </c>
      <c r="H23" s="40" t="n">
        <f aca="false">H20+H21+H22</f>
        <v>12439429.6941008</v>
      </c>
      <c r="I23" s="40" t="n">
        <f aca="false">I20+I21+I22</f>
        <v>11884416.5225823</v>
      </c>
    </row>
    <row r="24" customFormat="false" ht="15" hidden="false" customHeight="false" outlineLevel="0" collapsed="false">
      <c r="A24" s="5"/>
      <c r="B24" s="5"/>
      <c r="C24" s="5"/>
      <c r="D24" s="5"/>
      <c r="E24" s="5"/>
      <c r="F24" s="5"/>
      <c r="G24" s="5"/>
      <c r="H24" s="5"/>
      <c r="I24" s="5"/>
    </row>
    <row r="25" customFormat="false" ht="15" hidden="false" customHeight="false" outlineLevel="0" collapsed="false">
      <c r="A25" s="5"/>
      <c r="B25" s="45" t="s">
        <v>218</v>
      </c>
      <c r="C25" s="46" t="n">
        <f aca="false">C17+C22</f>
        <v>-789285.714285714</v>
      </c>
      <c r="D25" s="46" t="n">
        <f aca="false">D17+D22</f>
        <v>-1781701.52653061</v>
      </c>
      <c r="E25" s="46" t="n">
        <f aca="false">E17+E22</f>
        <v>-2813024.76090827</v>
      </c>
      <c r="F25" s="46" t="n">
        <f aca="false">F17+F22</f>
        <v>-3367809.03755194</v>
      </c>
      <c r="G25" s="46" t="n">
        <f aca="false">G17+G22</f>
        <v>-3673330.12503235</v>
      </c>
      <c r="H25" s="46" t="n">
        <f aca="false">H17+H22</f>
        <v>-3765239.24214067</v>
      </c>
      <c r="I25" s="46" t="n">
        <f aca="false">I17+I22</f>
        <v>-3651155.70656176</v>
      </c>
    </row>
    <row r="26" customFormat="false" ht="15" hidden="false" customHeight="false" outlineLevel="0" collapsed="false">
      <c r="A26" s="5"/>
      <c r="B26" s="47" t="s">
        <v>219</v>
      </c>
      <c r="C26" s="48" t="n">
        <f aca="false">C18+C23</f>
        <v>12210714.2857143</v>
      </c>
      <c r="D26" s="48" t="n">
        <f aca="false">D18+D23</f>
        <v>27930625.8258503</v>
      </c>
      <c r="E26" s="48" t="n">
        <f aca="false">E18+E23</f>
        <v>44480863.8432274</v>
      </c>
      <c r="F26" s="48" t="n">
        <f aca="false">F18+F23</f>
        <v>53850141.4938302</v>
      </c>
      <c r="G26" s="48" t="n">
        <f aca="false">G18+G23</f>
        <v>59366127.209762</v>
      </c>
      <c r="H26" s="48" t="n">
        <f aca="false">H18+H23</f>
        <v>61507457.5280264</v>
      </c>
      <c r="I26" s="48" t="n">
        <f aca="false">I18+I23</f>
        <v>60326585.4870591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I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153</v>
      </c>
      <c r="C2" s="5"/>
      <c r="D2" s="5"/>
      <c r="E2" s="5"/>
      <c r="F2" s="5"/>
      <c r="G2" s="5"/>
      <c r="H2" s="5"/>
      <c r="I2" s="5"/>
    </row>
    <row r="3" customFormat="false" ht="15" hidden="false" customHeight="false" outlineLevel="0" collapsed="false">
      <c r="A3" s="5"/>
      <c r="B3" s="8" t="s">
        <v>220</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221</v>
      </c>
      <c r="C8" s="16"/>
      <c r="D8" s="16"/>
      <c r="E8" s="16"/>
      <c r="F8" s="16"/>
      <c r="G8" s="16"/>
      <c r="H8" s="16"/>
      <c r="I8" s="16"/>
    </row>
    <row r="9" customFormat="false" ht="15" hidden="false" customHeight="false" outlineLevel="0" collapsed="false">
      <c r="A9" s="5"/>
      <c r="B9" s="37" t="s">
        <v>222</v>
      </c>
      <c r="C9" s="38" t="n">
        <f aca="false">SR_Total_Revenue*DSO_Days/365</f>
        <v>0</v>
      </c>
      <c r="D9" s="38" t="n">
        <f aca="false">SR_Total_Revenue*DSO_Days/365</f>
        <v>116364.931506849</v>
      </c>
      <c r="E9" s="38" t="n">
        <f aca="false">SR_Total_Revenue*DSO_Days/365</f>
        <v>469081.431441096</v>
      </c>
      <c r="F9" s="38" t="n">
        <f aca="false">SR_Total_Revenue*DSO_Days/365</f>
        <v>865187.244047561</v>
      </c>
      <c r="G9" s="38" t="n">
        <f aca="false">SR_Total_Revenue*DSO_Days/365</f>
        <v>1142476.4944715</v>
      </c>
      <c r="H9" s="38" t="n">
        <f aca="false">SR_Total_Revenue*DSO_Days/365</f>
        <v>1339361.52384246</v>
      </c>
      <c r="I9" s="38" t="n">
        <f aca="false">SR_Total_Revenue*DSO_Days/365</f>
        <v>1476076.71083083</v>
      </c>
    </row>
    <row r="10" customFormat="false" ht="15" hidden="false" customHeight="false" outlineLevel="0" collapsed="false">
      <c r="A10" s="5"/>
      <c r="B10" s="37" t="s">
        <v>223</v>
      </c>
      <c r="C10" s="38" t="n">
        <f aca="false">OC_COGS*DIO_Days/365</f>
        <v>0</v>
      </c>
      <c r="D10" s="38" t="n">
        <f aca="false">OC_COGS*DIO_Days/365</f>
        <v>31030.6484018265</v>
      </c>
      <c r="E10" s="38" t="n">
        <f aca="false">OC_COGS*DIO_Days/365</f>
        <v>125088.381717626</v>
      </c>
      <c r="F10" s="38" t="n">
        <f aca="false">OC_COGS*DIO_Days/365</f>
        <v>230716.598412683</v>
      </c>
      <c r="G10" s="38" t="n">
        <f aca="false">OC_COGS*DIO_Days/365</f>
        <v>304660.398525732</v>
      </c>
      <c r="H10" s="38" t="n">
        <f aca="false">OC_COGS*DIO_Days/365</f>
        <v>357163.073024656</v>
      </c>
      <c r="I10" s="38" t="n">
        <f aca="false">OC_COGS*DIO_Days/365</f>
        <v>393620.456221553</v>
      </c>
    </row>
    <row r="11" customFormat="false" ht="15" hidden="false" customHeight="false" outlineLevel="0" collapsed="false">
      <c r="A11" s="5"/>
      <c r="B11" s="37" t="s">
        <v>224</v>
      </c>
      <c r="C11" s="38" t="n">
        <f aca="false">(OC_COGS+OC_Total_OpEx)*DPO_Days/365</f>
        <v>0</v>
      </c>
      <c r="D11" s="38" t="n">
        <f aca="false">(OC_COGS+OC_Total_OpEx)*DPO_Days/365</f>
        <v>281067.707762557</v>
      </c>
      <c r="E11" s="38" t="n">
        <f aca="false">(OC_COGS+OC_Total_OpEx)*DPO_Days/365</f>
        <v>921276.852767306</v>
      </c>
      <c r="F11" s="38" t="n">
        <f aca="false">(OC_COGS+OC_Total_OpEx)*DPO_Days/365</f>
        <v>1397300.19096399</v>
      </c>
      <c r="G11" s="38" t="n">
        <f aca="false">(OC_COGS+OC_Total_OpEx)*DPO_Days/365</f>
        <v>1707582.14237834</v>
      </c>
      <c r="H11" s="38" t="n">
        <f aca="false">(OC_COGS+OC_Total_OpEx)*DPO_Days/365</f>
        <v>1947474.66188116</v>
      </c>
      <c r="I11" s="38" t="n">
        <f aca="false">(OC_COGS+OC_Total_OpEx)*DPO_Days/365</f>
        <v>2096130.8838748</v>
      </c>
    </row>
    <row r="12" customFormat="false" ht="15" hidden="false" customHeight="false" outlineLevel="0" collapsed="false">
      <c r="A12" s="5"/>
      <c r="B12" s="39" t="s">
        <v>225</v>
      </c>
      <c r="C12" s="40" t="n">
        <f aca="false">C9+C10-C11</f>
        <v>0</v>
      </c>
      <c r="D12" s="40" t="n">
        <f aca="false">D9+D10-D11</f>
        <v>-133672.127853881</v>
      </c>
      <c r="E12" s="40" t="n">
        <f aca="false">E9+E10-E11</f>
        <v>-327107.039608584</v>
      </c>
      <c r="F12" s="40" t="n">
        <f aca="false">F9+F10-F11</f>
        <v>-301396.348503748</v>
      </c>
      <c r="G12" s="40" t="n">
        <f aca="false">G9+G10-G11</f>
        <v>-260445.249381109</v>
      </c>
      <c r="H12" s="40" t="n">
        <f aca="false">H9+H10-H11</f>
        <v>-250950.065014041</v>
      </c>
      <c r="I12" s="40" t="n">
        <f aca="false">I9+I10-I11</f>
        <v>-226433.716822418</v>
      </c>
    </row>
    <row r="13" customFormat="false" ht="15" hidden="false" customHeight="false" outlineLevel="0" collapsed="false">
      <c r="A13" s="5"/>
      <c r="B13" s="5"/>
      <c r="C13" s="5"/>
      <c r="D13" s="5"/>
      <c r="E13" s="5"/>
      <c r="F13" s="5"/>
      <c r="G13" s="5"/>
      <c r="H13" s="5"/>
      <c r="I13" s="5"/>
    </row>
    <row r="14" customFormat="false" ht="15" hidden="false" customHeight="false" outlineLevel="0" collapsed="false">
      <c r="A14" s="5"/>
      <c r="B14" s="31" t="s">
        <v>226</v>
      </c>
      <c r="C14" s="16"/>
      <c r="D14" s="16"/>
      <c r="E14" s="16"/>
      <c r="F14" s="16"/>
      <c r="G14" s="16"/>
      <c r="H14" s="16"/>
      <c r="I14" s="16"/>
    </row>
    <row r="15" customFormat="false" ht="15" hidden="false" customHeight="false" outlineLevel="0" collapsed="false">
      <c r="A15" s="5"/>
      <c r="B15" s="37" t="s">
        <v>227</v>
      </c>
      <c r="C15" s="38" t="n">
        <f aca="false">-C9</f>
        <v>-0</v>
      </c>
      <c r="D15" s="38" t="n">
        <f aca="false">-(D9-C9)</f>
        <v>-116364.931506849</v>
      </c>
      <c r="E15" s="38" t="n">
        <f aca="false">-(E9-D9)</f>
        <v>-352716.499934247</v>
      </c>
      <c r="F15" s="38" t="n">
        <f aca="false">-(F9-E9)</f>
        <v>-396105.812606465</v>
      </c>
      <c r="G15" s="38" t="n">
        <f aca="false">-(G9-F9)</f>
        <v>-277289.250423935</v>
      </c>
      <c r="H15" s="38" t="n">
        <f aca="false">-(H9-G9)</f>
        <v>-196885.029370963</v>
      </c>
      <c r="I15" s="38" t="n">
        <f aca="false">-(I9-H9)</f>
        <v>-136715.186988366</v>
      </c>
    </row>
    <row r="16" customFormat="false" ht="15" hidden="false" customHeight="false" outlineLevel="0" collapsed="false">
      <c r="A16" s="5"/>
      <c r="B16" s="37" t="s">
        <v>228</v>
      </c>
      <c r="C16" s="38" t="n">
        <f aca="false">-C10</f>
        <v>-0</v>
      </c>
      <c r="D16" s="38" t="n">
        <f aca="false">-(D10-C10)</f>
        <v>-31030.6484018265</v>
      </c>
      <c r="E16" s="38" t="n">
        <f aca="false">-(E10-D10)</f>
        <v>-94057.7333157991</v>
      </c>
      <c r="F16" s="38" t="n">
        <f aca="false">-(F10-E10)</f>
        <v>-105628.216695057</v>
      </c>
      <c r="G16" s="38" t="n">
        <f aca="false">-(G10-F10)</f>
        <v>-73943.8001130494</v>
      </c>
      <c r="H16" s="38" t="n">
        <f aca="false">-(H10-G10)</f>
        <v>-52502.6744989235</v>
      </c>
      <c r="I16" s="38" t="n">
        <f aca="false">-(I10-H10)</f>
        <v>-36457.3831968976</v>
      </c>
    </row>
    <row r="17" customFormat="false" ht="15" hidden="false" customHeight="false" outlineLevel="0" collapsed="false">
      <c r="A17" s="5"/>
      <c r="B17" s="37" t="s">
        <v>229</v>
      </c>
      <c r="C17" s="38" t="n">
        <f aca="false">C11</f>
        <v>0</v>
      </c>
      <c r="D17" s="38" t="n">
        <f aca="false">D11-C11</f>
        <v>281067.707762557</v>
      </c>
      <c r="E17" s="38" t="n">
        <f aca="false">E11-D11</f>
        <v>640209.145004749</v>
      </c>
      <c r="F17" s="38" t="n">
        <f aca="false">F11-E11</f>
        <v>476023.338196686</v>
      </c>
      <c r="G17" s="38" t="n">
        <f aca="false">G11-F11</f>
        <v>310281.951414345</v>
      </c>
      <c r="H17" s="38" t="n">
        <f aca="false">H11-G11</f>
        <v>239892.519502818</v>
      </c>
      <c r="I17" s="38" t="n">
        <f aca="false">I11-H11</f>
        <v>148656.221993641</v>
      </c>
    </row>
    <row r="18" customFormat="false" ht="15" hidden="false" customHeight="false" outlineLevel="0" collapsed="false">
      <c r="A18" s="5"/>
      <c r="B18" s="39" t="s">
        <v>230</v>
      </c>
      <c r="C18" s="40" t="n">
        <f aca="false">C15+C16+C17</f>
        <v>0</v>
      </c>
      <c r="D18" s="40" t="n">
        <f aca="false">D15+D16+D17</f>
        <v>133672.127853881</v>
      </c>
      <c r="E18" s="40" t="n">
        <f aca="false">E15+E16+E17</f>
        <v>193434.911754703</v>
      </c>
      <c r="F18" s="40" t="n">
        <f aca="false">F15+F16+F17</f>
        <v>-25710.6911048364</v>
      </c>
      <c r="G18" s="40" t="n">
        <f aca="false">G15+G16+G17</f>
        <v>-40951.0991226392</v>
      </c>
      <c r="H18" s="40" t="n">
        <f aca="false">H15+H16+H17</f>
        <v>-9495.18436706823</v>
      </c>
      <c r="I18" s="40" t="n">
        <f aca="false">I15+I16+I17</f>
        <v>-24516.3481916229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I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9" min="3" style="0" width="16"/>
  </cols>
  <sheetData>
    <row r="1" customFormat="false" ht="15" hidden="false" customHeight="false" outlineLevel="0" collapsed="false">
      <c r="A1" s="5"/>
      <c r="B1" s="5"/>
      <c r="C1" s="5"/>
      <c r="D1" s="5"/>
      <c r="E1" s="5"/>
      <c r="F1" s="5"/>
      <c r="G1" s="5"/>
      <c r="H1" s="5"/>
      <c r="I1" s="5"/>
    </row>
    <row r="2" customFormat="false" ht="22.05" hidden="false" customHeight="false" outlineLevel="0" collapsed="false">
      <c r="A2" s="5"/>
      <c r="B2" s="28" t="s">
        <v>231</v>
      </c>
      <c r="C2" s="5"/>
      <c r="D2" s="5"/>
      <c r="E2" s="5"/>
      <c r="F2" s="5"/>
      <c r="G2" s="5"/>
      <c r="H2" s="5"/>
      <c r="I2" s="5"/>
    </row>
    <row r="3" customFormat="false" ht="15" hidden="false" customHeight="false" outlineLevel="0" collapsed="false">
      <c r="A3" s="5"/>
      <c r="B3" s="8" t="s">
        <v>232</v>
      </c>
      <c r="C3" s="5"/>
      <c r="D3" s="5"/>
      <c r="E3" s="5"/>
      <c r="F3" s="5"/>
      <c r="G3" s="5"/>
      <c r="H3" s="5"/>
      <c r="I3" s="5"/>
    </row>
    <row r="4" customFormat="false" ht="15" hidden="false" customHeight="false" outlineLevel="0" collapsed="false">
      <c r="A4" s="5"/>
      <c r="B4" s="5"/>
      <c r="C4" s="5"/>
      <c r="D4" s="5"/>
      <c r="E4" s="5"/>
      <c r="F4" s="5"/>
      <c r="G4" s="5"/>
      <c r="H4" s="5"/>
      <c r="I4" s="5"/>
    </row>
    <row r="5" customFormat="false" ht="15" hidden="false" customHeight="false" outlineLevel="0" collapsed="false">
      <c r="A5" s="5"/>
      <c r="B5" s="35" t="s">
        <v>71</v>
      </c>
      <c r="C5" s="36" t="n">
        <f aca="false">IF(1&lt;=Projection_Years,Base_Year+0,"")</f>
        <v>2025</v>
      </c>
      <c r="D5" s="36" t="n">
        <f aca="false">IF(2&lt;=Projection_Years,Base_Year+1,"")</f>
        <v>2026</v>
      </c>
      <c r="E5" s="36" t="n">
        <f aca="false">IF(3&lt;=Projection_Years,Base_Year+2,"")</f>
        <v>2027</v>
      </c>
      <c r="F5" s="36" t="n">
        <f aca="false">IF(4&lt;=Projection_Years,Base_Year+3,"")</f>
        <v>2028</v>
      </c>
      <c r="G5" s="36" t="n">
        <f aca="false">IF(5&lt;=Projection_Years,Base_Year+4,"")</f>
        <v>2029</v>
      </c>
      <c r="H5" s="36" t="n">
        <f aca="false">IF(6&lt;=Projection_Years,Base_Year+5,"")</f>
        <v>2030</v>
      </c>
      <c r="I5" s="36" t="n">
        <f aca="false">IF(7&lt;=Projection_Years,Base_Year+6,"")</f>
        <v>2031</v>
      </c>
    </row>
    <row r="6" customFormat="false" ht="15" hidden="false" customHeight="false" outlineLevel="0" collapsed="false">
      <c r="A6" s="5"/>
      <c r="B6" s="8" t="s">
        <v>168</v>
      </c>
      <c r="C6" s="33" t="n">
        <f aca="false">COLUMN(C1)-2</f>
        <v>1</v>
      </c>
      <c r="D6" s="33" t="n">
        <f aca="false">COLUMN(D1)-2</f>
        <v>2</v>
      </c>
      <c r="E6" s="33" t="n">
        <f aca="false">COLUMN(E1)-2</f>
        <v>3</v>
      </c>
      <c r="F6" s="33" t="n">
        <f aca="false">COLUMN(F1)-2</f>
        <v>4</v>
      </c>
      <c r="G6" s="33" t="n">
        <f aca="false">COLUMN(G1)-2</f>
        <v>5</v>
      </c>
      <c r="H6" s="33" t="n">
        <f aca="false">COLUMN(H1)-2</f>
        <v>6</v>
      </c>
      <c r="I6" s="33" t="n">
        <f aca="false">COLUMN(I1)-2</f>
        <v>7</v>
      </c>
    </row>
    <row r="7" customFormat="false" ht="15" hidden="false" customHeight="false" outlineLevel="0" collapsed="false">
      <c r="A7" s="5"/>
      <c r="B7" s="5"/>
      <c r="C7" s="5"/>
      <c r="D7" s="5"/>
      <c r="E7" s="5"/>
      <c r="F7" s="5"/>
      <c r="G7" s="5"/>
      <c r="H7" s="5"/>
      <c r="I7" s="5"/>
    </row>
    <row r="8" customFormat="false" ht="15" hidden="false" customHeight="false" outlineLevel="0" collapsed="false">
      <c r="A8" s="5"/>
      <c r="B8" s="31" t="s">
        <v>233</v>
      </c>
      <c r="C8" s="16"/>
      <c r="D8" s="16"/>
      <c r="E8" s="16"/>
      <c r="F8" s="16"/>
      <c r="G8" s="16"/>
      <c r="H8" s="16"/>
      <c r="I8" s="16"/>
    </row>
    <row r="9" customFormat="false" ht="15" hidden="false" customHeight="false" outlineLevel="0" collapsed="false">
      <c r="A9" s="5"/>
      <c r="B9" s="37" t="s">
        <v>234</v>
      </c>
      <c r="C9" s="38" t="n">
        <f aca="false">0</f>
        <v>0</v>
      </c>
      <c r="D9" s="38" t="n">
        <f aca="false">C13</f>
        <v>50000000</v>
      </c>
      <c r="E9" s="38" t="n">
        <f aca="false">D13</f>
        <v>50000000</v>
      </c>
      <c r="F9" s="38" t="n">
        <f aca="false">E13</f>
        <v>50000000</v>
      </c>
      <c r="G9" s="38" t="n">
        <f aca="false">F13</f>
        <v>42857142.8571429</v>
      </c>
      <c r="H9" s="38" t="n">
        <f aca="false">G13</f>
        <v>35714285.7142857</v>
      </c>
      <c r="I9" s="38" t="n">
        <f aca="false">H13</f>
        <v>28571428.5714286</v>
      </c>
    </row>
    <row r="10" customFormat="false" ht="15" hidden="false" customHeight="false" outlineLevel="0" collapsed="false">
      <c r="A10" s="5"/>
      <c r="B10" s="37" t="s">
        <v>235</v>
      </c>
      <c r="C10" s="38" t="n">
        <f aca="false">IF(C6=1,Senior_Debt,0)</f>
        <v>50000000</v>
      </c>
      <c r="D10" s="38" t="n">
        <f aca="false">IF(D6=1,Senior_Debt,0)</f>
        <v>0</v>
      </c>
      <c r="E10" s="38" t="n">
        <f aca="false">IF(E6=1,Senior_Debt,0)</f>
        <v>0</v>
      </c>
      <c r="F10" s="38" t="n">
        <f aca="false">IF(F6=1,Senior_Debt,0)</f>
        <v>0</v>
      </c>
      <c r="G10" s="38" t="n">
        <f aca="false">IF(G6=1,Senior_Debt,0)</f>
        <v>0</v>
      </c>
      <c r="H10" s="38" t="n">
        <f aca="false">IF(H6=1,Senior_Debt,0)</f>
        <v>0</v>
      </c>
      <c r="I10" s="38" t="n">
        <f aca="false">IF(I6=1,Senior_Debt,0)</f>
        <v>0</v>
      </c>
    </row>
    <row r="11" customFormat="false" ht="15" hidden="false" customHeight="false" outlineLevel="0" collapsed="false">
      <c r="A11" s="5"/>
      <c r="B11" s="37" t="s">
        <v>236</v>
      </c>
      <c r="C11" s="38" t="n">
        <f aca="false">-IF(C6&gt;=Amort_Start,Senior_Debt/(Loan_Term-Amort_Start+1),0)</f>
        <v>-0</v>
      </c>
      <c r="D11" s="38" t="n">
        <f aca="false">-IF(D6&gt;=Amort_Start,Senior_Debt/(Loan_Term-Amort_Start+1),0)</f>
        <v>-0</v>
      </c>
      <c r="E11" s="38" t="n">
        <f aca="false">-IF(E6&gt;=Amort_Start,Senior_Debt/(Loan_Term-Amort_Start+1),0)</f>
        <v>-0</v>
      </c>
      <c r="F11" s="38" t="n">
        <f aca="false">-IF(F6&gt;=Amort_Start,Senior_Debt/(Loan_Term-Amort_Start+1),0)</f>
        <v>-7142857.14285714</v>
      </c>
      <c r="G11" s="38" t="n">
        <f aca="false">-IF(G6&gt;=Amort_Start,Senior_Debt/(Loan_Term-Amort_Start+1),0)</f>
        <v>-7142857.14285714</v>
      </c>
      <c r="H11" s="38" t="n">
        <f aca="false">-IF(H6&gt;=Amort_Start,Senior_Debt/(Loan_Term-Amort_Start+1),0)</f>
        <v>-7142857.14285714</v>
      </c>
      <c r="I11" s="38" t="n">
        <f aca="false">-IF(I6&gt;=Amort_Start,Senior_Debt/(Loan_Term-Amort_Start+1),0)</f>
        <v>-7142857.14285714</v>
      </c>
    </row>
    <row r="12" customFormat="false" ht="15" hidden="false" customHeight="false" outlineLevel="0" collapsed="false">
      <c r="A12" s="5"/>
      <c r="B12" s="37" t="s">
        <v>237</v>
      </c>
      <c r="C12" s="38" t="n">
        <f aca="false">-IF(C6=Loan_Term,C9+C10+C11,0)</f>
        <v>-0</v>
      </c>
      <c r="D12" s="38" t="n">
        <f aca="false">-IF(D6=Loan_Term,D9+D10+D11,0)</f>
        <v>-0</v>
      </c>
      <c r="E12" s="38" t="n">
        <f aca="false">-IF(E6=Loan_Term,E9+E10+E11,0)</f>
        <v>-0</v>
      </c>
      <c r="F12" s="38" t="n">
        <f aca="false">-IF(F6=Loan_Term,F9+F10+F11,0)</f>
        <v>-0</v>
      </c>
      <c r="G12" s="38" t="n">
        <f aca="false">-IF(G6=Loan_Term,G9+G10+G11,0)</f>
        <v>-0</v>
      </c>
      <c r="H12" s="38" t="n">
        <f aca="false">-IF(H6=Loan_Term,H9+H10+H11,0)</f>
        <v>-0</v>
      </c>
      <c r="I12" s="38" t="n">
        <f aca="false">-IF(I6=Loan_Term,I9+I10+I11,0)</f>
        <v>-0</v>
      </c>
    </row>
    <row r="13" customFormat="false" ht="15" hidden="false" customHeight="false" outlineLevel="0" collapsed="false">
      <c r="A13" s="5"/>
      <c r="B13" s="39" t="s">
        <v>238</v>
      </c>
      <c r="C13" s="40" t="n">
        <f aca="false">C9+C10+C11+C12</f>
        <v>50000000</v>
      </c>
      <c r="D13" s="40" t="n">
        <f aca="false">D9+D10+D11+D12</f>
        <v>50000000</v>
      </c>
      <c r="E13" s="40" t="n">
        <f aca="false">E9+E10+E11+E12</f>
        <v>50000000</v>
      </c>
      <c r="F13" s="40" t="n">
        <f aca="false">F9+F10+F11+F12</f>
        <v>42857142.8571429</v>
      </c>
      <c r="G13" s="40" t="n">
        <f aca="false">G9+G10+G11+G12</f>
        <v>35714285.7142857</v>
      </c>
      <c r="H13" s="40" t="n">
        <f aca="false">H9+H10+H11+H12</f>
        <v>28571428.5714286</v>
      </c>
      <c r="I13" s="40" t="n">
        <f aca="false">I9+I10+I11+I12</f>
        <v>21428571.4285714</v>
      </c>
    </row>
    <row r="14" customFormat="false" ht="15" hidden="false" customHeight="false" outlineLevel="0" collapsed="false">
      <c r="A14" s="5"/>
      <c r="B14" s="5"/>
      <c r="C14" s="5"/>
      <c r="D14" s="5"/>
      <c r="E14" s="5"/>
      <c r="F14" s="5"/>
      <c r="G14" s="5"/>
      <c r="H14" s="5"/>
      <c r="I14" s="5"/>
    </row>
    <row r="15" customFormat="false" ht="15" hidden="false" customHeight="false" outlineLevel="0" collapsed="false">
      <c r="A15" s="5"/>
      <c r="B15" s="31" t="s">
        <v>239</v>
      </c>
      <c r="C15" s="16"/>
      <c r="D15" s="16"/>
      <c r="E15" s="16"/>
      <c r="F15" s="16"/>
      <c r="G15" s="16"/>
      <c r="H15" s="16"/>
      <c r="I15" s="16"/>
    </row>
    <row r="16" customFormat="false" ht="15" hidden="false" customHeight="false" outlineLevel="0" collapsed="false">
      <c r="A16" s="5"/>
      <c r="B16" s="37" t="s">
        <v>240</v>
      </c>
      <c r="C16" s="38" t="n">
        <f aca="false">-C9*Interest_Rate</f>
        <v>-0</v>
      </c>
      <c r="D16" s="38" t="n">
        <f aca="false">-D9*Interest_Rate</f>
        <v>-3750000</v>
      </c>
      <c r="E16" s="38" t="n">
        <f aca="false">-E9*Interest_Rate</f>
        <v>-3750000</v>
      </c>
      <c r="F16" s="38" t="n">
        <f aca="false">-F9*Interest_Rate</f>
        <v>-3750000</v>
      </c>
      <c r="G16" s="38" t="n">
        <f aca="false">-G9*Interest_Rate</f>
        <v>-3214285.71428571</v>
      </c>
      <c r="H16" s="38" t="n">
        <f aca="false">-H9*Interest_Rate</f>
        <v>-2678571.42857143</v>
      </c>
      <c r="I16" s="38" t="n">
        <f aca="false">-I9*Interest_Rate</f>
        <v>-2142857.14285714</v>
      </c>
    </row>
    <row r="17" customFormat="false" ht="15" hidden="false" customHeight="false" outlineLevel="0" collapsed="false">
      <c r="A17" s="5"/>
      <c r="B17" s="39" t="s">
        <v>241</v>
      </c>
      <c r="C17" s="40" t="n">
        <f aca="false">C16+C11+C12</f>
        <v>-0</v>
      </c>
      <c r="D17" s="40" t="n">
        <f aca="false">D16+D11+D12</f>
        <v>-3750000</v>
      </c>
      <c r="E17" s="40" t="n">
        <f aca="false">E16+E11+E12</f>
        <v>-3750000</v>
      </c>
      <c r="F17" s="40" t="n">
        <f aca="false">F16+F11+F12</f>
        <v>-10892857.1428571</v>
      </c>
      <c r="G17" s="40" t="n">
        <f aca="false">G16+G11+G12</f>
        <v>-10357142.8571429</v>
      </c>
      <c r="H17" s="40" t="n">
        <f aca="false">H16+H11+H12</f>
        <v>-9821428.57142857</v>
      </c>
      <c r="I17" s="40" t="n">
        <f aca="false">I16+I11+I12</f>
        <v>-9285714.28571429</v>
      </c>
    </row>
    <row r="18" customFormat="false" ht="15" hidden="false" customHeight="false" outlineLevel="0" collapsed="false">
      <c r="A18" s="5"/>
      <c r="B18" s="5"/>
      <c r="C18" s="5"/>
      <c r="D18" s="5"/>
      <c r="E18" s="5"/>
      <c r="F18" s="5"/>
      <c r="G18" s="5"/>
      <c r="H18" s="5"/>
      <c r="I18" s="5"/>
    </row>
    <row r="19" customFormat="false" ht="15" hidden="false" customHeight="false" outlineLevel="0" collapsed="false">
      <c r="A19" s="5"/>
      <c r="B19" s="31" t="s">
        <v>242</v>
      </c>
      <c r="C19" s="16"/>
      <c r="D19" s="16"/>
      <c r="E19" s="16"/>
      <c r="F19" s="16"/>
      <c r="G19" s="16"/>
      <c r="H19" s="16"/>
      <c r="I19" s="16"/>
    </row>
    <row r="20" customFormat="false" ht="15" hidden="false" customHeight="false" outlineLevel="0" collapsed="false">
      <c r="A20" s="5"/>
      <c r="B20" s="37" t="s">
        <v>243</v>
      </c>
      <c r="C20" s="49" t="n">
        <f aca="false">IFERROR(OC_EBITDA/ABS(C17),0)</f>
        <v>0</v>
      </c>
      <c r="D20" s="49" t="n">
        <f aca="false">IFERROR(OC_EBITDA/ABS(D17),0)</f>
        <v>0.207933973333333</v>
      </c>
      <c r="E20" s="49" t="n">
        <f aca="false">IFERROR(OC_EBITDA/ABS(E17),0)</f>
        <v>1.25039834840853</v>
      </c>
      <c r="F20" s="49" t="n">
        <f aca="false">IFERROR(OC_EBITDA/ABS(F17),0)</f>
        <v>0.996304098070049</v>
      </c>
      <c r="G20" s="49" t="n">
        <f aca="false">IFERROR(OC_EBITDA/ABS(G17),0)</f>
        <v>1.48061216665901</v>
      </c>
      <c r="H20" s="49" t="n">
        <f aca="false">IFERROR(OC_EBITDA/ABS(H17),0)</f>
        <v>1.87086483887086</v>
      </c>
      <c r="I20" s="49" t="n">
        <f aca="false">IFERROR(OC_EBITDA/ABS(I17),0)</f>
        <v>2.22019658839254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2026-05-15T18:53:12Z</dcterms:created>
  <dc:creator>openpyxl</dc:creator>
  <dc:description/>
  <dc:language>en-GB</dc:language>
  <cp:lastModifiedBy/>
  <dcterms:modified xsi:type="dcterms:W3CDTF">2026-05-15T18:53:12Z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