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Slate_Build" sheetId="4" state="visible" r:id="rId6"/>
    <sheet name="Revenue_Waterfall" sheetId="5" state="visible" r:id="rId7"/>
    <sheet name="Amortisation" sheetId="6" state="visible" r:id="rId8"/>
    <sheet name="Operating_Costs" sheetId="7" state="visible" r:id="rId9"/>
    <sheet name="P_and_L" sheetId="8" state="visible" r:id="rId10"/>
    <sheet name="Cash_Flow" sheetId="9" state="visible" r:id="rId11"/>
    <sheet name="Checks" sheetId="10" state="visible" r:id="rId12"/>
  </sheets>
  <definedNames>
    <definedName function="false" hidden="false" name="AM_Amort_Expense" vbProcedure="false">Amortisation!$C$10:$G$10</definedName>
    <definedName function="false" hidden="false" name="AM_Closing" vbProcedure="false">Amortisation!$C$12:$G$12</definedName>
    <definedName function="false" hidden="false" name="AM_New_Acq" vbProcedure="false">Amortisation!$C$9:$G$9</definedName>
    <definedName function="false" hidden="false" name="AM_Opening" vbProcedure="false">Amortisation!$C$8:$G$8</definedName>
    <definedName function="false" hidden="false" name="Avg_MG" vbProcedure="false">Assumptions!$C$12</definedName>
    <definedName function="false" hidden="false" name="AVOD_Rev_Pct" vbProcedure="false">Assumptions!$C$20</definedName>
    <definedName function="false" hidden="false" name="Base_Year" vbProcedure="false">Assumptions!$C$7</definedName>
    <definedName function="false" hidden="false" name="CF_CFF" vbProcedure="false">Cash_Flow!$C$26:$G$26</definedName>
    <definedName function="false" hidden="false" name="CF_CFI" vbProcedure="false">Cash_Flow!$C$20:$G$20</definedName>
    <definedName function="false" hidden="false" name="CF_CFO" vbProcedure="false">Cash_Flow!$C$14:$G$14</definedName>
    <definedName function="false" hidden="false" name="CF_Closing_Cash" vbProcedure="false">Cash_Flow!$C$30:$G$30</definedName>
    <definedName function="false" hidden="false" name="CF_Net_Cash" vbProcedure="false">Cash_Flow!$C$28:$G$28</definedName>
    <definedName function="false" hidden="false" name="CF_Opening_Cash" vbProcedure="false">Cash_Flow!$C$29:$G$29</definedName>
    <definedName function="false" hidden="false" name="CF_Revolver_Draw" vbProcedure="false">Cash_Flow!$C$23:$G$23</definedName>
    <definedName function="false" hidden="false" name="Delivery_Cost" vbProcedure="false">Assumptions!$C$14</definedName>
    <definedName function="false" hidden="false" name="Dist_Fee_Pct" vbProcedure="false">Assumptions!$C$24</definedName>
    <definedName function="false" hidden="false" name="Dist_Rental_Pct" vbProcedure="false">Assumptions!$C$15</definedName>
    <definedName function="false" hidden="false" name="Equity_Injection" vbProcedure="false">Assumptions!$C$34</definedName>
    <definedName function="false" hidden="false" name="Intl_Rev_Pct" vbProcedure="false">Assumptions!$C$21</definedName>
    <definedName function="false" hidden="false" name="Library_Multiple" vbProcedure="false">Assumptions!$C$38</definedName>
    <definedName function="false" hidden="false" name="OC_Total_SGA" vbProcedure="false">Operating_Costs!$C$16:$G$16</definedName>
    <definedName function="false" hidden="false" name="PA_Pct_Of_MG" vbProcedure="false">Assumptions!$C$13</definedName>
    <definedName function="false" hidden="false" name="PL_Content_Amort" vbProcedure="false">P_and_L!$C$12:$G$12</definedName>
    <definedName function="false" hidden="false" name="PL_DA" vbProcedure="false">P_and_L!$C$28:$G$28</definedName>
    <definedName function="false" hidden="false" name="PL_EBIT" vbProcedure="false">P_and_L!$C$29:$G$29</definedName>
    <definedName function="false" hidden="false" name="PL_EBITDA" vbProcedure="false">P_and_L!$C$25:$G$25</definedName>
    <definedName function="false" hidden="false" name="PL_Gross_Profit" vbProcedure="false">P_and_L!$C$19:$G$19</definedName>
    <definedName function="false" hidden="false" name="PL_Interest" vbProcedure="false">P_and_L!$C$30:$G$30</definedName>
    <definedName function="false" hidden="false" name="PL_Net_Income" vbProcedure="false">P_and_L!$C$35:$G$35</definedName>
    <definedName function="false" hidden="false" name="PL_PA_Expense" vbProcedure="false">P_and_L!$C$13:$G$13</definedName>
    <definedName function="false" hidden="false" name="PL_SGA" vbProcedure="false">P_and_L!$C$23:$G$23</definedName>
    <definedName function="false" hidden="false" name="PL_Tax" vbProcedure="false">P_and_L!$C$33:$G$33</definedName>
    <definedName function="false" hidden="false" name="PL_Total_Rev" vbProcedure="false">P_and_L!$C$9:$G$9</definedName>
    <definedName function="false" hidden="false" name="Revolver_Limit" vbProcedure="false">Assumptions!$C$33</definedName>
    <definedName function="false" hidden="false" name="Revolver_Rate" vbProcedure="false">Assumptions!$C$32</definedName>
    <definedName function="false" hidden="false" name="RW_AVOD" vbProcedure="false">Revenue_Waterfall!$C$11:$G$11</definedName>
    <definedName function="false" hidden="false" name="RW_Intl" vbProcedure="false">Revenue_Waterfall!$C$12:$G$12</definedName>
    <definedName function="false" hidden="false" name="RW_Library_Rev" vbProcedure="false">Revenue_Waterfall!$C$17:$G$17</definedName>
    <definedName function="false" hidden="false" name="RW_New_Rel_Rev" vbProcedure="false">Revenue_Waterfall!$C$18:$G$18</definedName>
    <definedName function="false" hidden="false" name="RW_SVOD" vbProcedure="false">Revenue_Waterfall!$C$10:$G$10</definedName>
    <definedName function="false" hidden="false" name="RW_Theatrical" vbProcedure="false">Revenue_Waterfall!$C$8:$G$8</definedName>
    <definedName function="false" hidden="false" name="RW_Total_Rev" vbProcedure="false">Revenue_Waterfall!$C$14:$G$14</definedName>
    <definedName function="false" hidden="false" name="RW_TVOD" vbProcedure="false">Revenue_Waterfall!$C$9:$G$9</definedName>
    <definedName function="false" hidden="false" name="SB_Total_Delivery" vbProcedure="false">Slate_Build!$G$13</definedName>
    <definedName function="false" hidden="false" name="SB_Total_Investment" vbProcedure="false">Slate_Build!$H$13</definedName>
    <definedName function="false" hidden="false" name="SB_Total_MG" vbProcedure="false">Slate_Build!$E$13</definedName>
    <definedName function="false" hidden="false" name="SB_Total_PA" vbProcedure="false">Slate_Build!$F$13</definedName>
    <definedName function="false" hidden="false" name="SB_Total_Ultimate" vbProcedure="false">Slate_Build!$O$13</definedName>
    <definedName function="false" hidden="false" name="SGA_Growth" vbProcedure="false">Assumptions!$C$29</definedName>
    <definedName function="false" hidden="false" name="SGA_Pct" vbProcedure="false">Assumptions!$C$28</definedName>
    <definedName function="false" hidden="false" name="SVOD_Fee" vbProcedure="false">Assumptions!$C$19</definedName>
    <definedName function="false" hidden="false" name="Talent_Share_Pct" vbProcedure="false">Assumptions!$C$25</definedName>
    <definedName function="false" hidden="false" name="Tax_Rate" vbProcedure="false">Assumptions!$C$36</definedName>
    <definedName function="false" hidden="false" name="TVOD_Rev_Pct" vbProcedure="false">Assumptions!$C$18</definedName>
    <definedName function="false" hidden="false" name="WACC" vbProcedure="false">Assumptions!$C$37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<sst xmlns="http://schemas.openxmlformats.org/spreadsheetml/2006/main" count="275" uniqueCount="229">
  <si>
    <t xml:space="preserve">Film Slate Distribution Model</t>
  </si>
  <si>
    <t xml:space="preserve">FINAMODEL.com</t>
  </si>
  <si>
    <t xml:space="preserve">Slate investment analysis</t>
  </si>
  <si>
    <t xml:space="preserve">Model Structure</t>
  </si>
  <si>
    <t xml:space="preserve">Cover</t>
  </si>
  <si>
    <t xml:space="preserve">Title and navigation</t>
  </si>
  <si>
    <t xml:space="preserve">Assumptions</t>
  </si>
  <si>
    <t xml:space="preserve">Model parameters</t>
  </si>
  <si>
    <t xml:space="preserve">Slate_Build</t>
  </si>
  <si>
    <t xml:space="preserve">Title-by-title inputs</t>
  </si>
  <si>
    <t xml:space="preserve">Revenue_Waterfall</t>
  </si>
  <si>
    <t xml:space="preserve">Revenue by window</t>
  </si>
  <si>
    <t xml:space="preserve">Amortisation</t>
  </si>
  <si>
    <t xml:space="preserve">Content amort schedule</t>
  </si>
  <si>
    <t xml:space="preserve">Operating_Costs</t>
  </si>
  <si>
    <t xml:space="preserve">SG&amp;A breakdown</t>
  </si>
  <si>
    <t xml:space="preserve">P_and_L</t>
  </si>
  <si>
    <t xml:space="preserve">Income statement</t>
  </si>
  <si>
    <t xml:space="preserve">Cash_Flow</t>
  </si>
  <si>
    <t xml:space="preserve">Cash flow statement</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</si>
  <si>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</si>
  <si>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</si>
  <si>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</si>
  <si>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</si>
  <si>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</si>
  <si>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</si>
  <si>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</si>
  <si>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</si>
  <si>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</si>
  <si>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schedules</t>
  </si>
  <si>
    <t xml:space="preserve">Grey</t>
  </si>
  <si>
    <t xml:space="preserve">Summary / Output</t>
  </si>
  <si>
    <t xml:space="preserve">Red</t>
  </si>
  <si>
    <t xml:space="preserve">Validation</t>
  </si>
  <si>
    <t xml:space="preserve">About this model</t>
  </si>
  <si>
    <t xml:space="preserve">A film slate financial model values a portfolio of theatrical releases across a multi-year release schedule by modeling revenues through the distribution waterfall: theatrical box office (40â45% of gross), home video and streaming rights (fixed license fees), broadcast rights, and international sales. For a five-title slate, the model tracks each film's production budget (manufacturing guarantee, or MG), prints and advertising (P&amp;A), and estimated gross box office, then calculates distributable revenue after paying participations (talent back-ends) and deducting distribution fees and P&amp;A.
Content amortization uses the film forecast method (ASC 926): current-period amortization equals the proportion of ultimate revenue earned in that period, multiplied by the total capitalized cost. This ensures that an expensive film with weak box office is fully written down rather than sitting on the balance sheet as a long-lived asset. The model aggregates revenue across all windows (theatrical, SVOD, AVOD, international) to estimate ultimate revenue per title, then computes cumulative amortization to ensure it does not exceed the capitalized cost.
Investor returns (IRR, MOIC) depend on the timelines: theatrical revenue is realized within 8â12 weeks, but SVOD licenses (Amazon, Netflix, Apple) are paid in installments over 18â24 months, delaying cash realization. This template is suitable for film financiers, distributors, and media companies evaluating slate acquisitions or internal production portfolios.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</si>
  <si>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</si>
  <si>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</si>
  <si>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</si>
  <si>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</si>
  <si>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</si>
  <si>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</si>
  <si>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</si>
  <si>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</si>
  <si>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</si>
  <si>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</si>
  <si>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</si>
  <si>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</si>
  <si>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</si>
  <si>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</si>
  <si>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</si>
  <si>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</si>
  <si>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</si>
  <si>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</si>
  <si>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</si>
  <si>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</si>
  <si>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</si>
  <si>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</si>
  <si>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</si>
  <si>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</si>
  <si>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</si>
  <si>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</si>
  <si>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Global</t>
  </si>
  <si>
    <t xml:space="preserve">Base Year</t>
  </si>
  <si>
    <t xml:space="preserve">Year</t>
  </si>
  <si>
    <t xml:space="preserve">First release year</t>
  </si>
  <si>
    <t xml:space="preserve">Title Defaults</t>
  </si>
  <si>
    <t xml:space="preserve">Avg MG per Title</t>
  </si>
  <si>
    <t xml:space="preserve">$</t>
  </si>
  <si>
    <t xml:space="preserve">Minimum guarantee paid to producer</t>
  </si>
  <si>
    <t xml:space="preserve">P&amp;A as % of MG</t>
  </si>
  <si>
    <t xml:space="preserve">%</t>
  </si>
  <si>
    <t xml:space="preserve">Marketing spend relative to MG</t>
  </si>
  <si>
    <t xml:space="preserve">Delivery Cost / Title</t>
  </si>
  <si>
    <t xml:space="preserve">Subtitling, dubbing, QC, DCP</t>
  </si>
  <si>
    <t xml:space="preserve">Distributor Rental %</t>
  </si>
  <si>
    <t xml:space="preserve">Blended share of box office</t>
  </si>
  <si>
    <t xml:space="preserve">Revenue Windows</t>
  </si>
  <si>
    <t xml:space="preserve">TVOD as % of Theatrical</t>
  </si>
  <si>
    <t xml:space="preserve">Home ent relative to box office rev</t>
  </si>
  <si>
    <t xml:space="preserve">SVOD License Fee / Title</t>
  </si>
  <si>
    <t xml:space="preserve">Pay 1 window license</t>
  </si>
  <si>
    <t xml:space="preserve">AVOD as % of Theatrical</t>
  </si>
  <si>
    <t xml:space="preserve">Ad-supported streaming rev</t>
  </si>
  <si>
    <t xml:space="preserve">Intl as % of Theatrical</t>
  </si>
  <si>
    <t xml:space="preserve">International territory sales</t>
  </si>
  <si>
    <t xml:space="preserve">Recoupment</t>
  </si>
  <si>
    <t xml:space="preserve">Distribution Fee %</t>
  </si>
  <si>
    <t xml:space="preserve">Fee retained before participations</t>
  </si>
  <si>
    <t xml:space="preserve">Talent Share %</t>
  </si>
  <si>
    <t xml:space="preserve">Net profit split after recoupment</t>
  </si>
  <si>
    <t xml:space="preserve">Operating Costs</t>
  </si>
  <si>
    <t xml:space="preserve">SG&amp;A as % of Revenue</t>
  </si>
  <si>
    <t xml:space="preserve">Total overhead ratio</t>
  </si>
  <si>
    <t xml:space="preserve">SG&amp;A Annual Growth</t>
  </si>
  <si>
    <t xml:space="preserve">Overhead inflation</t>
  </si>
  <si>
    <t xml:space="preserve">Financing</t>
  </si>
  <si>
    <t xml:space="preserve">Revolver Interest Rate</t>
  </si>
  <si>
    <t xml:space="preserve">SOFR + 300-400 bps</t>
  </si>
  <si>
    <t xml:space="preserve">Revolver Facility Size</t>
  </si>
  <si>
    <t xml:space="preserve">Max draw on credit line</t>
  </si>
  <si>
    <t xml:space="preserve">Equity Injection (Y1)</t>
  </si>
  <si>
    <t xml:space="preserve">Initial seed capital</t>
  </si>
  <si>
    <t xml:space="preserve">Tax &amp; Valuation</t>
  </si>
  <si>
    <t xml:space="preserve">Tax Rate</t>
  </si>
  <si>
    <t xml:space="preserve">Blended corporate rate</t>
  </si>
  <si>
    <t xml:space="preserve">WACC</t>
  </si>
  <si>
    <t xml:space="preserve">Discount rate for DCF</t>
  </si>
  <si>
    <t xml:space="preserve">Library Valuation Multiple</t>
  </si>
  <si>
    <t xml:space="preserve">x</t>
  </si>
  <si>
    <t xml:space="preserve">Multiple of library gross profit</t>
  </si>
  <si>
    <t xml:space="preserve">Slate Build</t>
  </si>
  <si>
    <t xml:space="preserve">Title-by-title schedule</t>
  </si>
  <si>
    <t xml:space="preserve">Title</t>
  </si>
  <si>
    <t xml:space="preserve">Genre</t>
  </si>
  <si>
    <t xml:space="preserve">Release Yr</t>
  </si>
  <si>
    <t xml:space="preserve">MG ($)</t>
  </si>
  <si>
    <t xml:space="preserve">P&amp;A ($)</t>
  </si>
  <si>
    <t xml:space="preserve">Delivery ($)</t>
  </si>
  <si>
    <t xml:space="preserve">Total Invest ($)</t>
  </si>
  <si>
    <t xml:space="preserve">Gross BO ($)</t>
  </si>
  <si>
    <t xml:space="preserve">Theatrical ($)</t>
  </si>
  <si>
    <t xml:space="preserve">TVOD ($)</t>
  </si>
  <si>
    <t xml:space="preserve">SVOD ($)</t>
  </si>
  <si>
    <t xml:space="preserve">AVOD ($)</t>
  </si>
  <si>
    <t xml:space="preserve">Intl ($)</t>
  </si>
  <si>
    <t xml:space="preserve">Ultimate Rev ($)</t>
  </si>
  <si>
    <t xml:space="preserve">Midnight Crossing</t>
  </si>
  <si>
    <t xml:space="preserve">Thriller</t>
  </si>
  <si>
    <t xml:space="preserve">The Long Summer</t>
  </si>
  <si>
    <t xml:space="preserve">Drama</t>
  </si>
  <si>
    <t xml:space="preserve">Iron Valley</t>
  </si>
  <si>
    <t xml:space="preserve">Action</t>
  </si>
  <si>
    <t xml:space="preserve">Glass Garden</t>
  </si>
  <si>
    <t xml:space="preserve">Indie Drama</t>
  </si>
  <si>
    <t xml:space="preserve">Signal Lost</t>
  </si>
  <si>
    <t xml:space="preserve">Sci-Fi</t>
  </si>
  <si>
    <t xml:space="preserve">TOTAL SLATE</t>
  </si>
  <si>
    <t xml:space="preserve">Revenue Waterfall</t>
  </si>
  <si>
    <t xml:space="preserve">Revenue Stream</t>
  </si>
  <si>
    <t xml:space="preserve">Year 1</t>
  </si>
  <si>
    <t xml:space="preserve">Year 2</t>
  </si>
  <si>
    <t xml:space="preserve">Year 3</t>
  </si>
  <si>
    <t xml:space="preserve">Year 4</t>
  </si>
  <si>
    <t xml:space="preserve">Year 5</t>
  </si>
  <si>
    <t xml:space="preserve">Revenue by Window</t>
  </si>
  <si>
    <t xml:space="preserve">Theatrical</t>
  </si>
  <si>
    <t xml:space="preserve">TVOD / Home Ent</t>
  </si>
  <si>
    <t xml:space="preserve">SVOD / Pay TV</t>
  </si>
  <si>
    <t xml:space="preserve">AVOD / FAST</t>
  </si>
  <si>
    <t xml:space="preserve">International</t>
  </si>
  <si>
    <t xml:space="preserve">TOTAL REVENUE</t>
  </si>
  <si>
    <t xml:space="preserve">Revenue Mix</t>
  </si>
  <si>
    <t xml:space="preserve">Library Revenue</t>
  </si>
  <si>
    <t xml:space="preserve">New Release Revenue</t>
  </si>
  <si>
    <t xml:space="preserve">Amortisation Schedule</t>
  </si>
  <si>
    <t xml:space="preserve">Film forecast method</t>
  </si>
  <si>
    <t xml:space="preserve">Content Library</t>
  </si>
  <si>
    <t xml:space="preserve">Content Asset Roll-Forward</t>
  </si>
  <si>
    <t xml:space="preserve">Opening Balance</t>
  </si>
  <si>
    <t xml:space="preserve">New Acquisitions (MGs)</t>
  </si>
  <si>
    <t xml:space="preserve">Amortisation Expense</t>
  </si>
  <si>
    <t xml:space="preserve">CLOSING BALANCE</t>
  </si>
  <si>
    <t xml:space="preserve">Amort % of Revenue</t>
  </si>
  <si>
    <t xml:space="preserve">Cumulative Amort</t>
  </si>
  <si>
    <t xml:space="preserve">Cumulative Cost</t>
  </si>
  <si>
    <t xml:space="preserve">Expense Item</t>
  </si>
  <si>
    <t xml:space="preserve">Selling, General &amp; Admin</t>
  </si>
  <si>
    <t xml:space="preserve">Salaries &amp; Benefits</t>
  </si>
  <si>
    <t xml:space="preserve">Rent &amp; Occupancy</t>
  </si>
  <si>
    <t xml:space="preserve">Markets &amp; Travel</t>
  </si>
  <si>
    <t xml:space="preserve">Legal &amp; Professional</t>
  </si>
  <si>
    <t xml:space="preserve">Technology / Systems</t>
  </si>
  <si>
    <t xml:space="preserve">Insurance (E&amp;O)</t>
  </si>
  <si>
    <t xml:space="preserve">TOTAL SG&amp;A</t>
  </si>
  <si>
    <t xml:space="preserve">Income Statement</t>
  </si>
  <si>
    <t xml:space="preserve">Profit &amp; loss</t>
  </si>
  <si>
    <t xml:space="preserve">Revenue</t>
  </si>
  <si>
    <t xml:space="preserve">Total Revenue</t>
  </si>
  <si>
    <t xml:space="preserve">Cost of Goods Sold</t>
  </si>
  <si>
    <t xml:space="preserve">Content Amortisation</t>
  </si>
  <si>
    <t xml:space="preserve">P&amp;A Expense</t>
  </si>
  <si>
    <t xml:space="preserve">Delivery Costs</t>
  </si>
  <si>
    <t xml:space="preserve">Participations</t>
  </si>
  <si>
    <t xml:space="preserve">TOTAL COGS</t>
  </si>
  <si>
    <t xml:space="preserve">GROSS PROFIT</t>
  </si>
  <si>
    <t xml:space="preserve">Gross Margin</t>
  </si>
  <si>
    <t xml:space="preserve">Operating Expenses</t>
  </si>
  <si>
    <t xml:space="preserve">SG&amp;A</t>
  </si>
  <si>
    <t xml:space="preserve">EBITDA</t>
  </si>
  <si>
    <t xml:space="preserve">EBITDA Margin</t>
  </si>
  <si>
    <t xml:space="preserve">Depreciation</t>
  </si>
  <si>
    <t xml:space="preserve">EBIT</t>
  </si>
  <si>
    <t xml:space="preserve">Interest Expense</t>
  </si>
  <si>
    <t xml:space="preserve">EBT</t>
  </si>
  <si>
    <t xml:space="preserve">Tax</t>
  </si>
  <si>
    <t xml:space="preserve">NET INCOME</t>
  </si>
  <si>
    <t xml:space="preserve">Net Margin</t>
  </si>
  <si>
    <t xml:space="preserve">Cash Flow Statement</t>
  </si>
  <si>
    <t xml:space="preserve">Indirect method</t>
  </si>
  <si>
    <t xml:space="preserve">Cash from Operations</t>
  </si>
  <si>
    <t xml:space="preserve">Net Income</t>
  </si>
  <si>
    <t xml:space="preserve">Add: Content Amort</t>
  </si>
  <si>
    <t xml:space="preserve">Add: Depreciation</t>
  </si>
  <si>
    <t xml:space="preserve">Working Capital Change</t>
  </si>
  <si>
    <t xml:space="preserve">CASH FROM OPERATIONS</t>
  </si>
  <si>
    <t xml:space="preserve">Cash from Investing</t>
  </si>
  <si>
    <t xml:space="preserve">Content Acquisitions</t>
  </si>
  <si>
    <t xml:space="preserve">PP&amp;E Capex</t>
  </si>
  <si>
    <t xml:space="preserve">CASH FROM INVESTING</t>
  </si>
  <si>
    <t xml:space="preserve">Cash from Financing</t>
  </si>
  <si>
    <t xml:space="preserve">Revolver Draw / (Repay)</t>
  </si>
  <si>
    <t xml:space="preserve">Equity Injection</t>
  </si>
  <si>
    <t xml:space="preserve">CASH FROM FINANCING</t>
  </si>
  <si>
    <t xml:space="preserve">NET CASH FLOW</t>
  </si>
  <si>
    <t xml:space="preserve">Opening Cash</t>
  </si>
  <si>
    <t xml:space="preserve">CLOSING CASH</t>
  </si>
  <si>
    <t xml:space="preserve">Validation Checks</t>
  </si>
  <si>
    <t xml:space="preserve">Model integrity</t>
  </si>
  <si>
    <t xml:space="preserve">Check</t>
  </si>
  <si>
    <t xml:space="preserve">Amort &lt;= Capitalised Cost</t>
  </si>
  <si>
    <t xml:space="preserve">Gross Margin 15%-40%</t>
  </si>
  <si>
    <t xml:space="preserve">EBITDA Margin 10%-25%</t>
  </si>
  <si>
    <t xml:space="preserve">Cash Balance &gt;= 0</t>
  </si>
  <si>
    <t xml:space="preserve">Amort/Rev 30%-70%</t>
  </si>
  <si>
    <t xml:space="preserve">Valuation Metrics</t>
  </si>
  <si>
    <t xml:space="preserve">Library Gross Profit</t>
  </si>
  <si>
    <t xml:space="preserve">Library Valuation</t>
  </si>
  <si>
    <t xml:space="preserve">DCF Discount Factor</t>
  </si>
</sst>
</file>

<file path=xl/styles.xml><?xml version="1.0" encoding="utf-8"?>
<styleSheet xmlns="http://schemas.openxmlformats.org/spreadsheetml/2006/main">
  <numFmts count="8">
    <numFmt numFmtId="164" formatCode="General"/>
    <numFmt numFmtId="165" formatCode="#,##0.00"/>
    <numFmt numFmtId="166" formatCode="\$#,##0.00"/>
    <numFmt numFmtId="167" formatCode="0.00%"/>
    <numFmt numFmtId="168" formatCode="0.00\x"/>
    <numFmt numFmtId="169" formatCode="0"/>
    <numFmt numFmtId="170" formatCode="@"/>
    <numFmt numFmtId="171" formatCode="0.000"/>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8" fontId="21" fillId="11" borderId="0" xfId="0" applyFont="true" applyBorder="false" applyAlignment="true" applyProtection="false">
      <alignment horizontal="right" vertical="center" textRotation="0" wrapText="false" indent="0" shrinkToFit="false"/>
      <protection locked="true" hidden="false"/>
    </xf>
    <xf numFmtId="169" fontId="21" fillId="11" borderId="0" xfId="0" applyFont="true" applyBorder="false" applyAlignment="true" applyProtection="false">
      <alignment horizontal="center"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3" xfId="0" applyFont="true" applyBorder="true" applyAlignment="true" applyProtection="false">
      <alignment horizontal="right" vertical="center" textRotation="0" wrapText="false" indent="0" shrinkToFit="false"/>
      <protection locked="true" hidden="false"/>
    </xf>
    <xf numFmtId="169" fontId="1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70" fontId="22" fillId="0" borderId="0" xfId="0" applyFont="true" applyBorder="false" applyAlignment="true" applyProtection="false">
      <alignment horizontal="right" vertical="center" textRotation="0" wrapText="false" indent="0" shrinkToFit="false"/>
      <protection locked="true" hidden="false"/>
    </xf>
    <xf numFmtId="171" fontId="22"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1"/>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6" t="s">
        <v>22</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23</v>
      </c>
      <c r="C19" s="8" t="s">
        <v>4</v>
      </c>
      <c r="D19" s="9"/>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24</v>
      </c>
      <c r="C20" s="8" t="s">
        <v>25</v>
      </c>
      <c r="D20" s="10"/>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26</v>
      </c>
      <c r="C21" s="8" t="s">
        <v>27</v>
      </c>
      <c r="D21" s="11"/>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29</v>
      </c>
      <c r="D22" s="12"/>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3"/>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4"/>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9.5" hidden="false" customHeight="true" outlineLevel="0" collapsed="false">
      <c r="A27" s="5"/>
      <c r="B27" s="15" t="s">
        <v>34</v>
      </c>
      <c r="C27" s="16"/>
      <c r="D27" s="16"/>
      <c r="E27" s="16"/>
      <c r="F27" s="16"/>
      <c r="G27" s="16"/>
      <c r="H27" s="5"/>
      <c r="I27" s="5"/>
      <c r="J27" s="5"/>
      <c r="K27" s="5"/>
      <c r="L27" s="5"/>
      <c r="M27" s="5"/>
      <c r="N27" s="5"/>
      <c r="O27" s="5"/>
      <c r="P27" s="5"/>
      <c r="Q27" s="5"/>
      <c r="R27" s="5"/>
      <c r="S27" s="5"/>
      <c r="T27" s="5"/>
      <c r="U27" s="5"/>
      <c r="V27" s="5"/>
      <c r="W27" s="5"/>
      <c r="X27" s="5"/>
      <c r="Y27" s="5"/>
      <c r="Z27" s="5"/>
      <c r="AA27" s="5"/>
      <c r="AB27" s="5"/>
      <c r="AC27" s="5"/>
      <c r="AD27" s="5"/>
    </row>
    <row r="28" customFormat="false" ht="233.25" hidden="false" customHeight="true" outlineLevel="0" collapsed="false">
      <c r="A28" s="5"/>
      <c r="B28" s="17" t="s">
        <v>35</v>
      </c>
      <c r="C28" s="17"/>
      <c r="D28" s="17"/>
      <c r="E28" s="17"/>
      <c r="F28" s="17"/>
      <c r="G28" s="17"/>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36</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57" hidden="false" customHeight="true" outlineLevel="0" collapsed="false">
      <c r="A31" s="5"/>
      <c r="B31" s="17" t="s">
        <v>37</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8" t="s">
        <v>38</v>
      </c>
      <c r="C32" s="18"/>
      <c r="D32" s="18"/>
      <c r="E32" s="18"/>
      <c r="F32" s="18"/>
      <c r="G32" s="18"/>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9" t="s">
        <v>39</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sheetData>
  <mergeCells count="3">
    <mergeCell ref="B28:G28"/>
    <mergeCell ref="B31:G31"/>
    <mergeCell ref="B32:G3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217</v>
      </c>
      <c r="C2" s="5"/>
      <c r="D2" s="5"/>
      <c r="E2" s="5"/>
      <c r="F2" s="5"/>
      <c r="G2" s="5"/>
    </row>
    <row r="3" customFormat="false" ht="15" hidden="false" customHeight="false" outlineLevel="0" collapsed="false">
      <c r="A3" s="5"/>
      <c r="B3" s="29" t="s">
        <v>218</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219</v>
      </c>
      <c r="C5" s="31" t="s">
        <v>140</v>
      </c>
      <c r="D5" s="31" t="s">
        <v>141</v>
      </c>
      <c r="E5" s="31" t="s">
        <v>142</v>
      </c>
      <c r="F5" s="31" t="s">
        <v>143</v>
      </c>
      <c r="G5" s="31" t="s">
        <v>144</v>
      </c>
    </row>
    <row r="6" customFormat="false" ht="15" hidden="false" customHeight="false" outlineLevel="0" collapsed="false">
      <c r="A6" s="5"/>
      <c r="B6" s="29"/>
      <c r="C6" s="5"/>
      <c r="D6" s="5"/>
      <c r="E6" s="5"/>
      <c r="F6" s="5"/>
      <c r="G6" s="5"/>
    </row>
    <row r="7" customFormat="false" ht="15" hidden="false" customHeight="false" outlineLevel="0" collapsed="false">
      <c r="A7" s="5"/>
      <c r="B7" s="7" t="s">
        <v>220</v>
      </c>
      <c r="C7" s="51" t="str">
        <f aca="false">IF(Amortisation!C15&lt;=Amortisation!C16+1,"PASS","FAIL")</f>
        <v>PASS</v>
      </c>
      <c r="D7" s="51" t="str">
        <f aca="false">IF(Amortisation!D15&lt;=Amortisation!D16+1,"PASS","FAIL")</f>
        <v>PASS</v>
      </c>
      <c r="E7" s="51" t="str">
        <f aca="false">IF(Amortisation!E15&lt;=Amortisation!E16+1,"PASS","FAIL")</f>
        <v>PASS</v>
      </c>
      <c r="F7" s="51" t="str">
        <f aca="false">IF(Amortisation!F15&lt;=Amortisation!F16+1,"PASS","FAIL")</f>
        <v>PASS</v>
      </c>
      <c r="G7" s="51" t="str">
        <f aca="false">IF(Amortisation!G15&lt;=Amortisation!G16+1,"PASS","FAIL")</f>
        <v>PASS</v>
      </c>
    </row>
    <row r="8" customFormat="false" ht="15" hidden="false" customHeight="false" outlineLevel="0" collapsed="false">
      <c r="A8" s="5"/>
      <c r="B8" s="7" t="s">
        <v>221</v>
      </c>
      <c r="C8" s="51" t="str">
        <f aca="false">IF(AND(P_and_L!C20&gt;=0.15,P_and_L!C20&lt;=0.4),"PASS",IF(P_and_L!C9=0,"N/A","WARN"))</f>
        <v>WARN</v>
      </c>
      <c r="D8" s="51" t="str">
        <f aca="false">IF(AND(P_and_L!D20&gt;=0.15,P_and_L!D20&lt;=0.4),"PASS",IF(P_and_L!D9=0,"N/A","WARN"))</f>
        <v>WARN</v>
      </c>
      <c r="E8" s="51" t="str">
        <f aca="false">IF(AND(P_and_L!E20&gt;=0.15,P_and_L!E20&lt;=0.4),"PASS",IF(P_and_L!E9=0,"N/A","WARN"))</f>
        <v>WARN</v>
      </c>
      <c r="F8" s="51" t="str">
        <f aca="false">IF(AND(P_and_L!F20&gt;=0.15,P_and_L!F20&lt;=0.4),"PASS",IF(P_and_L!F9=0,"N/A","WARN"))</f>
        <v>WARN</v>
      </c>
      <c r="G8" s="51" t="str">
        <f aca="false">IF(AND(P_and_L!G20&gt;=0.15,P_and_L!G20&lt;=0.4),"PASS",IF(P_and_L!G9=0,"N/A","WARN"))</f>
        <v>WARN</v>
      </c>
    </row>
    <row r="9" customFormat="false" ht="15" hidden="false" customHeight="false" outlineLevel="0" collapsed="false">
      <c r="A9" s="5"/>
      <c r="B9" s="7" t="s">
        <v>222</v>
      </c>
      <c r="C9" s="51" t="str">
        <f aca="false">IF(AND(P_and_L!C26&gt;=0.1,P_and_L!C26&lt;=0.25),"PASS",IF(P_and_L!C9=0,"N/A","WARN"))</f>
        <v>WARN</v>
      </c>
      <c r="D9" s="51" t="str">
        <f aca="false">IF(AND(P_and_L!D26&gt;=0.1,P_and_L!D26&lt;=0.25),"PASS",IF(P_and_L!D9=0,"N/A","WARN"))</f>
        <v>WARN</v>
      </c>
      <c r="E9" s="51" t="str">
        <f aca="false">IF(AND(P_and_L!E26&gt;=0.1,P_and_L!E26&lt;=0.25),"PASS",IF(P_and_L!E9=0,"N/A","WARN"))</f>
        <v>WARN</v>
      </c>
      <c r="F9" s="51" t="str">
        <f aca="false">IF(AND(P_and_L!F26&gt;=0.1,P_and_L!F26&lt;=0.25),"PASS",IF(P_and_L!F9=0,"N/A","WARN"))</f>
        <v>WARN</v>
      </c>
      <c r="G9" s="51" t="str">
        <f aca="false">IF(AND(P_and_L!G26&gt;=0.1,P_and_L!G26&lt;=0.25),"PASS",IF(P_and_L!G9=0,"N/A","WARN"))</f>
        <v>WARN</v>
      </c>
    </row>
    <row r="10" customFormat="false" ht="15" hidden="false" customHeight="false" outlineLevel="0" collapsed="false">
      <c r="A10" s="5"/>
      <c r="B10" s="7" t="s">
        <v>223</v>
      </c>
      <c r="C10" s="51" t="str">
        <f aca="false">IF(Cash_Flow!C30&gt;=0,"PASS","FAIL")</f>
        <v>PASS</v>
      </c>
      <c r="D10" s="51" t="str">
        <f aca="false">IF(Cash_Flow!D30&gt;=0,"PASS","FAIL")</f>
        <v>PASS</v>
      </c>
      <c r="E10" s="51" t="str">
        <f aca="false">IF(Cash_Flow!E30&gt;=0,"PASS","FAIL")</f>
        <v>PASS</v>
      </c>
      <c r="F10" s="51" t="str">
        <f aca="false">IF(Cash_Flow!F30&gt;=0,"PASS","FAIL")</f>
        <v>PASS</v>
      </c>
      <c r="G10" s="51" t="str">
        <f aca="false">IF(Cash_Flow!G30&gt;=0,"PASS","FAIL")</f>
        <v>PASS</v>
      </c>
    </row>
    <row r="11" customFormat="false" ht="15" hidden="false" customHeight="false" outlineLevel="0" collapsed="false">
      <c r="A11" s="5"/>
      <c r="B11" s="7" t="s">
        <v>224</v>
      </c>
      <c r="C11" s="51" t="str">
        <f aca="false">IF(P_and_L!C9=0,"N/A",IF(AND(Amortisation!C14&gt;=0.3,Amortisation!C14&lt;=0.7),"PASS","WARN"))</f>
        <v>WARN</v>
      </c>
      <c r="D11" s="51" t="str">
        <f aca="false">IF(P_and_L!D9=0,"N/A",IF(AND(Amortisation!D14&gt;=0.3,Amortisation!D14&lt;=0.7),"PASS","WARN"))</f>
        <v>WARN</v>
      </c>
      <c r="E11" s="51" t="str">
        <f aca="false">IF(P_and_L!E9=0,"N/A",IF(AND(Amortisation!E14&gt;=0.3,Amortisation!E14&lt;=0.7),"PASS","WARN"))</f>
        <v>WARN</v>
      </c>
      <c r="F11" s="51" t="str">
        <f aca="false">IF(P_and_L!F9=0,"N/A",IF(AND(Amortisation!F14&gt;=0.3,Amortisation!F14&lt;=0.7),"PASS","WARN"))</f>
        <v>WARN</v>
      </c>
      <c r="G11" s="51" t="str">
        <f aca="false">IF(P_and_L!G9=0,"N/A",IF(AND(Amortisation!G14&gt;=0.3,Amortisation!G14&lt;=0.7),"PASS","WARN"))</f>
        <v>WARN</v>
      </c>
    </row>
    <row r="12" customFormat="false" ht="15" hidden="false" customHeight="false" outlineLevel="0" collapsed="false">
      <c r="A12" s="5"/>
      <c r="B12" s="5"/>
      <c r="C12" s="5"/>
      <c r="D12" s="5"/>
      <c r="E12" s="5"/>
      <c r="F12" s="5"/>
      <c r="G12" s="5"/>
    </row>
    <row r="13" customFormat="false" ht="15" hidden="false" customHeight="false" outlineLevel="0" collapsed="false">
      <c r="A13" s="5"/>
      <c r="B13" s="32" t="s">
        <v>225</v>
      </c>
      <c r="C13" s="16"/>
      <c r="D13" s="16"/>
      <c r="E13" s="16"/>
      <c r="F13" s="16"/>
      <c r="G13" s="16"/>
    </row>
    <row r="14" customFormat="false" ht="15" hidden="false" customHeight="false" outlineLevel="0" collapsed="false">
      <c r="A14" s="5"/>
      <c r="B14" s="44" t="s">
        <v>226</v>
      </c>
      <c r="C14" s="39" t="n">
        <f aca="false">RW_Library_Rev*0.8</f>
        <v>0</v>
      </c>
      <c r="D14" s="39" t="n">
        <f aca="false">RW_Library_Rev*0.8</f>
        <v>2070000</v>
      </c>
      <c r="E14" s="39" t="n">
        <f aca="false">RW_Library_Rev*0.8</f>
        <v>3078000</v>
      </c>
      <c r="F14" s="39" t="n">
        <f aca="false">RW_Library_Rev*0.8</f>
        <v>1980000</v>
      </c>
      <c r="G14" s="39" t="n">
        <f aca="false">RW_Library_Rev*0.8</f>
        <v>432000</v>
      </c>
    </row>
    <row r="15" customFormat="false" ht="15" hidden="false" customHeight="false" outlineLevel="0" collapsed="false">
      <c r="A15" s="5"/>
      <c r="B15" s="44" t="s">
        <v>227</v>
      </c>
      <c r="C15" s="39" t="n">
        <f aca="false">C14*Library_Multiple</f>
        <v>0</v>
      </c>
      <c r="D15" s="39" t="n">
        <f aca="false">D14*Library_Multiple</f>
        <v>12420000</v>
      </c>
      <c r="E15" s="39" t="n">
        <f aca="false">E14*Library_Multiple</f>
        <v>18468000</v>
      </c>
      <c r="F15" s="39" t="n">
        <f aca="false">F14*Library_Multiple</f>
        <v>11880000</v>
      </c>
      <c r="G15" s="39" t="n">
        <f aca="false">G14*Library_Multiple</f>
        <v>2592000</v>
      </c>
    </row>
    <row r="16" customFormat="false" ht="15" hidden="false" customHeight="false" outlineLevel="0" collapsed="false">
      <c r="A16" s="5"/>
      <c r="B16" s="44" t="s">
        <v>228</v>
      </c>
      <c r="C16" s="52" t="n">
        <f aca="false">1/(1+WACC)^(COLUMN(C1)-COLUMN(C1)+1)</f>
        <v>0.892857142857143</v>
      </c>
      <c r="D16" s="52" t="n">
        <f aca="false">1/(1+WACC)^(COLUMN(D1)-COLUMN(C1)+1)</f>
        <v>0.79719387755102</v>
      </c>
      <c r="E16" s="52" t="n">
        <f aca="false">1/(1+WACC)^(COLUMN(E1)-COLUMN(C1)+1)</f>
        <v>0.711780247813411</v>
      </c>
      <c r="F16" s="52" t="n">
        <f aca="false">1/(1+WACC)^(COLUMN(F1)-COLUMN(C1)+1)</f>
        <v>0.635518078404831</v>
      </c>
      <c r="G16" s="52" t="n">
        <f aca="false">1/(1+WACC)^(COLUMN(G1)-COLUMN(C1)+1)</f>
        <v>0.567426855718599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40</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41</v>
      </c>
    </row>
    <row r="6" customFormat="false" ht="48" hidden="false" customHeight="true" outlineLevel="0" collapsed="false">
      <c r="A6" s="5"/>
      <c r="B6" s="23" t="s">
        <v>42</v>
      </c>
    </row>
    <row r="7" customFormat="false" ht="15" hidden="false" customHeight="false" outlineLevel="0" collapsed="false">
      <c r="A7" s="5"/>
      <c r="B7" s="5"/>
    </row>
    <row r="8" customFormat="false" ht="19.5" hidden="false" customHeight="true" outlineLevel="0" collapsed="false">
      <c r="A8" s="5"/>
      <c r="B8" s="22" t="s">
        <v>43</v>
      </c>
    </row>
    <row r="9" customFormat="false" ht="61.5" hidden="false" customHeight="true" outlineLevel="0" collapsed="false">
      <c r="A9" s="5"/>
      <c r="B9" s="23" t="s">
        <v>44</v>
      </c>
    </row>
    <row r="10" customFormat="false" ht="15" hidden="false" customHeight="false" outlineLevel="0" collapsed="false">
      <c r="A10" s="5"/>
      <c r="B10" s="5"/>
    </row>
    <row r="11" customFormat="false" ht="19.5" hidden="false" customHeight="true" outlineLevel="0" collapsed="false">
      <c r="A11" s="5"/>
      <c r="B11" s="22" t="s">
        <v>45</v>
      </c>
    </row>
    <row r="12" customFormat="false" ht="75.75" hidden="false" customHeight="true" outlineLevel="0" collapsed="false">
      <c r="A12" s="5"/>
      <c r="B12" s="23" t="s">
        <v>46</v>
      </c>
    </row>
    <row r="13" customFormat="false" ht="15" hidden="false" customHeight="false" outlineLevel="0" collapsed="false">
      <c r="A13" s="5"/>
      <c r="B13" s="5"/>
    </row>
    <row r="14" customFormat="false" ht="19.5" hidden="false" customHeight="true" outlineLevel="0" collapsed="false">
      <c r="A14" s="5"/>
      <c r="B14" s="22" t="s">
        <v>47</v>
      </c>
    </row>
    <row r="15" customFormat="false" ht="61.5" hidden="false" customHeight="true" outlineLevel="0" collapsed="false">
      <c r="A15" s="5"/>
      <c r="B15" s="23" t="s">
        <v>48</v>
      </c>
    </row>
    <row r="16" customFormat="false" ht="15" hidden="false" customHeight="false" outlineLevel="0" collapsed="false">
      <c r="A16" s="5"/>
      <c r="B16" s="5"/>
    </row>
    <row r="17" customFormat="false" ht="19.5" hidden="false" customHeight="true" outlineLevel="0" collapsed="false">
      <c r="A17" s="5"/>
      <c r="B17" s="22" t="s">
        <v>49</v>
      </c>
    </row>
    <row r="18" customFormat="false" ht="33.75" hidden="false" customHeight="true" outlineLevel="0" collapsed="false">
      <c r="A18" s="5"/>
      <c r="B18" s="23" t="s">
        <v>50</v>
      </c>
    </row>
    <row r="19" customFormat="false" ht="15" hidden="false" customHeight="false" outlineLevel="0" collapsed="false">
      <c r="A19" s="5"/>
      <c r="B19" s="5"/>
    </row>
    <row r="20" customFormat="false" ht="19.5" hidden="false" customHeight="true" outlineLevel="0" collapsed="false">
      <c r="A20" s="5"/>
      <c r="B20" s="22" t="s">
        <v>51</v>
      </c>
    </row>
    <row r="21" customFormat="false" ht="33.75" hidden="false" customHeight="true" outlineLevel="0" collapsed="false">
      <c r="A21" s="5"/>
      <c r="B21" s="23" t="s">
        <v>52</v>
      </c>
    </row>
    <row r="22" customFormat="false" ht="15" hidden="false" customHeight="false" outlineLevel="0" collapsed="false">
      <c r="A22" s="5"/>
      <c r="B22" s="5"/>
    </row>
    <row r="23" customFormat="false" ht="21.75" hidden="false" customHeight="true" outlineLevel="0" collapsed="false">
      <c r="A23" s="5"/>
      <c r="B23" s="24" t="s">
        <v>53</v>
      </c>
    </row>
    <row r="24" customFormat="false" ht="15" hidden="false" customHeight="false" outlineLevel="0" collapsed="false">
      <c r="A24" s="5"/>
      <c r="B24" s="5"/>
    </row>
    <row r="25" customFormat="false" ht="18" hidden="false" customHeight="true" outlineLevel="0" collapsed="false">
      <c r="A25" s="5"/>
      <c r="B25" s="25" t="s">
        <v>54</v>
      </c>
    </row>
    <row r="26" customFormat="false" ht="201.75" hidden="false" customHeight="true" outlineLevel="0" collapsed="false">
      <c r="A26" s="5"/>
      <c r="B26" s="26" t="s">
        <v>55</v>
      </c>
    </row>
    <row r="27" customFormat="false" ht="15" hidden="false" customHeight="false" outlineLevel="0" collapsed="false">
      <c r="A27" s="5"/>
      <c r="B27" s="5"/>
    </row>
    <row r="28" customFormat="false" ht="18" hidden="false" customHeight="true" outlineLevel="0" collapsed="false">
      <c r="A28" s="5"/>
      <c r="B28" s="27" t="s">
        <v>56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57</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58</v>
      </c>
      <c r="C5" s="31" t="s">
        <v>59</v>
      </c>
      <c r="D5" s="31" t="s">
        <v>60</v>
      </c>
      <c r="E5" s="31" t="s">
        <v>61</v>
      </c>
    </row>
    <row r="6" customFormat="false" ht="15" hidden="false" customHeight="false" outlineLevel="0" collapsed="false">
      <c r="A6" s="5"/>
      <c r="B6" s="32" t="s">
        <v>62</v>
      </c>
      <c r="C6" s="16"/>
      <c r="D6" s="16"/>
      <c r="E6" s="16"/>
    </row>
    <row r="7" customFormat="false" ht="15" hidden="false" customHeight="false" outlineLevel="0" collapsed="false">
      <c r="A7" s="5"/>
      <c r="B7" s="7" t="s">
        <v>63</v>
      </c>
      <c r="C7" s="33" t="n">
        <v>2025</v>
      </c>
      <c r="D7" s="34" t="s">
        <v>64</v>
      </c>
      <c r="E7" s="8" t="s">
        <v>65</v>
      </c>
    </row>
    <row r="8" customFormat="false" ht="15" hidden="false" customHeight="false" outlineLevel="0" collapsed="false">
      <c r="A8" s="5"/>
      <c r="B8" s="5"/>
      <c r="C8" s="5"/>
      <c r="D8" s="5"/>
      <c r="E8" s="5"/>
    </row>
    <row r="9" customFormat="false" ht="15" hidden="false" customHeight="false" outlineLevel="0" collapsed="false">
      <c r="A9" s="5"/>
      <c r="B9" s="5"/>
      <c r="C9" s="5"/>
      <c r="D9" s="5"/>
      <c r="E9" s="5"/>
    </row>
    <row r="10" customFormat="false" ht="15" hidden="false" customHeight="false" outlineLevel="0" collapsed="false">
      <c r="A10" s="5"/>
      <c r="B10" s="5"/>
      <c r="C10" s="5"/>
      <c r="D10" s="5"/>
      <c r="E10" s="5"/>
    </row>
    <row r="11" customFormat="false" ht="15" hidden="false" customHeight="false" outlineLevel="0" collapsed="false">
      <c r="A11" s="5"/>
      <c r="B11" s="32" t="s">
        <v>66</v>
      </c>
      <c r="C11" s="16"/>
      <c r="D11" s="16"/>
      <c r="E11" s="16"/>
    </row>
    <row r="12" customFormat="false" ht="15" hidden="false" customHeight="false" outlineLevel="0" collapsed="false">
      <c r="A12" s="5"/>
      <c r="B12" s="7" t="s">
        <v>67</v>
      </c>
      <c r="C12" s="35" t="n">
        <v>3000000</v>
      </c>
      <c r="D12" s="34" t="s">
        <v>68</v>
      </c>
      <c r="E12" s="8" t="s">
        <v>69</v>
      </c>
    </row>
    <row r="13" customFormat="false" ht="15" hidden="false" customHeight="false" outlineLevel="0" collapsed="false">
      <c r="A13" s="5"/>
      <c r="B13" s="7" t="s">
        <v>70</v>
      </c>
      <c r="C13" s="36" t="n">
        <v>0.5</v>
      </c>
      <c r="D13" s="34" t="s">
        <v>71</v>
      </c>
      <c r="E13" s="8" t="s">
        <v>72</v>
      </c>
    </row>
    <row r="14" customFormat="false" ht="15" hidden="false" customHeight="false" outlineLevel="0" collapsed="false">
      <c r="A14" s="5"/>
      <c r="B14" s="7" t="s">
        <v>73</v>
      </c>
      <c r="C14" s="35" t="n">
        <v>75000</v>
      </c>
      <c r="D14" s="34" t="s">
        <v>68</v>
      </c>
      <c r="E14" s="8" t="s">
        <v>74</v>
      </c>
    </row>
    <row r="15" customFormat="false" ht="15" hidden="false" customHeight="false" outlineLevel="0" collapsed="false">
      <c r="A15" s="5"/>
      <c r="B15" s="7" t="s">
        <v>75</v>
      </c>
      <c r="C15" s="36" t="n">
        <v>0.45</v>
      </c>
      <c r="D15" s="34" t="s">
        <v>71</v>
      </c>
      <c r="E15" s="8" t="s">
        <v>76</v>
      </c>
    </row>
    <row r="16" customFormat="false" ht="15" hidden="false" customHeight="false" outlineLevel="0" collapsed="false">
      <c r="A16" s="5"/>
      <c r="B16" s="5"/>
      <c r="C16" s="5"/>
      <c r="D16" s="5"/>
      <c r="E16" s="5"/>
    </row>
    <row r="17" customFormat="false" ht="15" hidden="false" customHeight="false" outlineLevel="0" collapsed="false">
      <c r="A17" s="5"/>
      <c r="B17" s="32" t="s">
        <v>77</v>
      </c>
      <c r="C17" s="16"/>
      <c r="D17" s="16"/>
      <c r="E17" s="16"/>
    </row>
    <row r="18" customFormat="false" ht="15" hidden="false" customHeight="false" outlineLevel="0" collapsed="false">
      <c r="A18" s="5"/>
      <c r="B18" s="7" t="s">
        <v>78</v>
      </c>
      <c r="C18" s="36" t="n">
        <v>0.25</v>
      </c>
      <c r="D18" s="34" t="s">
        <v>71</v>
      </c>
      <c r="E18" s="8" t="s">
        <v>79</v>
      </c>
    </row>
    <row r="19" customFormat="false" ht="15" hidden="false" customHeight="false" outlineLevel="0" collapsed="false">
      <c r="A19" s="5"/>
      <c r="B19" s="7" t="s">
        <v>80</v>
      </c>
      <c r="C19" s="35" t="n">
        <v>2500000</v>
      </c>
      <c r="D19" s="34" t="s">
        <v>68</v>
      </c>
      <c r="E19" s="8" t="s">
        <v>81</v>
      </c>
    </row>
    <row r="20" customFormat="false" ht="15" hidden="false" customHeight="false" outlineLevel="0" collapsed="false">
      <c r="A20" s="5"/>
      <c r="B20" s="7" t="s">
        <v>82</v>
      </c>
      <c r="C20" s="36" t="n">
        <v>0.1</v>
      </c>
      <c r="D20" s="34" t="s">
        <v>71</v>
      </c>
      <c r="E20" s="8" t="s">
        <v>83</v>
      </c>
    </row>
    <row r="21" customFormat="false" ht="15" hidden="false" customHeight="false" outlineLevel="0" collapsed="false">
      <c r="A21" s="5"/>
      <c r="B21" s="7" t="s">
        <v>84</v>
      </c>
      <c r="C21" s="36" t="n">
        <v>0.3</v>
      </c>
      <c r="D21" s="34" t="s">
        <v>71</v>
      </c>
      <c r="E21" s="8" t="s">
        <v>85</v>
      </c>
    </row>
    <row r="22" customFormat="false" ht="15" hidden="false" customHeight="false" outlineLevel="0" collapsed="false">
      <c r="A22" s="5"/>
      <c r="B22" s="5"/>
      <c r="C22" s="5"/>
      <c r="D22" s="5"/>
      <c r="E22" s="5"/>
    </row>
    <row r="23" customFormat="false" ht="15" hidden="false" customHeight="false" outlineLevel="0" collapsed="false">
      <c r="A23" s="5"/>
      <c r="B23" s="32" t="s">
        <v>86</v>
      </c>
      <c r="C23" s="16"/>
      <c r="D23" s="16"/>
      <c r="E23" s="16"/>
    </row>
    <row r="24" customFormat="false" ht="15" hidden="false" customHeight="false" outlineLevel="0" collapsed="false">
      <c r="A24" s="5"/>
      <c r="B24" s="7" t="s">
        <v>87</v>
      </c>
      <c r="C24" s="36" t="n">
        <v>0.25</v>
      </c>
      <c r="D24" s="34" t="s">
        <v>71</v>
      </c>
      <c r="E24" s="8" t="s">
        <v>88</v>
      </c>
    </row>
    <row r="25" customFormat="false" ht="15" hidden="false" customHeight="false" outlineLevel="0" collapsed="false">
      <c r="A25" s="5"/>
      <c r="B25" s="7" t="s">
        <v>89</v>
      </c>
      <c r="C25" s="36" t="n">
        <v>0.5</v>
      </c>
      <c r="D25" s="34" t="s">
        <v>71</v>
      </c>
      <c r="E25" s="8" t="s">
        <v>90</v>
      </c>
    </row>
    <row r="26" customFormat="false" ht="15" hidden="false" customHeight="false" outlineLevel="0" collapsed="false">
      <c r="A26" s="5"/>
      <c r="B26" s="5"/>
      <c r="C26" s="5"/>
      <c r="D26" s="5"/>
      <c r="E26" s="5"/>
    </row>
    <row r="27" customFormat="false" ht="15" hidden="false" customHeight="false" outlineLevel="0" collapsed="false">
      <c r="A27" s="5"/>
      <c r="B27" s="32" t="s">
        <v>91</v>
      </c>
      <c r="C27" s="16"/>
      <c r="D27" s="16"/>
      <c r="E27" s="16"/>
    </row>
    <row r="28" customFormat="false" ht="15" hidden="false" customHeight="false" outlineLevel="0" collapsed="false">
      <c r="A28" s="5"/>
      <c r="B28" s="7" t="s">
        <v>92</v>
      </c>
      <c r="C28" s="36" t="n">
        <v>0.15</v>
      </c>
      <c r="D28" s="34" t="s">
        <v>71</v>
      </c>
      <c r="E28" s="8" t="s">
        <v>93</v>
      </c>
    </row>
    <row r="29" customFormat="false" ht="15" hidden="false" customHeight="false" outlineLevel="0" collapsed="false">
      <c r="A29" s="5"/>
      <c r="B29" s="7" t="s">
        <v>94</v>
      </c>
      <c r="C29" s="36" t="n">
        <v>0.03</v>
      </c>
      <c r="D29" s="34" t="s">
        <v>71</v>
      </c>
      <c r="E29" s="8" t="s">
        <v>95</v>
      </c>
    </row>
    <row r="30" customFormat="false" ht="15" hidden="false" customHeight="false" outlineLevel="0" collapsed="false">
      <c r="A30" s="5"/>
      <c r="B30" s="5"/>
      <c r="C30" s="5"/>
      <c r="D30" s="5"/>
      <c r="E30" s="5"/>
    </row>
    <row r="31" customFormat="false" ht="15" hidden="false" customHeight="false" outlineLevel="0" collapsed="false">
      <c r="A31" s="5"/>
      <c r="B31" s="32" t="s">
        <v>96</v>
      </c>
      <c r="C31" s="16"/>
      <c r="D31" s="16"/>
      <c r="E31" s="16"/>
    </row>
    <row r="32" customFormat="false" ht="15" hidden="false" customHeight="false" outlineLevel="0" collapsed="false">
      <c r="A32" s="5"/>
      <c r="B32" s="7" t="s">
        <v>97</v>
      </c>
      <c r="C32" s="36" t="n">
        <v>0.085</v>
      </c>
      <c r="D32" s="34" t="s">
        <v>71</v>
      </c>
      <c r="E32" s="8" t="s">
        <v>98</v>
      </c>
    </row>
    <row r="33" customFormat="false" ht="15" hidden="false" customHeight="false" outlineLevel="0" collapsed="false">
      <c r="A33" s="5"/>
      <c r="B33" s="7" t="s">
        <v>99</v>
      </c>
      <c r="C33" s="35" t="n">
        <v>10000000</v>
      </c>
      <c r="D33" s="34" t="s">
        <v>68</v>
      </c>
      <c r="E33" s="8" t="s">
        <v>100</v>
      </c>
    </row>
    <row r="34" customFormat="false" ht="15" hidden="false" customHeight="false" outlineLevel="0" collapsed="false">
      <c r="A34" s="5"/>
      <c r="B34" s="7" t="s">
        <v>101</v>
      </c>
      <c r="C34" s="35" t="n">
        <v>5000000</v>
      </c>
      <c r="D34" s="34" t="s">
        <v>68</v>
      </c>
      <c r="E34" s="8" t="s">
        <v>102</v>
      </c>
    </row>
    <row r="35" customFormat="false" ht="15" hidden="false" customHeight="false" outlineLevel="0" collapsed="false">
      <c r="A35" s="5"/>
      <c r="B35" s="32" t="s">
        <v>103</v>
      </c>
      <c r="C35" s="16"/>
      <c r="D35" s="16"/>
      <c r="E35" s="16"/>
    </row>
    <row r="36" customFormat="false" ht="15" hidden="false" customHeight="false" outlineLevel="0" collapsed="false">
      <c r="A36" s="5"/>
      <c r="B36" s="7" t="s">
        <v>104</v>
      </c>
      <c r="C36" s="36" t="n">
        <v>0.25</v>
      </c>
      <c r="D36" s="34" t="s">
        <v>71</v>
      </c>
      <c r="E36" s="8" t="s">
        <v>105</v>
      </c>
    </row>
    <row r="37" customFormat="false" ht="15" hidden="false" customHeight="false" outlineLevel="0" collapsed="false">
      <c r="A37" s="5"/>
      <c r="B37" s="7" t="s">
        <v>106</v>
      </c>
      <c r="C37" s="36" t="n">
        <v>0.12</v>
      </c>
      <c r="D37" s="34" t="s">
        <v>71</v>
      </c>
      <c r="E37" s="8" t="s">
        <v>107</v>
      </c>
    </row>
    <row r="38" customFormat="false" ht="15" hidden="false" customHeight="false" outlineLevel="0" collapsed="false">
      <c r="A38" s="5"/>
      <c r="B38" s="7" t="s">
        <v>108</v>
      </c>
      <c r="C38" s="37" t="n">
        <v>6</v>
      </c>
      <c r="D38" s="34" t="s">
        <v>109</v>
      </c>
      <c r="E38" s="8" t="s">
        <v>110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O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3" min="3" style="0" width="14"/>
    <col collapsed="false" customWidth="true" hidden="false" outlineLevel="0" max="4" min="4" style="0" width="12"/>
    <col collapsed="false" customWidth="true" hidden="false" outlineLevel="0" max="6" min="5" style="0" width="16"/>
    <col collapsed="false" customWidth="true" hidden="false" outlineLevel="0" max="7" min="7" style="0" width="14"/>
    <col collapsed="false" customWidth="true" hidden="false" outlineLevel="0" max="10" min="8" style="0" width="18"/>
    <col collapsed="false" customWidth="true" hidden="false" outlineLevel="0" max="14" min="11" style="0" width="16"/>
    <col collapsed="false" customWidth="true" hidden="false" outlineLevel="0" max="15" min="15" style="0" width="20"/>
  </cols>
  <sheetData>
    <row r="1" customFormat="false" ht="15" hidden="false" customHeight="false" outlineLevel="0" collapsed="false">
      <c r="A1" s="5"/>
      <c r="B1" s="5"/>
      <c r="C1" s="5"/>
      <c r="D1" s="5"/>
      <c r="E1" s="5"/>
      <c r="F1" s="5"/>
      <c r="G1" s="5"/>
      <c r="H1" s="5"/>
      <c r="I1" s="5"/>
      <c r="J1" s="5"/>
      <c r="K1" s="5"/>
      <c r="L1" s="5"/>
      <c r="M1" s="5"/>
      <c r="N1" s="5"/>
      <c r="O1" s="5"/>
    </row>
    <row r="2" customFormat="false" ht="22.05" hidden="false" customHeight="false" outlineLevel="0" collapsed="false">
      <c r="A2" s="5"/>
      <c r="B2" s="28" t="s">
        <v>111</v>
      </c>
      <c r="C2" s="5"/>
      <c r="D2" s="5"/>
      <c r="E2" s="5"/>
      <c r="F2" s="5"/>
      <c r="G2" s="5"/>
      <c r="H2" s="5"/>
      <c r="I2" s="5"/>
      <c r="J2" s="5"/>
      <c r="K2" s="5"/>
      <c r="L2" s="5"/>
      <c r="M2" s="5"/>
      <c r="N2" s="5"/>
      <c r="O2" s="5"/>
    </row>
    <row r="3" customFormat="false" ht="15" hidden="false" customHeight="false" outlineLevel="0" collapsed="false">
      <c r="A3" s="5"/>
      <c r="B3" s="29" t="s">
        <v>112</v>
      </c>
      <c r="C3" s="5"/>
      <c r="D3" s="5"/>
      <c r="E3" s="5"/>
      <c r="F3" s="5"/>
      <c r="G3" s="5"/>
      <c r="H3" s="5"/>
      <c r="I3" s="5"/>
      <c r="J3" s="5"/>
      <c r="K3" s="5"/>
      <c r="L3" s="5"/>
      <c r="M3" s="5"/>
      <c r="N3" s="5"/>
      <c r="O3" s="5"/>
    </row>
    <row r="4" customFormat="false" ht="15" hidden="false" customHeight="false" outlineLevel="0" collapsed="false">
      <c r="A4" s="5"/>
      <c r="B4" s="5"/>
      <c r="C4" s="5"/>
      <c r="D4" s="5"/>
      <c r="E4" s="5"/>
      <c r="F4" s="5"/>
      <c r="G4" s="5"/>
      <c r="H4" s="5"/>
      <c r="I4" s="5"/>
      <c r="J4" s="5"/>
      <c r="K4" s="5"/>
      <c r="L4" s="5"/>
      <c r="M4" s="5"/>
      <c r="N4" s="5"/>
      <c r="O4" s="5"/>
    </row>
    <row r="5" customFormat="false" ht="15" hidden="false" customHeight="false" outlineLevel="0" collapsed="false">
      <c r="A5" s="5"/>
      <c r="B5" s="31" t="s">
        <v>113</v>
      </c>
      <c r="C5" s="31" t="s">
        <v>114</v>
      </c>
      <c r="D5" s="31" t="s">
        <v>115</v>
      </c>
      <c r="E5" s="31" t="s">
        <v>116</v>
      </c>
      <c r="F5" s="31" t="s">
        <v>117</v>
      </c>
      <c r="G5" s="31" t="s">
        <v>118</v>
      </c>
      <c r="H5" s="31" t="s">
        <v>119</v>
      </c>
      <c r="I5" s="31" t="s">
        <v>120</v>
      </c>
      <c r="J5" s="31" t="s">
        <v>121</v>
      </c>
      <c r="K5" s="31" t="s">
        <v>122</v>
      </c>
      <c r="L5" s="31" t="s">
        <v>123</v>
      </c>
      <c r="M5" s="31" t="s">
        <v>124</v>
      </c>
      <c r="N5" s="31" t="s">
        <v>125</v>
      </c>
      <c r="O5" s="31" t="s">
        <v>126</v>
      </c>
    </row>
    <row r="6" customFormat="false" ht="15" hidden="false" customHeight="false" outlineLevel="0" collapsed="false">
      <c r="A6" s="5"/>
      <c r="B6" s="5"/>
      <c r="C6" s="5"/>
      <c r="D6" s="5"/>
      <c r="E6" s="5"/>
      <c r="F6" s="5"/>
      <c r="G6" s="5"/>
      <c r="H6" s="5"/>
      <c r="I6" s="5"/>
      <c r="J6" s="5"/>
      <c r="K6" s="5"/>
      <c r="L6" s="5"/>
      <c r="M6" s="5"/>
      <c r="N6" s="5"/>
      <c r="O6" s="5"/>
    </row>
    <row r="7" customFormat="false" ht="15" hidden="false" customHeight="false" outlineLevel="0" collapsed="false">
      <c r="A7" s="5"/>
      <c r="B7" s="7" t="s">
        <v>127</v>
      </c>
      <c r="C7" s="34" t="s">
        <v>128</v>
      </c>
      <c r="D7" s="38" t="n">
        <v>2025</v>
      </c>
      <c r="E7" s="39" t="n">
        <f aca="false">Avg_MG</f>
        <v>3000000</v>
      </c>
      <c r="F7" s="39" t="n">
        <f aca="false">E7*PA_Pct_Of_MG</f>
        <v>1500000</v>
      </c>
      <c r="G7" s="39" t="n">
        <f aca="false">Delivery_Cost</f>
        <v>75000</v>
      </c>
      <c r="H7" s="40" t="n">
        <f aca="false">E7+F7+G7</f>
        <v>4575000</v>
      </c>
      <c r="I7" s="35" t="n">
        <v>15000000</v>
      </c>
      <c r="J7" s="39" t="n">
        <f aca="false">I7*Dist_Rental_Pct</f>
        <v>6750000</v>
      </c>
      <c r="K7" s="39" t="n">
        <f aca="false">J7*TVOD_Rev_Pct</f>
        <v>1687500</v>
      </c>
      <c r="L7" s="39" t="n">
        <f aca="false">SVOD_Fee</f>
        <v>2500000</v>
      </c>
      <c r="M7" s="39" t="n">
        <f aca="false">J7*AVOD_Rev_Pct</f>
        <v>675000</v>
      </c>
      <c r="N7" s="39" t="n">
        <f aca="false">J7*Intl_Rev_Pct</f>
        <v>2025000</v>
      </c>
      <c r="O7" s="40" t="n">
        <f aca="false">J7+K7+L7+M7+N7</f>
        <v>13637500</v>
      </c>
    </row>
    <row r="8" customFormat="false" ht="15" hidden="false" customHeight="false" outlineLevel="0" collapsed="false">
      <c r="A8" s="5"/>
      <c r="B8" s="7" t="s">
        <v>129</v>
      </c>
      <c r="C8" s="34" t="s">
        <v>130</v>
      </c>
      <c r="D8" s="38" t="n">
        <v>2025</v>
      </c>
      <c r="E8" s="39" t="n">
        <f aca="false">Avg_MG</f>
        <v>3000000</v>
      </c>
      <c r="F8" s="39" t="n">
        <f aca="false">E8*PA_Pct_Of_MG</f>
        <v>1500000</v>
      </c>
      <c r="G8" s="39" t="n">
        <f aca="false">Delivery_Cost</f>
        <v>75000</v>
      </c>
      <c r="H8" s="40" t="n">
        <f aca="false">E8+F8+G8</f>
        <v>4575000</v>
      </c>
      <c r="I8" s="35" t="n">
        <v>8000000</v>
      </c>
      <c r="J8" s="39" t="n">
        <f aca="false">I8*Dist_Rental_Pct</f>
        <v>3600000</v>
      </c>
      <c r="K8" s="39" t="n">
        <f aca="false">J8*TVOD_Rev_Pct</f>
        <v>900000</v>
      </c>
      <c r="L8" s="39" t="n">
        <f aca="false">SVOD_Fee</f>
        <v>2500000</v>
      </c>
      <c r="M8" s="39" t="n">
        <f aca="false">J8*AVOD_Rev_Pct</f>
        <v>360000</v>
      </c>
      <c r="N8" s="39" t="n">
        <f aca="false">J8*Intl_Rev_Pct</f>
        <v>1080000</v>
      </c>
      <c r="O8" s="40" t="n">
        <f aca="false">J8+K8+L8+M8+N8</f>
        <v>8440000</v>
      </c>
    </row>
    <row r="9" customFormat="false" ht="15" hidden="false" customHeight="false" outlineLevel="0" collapsed="false">
      <c r="A9" s="5"/>
      <c r="B9" s="7" t="s">
        <v>131</v>
      </c>
      <c r="C9" s="34" t="s">
        <v>132</v>
      </c>
      <c r="D9" s="38" t="n">
        <v>2026</v>
      </c>
      <c r="E9" s="39" t="n">
        <f aca="false">Avg_MG</f>
        <v>3000000</v>
      </c>
      <c r="F9" s="39" t="n">
        <f aca="false">E9*PA_Pct_Of_MG</f>
        <v>1500000</v>
      </c>
      <c r="G9" s="39" t="n">
        <f aca="false">Delivery_Cost</f>
        <v>75000</v>
      </c>
      <c r="H9" s="40" t="n">
        <f aca="false">E9+F9+G9</f>
        <v>4575000</v>
      </c>
      <c r="I9" s="35" t="n">
        <v>20000000</v>
      </c>
      <c r="J9" s="39" t="n">
        <f aca="false">I9*Dist_Rental_Pct</f>
        <v>9000000</v>
      </c>
      <c r="K9" s="39" t="n">
        <f aca="false">J9*TVOD_Rev_Pct</f>
        <v>2250000</v>
      </c>
      <c r="L9" s="39" t="n">
        <f aca="false">SVOD_Fee</f>
        <v>2500000</v>
      </c>
      <c r="M9" s="39" t="n">
        <f aca="false">J9*AVOD_Rev_Pct</f>
        <v>900000</v>
      </c>
      <c r="N9" s="39" t="n">
        <f aca="false">J9*Intl_Rev_Pct</f>
        <v>2700000</v>
      </c>
      <c r="O9" s="40" t="n">
        <f aca="false">J9+K9+L9+M9+N9</f>
        <v>17350000</v>
      </c>
    </row>
    <row r="10" customFormat="false" ht="15" hidden="false" customHeight="false" outlineLevel="0" collapsed="false">
      <c r="A10" s="5"/>
      <c r="B10" s="7" t="s">
        <v>133</v>
      </c>
      <c r="C10" s="34" t="s">
        <v>134</v>
      </c>
      <c r="D10" s="38" t="n">
        <v>2026</v>
      </c>
      <c r="E10" s="39" t="n">
        <f aca="false">Avg_MG</f>
        <v>3000000</v>
      </c>
      <c r="F10" s="39" t="n">
        <f aca="false">E10*PA_Pct_Of_MG</f>
        <v>1500000</v>
      </c>
      <c r="G10" s="39" t="n">
        <f aca="false">Delivery_Cost</f>
        <v>75000</v>
      </c>
      <c r="H10" s="40" t="n">
        <f aca="false">E10+F10+G10</f>
        <v>4575000</v>
      </c>
      <c r="I10" s="35" t="n">
        <v>5000000</v>
      </c>
      <c r="J10" s="39" t="n">
        <f aca="false">I10*Dist_Rental_Pct</f>
        <v>2250000</v>
      </c>
      <c r="K10" s="39" t="n">
        <f aca="false">J10*TVOD_Rev_Pct</f>
        <v>562500</v>
      </c>
      <c r="L10" s="39" t="n">
        <f aca="false">SVOD_Fee</f>
        <v>2500000</v>
      </c>
      <c r="M10" s="39" t="n">
        <f aca="false">J10*AVOD_Rev_Pct</f>
        <v>225000</v>
      </c>
      <c r="N10" s="39" t="n">
        <f aca="false">J10*Intl_Rev_Pct</f>
        <v>675000</v>
      </c>
      <c r="O10" s="40" t="n">
        <f aca="false">J10+K10+L10+M10+N10</f>
        <v>6212500</v>
      </c>
    </row>
    <row r="11" customFormat="false" ht="15" hidden="false" customHeight="false" outlineLevel="0" collapsed="false">
      <c r="A11" s="5"/>
      <c r="B11" s="7" t="s">
        <v>135</v>
      </c>
      <c r="C11" s="34" t="s">
        <v>136</v>
      </c>
      <c r="D11" s="38" t="n">
        <v>2027</v>
      </c>
      <c r="E11" s="39" t="n">
        <f aca="false">Avg_MG</f>
        <v>3000000</v>
      </c>
      <c r="F11" s="39" t="n">
        <f aca="false">E11*PA_Pct_Of_MG</f>
        <v>1500000</v>
      </c>
      <c r="G11" s="39" t="n">
        <f aca="false">Delivery_Cost</f>
        <v>75000</v>
      </c>
      <c r="H11" s="40" t="n">
        <f aca="false">E11+F11+G11</f>
        <v>4575000</v>
      </c>
      <c r="I11" s="35" t="n">
        <v>12000000</v>
      </c>
      <c r="J11" s="39" t="n">
        <f aca="false">I11*Dist_Rental_Pct</f>
        <v>5400000</v>
      </c>
      <c r="K11" s="39" t="n">
        <f aca="false">J11*TVOD_Rev_Pct</f>
        <v>1350000</v>
      </c>
      <c r="L11" s="39" t="n">
        <f aca="false">SVOD_Fee</f>
        <v>2500000</v>
      </c>
      <c r="M11" s="39" t="n">
        <f aca="false">J11*AVOD_Rev_Pct</f>
        <v>540000</v>
      </c>
      <c r="N11" s="39" t="n">
        <f aca="false">J11*Intl_Rev_Pct</f>
        <v>1620000</v>
      </c>
      <c r="O11" s="40" t="n">
        <f aca="false">J11+K11+L11+M11+N11</f>
        <v>11410000</v>
      </c>
    </row>
    <row r="12" customFormat="false" ht="15" hidden="false" customHeight="false" outlineLevel="0" collapsed="false">
      <c r="A12" s="5"/>
      <c r="B12" s="5"/>
      <c r="C12" s="5"/>
      <c r="D12" s="5"/>
      <c r="E12" s="5"/>
      <c r="F12" s="5"/>
      <c r="G12" s="5"/>
      <c r="H12" s="5"/>
      <c r="I12" s="5"/>
      <c r="J12" s="5"/>
      <c r="K12" s="5"/>
      <c r="L12" s="5"/>
      <c r="M12" s="5"/>
      <c r="N12" s="5"/>
      <c r="O12" s="5"/>
    </row>
    <row r="13" customFormat="false" ht="15" hidden="false" customHeight="false" outlineLevel="0" collapsed="false">
      <c r="A13" s="5"/>
      <c r="B13" s="41" t="s">
        <v>137</v>
      </c>
      <c r="C13" s="5"/>
      <c r="D13" s="5"/>
      <c r="E13" s="42" t="n">
        <f aca="false">SUM(E7:E11)</f>
        <v>15000000</v>
      </c>
      <c r="F13" s="42" t="n">
        <f aca="false">SUM(F7:F11)</f>
        <v>7500000</v>
      </c>
      <c r="G13" s="42" t="n">
        <f aca="false">SUM(G7:G11)</f>
        <v>375000</v>
      </c>
      <c r="H13" s="42" t="n">
        <f aca="false">SUM(H7:H11)</f>
        <v>22875000</v>
      </c>
      <c r="I13" s="42" t="n">
        <f aca="false">SUM(I7:I11)</f>
        <v>60000000</v>
      </c>
      <c r="J13" s="42" t="n">
        <f aca="false">SUM(J7:J11)</f>
        <v>27000000</v>
      </c>
      <c r="K13" s="42" t="n">
        <f aca="false">SUM(K7:K11)</f>
        <v>6750000</v>
      </c>
      <c r="L13" s="42" t="n">
        <f aca="false">SUM(L7:L11)</f>
        <v>12500000</v>
      </c>
      <c r="M13" s="42" t="n">
        <f aca="false">SUM(M7:M11)</f>
        <v>2700000</v>
      </c>
      <c r="N13" s="42" t="n">
        <f aca="false">SUM(N7:N11)</f>
        <v>8100000</v>
      </c>
      <c r="O13" s="42" t="n">
        <f aca="false">SUM(O7:O11)</f>
        <v>57050000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138</v>
      </c>
      <c r="C2" s="5"/>
      <c r="D2" s="5"/>
      <c r="E2" s="5"/>
      <c r="F2" s="5"/>
      <c r="G2" s="5"/>
    </row>
    <row r="3" customFormat="false" ht="15" hidden="false" customHeight="false" outlineLevel="0" collapsed="false">
      <c r="A3" s="5"/>
      <c r="B3" s="29" t="s">
        <v>11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139</v>
      </c>
      <c r="C5" s="31" t="s">
        <v>140</v>
      </c>
      <c r="D5" s="31" t="s">
        <v>141</v>
      </c>
      <c r="E5" s="31" t="s">
        <v>142</v>
      </c>
      <c r="F5" s="31" t="s">
        <v>143</v>
      </c>
      <c r="G5" s="31" t="s">
        <v>144</v>
      </c>
    </row>
    <row r="6" customFormat="false" ht="15" hidden="false" customHeight="false" outlineLevel="0" collapsed="false">
      <c r="A6" s="5"/>
      <c r="B6" s="5"/>
      <c r="C6" s="43" t="n">
        <f aca="false">Base_Year+0</f>
        <v>2025</v>
      </c>
      <c r="D6" s="43" t="n">
        <f aca="false">Base_Year+1</f>
        <v>2026</v>
      </c>
      <c r="E6" s="43" t="n">
        <f aca="false">Base_Year+2</f>
        <v>2027</v>
      </c>
      <c r="F6" s="43" t="n">
        <f aca="false">Base_Year+3</f>
        <v>2028</v>
      </c>
      <c r="G6" s="43" t="n">
        <f aca="false">Base_Year+4</f>
        <v>2029</v>
      </c>
    </row>
    <row r="7" customFormat="false" ht="15" hidden="false" customHeight="false" outlineLevel="0" collapsed="false">
      <c r="A7" s="5"/>
      <c r="B7" s="32" t="s">
        <v>145</v>
      </c>
      <c r="C7" s="16"/>
      <c r="D7" s="16"/>
      <c r="E7" s="16"/>
      <c r="F7" s="16"/>
      <c r="G7" s="16"/>
    </row>
    <row r="8" customFormat="false" ht="15" hidden="false" customHeight="false" outlineLevel="0" collapsed="false">
      <c r="A8" s="5"/>
      <c r="B8" s="44" t="s">
        <v>146</v>
      </c>
      <c r="C8" s="39" t="n">
        <f aca="false">SUMIF(Slate_Build!$D$7:$D$11,C6,Slate_Build!$J$7:$J$11)</f>
        <v>10350000</v>
      </c>
      <c r="D8" s="39" t="n">
        <f aca="false">SUMIF(Slate_Build!$D$7:$D$11,D6,Slate_Build!$J$7:$J$11)</f>
        <v>11250000</v>
      </c>
      <c r="E8" s="39" t="n">
        <f aca="false">SUMIF(Slate_Build!$D$7:$D$11,E6,Slate_Build!$J$7:$J$11)</f>
        <v>5400000</v>
      </c>
      <c r="F8" s="39" t="n">
        <f aca="false">SUMIF(Slate_Build!$D$7:$D$11,F6,Slate_Build!$J$7:$J$11)</f>
        <v>0</v>
      </c>
      <c r="G8" s="39" t="n">
        <f aca="false">SUMIF(Slate_Build!$D$7:$D$11,G6,Slate_Build!$J$7:$J$11)</f>
        <v>0</v>
      </c>
    </row>
    <row r="9" customFormat="false" ht="15" hidden="false" customHeight="false" outlineLevel="0" collapsed="false">
      <c r="A9" s="5"/>
      <c r="B9" s="44" t="s">
        <v>147</v>
      </c>
      <c r="C9" s="39" t="n">
        <f aca="false">SUMIF(Slate_Build!$D$7:$D$11,C6-1,Slate_Build!$K$7:$K$11)</f>
        <v>0</v>
      </c>
      <c r="D9" s="39" t="n">
        <f aca="false">SUMIF(Slate_Build!$D$7:$D$11,D6-1,Slate_Build!$K$7:$K$11)</f>
        <v>2587500</v>
      </c>
      <c r="E9" s="39" t="n">
        <f aca="false">SUMIF(Slate_Build!$D$7:$D$11,E6-1,Slate_Build!$K$7:$K$11)</f>
        <v>2812500</v>
      </c>
      <c r="F9" s="39" t="n">
        <f aca="false">SUMIF(Slate_Build!$D$7:$D$11,F6-1,Slate_Build!$K$7:$K$11)</f>
        <v>1350000</v>
      </c>
      <c r="G9" s="39" t="n">
        <f aca="false">SUMIF(Slate_Build!$D$7:$D$11,G6-1,Slate_Build!$K$7:$K$11)</f>
        <v>0</v>
      </c>
    </row>
    <row r="10" customFormat="false" ht="15" hidden="false" customHeight="false" outlineLevel="0" collapsed="false">
      <c r="A10" s="5"/>
      <c r="B10" s="44" t="s">
        <v>148</v>
      </c>
      <c r="C10" s="39" t="n">
        <f aca="false">SUMIF(Slate_Build!$D$7:$D$11,C6,Slate_Build!$L$7:$L$11)</f>
        <v>5000000</v>
      </c>
      <c r="D10" s="39" t="n">
        <f aca="false">SUMIF(Slate_Build!$D$7:$D$11,D6,Slate_Build!$L$7:$L$11)</f>
        <v>5000000</v>
      </c>
      <c r="E10" s="39" t="n">
        <f aca="false">SUMIF(Slate_Build!$D$7:$D$11,E6,Slate_Build!$L$7:$L$11)</f>
        <v>2500000</v>
      </c>
      <c r="F10" s="39" t="n">
        <f aca="false">SUMIF(Slate_Build!$D$7:$D$11,F6,Slate_Build!$L$7:$L$11)</f>
        <v>0</v>
      </c>
      <c r="G10" s="39" t="n">
        <f aca="false">SUMIF(Slate_Build!$D$7:$D$11,G6,Slate_Build!$L$7:$L$11)</f>
        <v>0</v>
      </c>
    </row>
    <row r="11" customFormat="false" ht="15" hidden="false" customHeight="false" outlineLevel="0" collapsed="false">
      <c r="A11" s="5"/>
      <c r="B11" s="44" t="s">
        <v>149</v>
      </c>
      <c r="C11" s="39" t="n">
        <f aca="false">SUMIF(Slate_Build!$D$7:$D$11,C6-2,Slate_Build!$M$7:$M$11)</f>
        <v>0</v>
      </c>
      <c r="D11" s="39" t="n">
        <f aca="false">SUMIF(Slate_Build!$D$7:$D$11,D6-2,Slate_Build!$M$7:$M$11)</f>
        <v>0</v>
      </c>
      <c r="E11" s="39" t="n">
        <f aca="false">SUMIF(Slate_Build!$D$7:$D$11,E6-2,Slate_Build!$M$7:$M$11)</f>
        <v>1035000</v>
      </c>
      <c r="F11" s="39" t="n">
        <f aca="false">SUMIF(Slate_Build!$D$7:$D$11,F6-2,Slate_Build!$M$7:$M$11)</f>
        <v>1125000</v>
      </c>
      <c r="G11" s="39" t="n">
        <f aca="false">SUMIF(Slate_Build!$D$7:$D$11,G6-2,Slate_Build!$M$7:$M$11)</f>
        <v>540000</v>
      </c>
    </row>
    <row r="12" customFormat="false" ht="15" hidden="false" customHeight="false" outlineLevel="0" collapsed="false">
      <c r="A12" s="5"/>
      <c r="B12" s="44" t="s">
        <v>150</v>
      </c>
      <c r="C12" s="39" t="n">
        <f aca="false">SUMIF(Slate_Build!$D$7:$D$11,C6,Slate_Build!$N$7:$N$11)</f>
        <v>3105000</v>
      </c>
      <c r="D12" s="39" t="n">
        <f aca="false">SUMIF(Slate_Build!$D$7:$D$11,D6,Slate_Build!$N$7:$N$11)</f>
        <v>3375000</v>
      </c>
      <c r="E12" s="39" t="n">
        <f aca="false">SUMIF(Slate_Build!$D$7:$D$11,E6,Slate_Build!$N$7:$N$11)</f>
        <v>1620000</v>
      </c>
      <c r="F12" s="39" t="n">
        <f aca="false">SUMIF(Slate_Build!$D$7:$D$11,F6,Slate_Build!$N$7:$N$11)</f>
        <v>0</v>
      </c>
      <c r="G12" s="39" t="n">
        <f aca="false">SUMIF(Slate_Build!$D$7:$D$11,G6,Slate_Build!$N$7:$N$11)</f>
        <v>0</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45" t="s">
        <v>151</v>
      </c>
      <c r="C14" s="42" t="n">
        <f aca="false">SUM(C8:C12)</f>
        <v>18455000</v>
      </c>
      <c r="D14" s="42" t="n">
        <f aca="false">SUM(D8:D12)</f>
        <v>22212500</v>
      </c>
      <c r="E14" s="42" t="n">
        <f aca="false">SUM(E8:E12)</f>
        <v>13367500</v>
      </c>
      <c r="F14" s="42" t="n">
        <f aca="false">SUM(F8:F12)</f>
        <v>2475000</v>
      </c>
      <c r="G14" s="42" t="n">
        <f aca="false">SUM(G8:G12)</f>
        <v>540000</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32" t="s">
        <v>152</v>
      </c>
      <c r="C16" s="16"/>
      <c r="D16" s="16"/>
      <c r="E16" s="16"/>
      <c r="F16" s="16"/>
      <c r="G16" s="16"/>
    </row>
    <row r="17" customFormat="false" ht="15" hidden="false" customHeight="false" outlineLevel="0" collapsed="false">
      <c r="A17" s="5"/>
      <c r="B17" s="44" t="s">
        <v>153</v>
      </c>
      <c r="C17" s="39" t="n">
        <f aca="false">C9+C11</f>
        <v>0</v>
      </c>
      <c r="D17" s="39" t="n">
        <f aca="false">D9+D11</f>
        <v>2587500</v>
      </c>
      <c r="E17" s="39" t="n">
        <f aca="false">E9+E11</f>
        <v>3847500</v>
      </c>
      <c r="F17" s="39" t="n">
        <f aca="false">F9+F11</f>
        <v>2475000</v>
      </c>
      <c r="G17" s="39" t="n">
        <f aca="false">G9+G11</f>
        <v>540000</v>
      </c>
    </row>
    <row r="18" customFormat="false" ht="15" hidden="false" customHeight="false" outlineLevel="0" collapsed="false">
      <c r="A18" s="5"/>
      <c r="B18" s="44" t="s">
        <v>154</v>
      </c>
      <c r="C18" s="39" t="n">
        <f aca="false">C8+C10+C12</f>
        <v>18455000</v>
      </c>
      <c r="D18" s="39" t="n">
        <f aca="false">D8+D10+D12</f>
        <v>19625000</v>
      </c>
      <c r="E18" s="39" t="n">
        <f aca="false">E8+E10+E12</f>
        <v>9520000</v>
      </c>
      <c r="F18" s="39" t="n">
        <f aca="false">F8+F10+F12</f>
        <v>0</v>
      </c>
      <c r="G18" s="39" t="n">
        <f aca="false">G8+G10+G12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155</v>
      </c>
      <c r="C2" s="5"/>
      <c r="D2" s="5"/>
      <c r="E2" s="5"/>
      <c r="F2" s="5"/>
      <c r="G2" s="5"/>
    </row>
    <row r="3" customFormat="false" ht="15" hidden="false" customHeight="false" outlineLevel="0" collapsed="false">
      <c r="A3" s="5"/>
      <c r="B3" s="29" t="s">
        <v>156</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157</v>
      </c>
      <c r="C5" s="31" t="s">
        <v>140</v>
      </c>
      <c r="D5" s="31" t="s">
        <v>141</v>
      </c>
      <c r="E5" s="31" t="s">
        <v>142</v>
      </c>
      <c r="F5" s="31" t="s">
        <v>143</v>
      </c>
      <c r="G5" s="31" t="s">
        <v>144</v>
      </c>
    </row>
    <row r="6" customFormat="false" ht="15" hidden="false" customHeight="false" outlineLevel="0" collapsed="false">
      <c r="A6" s="5"/>
      <c r="B6" s="5"/>
      <c r="C6" s="43" t="n">
        <f aca="false">Base_Year+0</f>
        <v>2025</v>
      </c>
      <c r="D6" s="43" t="n">
        <f aca="false">Base_Year+1</f>
        <v>2026</v>
      </c>
      <c r="E6" s="43" t="n">
        <f aca="false">Base_Year+2</f>
        <v>2027</v>
      </c>
      <c r="F6" s="43" t="n">
        <f aca="false">Base_Year+3</f>
        <v>2028</v>
      </c>
      <c r="G6" s="43" t="n">
        <f aca="false">Base_Year+4</f>
        <v>2029</v>
      </c>
    </row>
    <row r="7" customFormat="false" ht="15" hidden="false" customHeight="false" outlineLevel="0" collapsed="false">
      <c r="A7" s="5"/>
      <c r="B7" s="32" t="s">
        <v>158</v>
      </c>
      <c r="C7" s="16"/>
      <c r="D7" s="16"/>
      <c r="E7" s="16"/>
      <c r="F7" s="16"/>
      <c r="G7" s="16"/>
    </row>
    <row r="8" customFormat="false" ht="15" hidden="false" customHeight="false" outlineLevel="0" collapsed="false">
      <c r="A8" s="5"/>
      <c r="B8" s="44" t="s">
        <v>159</v>
      </c>
      <c r="C8" s="39" t="n">
        <f aca="false">0</f>
        <v>0</v>
      </c>
      <c r="D8" s="39" t="n">
        <f aca="false">C12</f>
        <v>4059070.99035933</v>
      </c>
      <c r="E8" s="39" t="n">
        <f aca="false">D12</f>
        <v>6004618.42278758</v>
      </c>
      <c r="F8" s="39" t="n">
        <f aca="false">E12</f>
        <v>6646962.24034733</v>
      </c>
      <c r="G8" s="39" t="n">
        <f aca="false">F12</f>
        <v>6309133.5383502</v>
      </c>
    </row>
    <row r="9" customFormat="false" ht="15" hidden="false" customHeight="false" outlineLevel="0" collapsed="false">
      <c r="A9" s="5"/>
      <c r="B9" s="44" t="s">
        <v>160</v>
      </c>
      <c r="C9" s="39" t="n">
        <f aca="false">SUMIF(Slate_Build!$D$7:$D$11,C6,Slate_Build!$E$7:$E$11)</f>
        <v>6000000</v>
      </c>
      <c r="D9" s="39" t="n">
        <f aca="false">SUMIF(Slate_Build!$D$7:$D$11,D6,Slate_Build!$E$7:$E$11)</f>
        <v>6000000</v>
      </c>
      <c r="E9" s="39" t="n">
        <f aca="false">SUMIF(Slate_Build!$D$7:$D$11,E6,Slate_Build!$E$7:$E$11)</f>
        <v>3000000</v>
      </c>
      <c r="F9" s="39" t="n">
        <f aca="false">SUMIF(Slate_Build!$D$7:$D$11,F6,Slate_Build!$E$7:$E$11)</f>
        <v>0</v>
      </c>
      <c r="G9" s="39" t="n">
        <f aca="false">SUMIF(Slate_Build!$D$7:$D$11,G6,Slate_Build!$E$7:$E$11)</f>
        <v>0</v>
      </c>
    </row>
    <row r="10" customFormat="false" ht="15" hidden="false" customHeight="false" outlineLevel="0" collapsed="false">
      <c r="A10" s="5"/>
      <c r="B10" s="44" t="s">
        <v>161</v>
      </c>
      <c r="C10" s="39" t="n">
        <f aca="false">-MIN(IF(SB_Total_Ultimate=0,0,(RW_Total_Rev/SB_Total_Ultimate)*(C8+C9)),C8+C9)</f>
        <v>-1940929.00964067</v>
      </c>
      <c r="D10" s="39" t="n">
        <f aca="false">-MIN(IF(MAX(1,SB_Total_Ultimate+SUM($C$10:C10))=0,0,(RW_Total_Rev/MAX(1,SB_Total_Ultimate+SUM($C$10:C10)))*(D8+D9)),D8+D9)</f>
        <v>-4054452.56757176</v>
      </c>
      <c r="E10" s="39" t="n">
        <f aca="false">-MIN(IF(MAX(1,SB_Total_Ultimate+SUM($C$10:D10))=0,0,(RW_Total_Rev/MAX(1,SB_Total_Ultimate+SUM($C$10:D10)))*(E8+E9)),E8+E9)</f>
        <v>-2357656.18244025</v>
      </c>
      <c r="F10" s="39" t="n">
        <f aca="false">-MIN(IF(MAX(1,SB_Total_Ultimate+SUM($C$10:E10))=0,0,(RW_Total_Rev/MAX(1,SB_Total_Ultimate+SUM($C$10:E10)))*(F8+F9)),F8+F9)</f>
        <v>-337828.701997127</v>
      </c>
      <c r="G10" s="39" t="n">
        <f aca="false">-MIN(IF(MAX(1,SB_Total_Ultimate+SUM($C$10:F10))=0,0,(RW_Total_Rev/MAX(1,SB_Total_Ultimate+SUM($C$10:F10)))*(G8+G9)),G8+G9)</f>
        <v>-70450.6441995557</v>
      </c>
    </row>
    <row r="11" customFormat="false" ht="15" hidden="false" customHeight="false" outlineLevel="0" collapsed="false">
      <c r="A11" s="5"/>
      <c r="B11" s="5"/>
      <c r="C11" s="5"/>
      <c r="D11" s="5"/>
      <c r="E11" s="5"/>
      <c r="F11" s="5"/>
      <c r="G11" s="5"/>
    </row>
    <row r="12" customFormat="false" ht="15" hidden="false" customHeight="false" outlineLevel="0" collapsed="false">
      <c r="A12" s="5"/>
      <c r="B12" s="45" t="s">
        <v>162</v>
      </c>
      <c r="C12" s="42" t="n">
        <f aca="false">C8+C9+C10</f>
        <v>4059070.99035933</v>
      </c>
      <c r="D12" s="42" t="n">
        <f aca="false">D8+D9+D10</f>
        <v>6004618.42278758</v>
      </c>
      <c r="E12" s="42" t="n">
        <f aca="false">E8+E9+E10</f>
        <v>6646962.24034733</v>
      </c>
      <c r="F12" s="42" t="n">
        <f aca="false">F8+F9+F10</f>
        <v>6309133.5383502</v>
      </c>
      <c r="G12" s="42" t="n">
        <f aca="false">G8+G9+G10</f>
        <v>6238682.89415065</v>
      </c>
    </row>
    <row r="13" customFormat="false" ht="15" hidden="false" customHeight="false" outlineLevel="0" collapsed="false">
      <c r="A13" s="5"/>
      <c r="B13" s="32" t="s">
        <v>20</v>
      </c>
      <c r="C13" s="16"/>
      <c r="D13" s="16"/>
      <c r="E13" s="16"/>
      <c r="F13" s="16"/>
      <c r="G13" s="16"/>
    </row>
    <row r="14" customFormat="false" ht="15" hidden="false" customHeight="false" outlineLevel="0" collapsed="false">
      <c r="A14" s="5"/>
      <c r="B14" s="44" t="s">
        <v>163</v>
      </c>
      <c r="C14" s="46" t="n">
        <f aca="false">IFERROR(-C10/RW_Total_Rev,0)</f>
        <v>0.105170902716915</v>
      </c>
      <c r="D14" s="46" t="n">
        <f aca="false">IFERROR(-D10/RW_Total_Rev,0)</f>
        <v>0.182530222513079</v>
      </c>
      <c r="E14" s="46" t="n">
        <f aca="false">IFERROR(-E10/RW_Total_Rev,0)</f>
        <v>0.176372259767365</v>
      </c>
      <c r="F14" s="46" t="n">
        <f aca="false">IFERROR(-F10/RW_Total_Rev,0)</f>
        <v>0.136496445251364</v>
      </c>
      <c r="G14" s="46" t="n">
        <f aca="false">IFERROR(-G10/RW_Total_Rev,0)</f>
        <v>0.130464155925103</v>
      </c>
    </row>
    <row r="15" customFormat="false" ht="15" hidden="false" customHeight="false" outlineLevel="0" collapsed="false">
      <c r="A15" s="5"/>
      <c r="B15" s="44" t="s">
        <v>164</v>
      </c>
      <c r="C15" s="39" t="n">
        <f aca="false">-C10</f>
        <v>1940929.00964067</v>
      </c>
      <c r="D15" s="39" t="n">
        <f aca="false">C15-D10</f>
        <v>5995381.57721242</v>
      </c>
      <c r="E15" s="39" t="n">
        <f aca="false">D15-E10</f>
        <v>8353037.75965267</v>
      </c>
      <c r="F15" s="39" t="n">
        <f aca="false">E15-F10</f>
        <v>8690866.4616498</v>
      </c>
      <c r="G15" s="39" t="n">
        <f aca="false">F15-G10</f>
        <v>8761317.10584936</v>
      </c>
    </row>
    <row r="16" customFormat="false" ht="15" hidden="false" customHeight="false" outlineLevel="0" collapsed="false">
      <c r="A16" s="5"/>
      <c r="B16" s="44" t="s">
        <v>165</v>
      </c>
      <c r="C16" s="39" t="n">
        <f aca="false">C9</f>
        <v>6000000</v>
      </c>
      <c r="D16" s="39" t="n">
        <f aca="false">C16+D9</f>
        <v>12000000</v>
      </c>
      <c r="E16" s="39" t="n">
        <f aca="false">D16+E9</f>
        <v>15000000</v>
      </c>
      <c r="F16" s="39" t="n">
        <f aca="false">E16+F9</f>
        <v>15000000</v>
      </c>
      <c r="G16" s="39" t="n">
        <f aca="false">F16+G9</f>
        <v>15000000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91</v>
      </c>
      <c r="C2" s="5"/>
      <c r="D2" s="5"/>
      <c r="E2" s="5"/>
      <c r="F2" s="5"/>
      <c r="G2" s="5"/>
    </row>
    <row r="3" customFormat="false" ht="15" hidden="false" customHeight="false" outlineLevel="0" collapsed="false">
      <c r="A3" s="5"/>
      <c r="B3" s="29" t="s">
        <v>15</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166</v>
      </c>
      <c r="C5" s="31" t="s">
        <v>140</v>
      </c>
      <c r="D5" s="31" t="s">
        <v>141</v>
      </c>
      <c r="E5" s="31" t="s">
        <v>142</v>
      </c>
      <c r="F5" s="31" t="s">
        <v>143</v>
      </c>
      <c r="G5" s="31" t="s">
        <v>144</v>
      </c>
    </row>
    <row r="6" customFormat="false" ht="15" hidden="false" customHeight="false" outlineLevel="0" collapsed="false">
      <c r="A6" s="5"/>
      <c r="B6" s="5"/>
      <c r="C6" s="43" t="n">
        <f aca="false">Base_Year+0</f>
        <v>2025</v>
      </c>
      <c r="D6" s="43" t="n">
        <f aca="false">Base_Year+1</f>
        <v>2026</v>
      </c>
      <c r="E6" s="43" t="n">
        <f aca="false">Base_Year+2</f>
        <v>2027</v>
      </c>
      <c r="F6" s="43" t="n">
        <f aca="false">Base_Year+3</f>
        <v>2028</v>
      </c>
      <c r="G6" s="43" t="n">
        <f aca="false">Base_Year+4</f>
        <v>2029</v>
      </c>
    </row>
    <row r="7" customFormat="false" ht="15" hidden="false" customHeight="false" outlineLevel="0" collapsed="false">
      <c r="A7" s="5"/>
      <c r="B7" s="5"/>
      <c r="C7" s="5"/>
      <c r="D7" s="5"/>
      <c r="E7" s="5"/>
      <c r="F7" s="5"/>
      <c r="G7" s="5"/>
    </row>
    <row r="8" customFormat="false" ht="15" hidden="false" customHeight="false" outlineLevel="0" collapsed="false">
      <c r="A8" s="5"/>
      <c r="B8" s="32" t="s">
        <v>167</v>
      </c>
      <c r="C8" s="16"/>
      <c r="D8" s="16"/>
      <c r="E8" s="16"/>
      <c r="F8" s="16"/>
      <c r="G8" s="16"/>
    </row>
    <row r="9" customFormat="false" ht="15" hidden="false" customHeight="false" outlineLevel="0" collapsed="false">
      <c r="A9" s="5"/>
      <c r="B9" s="44" t="s">
        <v>168</v>
      </c>
      <c r="C9" s="39" t="n">
        <f aca="false">RW_Total_Rev*SGA_Pct*0.45</f>
        <v>1245712.5</v>
      </c>
      <c r="D9" s="39" t="n">
        <f aca="false">C9*(1+SGA_Growth)</f>
        <v>1283083.875</v>
      </c>
      <c r="E9" s="39" t="n">
        <f aca="false">D9*(1+SGA_Growth)</f>
        <v>1321576.39125</v>
      </c>
      <c r="F9" s="39" t="n">
        <f aca="false">E9*(1+SGA_Growth)</f>
        <v>1361223.6829875</v>
      </c>
      <c r="G9" s="39" t="n">
        <f aca="false">F9*(1+SGA_Growth)</f>
        <v>1402060.39347713</v>
      </c>
    </row>
    <row r="10" customFormat="false" ht="15" hidden="false" customHeight="false" outlineLevel="0" collapsed="false">
      <c r="A10" s="5"/>
      <c r="B10" s="44" t="s">
        <v>169</v>
      </c>
      <c r="C10" s="39" t="n">
        <f aca="false">RW_Total_Rev*SGA_Pct*0.15</f>
        <v>415237.5</v>
      </c>
      <c r="D10" s="39" t="n">
        <f aca="false">C10*(1+SGA_Growth)</f>
        <v>427694.625</v>
      </c>
      <c r="E10" s="39" t="n">
        <f aca="false">D10*(1+SGA_Growth)</f>
        <v>440525.46375</v>
      </c>
      <c r="F10" s="39" t="n">
        <f aca="false">E10*(1+SGA_Growth)</f>
        <v>453741.2276625</v>
      </c>
      <c r="G10" s="39" t="n">
        <f aca="false">F10*(1+SGA_Growth)</f>
        <v>467353.464492375</v>
      </c>
    </row>
    <row r="11" customFormat="false" ht="15" hidden="false" customHeight="false" outlineLevel="0" collapsed="false">
      <c r="A11" s="5"/>
      <c r="B11" s="44" t="s">
        <v>170</v>
      </c>
      <c r="C11" s="39" t="n">
        <f aca="false">RW_Total_Rev*SGA_Pct*0.13</f>
        <v>359872.5</v>
      </c>
      <c r="D11" s="39" t="n">
        <f aca="false">C11*(1+SGA_Growth)</f>
        <v>370668.675</v>
      </c>
      <c r="E11" s="39" t="n">
        <f aca="false">D11*(1+SGA_Growth)</f>
        <v>381788.73525</v>
      </c>
      <c r="F11" s="39" t="n">
        <f aca="false">E11*(1+SGA_Growth)</f>
        <v>393242.3973075</v>
      </c>
      <c r="G11" s="39" t="n">
        <f aca="false">F11*(1+SGA_Growth)</f>
        <v>405039.669226725</v>
      </c>
    </row>
    <row r="12" customFormat="false" ht="15" hidden="false" customHeight="false" outlineLevel="0" collapsed="false">
      <c r="A12" s="5"/>
      <c r="B12" s="44" t="s">
        <v>171</v>
      </c>
      <c r="C12" s="39" t="n">
        <f aca="false">RW_Total_Rev*SGA_Pct*0.1</f>
        <v>276825</v>
      </c>
      <c r="D12" s="39" t="n">
        <f aca="false">C12*(1+SGA_Growth)</f>
        <v>285129.75</v>
      </c>
      <c r="E12" s="39" t="n">
        <f aca="false">D12*(1+SGA_Growth)</f>
        <v>293683.6425</v>
      </c>
      <c r="F12" s="39" t="n">
        <f aca="false">E12*(1+SGA_Growth)</f>
        <v>302494.151775</v>
      </c>
      <c r="G12" s="39" t="n">
        <f aca="false">F12*(1+SGA_Growth)</f>
        <v>311568.97632825</v>
      </c>
    </row>
    <row r="13" customFormat="false" ht="15" hidden="false" customHeight="false" outlineLevel="0" collapsed="false">
      <c r="A13" s="5"/>
      <c r="B13" s="44" t="s">
        <v>172</v>
      </c>
      <c r="C13" s="39" t="n">
        <f aca="false">RW_Total_Rev*SGA_Pct*0.1</f>
        <v>276825</v>
      </c>
      <c r="D13" s="39" t="n">
        <f aca="false">C13*(1+SGA_Growth)</f>
        <v>285129.75</v>
      </c>
      <c r="E13" s="39" t="n">
        <f aca="false">D13*(1+SGA_Growth)</f>
        <v>293683.6425</v>
      </c>
      <c r="F13" s="39" t="n">
        <f aca="false">E13*(1+SGA_Growth)</f>
        <v>302494.151775</v>
      </c>
      <c r="G13" s="39" t="n">
        <f aca="false">F13*(1+SGA_Growth)</f>
        <v>311568.97632825</v>
      </c>
    </row>
    <row r="14" customFormat="false" ht="15" hidden="false" customHeight="false" outlineLevel="0" collapsed="false">
      <c r="A14" s="5"/>
      <c r="B14" s="44" t="s">
        <v>173</v>
      </c>
      <c r="C14" s="39" t="n">
        <f aca="false">RW_Total_Rev*SGA_Pct*0.07</f>
        <v>193777.5</v>
      </c>
      <c r="D14" s="39" t="n">
        <f aca="false">C14*(1+SGA_Growth)</f>
        <v>199590.825</v>
      </c>
      <c r="E14" s="39" t="n">
        <f aca="false">D14*(1+SGA_Growth)</f>
        <v>205578.54975</v>
      </c>
      <c r="F14" s="39" t="n">
        <f aca="false">E14*(1+SGA_Growth)</f>
        <v>211745.9062425</v>
      </c>
      <c r="G14" s="39" t="n">
        <f aca="false">F14*(1+SGA_Growth)</f>
        <v>218098.283429775</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45" t="s">
        <v>174</v>
      </c>
      <c r="C16" s="42" t="n">
        <f aca="false">SUM(C9:C14)</f>
        <v>2768250</v>
      </c>
      <c r="D16" s="42" t="n">
        <f aca="false">SUM(D9:D14)</f>
        <v>2851297.5</v>
      </c>
      <c r="E16" s="42" t="n">
        <f aca="false">SUM(E9:E14)</f>
        <v>2936836.425</v>
      </c>
      <c r="F16" s="42" t="n">
        <f aca="false">SUM(F9:F14)</f>
        <v>3024941.51775</v>
      </c>
      <c r="G16" s="42" t="n">
        <f aca="false">SUM(G9:G14)</f>
        <v>3115689.7632825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175</v>
      </c>
      <c r="C2" s="5"/>
      <c r="D2" s="5"/>
      <c r="E2" s="5"/>
      <c r="F2" s="5"/>
      <c r="G2" s="5"/>
    </row>
    <row r="3" customFormat="false" ht="15" hidden="false" customHeight="false" outlineLevel="0" collapsed="false">
      <c r="A3" s="5"/>
      <c r="B3" s="29" t="s">
        <v>176</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47"/>
      <c r="C5" s="31" t="s">
        <v>140</v>
      </c>
      <c r="D5" s="31" t="s">
        <v>141</v>
      </c>
      <c r="E5" s="31" t="s">
        <v>142</v>
      </c>
      <c r="F5" s="31" t="s">
        <v>143</v>
      </c>
      <c r="G5" s="31" t="s">
        <v>144</v>
      </c>
    </row>
    <row r="6" customFormat="false" ht="15" hidden="false" customHeight="false" outlineLevel="0" collapsed="false">
      <c r="A6" s="5"/>
      <c r="B6" s="5"/>
      <c r="C6" s="43" t="n">
        <f aca="false">Base_Year+0</f>
        <v>2025</v>
      </c>
      <c r="D6" s="43" t="n">
        <f aca="false">Base_Year+1</f>
        <v>2026</v>
      </c>
      <c r="E6" s="43" t="n">
        <f aca="false">Base_Year+2</f>
        <v>2027</v>
      </c>
      <c r="F6" s="43" t="n">
        <f aca="false">Base_Year+3</f>
        <v>2028</v>
      </c>
      <c r="G6" s="43" t="n">
        <f aca="false">Base_Year+4</f>
        <v>2029</v>
      </c>
    </row>
    <row r="7" customFormat="false" ht="15" hidden="false" customHeight="false" outlineLevel="0" collapsed="false">
      <c r="A7" s="5"/>
      <c r="B7" s="5"/>
      <c r="C7" s="5"/>
      <c r="D7" s="5"/>
      <c r="E7" s="5"/>
      <c r="F7" s="5"/>
      <c r="G7" s="5"/>
    </row>
    <row r="8" customFormat="false" ht="15" hidden="false" customHeight="false" outlineLevel="0" collapsed="false">
      <c r="A8" s="5"/>
      <c r="B8" s="32" t="s">
        <v>177</v>
      </c>
      <c r="C8" s="16"/>
      <c r="D8" s="16"/>
      <c r="E8" s="16"/>
      <c r="F8" s="16"/>
      <c r="G8" s="16"/>
    </row>
    <row r="9" customFormat="false" ht="15" hidden="false" customHeight="false" outlineLevel="0" collapsed="false">
      <c r="A9" s="5"/>
      <c r="B9" s="41" t="s">
        <v>178</v>
      </c>
      <c r="C9" s="48" t="n">
        <f aca="false">RW_Total_Rev</f>
        <v>18455000</v>
      </c>
      <c r="D9" s="48" t="n">
        <f aca="false">RW_Total_Rev</f>
        <v>22212500</v>
      </c>
      <c r="E9" s="48" t="n">
        <f aca="false">RW_Total_Rev</f>
        <v>13367500</v>
      </c>
      <c r="F9" s="48" t="n">
        <f aca="false">RW_Total_Rev</f>
        <v>2475000</v>
      </c>
      <c r="G9" s="48" t="n">
        <f aca="false">RW_Total_Rev</f>
        <v>540000</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32" t="s">
        <v>179</v>
      </c>
      <c r="C11" s="16"/>
      <c r="D11" s="16"/>
      <c r="E11" s="16"/>
      <c r="F11" s="16"/>
      <c r="G11" s="16"/>
    </row>
    <row r="12" customFormat="false" ht="15" hidden="false" customHeight="false" outlineLevel="0" collapsed="false">
      <c r="A12" s="5"/>
      <c r="B12" s="44" t="s">
        <v>180</v>
      </c>
      <c r="C12" s="39" t="n">
        <f aca="false">-AM_Amort_Expense</f>
        <v>1940929.00964067</v>
      </c>
      <c r="D12" s="39" t="n">
        <f aca="false">-AM_Amort_Expense</f>
        <v>4054452.56757176</v>
      </c>
      <c r="E12" s="39" t="n">
        <f aca="false">-AM_Amort_Expense</f>
        <v>2357656.18244025</v>
      </c>
      <c r="F12" s="39" t="n">
        <f aca="false">-AM_Amort_Expense</f>
        <v>337828.701997127</v>
      </c>
      <c r="G12" s="39" t="n">
        <f aca="false">-AM_Amort_Expense</f>
        <v>70450.6441995557</v>
      </c>
    </row>
    <row r="13" customFormat="false" ht="15" hidden="false" customHeight="false" outlineLevel="0" collapsed="false">
      <c r="A13" s="5"/>
      <c r="B13" s="44" t="s">
        <v>181</v>
      </c>
      <c r="C13" s="39" t="n">
        <f aca="false">SUMIF(Slate_Build!$D$7:$D$11,C6,Slate_Build!$F$7:$F$11)</f>
        <v>3000000</v>
      </c>
      <c r="D13" s="39" t="n">
        <f aca="false">SUMIF(Slate_Build!$D$7:$D$11,D6,Slate_Build!$F$7:$F$11)</f>
        <v>3000000</v>
      </c>
      <c r="E13" s="39" t="n">
        <f aca="false">SUMIF(Slate_Build!$D$7:$D$11,E6,Slate_Build!$F$7:$F$11)</f>
        <v>1500000</v>
      </c>
      <c r="F13" s="39" t="n">
        <f aca="false">SUMIF(Slate_Build!$D$7:$D$11,F6,Slate_Build!$F$7:$F$11)</f>
        <v>0</v>
      </c>
      <c r="G13" s="39" t="n">
        <f aca="false">SUMIF(Slate_Build!$D$7:$D$11,G6,Slate_Build!$F$7:$F$11)</f>
        <v>0</v>
      </c>
    </row>
    <row r="14" customFormat="false" ht="15" hidden="false" customHeight="false" outlineLevel="0" collapsed="false">
      <c r="A14" s="5"/>
      <c r="B14" s="44" t="s">
        <v>182</v>
      </c>
      <c r="C14" s="39" t="n">
        <f aca="false">SUMIF(Slate_Build!$D$7:$D$11,C6,Slate_Build!$G$7:$G$11)</f>
        <v>150000</v>
      </c>
      <c r="D14" s="39" t="n">
        <f aca="false">SUMIF(Slate_Build!$D$7:$D$11,D6,Slate_Build!$G$7:$G$11)</f>
        <v>150000</v>
      </c>
      <c r="E14" s="39" t="n">
        <f aca="false">SUMIF(Slate_Build!$D$7:$D$11,E6,Slate_Build!$G$7:$G$11)</f>
        <v>75000</v>
      </c>
      <c r="F14" s="39" t="n">
        <f aca="false">SUMIF(Slate_Build!$D$7:$D$11,F6,Slate_Build!$G$7:$G$11)</f>
        <v>0</v>
      </c>
      <c r="G14" s="39" t="n">
        <f aca="false">SUMIF(Slate_Build!$D$7:$D$11,G6,Slate_Build!$G$7:$G$11)</f>
        <v>0</v>
      </c>
    </row>
    <row r="15" customFormat="false" ht="15" hidden="false" customHeight="false" outlineLevel="0" collapsed="false">
      <c r="A15" s="5"/>
      <c r="B15" s="44" t="s">
        <v>183</v>
      </c>
      <c r="C15" s="39" t="n">
        <f aca="false">MAX(0,(C9-C12-C13-C14-C9*Dist_Fee_Pct))*Talent_Share_Pct</f>
        <v>4375160.49517967</v>
      </c>
      <c r="D15" s="39" t="n">
        <f aca="false">MAX(0,(D9-D12-D13-D14-D9*Dist_Fee_Pct))*Talent_Share_Pct</f>
        <v>4727461.21621412</v>
      </c>
      <c r="E15" s="39" t="n">
        <f aca="false">MAX(0,(E9-E12-E13-E14-E9*Dist_Fee_Pct))*Talent_Share_Pct</f>
        <v>3046484.40877988</v>
      </c>
      <c r="F15" s="39" t="n">
        <f aca="false">MAX(0,(F9-F12-F13-F14-F9*Dist_Fee_Pct))*Talent_Share_Pct</f>
        <v>759210.649001437</v>
      </c>
      <c r="G15" s="39" t="n">
        <f aca="false">MAX(0,(G9-G12-G13-G14-G9*Dist_Fee_Pct))*Talent_Share_Pct</f>
        <v>167274.677900222</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49" t="s">
        <v>184</v>
      </c>
      <c r="C17" s="40" t="n">
        <f aca="false">C12+C13+C14+C15</f>
        <v>9466089.50482033</v>
      </c>
      <c r="D17" s="40" t="n">
        <f aca="false">D12+D13+D14+D15</f>
        <v>11931913.7837859</v>
      </c>
      <c r="E17" s="40" t="n">
        <f aca="false">E12+E13+E14+E15</f>
        <v>6979140.59122013</v>
      </c>
      <c r="F17" s="40" t="n">
        <f aca="false">F12+F13+F14+F15</f>
        <v>1097039.35099856</v>
      </c>
      <c r="G17" s="40" t="n">
        <f aca="false">G12+G13+G14+G15</f>
        <v>237725.322099778</v>
      </c>
    </row>
    <row r="18" customFormat="false" ht="15" hidden="false" customHeight="false" outlineLevel="0" collapsed="false">
      <c r="A18" s="5"/>
      <c r="B18" s="5"/>
      <c r="C18" s="5"/>
      <c r="D18" s="5"/>
      <c r="E18" s="5"/>
      <c r="F18" s="5"/>
      <c r="G18" s="5"/>
    </row>
    <row r="19" customFormat="false" ht="15" hidden="false" customHeight="false" outlineLevel="0" collapsed="false">
      <c r="A19" s="5"/>
      <c r="B19" s="45" t="s">
        <v>185</v>
      </c>
      <c r="C19" s="42" t="n">
        <f aca="false">C9-C17</f>
        <v>8988910.49517967</v>
      </c>
      <c r="D19" s="42" t="n">
        <f aca="false">D9-D17</f>
        <v>10280586.2162141</v>
      </c>
      <c r="E19" s="42" t="n">
        <f aca="false">E9-E17</f>
        <v>6388359.40877988</v>
      </c>
      <c r="F19" s="42" t="n">
        <f aca="false">F9-F17</f>
        <v>1377960.64900144</v>
      </c>
      <c r="G19" s="42" t="n">
        <f aca="false">G9-G17</f>
        <v>302274.677900222</v>
      </c>
    </row>
    <row r="20" customFormat="false" ht="15" hidden="false" customHeight="false" outlineLevel="0" collapsed="false">
      <c r="A20" s="5"/>
      <c r="B20" s="44" t="s">
        <v>186</v>
      </c>
      <c r="C20" s="50" t="n">
        <f aca="false">IFERROR(C19/C9,0)</f>
        <v>0.487071823092911</v>
      </c>
      <c r="D20" s="50" t="n">
        <f aca="false">IFERROR(D19/D9,0)</f>
        <v>0.462828867359105</v>
      </c>
      <c r="E20" s="50" t="n">
        <f aca="false">IFERROR(E19/E9,0)</f>
        <v>0.477902330935469</v>
      </c>
      <c r="F20" s="50" t="n">
        <f aca="false">IFERROR(F19/F9,0)</f>
        <v>0.556751777374318</v>
      </c>
      <c r="G20" s="50" t="n">
        <f aca="false">IFERROR(G19/G9,0)</f>
        <v>0.559767922037448</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32" t="s">
        <v>187</v>
      </c>
      <c r="C22" s="16"/>
      <c r="D22" s="16"/>
      <c r="E22" s="16"/>
      <c r="F22" s="16"/>
      <c r="G22" s="16"/>
    </row>
    <row r="23" customFormat="false" ht="15" hidden="false" customHeight="false" outlineLevel="0" collapsed="false">
      <c r="A23" s="5"/>
      <c r="B23" s="44" t="s">
        <v>188</v>
      </c>
      <c r="C23" s="39" t="n">
        <f aca="false">OC_Total_SGA</f>
        <v>2768250</v>
      </c>
      <c r="D23" s="39" t="n">
        <f aca="false">OC_Total_SGA</f>
        <v>2851297.5</v>
      </c>
      <c r="E23" s="39" t="n">
        <f aca="false">OC_Total_SGA</f>
        <v>2936836.425</v>
      </c>
      <c r="F23" s="39" t="n">
        <f aca="false">OC_Total_SGA</f>
        <v>3024941.51775</v>
      </c>
      <c r="G23" s="39" t="n">
        <f aca="false">OC_Total_SGA</f>
        <v>3115689.7632825</v>
      </c>
    </row>
    <row r="24" customFormat="false" ht="15" hidden="false" customHeight="false" outlineLevel="0" collapsed="false">
      <c r="A24" s="5"/>
      <c r="B24" s="5"/>
      <c r="C24" s="5"/>
      <c r="D24" s="5"/>
      <c r="E24" s="5"/>
      <c r="F24" s="5"/>
      <c r="G24" s="5"/>
    </row>
    <row r="25" customFormat="false" ht="15" hidden="false" customHeight="false" outlineLevel="0" collapsed="false">
      <c r="A25" s="5"/>
      <c r="B25" s="49" t="s">
        <v>189</v>
      </c>
      <c r="C25" s="40" t="n">
        <f aca="false">C19-C23</f>
        <v>6220660.49517967</v>
      </c>
      <c r="D25" s="40" t="n">
        <f aca="false">D19-D23</f>
        <v>7429288.71621412</v>
      </c>
      <c r="E25" s="40" t="n">
        <f aca="false">E19-E23</f>
        <v>3451522.98377988</v>
      </c>
      <c r="F25" s="40" t="n">
        <f aca="false">F19-F23</f>
        <v>-1646980.86874856</v>
      </c>
      <c r="G25" s="40" t="n">
        <f aca="false">G19-G23</f>
        <v>-2813415.08538228</v>
      </c>
    </row>
    <row r="26" customFormat="false" ht="15" hidden="false" customHeight="false" outlineLevel="0" collapsed="false">
      <c r="A26" s="5"/>
      <c r="B26" s="44" t="s">
        <v>190</v>
      </c>
      <c r="C26" s="50" t="n">
        <f aca="false">IFERROR(C25/C9,0)</f>
        <v>0.337071823092911</v>
      </c>
      <c r="D26" s="50" t="n">
        <f aca="false">IFERROR(D25/D9,0)</f>
        <v>0.334464320369797</v>
      </c>
      <c r="E26" s="50" t="n">
        <f aca="false">IFERROR(E25/E9,0)</f>
        <v>0.258202579673078</v>
      </c>
      <c r="F26" s="50" t="n">
        <f aca="false">IFERROR(F25/F9,0)</f>
        <v>-0.665446815655985</v>
      </c>
      <c r="G26" s="50" t="n">
        <f aca="false">IFERROR(G25/G9,0)</f>
        <v>-5.21002793589311</v>
      </c>
    </row>
    <row r="27" customFormat="false" ht="15" hidden="false" customHeight="false" outlineLevel="0" collapsed="false">
      <c r="A27" s="5"/>
      <c r="B27" s="5"/>
      <c r="C27" s="5"/>
      <c r="D27" s="5"/>
      <c r="E27" s="5"/>
      <c r="F27" s="5"/>
      <c r="G27" s="5"/>
    </row>
    <row r="28" customFormat="false" ht="15" hidden="false" customHeight="false" outlineLevel="0" collapsed="false">
      <c r="A28" s="5"/>
      <c r="B28" s="44" t="s">
        <v>191</v>
      </c>
      <c r="C28" s="39" t="n">
        <f aca="false">C9*0.01</f>
        <v>184550</v>
      </c>
      <c r="D28" s="39" t="n">
        <f aca="false">D9*0.01</f>
        <v>222125</v>
      </c>
      <c r="E28" s="39" t="n">
        <f aca="false">E9*0.01</f>
        <v>133675</v>
      </c>
      <c r="F28" s="39" t="n">
        <f aca="false">F9*0.01</f>
        <v>24750</v>
      </c>
      <c r="G28" s="39" t="n">
        <f aca="false">G9*0.01</f>
        <v>5400</v>
      </c>
    </row>
    <row r="29" customFormat="false" ht="15" hidden="false" customHeight="false" outlineLevel="0" collapsed="false">
      <c r="A29" s="5"/>
      <c r="B29" s="49" t="s">
        <v>192</v>
      </c>
      <c r="C29" s="40" t="n">
        <f aca="false">C25-C28</f>
        <v>6036110.49517967</v>
      </c>
      <c r="D29" s="40" t="n">
        <f aca="false">D25-D28</f>
        <v>7207163.71621412</v>
      </c>
      <c r="E29" s="40" t="n">
        <f aca="false">E25-E28</f>
        <v>3317847.98377988</v>
      </c>
      <c r="F29" s="40" t="n">
        <f aca="false">F25-F28</f>
        <v>-1671730.86874856</v>
      </c>
      <c r="G29" s="40" t="n">
        <f aca="false">G25-G28</f>
        <v>-2818815.08538228</v>
      </c>
    </row>
    <row r="30" customFormat="false" ht="15" hidden="false" customHeight="false" outlineLevel="0" collapsed="false">
      <c r="A30" s="5"/>
      <c r="B30" s="44" t="s">
        <v>193</v>
      </c>
      <c r="C30" s="39" t="n">
        <f aca="false">0</f>
        <v>0</v>
      </c>
      <c r="D30" s="39" t="n">
        <f aca="false">MAX(0,SUM(Cash_Flow!$C$23:C23))*Revolver_Rate</f>
        <v>0</v>
      </c>
      <c r="E30" s="39" t="n">
        <f aca="false">MAX(0,SUM(Cash_Flow!$C$23:D23))*Revolver_Rate</f>
        <v>0</v>
      </c>
      <c r="F30" s="39" t="n">
        <f aca="false">MAX(0,SUM(Cash_Flow!$C$23:E23))*Revolver_Rate</f>
        <v>0</v>
      </c>
      <c r="G30" s="39" t="n">
        <f aca="false">MAX(0,SUM(Cash_Flow!$C$23:F23))*Revolver_Rate</f>
        <v>0</v>
      </c>
    </row>
    <row r="31" customFormat="false" ht="15" hidden="false" customHeight="false" outlineLevel="0" collapsed="false">
      <c r="A31" s="5"/>
      <c r="B31" s="5"/>
      <c r="C31" s="5"/>
      <c r="D31" s="5"/>
      <c r="E31" s="5"/>
      <c r="F31" s="5"/>
      <c r="G31" s="5"/>
    </row>
    <row r="32" customFormat="false" ht="15" hidden="false" customHeight="false" outlineLevel="0" collapsed="false">
      <c r="A32" s="5"/>
      <c r="B32" s="49" t="s">
        <v>194</v>
      </c>
      <c r="C32" s="40" t="n">
        <f aca="false">C29-C30</f>
        <v>6036110.49517967</v>
      </c>
      <c r="D32" s="40" t="n">
        <f aca="false">D29-D30</f>
        <v>7207163.71621412</v>
      </c>
      <c r="E32" s="40" t="n">
        <f aca="false">E29-E30</f>
        <v>3317847.98377988</v>
      </c>
      <c r="F32" s="40" t="n">
        <f aca="false">F29-F30</f>
        <v>-1671730.86874856</v>
      </c>
      <c r="G32" s="40" t="n">
        <f aca="false">G29-G30</f>
        <v>-2818815.08538228</v>
      </c>
    </row>
    <row r="33" customFormat="false" ht="15" hidden="false" customHeight="false" outlineLevel="0" collapsed="false">
      <c r="A33" s="5"/>
      <c r="B33" s="44" t="s">
        <v>195</v>
      </c>
      <c r="C33" s="39" t="n">
        <f aca="false">MAX(0,C32)*Tax_Rate</f>
        <v>1509027.62379492</v>
      </c>
      <c r="D33" s="39" t="n">
        <f aca="false">MAX(0,D32)*Tax_Rate</f>
        <v>1801790.92905353</v>
      </c>
      <c r="E33" s="39" t="n">
        <f aca="false">MAX(0,E32)*Tax_Rate</f>
        <v>829461.995944969</v>
      </c>
      <c r="F33" s="39" t="n">
        <f aca="false">MAX(0,F32)*Tax_Rate</f>
        <v>0</v>
      </c>
      <c r="G33" s="39" t="n">
        <f aca="false">MAX(0,G32)*Tax_Rate</f>
        <v>0</v>
      </c>
    </row>
    <row r="34" customFormat="false" ht="15" hidden="false" customHeight="false" outlineLevel="0" collapsed="false">
      <c r="A34" s="5"/>
      <c r="B34" s="5"/>
      <c r="C34" s="5"/>
      <c r="D34" s="5"/>
      <c r="E34" s="5"/>
      <c r="F34" s="5"/>
      <c r="G34" s="5"/>
    </row>
    <row r="35" customFormat="false" ht="15" hidden="false" customHeight="false" outlineLevel="0" collapsed="false">
      <c r="A35" s="5"/>
      <c r="B35" s="45" t="s">
        <v>196</v>
      </c>
      <c r="C35" s="42" t="n">
        <f aca="false">C32-C33</f>
        <v>4527082.87138475</v>
      </c>
      <c r="D35" s="42" t="n">
        <f aca="false">D32-D33</f>
        <v>5405372.78716059</v>
      </c>
      <c r="E35" s="42" t="n">
        <f aca="false">E32-E33</f>
        <v>2488385.98783491</v>
      </c>
      <c r="F35" s="42" t="n">
        <f aca="false">F32-F33</f>
        <v>-1671730.86874856</v>
      </c>
      <c r="G35" s="42" t="n">
        <f aca="false">G32-G33</f>
        <v>-2818815.08538228</v>
      </c>
    </row>
    <row r="36" customFormat="false" ht="15" hidden="false" customHeight="false" outlineLevel="0" collapsed="false">
      <c r="A36" s="5"/>
      <c r="B36" s="44" t="s">
        <v>197</v>
      </c>
      <c r="C36" s="50" t="n">
        <f aca="false">IFERROR(C35/C9,0)</f>
        <v>0.245303867319683</v>
      </c>
      <c r="D36" s="50" t="n">
        <f aca="false">IFERROR(D35/D9,0)</f>
        <v>0.243348240277348</v>
      </c>
      <c r="E36" s="50" t="n">
        <f aca="false">IFERROR(E35/E9,0)</f>
        <v>0.186151934754809</v>
      </c>
      <c r="F36" s="50" t="n">
        <f aca="false">IFERROR(F35/F9,0)</f>
        <v>-0.675446815655985</v>
      </c>
      <c r="G36" s="50" t="n">
        <f aca="false">IFERROR(G35/G9,0)</f>
        <v>-5.22002793589311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198</v>
      </c>
      <c r="C2" s="5"/>
      <c r="D2" s="5"/>
      <c r="E2" s="5"/>
      <c r="F2" s="5"/>
      <c r="G2" s="5"/>
    </row>
    <row r="3" customFormat="false" ht="15" hidden="false" customHeight="false" outlineLevel="0" collapsed="false">
      <c r="A3" s="5"/>
      <c r="B3" s="29" t="s">
        <v>199</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47"/>
      <c r="C5" s="31" t="s">
        <v>140</v>
      </c>
      <c r="D5" s="31" t="s">
        <v>141</v>
      </c>
      <c r="E5" s="31" t="s">
        <v>142</v>
      </c>
      <c r="F5" s="31" t="s">
        <v>143</v>
      </c>
      <c r="G5" s="31" t="s">
        <v>144</v>
      </c>
    </row>
    <row r="6" customFormat="false" ht="15" hidden="false" customHeight="false" outlineLevel="0" collapsed="false">
      <c r="A6" s="5"/>
      <c r="B6" s="5"/>
      <c r="C6" s="43" t="n">
        <f aca="false">Base_Year+0</f>
        <v>2025</v>
      </c>
      <c r="D6" s="43" t="n">
        <f aca="false">Base_Year+1</f>
        <v>2026</v>
      </c>
      <c r="E6" s="43" t="n">
        <f aca="false">Base_Year+2</f>
        <v>2027</v>
      </c>
      <c r="F6" s="43" t="n">
        <f aca="false">Base_Year+3</f>
        <v>2028</v>
      </c>
      <c r="G6" s="43" t="n">
        <f aca="false">Base_Year+4</f>
        <v>2029</v>
      </c>
    </row>
    <row r="7" customFormat="false" ht="15" hidden="false" customHeight="false" outlineLevel="0" collapsed="false">
      <c r="A7" s="5"/>
      <c r="B7" s="5"/>
      <c r="C7" s="5"/>
      <c r="D7" s="5"/>
      <c r="E7" s="5"/>
      <c r="F7" s="5"/>
      <c r="G7" s="5"/>
    </row>
    <row r="8" customFormat="false" ht="15" hidden="false" customHeight="false" outlineLevel="0" collapsed="false">
      <c r="A8" s="5"/>
      <c r="B8" s="32" t="s">
        <v>200</v>
      </c>
      <c r="C8" s="16"/>
      <c r="D8" s="16"/>
      <c r="E8" s="16"/>
      <c r="F8" s="16"/>
      <c r="G8" s="16"/>
    </row>
    <row r="9" customFormat="false" ht="15" hidden="false" customHeight="false" outlineLevel="0" collapsed="false">
      <c r="A9" s="5"/>
      <c r="B9" s="44" t="s">
        <v>201</v>
      </c>
      <c r="C9" s="39" t="n">
        <f aca="false">PL_Net_Income</f>
        <v>4527082.87138475</v>
      </c>
      <c r="D9" s="39" t="n">
        <f aca="false">PL_Net_Income</f>
        <v>5405372.78716059</v>
      </c>
      <c r="E9" s="39" t="n">
        <f aca="false">PL_Net_Income</f>
        <v>2488385.98783491</v>
      </c>
      <c r="F9" s="39" t="n">
        <f aca="false">PL_Net_Income</f>
        <v>-1671730.86874856</v>
      </c>
      <c r="G9" s="39" t="n">
        <f aca="false">PL_Net_Income</f>
        <v>-2818815.08538228</v>
      </c>
    </row>
    <row r="10" customFormat="false" ht="15" hidden="false" customHeight="false" outlineLevel="0" collapsed="false">
      <c r="A10" s="5"/>
      <c r="B10" s="44" t="s">
        <v>202</v>
      </c>
      <c r="C10" s="39" t="n">
        <f aca="false">PL_Content_Amort</f>
        <v>1940929.00964067</v>
      </c>
      <c r="D10" s="39" t="n">
        <f aca="false">PL_Content_Amort</f>
        <v>4054452.56757176</v>
      </c>
      <c r="E10" s="39" t="n">
        <f aca="false">PL_Content_Amort</f>
        <v>2357656.18244025</v>
      </c>
      <c r="F10" s="39" t="n">
        <f aca="false">PL_Content_Amort</f>
        <v>337828.701997127</v>
      </c>
      <c r="G10" s="39" t="n">
        <f aca="false">PL_Content_Amort</f>
        <v>70450.6441995557</v>
      </c>
    </row>
    <row r="11" customFormat="false" ht="15" hidden="false" customHeight="false" outlineLevel="0" collapsed="false">
      <c r="A11" s="5"/>
      <c r="B11" s="44" t="s">
        <v>203</v>
      </c>
      <c r="C11" s="39" t="n">
        <f aca="false">PL_DA</f>
        <v>184550</v>
      </c>
      <c r="D11" s="39" t="n">
        <f aca="false">PL_DA</f>
        <v>222125</v>
      </c>
      <c r="E11" s="39" t="n">
        <f aca="false">PL_DA</f>
        <v>133675</v>
      </c>
      <c r="F11" s="39" t="n">
        <f aca="false">PL_DA</f>
        <v>24750</v>
      </c>
      <c r="G11" s="39" t="n">
        <f aca="false">PL_DA</f>
        <v>5400</v>
      </c>
    </row>
    <row r="12" customFormat="false" ht="15" hidden="false" customHeight="false" outlineLevel="0" collapsed="false">
      <c r="A12" s="5"/>
      <c r="B12" s="44" t="s">
        <v>204</v>
      </c>
      <c r="C12" s="39" t="n">
        <f aca="false">-Revenue_Waterfall!C14*0.2</f>
        <v>-3691000</v>
      </c>
      <c r="D12" s="39" t="n">
        <f aca="false">-(Revenue_Waterfall!D14-Revenue_Waterfall!C14)*0.2</f>
        <v>-751500</v>
      </c>
      <c r="E12" s="39" t="n">
        <f aca="false">-(Revenue_Waterfall!E14-Revenue_Waterfall!D14)*0.2</f>
        <v>1769000</v>
      </c>
      <c r="F12" s="39" t="n">
        <f aca="false">-(Revenue_Waterfall!F14-Revenue_Waterfall!E14)*0.2</f>
        <v>2178500</v>
      </c>
      <c r="G12" s="39" t="n">
        <f aca="false">-(Revenue_Waterfall!G14-Revenue_Waterfall!F14)*0.2</f>
        <v>387000</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49" t="s">
        <v>205</v>
      </c>
      <c r="C14" s="40" t="n">
        <f aca="false">SUM(C9:C12)</f>
        <v>2961561.88102542</v>
      </c>
      <c r="D14" s="40" t="n">
        <f aca="false">SUM(D9:D12)</f>
        <v>8930450.35473235</v>
      </c>
      <c r="E14" s="40" t="n">
        <f aca="false">SUM(E9:E12)</f>
        <v>6748717.17027515</v>
      </c>
      <c r="F14" s="40" t="n">
        <f aca="false">SUM(F9:F12)</f>
        <v>869347.833248563</v>
      </c>
      <c r="G14" s="40" t="n">
        <f aca="false">SUM(G9:G12)</f>
        <v>-2355964.44118272</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32" t="s">
        <v>206</v>
      </c>
      <c r="C16" s="16"/>
      <c r="D16" s="16"/>
      <c r="E16" s="16"/>
      <c r="F16" s="16"/>
      <c r="G16" s="16"/>
    </row>
    <row r="17" customFormat="false" ht="15" hidden="false" customHeight="false" outlineLevel="0" collapsed="false">
      <c r="A17" s="5"/>
      <c r="B17" s="44" t="s">
        <v>207</v>
      </c>
      <c r="C17" s="39" t="n">
        <f aca="false">-AM_New_Acq</f>
        <v>-6000000</v>
      </c>
      <c r="D17" s="39" t="n">
        <f aca="false">-AM_New_Acq</f>
        <v>-6000000</v>
      </c>
      <c r="E17" s="39" t="n">
        <f aca="false">-AM_New_Acq</f>
        <v>-3000000</v>
      </c>
      <c r="F17" s="39" t="n">
        <f aca="false">-AM_New_Acq</f>
        <v>-0</v>
      </c>
      <c r="G17" s="39" t="n">
        <f aca="false">-AM_New_Acq</f>
        <v>-0</v>
      </c>
    </row>
    <row r="18" customFormat="false" ht="15" hidden="false" customHeight="false" outlineLevel="0" collapsed="false">
      <c r="A18" s="5"/>
      <c r="B18" s="44" t="s">
        <v>208</v>
      </c>
      <c r="C18" s="39" t="n">
        <f aca="false">-RW_Total_Rev*0.01</f>
        <v>-184550</v>
      </c>
      <c r="D18" s="39" t="n">
        <f aca="false">-RW_Total_Rev*0.01</f>
        <v>-222125</v>
      </c>
      <c r="E18" s="39" t="n">
        <f aca="false">-RW_Total_Rev*0.01</f>
        <v>-133675</v>
      </c>
      <c r="F18" s="39" t="n">
        <f aca="false">-RW_Total_Rev*0.01</f>
        <v>-24750</v>
      </c>
      <c r="G18" s="39" t="n">
        <f aca="false">-RW_Total_Rev*0.01</f>
        <v>-5400</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49" t="s">
        <v>209</v>
      </c>
      <c r="C20" s="40" t="n">
        <f aca="false">C17+C18</f>
        <v>-6184550</v>
      </c>
      <c r="D20" s="40" t="n">
        <f aca="false">D17+D18</f>
        <v>-6222125</v>
      </c>
      <c r="E20" s="40" t="n">
        <f aca="false">E17+E18</f>
        <v>-3133675</v>
      </c>
      <c r="F20" s="40" t="n">
        <f aca="false">F17+F18</f>
        <v>-24750</v>
      </c>
      <c r="G20" s="40" t="n">
        <f aca="false">G17+G18</f>
        <v>-5400</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32" t="s">
        <v>210</v>
      </c>
      <c r="C22" s="16"/>
      <c r="D22" s="16"/>
      <c r="E22" s="16"/>
      <c r="F22" s="16"/>
      <c r="G22" s="16"/>
    </row>
    <row r="23" customFormat="false" ht="15" hidden="false" customHeight="false" outlineLevel="0" collapsed="false">
      <c r="A23" s="5"/>
      <c r="B23" s="44" t="s">
        <v>211</v>
      </c>
      <c r="C23" s="39" t="n">
        <f aca="false">MIN(Revolver_Limit,MAX(0,-(C14+C20+Equity_Injection)))</f>
        <v>0</v>
      </c>
      <c r="D23" s="39" t="n">
        <f aca="false">MIN(Revolver_Limit,MAX(0,-(D14+D20)))-MIN(C23,MAX(0,D14+D20))</f>
        <v>0</v>
      </c>
      <c r="E23" s="39" t="n">
        <f aca="false">MIN(Revolver_Limit,MAX(0,-(E14+E20)))-MIN(D23,MAX(0,E14+E20))</f>
        <v>0</v>
      </c>
      <c r="F23" s="39" t="n">
        <f aca="false">MIN(Revolver_Limit,MAX(0,-(F14+F20)))-MIN(E23,MAX(0,F14+F20))</f>
        <v>0</v>
      </c>
      <c r="G23" s="39" t="n">
        <f aca="false">MIN(Revolver_Limit,MAX(0,-(G14+G20)))-MIN(F23,MAX(0,G14+G20))</f>
        <v>2361364.44118272</v>
      </c>
    </row>
    <row r="24" customFormat="false" ht="15" hidden="false" customHeight="false" outlineLevel="0" collapsed="false">
      <c r="A24" s="5"/>
      <c r="B24" s="44" t="s">
        <v>212</v>
      </c>
      <c r="C24" s="39" t="n">
        <f aca="false">Equity_Injection</f>
        <v>5000000</v>
      </c>
      <c r="D24" s="39" t="n">
        <f aca="false">0</f>
        <v>0</v>
      </c>
      <c r="E24" s="39" t="n">
        <f aca="false">0</f>
        <v>0</v>
      </c>
      <c r="F24" s="39" t="n">
        <f aca="false">0</f>
        <v>0</v>
      </c>
      <c r="G24" s="39" t="n">
        <f aca="false">0</f>
        <v>0</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49" t="s">
        <v>213</v>
      </c>
      <c r="C26" s="40" t="n">
        <f aca="false">C23+C24</f>
        <v>5000000</v>
      </c>
      <c r="D26" s="40" t="n">
        <f aca="false">D23+D24</f>
        <v>0</v>
      </c>
      <c r="E26" s="40" t="n">
        <f aca="false">E23+E24</f>
        <v>0</v>
      </c>
      <c r="F26" s="40" t="n">
        <f aca="false">F23+F24</f>
        <v>0</v>
      </c>
      <c r="G26" s="40" t="n">
        <f aca="false">G23+G24</f>
        <v>2361364.44118272</v>
      </c>
    </row>
    <row r="27" customFormat="false" ht="15" hidden="false" customHeight="false" outlineLevel="0" collapsed="false">
      <c r="A27" s="5"/>
      <c r="B27" s="5"/>
      <c r="C27" s="5"/>
      <c r="D27" s="5"/>
      <c r="E27" s="5"/>
      <c r="F27" s="5"/>
      <c r="G27" s="5"/>
    </row>
    <row r="28" customFormat="false" ht="15" hidden="false" customHeight="false" outlineLevel="0" collapsed="false">
      <c r="A28" s="5"/>
      <c r="B28" s="45" t="s">
        <v>214</v>
      </c>
      <c r="C28" s="42" t="n">
        <f aca="false">C14+C20+C26</f>
        <v>1777011.88102542</v>
      </c>
      <c r="D28" s="42" t="n">
        <f aca="false">D14+D20+D26</f>
        <v>2708325.35473235</v>
      </c>
      <c r="E28" s="42" t="n">
        <f aca="false">E14+E20+E26</f>
        <v>3615042.17027515</v>
      </c>
      <c r="F28" s="42" t="n">
        <f aca="false">F14+F20+F26</f>
        <v>844597.833248563</v>
      </c>
      <c r="G28" s="42" t="n">
        <f aca="false">G14+G20+G26</f>
        <v>0</v>
      </c>
    </row>
    <row r="29" customFormat="false" ht="15" hidden="false" customHeight="false" outlineLevel="0" collapsed="false">
      <c r="A29" s="5"/>
      <c r="B29" s="44" t="s">
        <v>215</v>
      </c>
      <c r="C29" s="39" t="n">
        <f aca="false">0</f>
        <v>0</v>
      </c>
      <c r="D29" s="39" t="n">
        <f aca="false">C30</f>
        <v>1777011.88102542</v>
      </c>
      <c r="E29" s="39" t="n">
        <f aca="false">D30</f>
        <v>4485337.23575777</v>
      </c>
      <c r="F29" s="39" t="n">
        <f aca="false">E30</f>
        <v>8100379.40603292</v>
      </c>
      <c r="G29" s="39" t="n">
        <f aca="false">F30</f>
        <v>8944977.23928149</v>
      </c>
    </row>
    <row r="30" customFormat="false" ht="15" hidden="false" customHeight="false" outlineLevel="0" collapsed="false">
      <c r="A30" s="5"/>
      <c r="B30" s="45" t="s">
        <v>216</v>
      </c>
      <c r="C30" s="42" t="n">
        <f aca="false">C29+C28</f>
        <v>1777011.88102542</v>
      </c>
      <c r="D30" s="42" t="n">
        <f aca="false">D29+D28</f>
        <v>4485337.23575777</v>
      </c>
      <c r="E30" s="42" t="n">
        <f aca="false">E29+E28</f>
        <v>8100379.40603292</v>
      </c>
      <c r="F30" s="42" t="n">
        <f aca="false">F29+F28</f>
        <v>8944977.23928149</v>
      </c>
      <c r="G30" s="42" t="n">
        <f aca="false">G29+G28</f>
        <v>8944977.23928149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2026-05-15T18:53:12Z</dcterms:created>
  <dc:creator>openpyxl</dc:creator>
  <dc:description/>
  <dc:language>en-GB</dc:language>
  <cp:lastModifiedBy/>
  <dcterms:modified xsi:type="dcterms:W3CDTF">2026-05-15T18:53:13Z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