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COGS_Schedule" sheetId="4" state="visible" r:id="rId6"/>
    <sheet name="OpEx_Headcount" sheetId="5" state="visible" r:id="rId7"/>
    <sheet name="CapEx_DA" sheetId="6" state="visible" r:id="rId8"/>
    <sheet name="Working_Capital" sheetId="7" state="visible" r:id="rId9"/>
    <sheet name="Debt_Schedule" sheetId="8" state="visible" r:id="rId10"/>
    <sheet name="Income_Statement" sheetId="9" state="visible" r:id="rId11"/>
    <sheet name="Balance_Sheet" sheetId="10" state="visible" r:id="rId12"/>
    <sheet name="Cash_Flow" sheetId="11" state="visible" r:id="rId13"/>
    <sheet name="Key_Metrics" sheetId="12" state="visible" r:id="rId14"/>
    <sheet name="Checks" sheetId="13" state="visible" r:id="rId15"/>
    <sheet name="Disclaimer" sheetId="14" state="visible" r:id="rId16"/>
  </sheets>
  <definedNames>
    <definedName function="false" hidden="false" name="Accrued_Pct" vbProcedure="false">Assumptions!$C$64</definedName>
    <definedName function="false" hidden="false" name="Accum_Amort_Open" vbProcedure="false">Assumptions!$C$57</definedName>
    <definedName function="false" hidden="false" name="Avg_Monthly_Vol" vbProcedure="false">Assumptions!$C$17</definedName>
    <definedName function="false" hidden="false" name="CapEx_Pct" vbProcedure="false">Assumptions!$C$55</definedName>
    <definedName function="false" hidden="false" name="CD_CapEx" vbProcedure="false">CapEx_DA!$C$9:$G$9</definedName>
    <definedName function="false" hidden="false" name="CD_Net_Software" vbProcedure="false">CapEx_DA!$C$16:$G$16</definedName>
    <definedName function="false" hidden="false" name="CD_Total_DA" vbProcedure="false">CapEx_DA!$C$14:$G$14</definedName>
    <definedName function="false" hidden="false" name="CF_CFF" vbProcedure="false">Cash_Flow!$C$27:$G$27</definedName>
    <definedName function="false" hidden="false" name="CF_CFI" vbProcedure="false">Cash_Flow!$C$21:$G$21</definedName>
    <definedName function="false" hidden="false" name="CF_CFO" vbProcedure="false">Cash_Flow!$C$17:$G$17</definedName>
    <definedName function="false" hidden="false" name="CF_Closing" vbProcedure="false">Cash_Flow!$C$32:$G$32</definedName>
    <definedName function="false" hidden="false" name="CF_Opening" vbProcedure="false">Cash_Flow!$C$31:$G$31</definedName>
    <definedName function="false" hidden="false" name="COGS_Fraud" vbProcedure="false">COGS_Schedule!$C$11:$G$11</definedName>
    <definedName function="false" hidden="false" name="COGS_Hosting" vbProcedure="false">COGS_Schedule!$C$12:$G$12</definedName>
    <definedName function="false" hidden="false" name="COGS_Interchange" vbProcedure="false">COGS_Schedule!$C$9:$G$9</definedName>
    <definedName function="false" hidden="false" name="COGS_Net_Revenue" vbProcedure="false">COGS_Schedule!$C$16:$G$16</definedName>
    <definedName function="false" hidden="false" name="COGS_Processor" vbProcedure="false">COGS_Schedule!$C$10:$G$10</definedName>
    <definedName function="false" hidden="false" name="COGS_Total" vbProcedure="false">COGS_Schedule!$C$14:$G$14</definedName>
    <definedName function="false" hidden="false" name="Commit_Fee_Rate" vbProcedure="false">Assumptions!$C$71</definedName>
    <definedName function="false" hidden="false" name="Compliance_Pct" vbProcedure="false">Assumptions!$C$50</definedName>
    <definedName function="false" hidden="false" name="Debt_Rate" vbProcedure="false">Assumptions!$C$68</definedName>
    <definedName function="false" hidden="false" name="Debt_Tenor" vbProcedure="false">Assumptions!$C$69</definedName>
    <definedName function="false" hidden="false" name="DPO_Days" vbProcedure="false">Assumptions!$C$62</definedName>
    <definedName function="false" hidden="false" name="DSO_Days" vbProcedure="false">Assumptions!$C$61</definedName>
    <definedName function="false" hidden="false" name="DS_Closing" vbProcedure="false">Debt_Schedule!$C$11:$G$11</definedName>
    <definedName function="false" hidden="false" name="DS_Commit_Fee" vbProcedure="false">Debt_Schedule!$C$14:$G$14</definedName>
    <definedName function="false" hidden="false" name="DS_Interest" vbProcedure="false">Debt_Schedule!$C$12:$G$12</definedName>
    <definedName function="false" hidden="false" name="DS_Opening" vbProcedure="false">Debt_Schedule!$C$9:$G$9</definedName>
    <definedName function="false" hidden="false" name="DS_Repayment" vbProcedure="false">Debt_Schedule!$C$10:$G$10</definedName>
    <definedName function="false" hidden="false" name="Eng_HC_Growth" vbProcedure="false">Assumptions!$C$44</definedName>
    <definedName function="false" hidden="false" name="Eng_HC_Y1" vbProcedure="false">Assumptions!$C$42</definedName>
    <definedName function="false" hidden="false" name="Eng_Salary" vbProcedure="false">Assumptions!$C$43</definedName>
    <definedName function="false" hidden="false" name="Fraud_Loss_Rate" vbProcedure="false">Assumptions!$C$38</definedName>
    <definedName function="false" hidden="false" name="GA_Base" vbProcedure="false">Assumptions!$C$48</definedName>
    <definedName function="false" hidden="false" name="GA_Growth" vbProcedure="false">Assumptions!$C$49</definedName>
    <definedName function="false" hidden="false" name="Hosting_Pct" vbProcedure="false">Assumptions!$C$39</definedName>
    <definedName function="false" hidden="false" name="Interchange_Rate" vbProcedure="false">Assumptions!$C$36</definedName>
    <definedName function="false" hidden="false" name="Int_Income_Rate" vbProcedure="false">Assumptions!$C$75</definedName>
    <definedName function="false" hidden="false" name="IS_DA" vbProcedure="false">Income_Statement!$C$37:$G$37</definedName>
    <definedName function="false" hidden="false" name="IS_EBIT" vbProcedure="false">Income_Statement!$C$38:$G$38</definedName>
    <definedName function="false" hidden="false" name="IS_EBITDA" vbProcedure="false">Income_Statement!$C$34:$G$34</definedName>
    <definedName function="false" hidden="false" name="IS_Gross_Profit" vbProcedure="false">Income_Statement!$C$22:$G$22</definedName>
    <definedName function="false" hidden="false" name="IS_Net_Income" vbProcedure="false">Income_Statement!$C$49:$G$49</definedName>
    <definedName function="false" hidden="false" name="IS_Net_Revenue" vbProcedure="false">Income_Statement!$C$14:$G$14</definedName>
    <definedName function="false" hidden="false" name="IS_SBC" vbProcedure="false">Income_Statement!$C$31:$G$31</definedName>
    <definedName function="false" hidden="false" name="IS_Total_OpEx" vbProcedure="false">Income_Statement!$C$32:$G$32</definedName>
    <definedName function="false" hidden="false" name="Merchants_Y0" vbProcedure="false">Assumptions!$C$11</definedName>
    <definedName function="false" hidden="false" name="Merchant_Churn" vbProcedure="false">Assumptions!$C$19</definedName>
    <definedName function="false" hidden="false" name="Merchant_Growth_Y1" vbProcedure="false">Assumptions!$C$12</definedName>
    <definedName function="false" hidden="false" name="Merchant_Growth_Y2" vbProcedure="false">Assumptions!$C$13</definedName>
    <definedName function="false" hidden="false" name="Merchant_Growth_Y3" vbProcedure="false">Assumptions!$C$14</definedName>
    <definedName function="false" hidden="false" name="Merchant_Growth_Y4" vbProcedure="false">Assumptions!$C$15</definedName>
    <definedName function="false" hidden="false" name="Merchant_Growth_Y5" vbProcedure="false">Assumptions!$C$16</definedName>
    <definedName function="false" hidden="false" name="Mktg_Pct_Rev" vbProcedure="false">Assumptions!$C$51</definedName>
    <definedName function="false" hidden="false" name="Model_Start_Year" vbProcedure="false">Assumptions!$C$8</definedName>
    <definedName function="false" hidden="false" name="Opening_Cap_Software" vbProcedure="false">Assumptions!$C$56</definedName>
    <definedName function="false" hidden="false" name="Open_Cash" vbProcedure="false">Assumptions!$C$78</definedName>
    <definedName function="false" hidden="false" name="Open_Ret_Earnings" vbProcedure="false">Assumptions!$C$80</definedName>
    <definedName function="false" hidden="false" name="OX_Compliance" vbProcedure="false">OpEx_Headcount!$C$18:$G$18</definedName>
    <definedName function="false" hidden="false" name="OX_Eng_HC" vbProcedure="false">OpEx_Headcount!$C$9:$G$9</definedName>
    <definedName function="false" hidden="false" name="OX_Eng_Total" vbProcedure="false">OpEx_Headcount!$C$11:$G$11</definedName>
    <definedName function="false" hidden="false" name="OX_GA" vbProcedure="false">OpEx_Headcount!$C$17:$G$17</definedName>
    <definedName function="false" hidden="false" name="OX_Mktg" vbProcedure="false">OpEx_Headcount!$C$19:$G$19</definedName>
    <definedName function="false" hidden="false" name="OX_Sales_HC" vbProcedure="false">OpEx_Headcount!$C$13:$G$13</definedName>
    <definedName function="false" hidden="false" name="OX_Sales_Total" vbProcedure="false">OpEx_Headcount!$C$15:$G$15</definedName>
    <definedName function="false" hidden="false" name="OX_SBC" vbProcedure="false">OpEx_Headcount!$C$20:$G$20</definedName>
    <definedName function="false" hidden="false" name="OX_Total" vbProcedure="false">OpEx_Headcount!$C$22:$G$22</definedName>
    <definedName function="false" hidden="false" name="Platform_Fee" vbProcedure="false">Assumptions!$C$29</definedName>
    <definedName function="false" hidden="false" name="Platform_Fee_Growth" vbProcedure="false">Assumptions!$C$30</definedName>
    <definedName function="false" hidden="false" name="Prepaid_Pct" vbProcedure="false">Assumptions!$C$63</definedName>
    <definedName function="false" hidden="false" name="Processor_Fee_Rate" vbProcedure="false">Assumptions!$C$37</definedName>
    <definedName function="false" hidden="false" name="RB_Active_Merchants" vbProcedure="false">Revenue_Build!$C$9:$G$9</definedName>
    <definedName function="false" hidden="false" name="RB_Gross_Txn_Rev" vbProcedure="false">Revenue_Build!$C$14:$G$14</definedName>
    <definedName function="false" hidden="false" name="RB_Sub_Rev" vbProcedure="false">Revenue_Build!$C$19:$G$19</definedName>
    <definedName function="false" hidden="false" name="RB_Total_Gross" vbProcedure="false">Revenue_Build!$C$26:$G$26</definedName>
    <definedName function="false" hidden="false" name="RB_TPV" vbProcedure="false">Revenue_Build!$C$11:$G$11</definedName>
    <definedName function="false" hidden="false" name="RB_VAS_Rev" vbProcedure="false">Revenue_Build!$C$24:$G$24</definedName>
    <definedName function="false" hidden="false" name="Revolver_Limit" vbProcedure="false">Assumptions!$C$70</definedName>
    <definedName function="false" hidden="false" name="Sales_HC_Growth" vbProcedure="false">Assumptions!$C$47</definedName>
    <definedName function="false" hidden="false" name="Sales_HC_Y1" vbProcedure="false">Assumptions!$C$45</definedName>
    <definedName function="false" hidden="false" name="Sales_Salary" vbProcedure="false">Assumptions!$C$46</definedName>
    <definedName function="false" hidden="false" name="SBC_Pct" vbProcedure="false">Assumptions!$C$52</definedName>
    <definedName function="false" hidden="false" name="Share_Capital" vbProcedure="false">Assumptions!$C$79</definedName>
    <definedName function="false" hidden="false" name="Take_Rate_Y1" vbProcedure="false">Assumptions!$C$22</definedName>
    <definedName function="false" hidden="false" name="Take_Rate_Y2" vbProcedure="false">Assumptions!$C$23</definedName>
    <definedName function="false" hidden="false" name="Take_Rate_Y3" vbProcedure="false">Assumptions!$C$24</definedName>
    <definedName function="false" hidden="false" name="Take_Rate_Y4" vbProcedure="false">Assumptions!$C$25</definedName>
    <definedName function="false" hidden="false" name="Take_Rate_Y5" vbProcedure="false">Assumptions!$C$26</definedName>
    <definedName function="false" hidden="false" name="Tax_Rate" vbProcedure="false">Assumptions!$C$74</definedName>
    <definedName function="false" hidden="false" name="Useful_Life" vbProcedure="false">Assumptions!$C$58</definedName>
    <definedName function="false" hidden="false" name="VAS_Fee_Bps" vbProcedure="false">Assumptions!$C$32</definedName>
    <definedName function="false" hidden="false" name="VAS_Penetration" vbProcedure="false">Assumptions!$C$31</definedName>
    <definedName function="false" hidden="false" name="VAS_Pen_Growth" vbProcedure="false">Assumptions!$C$33</definedName>
    <definedName function="false" hidden="false" name="Venture_Debt_Amt" vbProcedure="false">Assumptions!$C$67</definedName>
    <definedName function="false" hidden="false" name="Vol_Growth" vbProcedure="false">Assumptions!$C$18</definedName>
    <definedName function="false" hidden="false" name="WC_Accrued" vbProcedure="false">Working_Capital!$C$15:$G$15</definedName>
    <definedName function="false" hidden="false" name="WC_Merch_Pay" vbProcedure="false">Working_Capital!$C$14:$G$14</definedName>
    <definedName function="false" hidden="false" name="WC_Prepaid" vbProcedure="false">Working_Capital!$C$10:$G$10</definedName>
    <definedName function="false" hidden="false" name="WC_Settle_Rec" vbProcedure="false">Working_Capital!$C$9:$G$9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<sst xmlns="http://schemas.openxmlformats.org/spreadsheetml/2006/main" count="435" uniqueCount="332">
  <si>
    <t xml:space="preserve">Fintech Payments Platform</t>
  </si>
  <si>
    <t xml:space="preserve">FINAMODEL.com</t>
  </si>
  <si>
    <t xml:space="preserve">Financial Model</t>
  </si>
  <si>
    <t xml:space="preserve">Company Name</t>
  </si>
  <si>
    <t xml:space="preserve">[Company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</si>
  <si>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</si>
  <si>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</si>
  <si>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</si>
  <si>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</si>
  <si>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</si>
  <si>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</si>
  <si>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</si>
  <si>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</si>
  <si>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</si>
  <si>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Revenue_Build</t>
  </si>
  <si>
    <t xml:space="preserve">TPV, take rates, subscription, VAS</t>
  </si>
  <si>
    <t xml:space="preserve">COGS_Schedule</t>
  </si>
  <si>
    <t xml:space="preserve">Interchange, processor, fraud, hosting</t>
  </si>
  <si>
    <t xml:space="preserve">OpEx_Headcount</t>
  </si>
  <si>
    <t xml:space="preserve">Engineering, sales, G&amp;A, compliance</t>
  </si>
  <si>
    <t xml:space="preserve">CapEx_DA</t>
  </si>
  <si>
    <t xml:space="preserve">Capitalised software, amortisation</t>
  </si>
  <si>
    <t xml:space="preserve">Working_Capital</t>
  </si>
  <si>
    <t xml:space="preserve">Settlement receivables, merchant payables</t>
  </si>
  <si>
    <t xml:space="preserve">Debt_Schedule</t>
  </si>
  <si>
    <t xml:space="preserve">Venture debt, revolver facility</t>
  </si>
  <si>
    <t xml:space="preserve">Income_Statement</t>
  </si>
  <si>
    <t xml:space="preserve">Net revenue to net income</t>
  </si>
  <si>
    <t xml:space="preserve">Balance_Sheet</t>
  </si>
  <si>
    <t xml:space="preserve">Assets, liabilities, equity</t>
  </si>
  <si>
    <t xml:space="preserve">Cash_Flow</t>
  </si>
  <si>
    <t xml:space="preserve">CFO, CFI, CFF reconciliation</t>
  </si>
  <si>
    <t xml:space="preserve">Key_Metrics</t>
  </si>
  <si>
    <t xml:space="preserve">TPV growth, margins, unit economics</t>
  </si>
  <si>
    <t xml:space="preserve">Checks</t>
  </si>
  <si>
    <t xml:space="preserve">Validation and integrity checks</t>
  </si>
  <si>
    <t xml:space="preserve">Tab Colour Legend</t>
  </si>
  <si>
    <t xml:space="preserve">Dark Blue</t>
  </si>
  <si>
    <t xml:space="preserve">Cover</t>
  </si>
  <si>
    <t xml:space="preserve">Light Blue</t>
  </si>
  <si>
    <t xml:space="preserve">Assumptions / Inputs</t>
  </si>
  <si>
    <t xml:space="preserve">Green</t>
  </si>
  <si>
    <t xml:space="preserve">Revenue &amp; Income Drivers</t>
  </si>
  <si>
    <t xml:space="preserve">Orange</t>
  </si>
  <si>
    <t xml:space="preserve">Cost Schedules</t>
  </si>
  <si>
    <t xml:space="preserve">Grey</t>
  </si>
  <si>
    <t xml:space="preserve">Financial Statements</t>
  </si>
  <si>
    <t xml:space="preserve">Red</t>
  </si>
  <si>
    <t xml:space="preserve">Debt Schedule</t>
  </si>
  <si>
    <t xml:space="preserve">About this model</t>
  </si>
  <si>
    <t xml:space="preserve">A fintech payments platform model projects profitability for a software company that facilitates electronic transactions between merchants and consumers, earning a blended take rate (0.2â3% of total payment volume, or TPV) that varies by merchant size and payment type. For a platform processing $5 billion in annual TPV, total gross revenue is $12.5â75 million depending on take rate; the key is that TPV is 50â200x larger than revenue, so confusing the two destroys the model.
The model separates transaction processing revenue from subscription fees ($25â200 per merchant monthly) and value-added services (fraud protection, instant settlement, FX markup). The largest cost is interchangeâfees paid to card networks and issuing banksâwhich runs 60â75% of gross transaction revenue, compressing margins significantly. Net revenue (after interchange deduction) generates gross margins of 55â70%, but operating expenses (engineering 20â30%, sales &amp; marketing 15â25%, compliance 3â5%, G&amp;A 8â12%) consume most of that, leaving EBITDA margins of 0â30% depending on scale and maturity.
Working capital is favorable: settlement float (the time between collecting from merchants and paying out) is typically negative 1â3 days, so the platform holds merchant funds briefly before remittance. The model shows the path to profitability as transaction volume scales and operating leverage kicks in. This template is suitable for VC and growth equity investors evaluating fintech payment platforms.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</si>
  <si>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</si>
  <si>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</si>
  <si>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</si>
  <si>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</si>
  <si>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</si>
  <si>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</si>
  <si>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</si>
  <si>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</si>
  <si>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</si>
  <si>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</si>
  <si>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</si>
  <si>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</si>
  <si>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Merchant &amp; Volume</t>
  </si>
  <si>
    <t xml:space="preserve">Active Merchants (Y0)</t>
  </si>
  <si>
    <t xml:space="preserve">#</t>
  </si>
  <si>
    <t xml:space="preserve">Starting merchant base</t>
  </si>
  <si>
    <t xml:space="preserve">Merchant Growth Y1</t>
  </si>
  <si>
    <t xml:space="preserve">%</t>
  </si>
  <si>
    <t xml:space="preserve">Rapid early acquisition</t>
  </si>
  <si>
    <t xml:space="preserve">Merchant Growth Y2</t>
  </si>
  <si>
    <t xml:space="preserve">Merchant Growth Y3</t>
  </si>
  <si>
    <t xml:space="preserve">Merchant Growth Y4</t>
  </si>
  <si>
    <t xml:space="preserve">Maturing base</t>
  </si>
  <si>
    <t xml:space="preserve">Merchant Growth Y5</t>
  </si>
  <si>
    <t xml:space="preserve">Avg Monthly Volume</t>
  </si>
  <si>
    <t xml:space="preserve">$</t>
  </si>
  <si>
    <t xml:space="preserve">Per merchant per month</t>
  </si>
  <si>
    <t xml:space="preserve">Volume Growth</t>
  </si>
  <si>
    <t xml:space="preserve">Same-store annual growth</t>
  </si>
  <si>
    <t xml:space="preserve">Monthly Churn Rate</t>
  </si>
  <si>
    <t xml:space="preserve">Merchant attrition</t>
  </si>
  <si>
    <t xml:space="preserve">Take Rates</t>
  </si>
  <si>
    <t xml:space="preserve">Blended Take Rate Y1</t>
  </si>
  <si>
    <t xml:space="preserve">SMB-heavy mix</t>
  </si>
  <si>
    <t xml:space="preserve">Blended Take Rate Y2</t>
  </si>
  <si>
    <t xml:space="preserve">Slight compression</t>
  </si>
  <si>
    <t xml:space="preserve">Blended Take Rate Y3</t>
  </si>
  <si>
    <t xml:space="preserve">Blended Take Rate Y4</t>
  </si>
  <si>
    <t xml:space="preserve">Enterprise mix growing</t>
  </si>
  <si>
    <t xml:space="preserve">Blended Take Rate Y5</t>
  </si>
  <si>
    <t xml:space="preserve">Subscription &amp; VAS</t>
  </si>
  <si>
    <t xml:space="preserve">Monthly Platform Fee</t>
  </si>
  <si>
    <t xml:space="preserve">$/month</t>
  </si>
  <si>
    <t xml:space="preserve">Per merchant subscription</t>
  </si>
  <si>
    <t xml:space="preserve">Platform Fee Growth</t>
  </si>
  <si>
    <t xml:space="preserve">Annual price escalation</t>
  </si>
  <si>
    <t xml:space="preserve">VAS Penetration</t>
  </si>
  <si>
    <t xml:space="preserve">Of merchants using VAS</t>
  </si>
  <si>
    <t xml:space="preserve">VAS Fee (bps of TPV)</t>
  </si>
  <si>
    <t xml:space="preserve">FX, fraud tools, instant settle</t>
  </si>
  <si>
    <t xml:space="preserve">VAS Penetration Growth</t>
  </si>
  <si>
    <t xml:space="preserve">Annual improvement in pen rate</t>
  </si>
  <si>
    <t xml:space="preserve">COGS / Direct Costs</t>
  </si>
  <si>
    <t xml:space="preserve">Interchange Rate</t>
  </si>
  <si>
    <t xml:space="preserve">% of gross txn revenue</t>
  </si>
  <si>
    <t xml:space="preserve">Processor Fee Rate</t>
  </si>
  <si>
    <t xml:space="preserve">Fraud/Chargeback Rate</t>
  </si>
  <si>
    <t xml:space="preserve">% of TPV</t>
  </si>
  <si>
    <t xml:space="preserve">Hosting % Net Revenue</t>
  </si>
  <si>
    <t xml:space="preserve">Cloud infrastructure</t>
  </si>
  <si>
    <t xml:space="preserve">Operating Expenses</t>
  </si>
  <si>
    <t xml:space="preserve">Engineering HC (Y1)</t>
  </si>
  <si>
    <t xml:space="preserve">Engineers + product</t>
  </si>
  <si>
    <t xml:space="preserve">Avg Eng Salary</t>
  </si>
  <si>
    <t xml:space="preserve">Fully loaded annual</t>
  </si>
  <si>
    <t xml:space="preserve">Eng HC Growth</t>
  </si>
  <si>
    <t xml:space="preserve">Annual headcount growth</t>
  </si>
  <si>
    <t xml:space="preserve">Sales HC (Y1)</t>
  </si>
  <si>
    <t xml:space="preserve">SDRs + AEs + managers</t>
  </si>
  <si>
    <t xml:space="preserve">Avg Sales Salary</t>
  </si>
  <si>
    <t xml:space="preserve">Sales HC Growth</t>
  </si>
  <si>
    <t xml:space="preserve">Aggressive hiring</t>
  </si>
  <si>
    <t xml:space="preserve">G&amp;A Base</t>
  </si>
  <si>
    <t xml:space="preserve">Finance, legal, HR, office</t>
  </si>
  <si>
    <t xml:space="preserve">G&amp;A Growth</t>
  </si>
  <si>
    <t xml:space="preserve">Annual escalation</t>
  </si>
  <si>
    <t xml:space="preserve">Compliance % Net Rev</t>
  </si>
  <si>
    <t xml:space="preserve">AML/KYC, PCI, SOC2</t>
  </si>
  <si>
    <t xml:space="preserve">Marketing % Net Rev</t>
  </si>
  <si>
    <t xml:space="preserve">Digital + events</t>
  </si>
  <si>
    <t xml:space="preserve">SBC % Net Revenue</t>
  </si>
  <si>
    <t xml:space="preserve">Stock-based compensation</t>
  </si>
  <si>
    <t xml:space="preserve">CapEx &amp; Amortisation</t>
  </si>
  <si>
    <t xml:space="preserve">CapEx % Net Revenue</t>
  </si>
  <si>
    <t xml:space="preserve">Capitalised software dev</t>
  </si>
  <si>
    <t xml:space="preserve">Opening Cap. Software</t>
  </si>
  <si>
    <t xml:space="preserve">Gross capitalised dev</t>
  </si>
  <si>
    <t xml:space="preserve">Accum. Amortisation</t>
  </si>
  <si>
    <t xml:space="preserve">Year 0 accumulated</t>
  </si>
  <si>
    <t xml:space="preserve">Useful Life</t>
  </si>
  <si>
    <t xml:space="preserve">years</t>
  </si>
  <si>
    <t xml:space="preserve">Straight-line amort</t>
  </si>
  <si>
    <t xml:space="preserve">Working Capital</t>
  </si>
  <si>
    <t xml:space="preserve">Days Sales Outstanding</t>
  </si>
  <si>
    <t xml:space="preserve">days</t>
  </si>
  <si>
    <t xml:space="preserve">Settlement cycle</t>
  </si>
  <si>
    <t xml:space="preserve">Days Payable Outstanding</t>
  </si>
  <si>
    <t xml:space="preserve">Merchant payout speed</t>
  </si>
  <si>
    <t xml:space="preserve">Prepaid % Net Revenue</t>
  </si>
  <si>
    <t xml:space="preserve">Prepaid software/insurance</t>
  </si>
  <si>
    <t xml:space="preserve">Accrued % OpEx</t>
  </si>
  <si>
    <t xml:space="preserve">Accrued compensation etc.</t>
  </si>
  <si>
    <t xml:space="preserve">Debt</t>
  </si>
  <si>
    <t xml:space="preserve">Venture Debt</t>
  </si>
  <si>
    <t xml:space="preserve">Initial borrowing</t>
  </si>
  <si>
    <t xml:space="preserve">Interest Rate</t>
  </si>
  <si>
    <t xml:space="preserve">SOFR + 400bps</t>
  </si>
  <si>
    <t xml:space="preserve">Debt Tenor</t>
  </si>
  <si>
    <t xml:space="preserve">Amortisation period</t>
  </si>
  <si>
    <t xml:space="preserve">Revolver Limit</t>
  </si>
  <si>
    <t xml:space="preserve">Committed facility</t>
  </si>
  <si>
    <t xml:space="preserve">Commitment Fee Rate</t>
  </si>
  <si>
    <t xml:space="preserve">On undrawn amount</t>
  </si>
  <si>
    <t xml:space="preserve">Tax &amp; Interest</t>
  </si>
  <si>
    <t xml:space="preserve">Corporate Tax Rate</t>
  </si>
  <si>
    <t xml:space="preserve">Federal + state blended</t>
  </si>
  <si>
    <t xml:space="preserve">Interest Income Rate</t>
  </si>
  <si>
    <t xml:space="preserve">On prior period cash</t>
  </si>
  <si>
    <t xml:space="preserve">Opening Balance Sheet</t>
  </si>
  <si>
    <t xml:space="preserve">Opening Cash</t>
  </si>
  <si>
    <t xml:space="preserve">Series B cash on hand</t>
  </si>
  <si>
    <t xml:space="preserve">Share Capital</t>
  </si>
  <si>
    <t xml:space="preserve">Cumulative equity raised</t>
  </si>
  <si>
    <t xml:space="preserve">Opening Ret. Earnings</t>
  </si>
  <si>
    <t xml:space="preserve">Plug to balance Y0 BS</t>
  </si>
  <si>
    <t xml:space="preserve">Revenue Build</t>
  </si>
  <si>
    <t xml:space="preserve">Driver-Based</t>
  </si>
  <si>
    <t xml:space="preserve">Year #</t>
  </si>
  <si>
    <t xml:space="preserve">Transaction Processing</t>
  </si>
  <si>
    <t xml:space="preserve">Active Merchants</t>
  </si>
  <si>
    <t xml:space="preserve">Total Payment Volume</t>
  </si>
  <si>
    <t xml:space="preserve">Take Rate &amp; Gross Revenue</t>
  </si>
  <si>
    <t xml:space="preserve">Blended Take Rate</t>
  </si>
  <si>
    <t xml:space="preserve">Gross Transaction Rev</t>
  </si>
  <si>
    <t xml:space="preserve">Subscription Revenue</t>
  </si>
  <si>
    <t xml:space="preserve">Subscribing Merchants</t>
  </si>
  <si>
    <t xml:space="preserve">Monthly Fee</t>
  </si>
  <si>
    <t xml:space="preserve">Value-Added Services</t>
  </si>
  <si>
    <t xml:space="preserve">VAS Penetration Rate</t>
  </si>
  <si>
    <t xml:space="preserve">VAS Revenue</t>
  </si>
  <si>
    <t xml:space="preserve">TOTAL GROSS REVENUE</t>
  </si>
  <si>
    <t xml:space="preserve">COGS Schedule</t>
  </si>
  <si>
    <t xml:space="preserve">Direct Costs</t>
  </si>
  <si>
    <t xml:space="preserve">Interchange &amp; Network</t>
  </si>
  <si>
    <t xml:space="preserve">Processor Fees</t>
  </si>
  <si>
    <t xml:space="preserve">Fraud &amp; Chargebacks</t>
  </si>
  <si>
    <t xml:space="preserve">Cloud Hosting</t>
  </si>
  <si>
    <t xml:space="preserve">TOTAL DIRECT COSTS</t>
  </si>
  <si>
    <t xml:space="preserve">NET REVENUE</t>
  </si>
  <si>
    <t xml:space="preserve">Gross Margin</t>
  </si>
  <si>
    <t xml:space="preserve">OpEx &amp; Headcount</t>
  </si>
  <si>
    <t xml:space="preserve">Engineering &amp; Product</t>
  </si>
  <si>
    <t xml:space="preserve">Engineering HC</t>
  </si>
  <si>
    <t xml:space="preserve">Avg Salary</t>
  </si>
  <si>
    <t xml:space="preserve">Engineering Cost</t>
  </si>
  <si>
    <t xml:space="preserve">Sales &amp; Marketing</t>
  </si>
  <si>
    <t xml:space="preserve">Sales HC</t>
  </si>
  <si>
    <t xml:space="preserve">Sales Compensation</t>
  </si>
  <si>
    <t xml:space="preserve">Other Operating Costs</t>
  </si>
  <si>
    <t xml:space="preserve">G&amp;A</t>
  </si>
  <si>
    <t xml:space="preserve">Compliance &amp; Regulatory</t>
  </si>
  <si>
    <t xml:space="preserve">Marketing</t>
  </si>
  <si>
    <t xml:space="preserve">Stock-Based Compensation</t>
  </si>
  <si>
    <t xml:space="preserve">TOTAL OPERATING EXPENSES</t>
  </si>
  <si>
    <t xml:space="preserve">Capitalised Software</t>
  </si>
  <si>
    <t xml:space="preserve">Capital Expenditure</t>
  </si>
  <si>
    <t xml:space="preserve">CapEx (Cap. Software)</t>
  </si>
  <si>
    <t xml:space="preserve">Amortisation Schedule</t>
  </si>
  <si>
    <t xml:space="preserve">Gross Cap. Software</t>
  </si>
  <si>
    <t xml:space="preserve">Amort. (Existing)</t>
  </si>
  <si>
    <t xml:space="preserve">Amort. (New)</t>
  </si>
  <si>
    <t xml:space="preserve">Total Amortisation</t>
  </si>
  <si>
    <t xml:space="preserve">Net Cap. Software</t>
  </si>
  <si>
    <t xml:space="preserve">Settlement Cycle</t>
  </si>
  <si>
    <t xml:space="preserve">Current Assets</t>
  </si>
  <si>
    <t xml:space="preserve">Settlement Receivables</t>
  </si>
  <si>
    <t xml:space="preserve">Prepaid Expenses</t>
  </si>
  <si>
    <t xml:space="preserve">Total WC Assets</t>
  </si>
  <si>
    <t xml:space="preserve">Current Liabilities</t>
  </si>
  <si>
    <t xml:space="preserve">Merchant Payables</t>
  </si>
  <si>
    <t xml:space="preserve">Accrued Liabilities</t>
  </si>
  <si>
    <t xml:space="preserve">Total WC Liabilities</t>
  </si>
  <si>
    <t xml:space="preserve">NET WORKING CAPITAL</t>
  </si>
  <si>
    <t xml:space="preserve">Opening Balance</t>
  </si>
  <si>
    <t xml:space="preserve">Repayment</t>
  </si>
  <si>
    <t xml:space="preserve">Closing Balance</t>
  </si>
  <si>
    <t xml:space="preserve">Interest Expense</t>
  </si>
  <si>
    <t xml:space="preserve">Revolver</t>
  </si>
  <si>
    <t xml:space="preserve">Commitment Fee</t>
  </si>
  <si>
    <t xml:space="preserve">Income Statement</t>
  </si>
  <si>
    <t xml:space="preserve">Annual Projections</t>
  </si>
  <si>
    <t xml:space="preserve">Revenue</t>
  </si>
  <si>
    <t xml:space="preserve">Interchange (Pass-Through)</t>
  </si>
  <si>
    <t xml:space="preserve">Net Transaction Rev</t>
  </si>
  <si>
    <t xml:space="preserve">TOTAL NET REVENUE</t>
  </si>
  <si>
    <t xml:space="preserve">Total Direct Costs</t>
  </si>
  <si>
    <t xml:space="preserve">GROSS PROFIT</t>
  </si>
  <si>
    <t xml:space="preserve">Total Operating Expenses</t>
  </si>
  <si>
    <t xml:space="preserve">EBITDA</t>
  </si>
  <si>
    <t xml:space="preserve">EBITDA Margin</t>
  </si>
  <si>
    <t xml:space="preserve">Depreciation &amp; Amort.</t>
  </si>
  <si>
    <t xml:space="preserve">EBIT</t>
  </si>
  <si>
    <t xml:space="preserve">Interest</t>
  </si>
  <si>
    <t xml:space="preserve">Interest Income</t>
  </si>
  <si>
    <t xml:space="preserve">Net Interest Expense</t>
  </si>
  <si>
    <t xml:space="preserve">EBT</t>
  </si>
  <si>
    <t xml:space="preserve">Tax</t>
  </si>
  <si>
    <t xml:space="preserve">NET INCOME</t>
  </si>
  <si>
    <t xml:space="preserve">Net Margin</t>
  </si>
  <si>
    <t xml:space="preserve">Balance Sheet</t>
  </si>
  <si>
    <t xml:space="preserve">Year-End Positions</t>
  </si>
  <si>
    <t xml:space="preserve">Assets</t>
  </si>
  <si>
    <t xml:space="preserve">Cash &amp; Equivalents</t>
  </si>
  <si>
    <t xml:space="preserve">Total Current Assets</t>
  </si>
  <si>
    <t xml:space="preserve">Non-Current Assets</t>
  </si>
  <si>
    <t xml:space="preserve">Total Non-Current Assets</t>
  </si>
  <si>
    <t xml:space="preserve">TOTAL ASSETS</t>
  </si>
  <si>
    <t xml:space="preserve">Liabilities</t>
  </si>
  <si>
    <t xml:space="preserve">Current Portion LTD</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</si>
  <si>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</si>
  <si>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</si>
  <si>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</si>
  <si>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</si>
  <si>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</si>
  <si>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</si>
  <si>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</si>
  <si>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</si>
  <si>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LIABILITIES &amp; EQUITY</t>
  </si>
  <si>
    <t xml:space="preserve">Balance Check</t>
  </si>
  <si>
    <t xml:space="preserve">Cash Flow Statement</t>
  </si>
  <si>
    <t xml:space="preserve">Indirect Method</t>
  </si>
  <si>
    <t xml:space="preserve">Operating Activities</t>
  </si>
  <si>
    <t xml:space="preserve">Net Income</t>
  </si>
  <si>
    <t xml:space="preserve">Working Capital Changes</t>
  </si>
  <si>
    <t xml:space="preserve">Chg Settlement Rec</t>
  </si>
  <si>
    <t xml:space="preserve">Chg Prepaid Expenses</t>
  </si>
  <si>
    <t xml:space="preserve">Chg Merchant Payables</t>
  </si>
  <si>
    <t xml:space="preserve">Chg Accrued Liabilities</t>
  </si>
  <si>
    <t xml:space="preserve">CASH FROM OPERATIONS</t>
  </si>
  <si>
    <t xml:space="preserve">Investing Activities</t>
  </si>
  <si>
    <t xml:space="preserve">CASH FROM INVESTING</t>
  </si>
  <si>
    <t xml:space="preserve">Financing Activities</t>
  </si>
  <si>
    <t xml:space="preserve">Debt Proceeds</t>
  </si>
  <si>
    <t xml:space="preserve">Debt Repayment</t>
  </si>
  <si>
    <t xml:space="preserve">Equity Injection</t>
  </si>
  <si>
    <t xml:space="preserve">CASH FROM FINANCING</t>
  </si>
  <si>
    <t xml:space="preserve">NET CHANGE IN CASH</t>
  </si>
  <si>
    <t xml:space="preserve">Closing Cash</t>
  </si>
  <si>
    <t xml:space="preserve">Key Metrics</t>
  </si>
  <si>
    <t xml:space="preserve">Performance Summary</t>
  </si>
  <si>
    <t xml:space="preserve">Volume &amp; Revenue Metrics</t>
  </si>
  <si>
    <t xml:space="preserve">TPV Growth</t>
  </si>
  <si>
    <t xml:space="preserve">Net Rev / Merchant</t>
  </si>
  <si>
    <t xml:space="preserve">Operational Metrics</t>
  </si>
  <si>
    <t xml:space="preserve">Total Headcount</t>
  </si>
  <si>
    <t xml:space="preserve">Net Rev / Employee</t>
  </si>
  <si>
    <t xml:space="preserve">Cash Conversion</t>
  </si>
  <si>
    <t xml:space="preserve">Validation Checks</t>
  </si>
  <si>
    <t xml:space="preserve">Model Integrity</t>
  </si>
  <si>
    <t xml:space="preserve">BS Balance (0 = OK)</t>
  </si>
  <si>
    <t xml:space="preserve">CF Recon (0 = OK)</t>
  </si>
  <si>
    <t xml:space="preserve">Interchange % Gross Rev</t>
  </si>
  <si>
    <t xml:space="preserve">Rev Consistency (0=OK)</t>
  </si>
  <si>
    <t xml:space="preserve">Cash Balance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</si>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</sst>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00%"/>
    <numFmt numFmtId="167" formatCode="0"/>
    <numFmt numFmtId="168" formatCode="\$#,##0.00"/>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1"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1"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2"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7" t="s">
        <v>34</v>
      </c>
      <c r="C22" s="8" t="s">
        <v>35</v>
      </c>
      <c r="D22" s="6"/>
    </row>
    <row r="23" customFormat="false" ht="15" hidden="false" customHeight="false" outlineLevel="0" collapsed="false">
      <c r="A23" s="6"/>
      <c r="B23" s="6"/>
      <c r="C23" s="6"/>
      <c r="D23" s="6"/>
    </row>
    <row r="24" customFormat="false" ht="15" hidden="false" customHeight="false" outlineLevel="0" collapsed="false">
      <c r="A24" s="6"/>
      <c r="B24" s="9" t="s">
        <v>36</v>
      </c>
      <c r="C24" s="10"/>
      <c r="D24" s="10"/>
    </row>
    <row r="25" customFormat="false" ht="15" hidden="false" customHeight="false" outlineLevel="0" collapsed="false">
      <c r="A25" s="6"/>
      <c r="B25" s="7" t="s">
        <v>37</v>
      </c>
      <c r="C25" s="8" t="s">
        <v>38</v>
      </c>
      <c r="D25" s="11"/>
    </row>
    <row r="26" customFormat="false" ht="15" hidden="false" customHeight="false" outlineLevel="0" collapsed="false">
      <c r="A26" s="6"/>
      <c r="B26" s="7" t="s">
        <v>39</v>
      </c>
      <c r="C26" s="8" t="s">
        <v>40</v>
      </c>
      <c r="D26" s="12"/>
    </row>
    <row r="27" customFormat="false" ht="15" hidden="false" customHeight="false" outlineLevel="0" collapsed="false">
      <c r="A27" s="6"/>
      <c r="B27" s="7" t="s">
        <v>41</v>
      </c>
      <c r="C27" s="8" t="s">
        <v>42</v>
      </c>
      <c r="D27" s="13"/>
    </row>
    <row r="28" customFormat="false" ht="15" hidden="false" customHeight="false" outlineLevel="0" collapsed="false">
      <c r="A28" s="6"/>
      <c r="B28" s="7" t="s">
        <v>43</v>
      </c>
      <c r="C28" s="8" t="s">
        <v>44</v>
      </c>
      <c r="D28" s="14"/>
    </row>
    <row r="29" customFormat="false" ht="15" hidden="false" customHeight="false" outlineLevel="0" collapsed="false">
      <c r="A29" s="6"/>
      <c r="B29" s="7" t="s">
        <v>45</v>
      </c>
      <c r="C29" s="8" t="s">
        <v>46</v>
      </c>
      <c r="D29" s="15"/>
    </row>
    <row r="30" customFormat="false" ht="15" hidden="false" customHeight="false" outlineLevel="0" collapsed="false">
      <c r="A30" s="6"/>
      <c r="B30" s="7" t="s">
        <v>47</v>
      </c>
      <c r="C30" s="8" t="s">
        <v>48</v>
      </c>
      <c r="D30" s="16"/>
    </row>
    <row r="33" customFormat="false" ht="19.5" hidden="false" customHeight="true" outlineLevel="0" collapsed="false">
      <c r="B33" s="17" t="s">
        <v>49</v>
      </c>
      <c r="C33" s="18"/>
      <c r="D33" s="18"/>
      <c r="E33" s="18"/>
      <c r="F33" s="18"/>
      <c r="G33" s="18"/>
    </row>
    <row r="34" customFormat="false" ht="220.5" hidden="false" customHeight="true" outlineLevel="0" collapsed="false">
      <c r="B34" s="19" t="s">
        <v>50</v>
      </c>
      <c r="C34" s="19"/>
      <c r="D34" s="19"/>
      <c r="E34" s="19"/>
      <c r="F34" s="19"/>
      <c r="G34" s="19"/>
    </row>
    <row r="36" customFormat="false" ht="19.5" hidden="false" customHeight="true" outlineLevel="0" collapsed="false">
      <c r="B36" s="17" t="s">
        <v>51</v>
      </c>
      <c r="C36" s="18"/>
      <c r="D36" s="18"/>
      <c r="E36" s="18"/>
      <c r="F36" s="18"/>
      <c r="G36" s="18"/>
    </row>
    <row r="37" customFormat="false" ht="57" hidden="false" customHeight="true" outlineLevel="0" collapsed="false">
      <c r="B37" s="19" t="s">
        <v>52</v>
      </c>
      <c r="C37" s="19"/>
      <c r="D37" s="19"/>
      <c r="E37" s="19"/>
      <c r="F37" s="19"/>
      <c r="G37" s="19"/>
    </row>
    <row r="38" customFormat="false" ht="15" hidden="false" customHeight="false" outlineLevel="0" collapsed="false">
      <c r="B38" s="20" t="s">
        <v>53</v>
      </c>
      <c r="C38" s="20"/>
      <c r="D38" s="20"/>
      <c r="E38" s="20"/>
      <c r="F38" s="20"/>
      <c r="G38" s="20"/>
    </row>
    <row r="39" customFormat="false" ht="15" hidden="false" customHeight="false" outlineLevel="0" collapsed="false">
      <c r="B39" s="21" t="s">
        <v>54</v>
      </c>
    </row>
  </sheetData>
  <mergeCells count="3">
    <mergeCell ref="B34:G34"/>
    <mergeCell ref="B37:G37"/>
    <mergeCell ref="B38:G3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262</v>
      </c>
      <c r="C8" s="10"/>
      <c r="D8" s="10"/>
      <c r="E8" s="10"/>
      <c r="F8" s="10"/>
      <c r="G8" s="10"/>
    </row>
    <row r="9" customFormat="false" ht="15" hidden="false" customHeight="false" outlineLevel="0" collapsed="false">
      <c r="A9" s="6"/>
      <c r="B9" s="38" t="s">
        <v>225</v>
      </c>
      <c r="C9" s="6"/>
      <c r="D9" s="6"/>
      <c r="E9" s="6"/>
      <c r="F9" s="6"/>
      <c r="G9" s="6"/>
    </row>
    <row r="10" customFormat="false" ht="15" hidden="false" customHeight="false" outlineLevel="0" collapsed="false">
      <c r="A10" s="6"/>
      <c r="B10" s="30" t="s">
        <v>263</v>
      </c>
      <c r="C10" s="31" t="n">
        <f aca="false">CF_Closing</f>
        <v>39642934.8276301</v>
      </c>
      <c r="D10" s="31" t="n">
        <f aca="false">CF_Closing</f>
        <v>47437885.9939901</v>
      </c>
      <c r="E10" s="31" t="n">
        <f aca="false">CF_Closing</f>
        <v>58728635.0671403</v>
      </c>
      <c r="F10" s="31" t="n">
        <f aca="false">CF_Closing</f>
        <v>73317036.0289098</v>
      </c>
      <c r="G10" s="31" t="n">
        <f aca="false">CF_Closing</f>
        <v>91397425.2430099</v>
      </c>
    </row>
    <row r="11" customFormat="false" ht="15" hidden="false" customHeight="false" outlineLevel="0" collapsed="false">
      <c r="A11" s="6"/>
      <c r="B11" s="30" t="s">
        <v>226</v>
      </c>
      <c r="C11" s="31" t="n">
        <f aca="false">WC_Settle_Rec</f>
        <v>499190.794520548</v>
      </c>
      <c r="D11" s="31" t="n">
        <f aca="false">WC_Settle_Rec</f>
        <v>642975.583561644</v>
      </c>
      <c r="E11" s="31" t="n">
        <f aca="false">WC_Settle_Rec</f>
        <v>795195.493150685</v>
      </c>
      <c r="F11" s="31" t="n">
        <f aca="false">WC_Settle_Rec</f>
        <v>942706.875945206</v>
      </c>
      <c r="G11" s="31" t="n">
        <f aca="false">WC_Settle_Rec</f>
        <v>1097037.08320069</v>
      </c>
    </row>
    <row r="12" customFormat="false" ht="15" hidden="false" customHeight="false" outlineLevel="0" collapsed="false">
      <c r="A12" s="6"/>
      <c r="B12" s="30" t="s">
        <v>227</v>
      </c>
      <c r="C12" s="31" t="n">
        <f aca="false">WC_Prepaid</f>
        <v>731498.04</v>
      </c>
      <c r="D12" s="31" t="n">
        <f aca="false">WC_Prepaid</f>
        <v>947857.02165</v>
      </c>
      <c r="E12" s="31" t="n">
        <f aca="false">WC_Prepaid</f>
        <v>1179882.59187488</v>
      </c>
      <c r="F12" s="31" t="n">
        <f aca="false">WC_Prepaid</f>
        <v>1408634.87880114</v>
      </c>
      <c r="G12" s="31" t="n">
        <f aca="false">WC_Prepaid</f>
        <v>1651847.41762654</v>
      </c>
    </row>
    <row r="13" customFormat="false" ht="15" hidden="false" customHeight="false" outlineLevel="0" collapsed="false">
      <c r="A13" s="6"/>
      <c r="B13" s="7" t="s">
        <v>264</v>
      </c>
      <c r="C13" s="37" t="n">
        <f aca="false">SUM(C10:C12)</f>
        <v>40873623.6621507</v>
      </c>
      <c r="D13" s="37" t="n">
        <f aca="false">SUM(D10:D12)</f>
        <v>49028718.5992017</v>
      </c>
      <c r="E13" s="37" t="n">
        <f aca="false">SUM(E10:E12)</f>
        <v>60703713.1521659</v>
      </c>
      <c r="F13" s="37" t="n">
        <f aca="false">SUM(F10:F12)</f>
        <v>75668377.7836562</v>
      </c>
      <c r="G13" s="37" t="n">
        <f aca="false">SUM(G10:G12)</f>
        <v>94146309.7438371</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38" t="s">
        <v>265</v>
      </c>
      <c r="C15" s="6"/>
      <c r="D15" s="6"/>
      <c r="E15" s="6"/>
      <c r="F15" s="6"/>
      <c r="G15" s="6"/>
    </row>
    <row r="16" customFormat="false" ht="15" hidden="false" customHeight="false" outlineLevel="0" collapsed="false">
      <c r="A16" s="6"/>
      <c r="B16" s="30" t="s">
        <v>223</v>
      </c>
      <c r="C16" s="31" t="n">
        <f aca="false">CD_Net_Software</f>
        <v>3062996.08</v>
      </c>
      <c r="D16" s="31" t="n">
        <f aca="false">CD_Net_Software</f>
        <v>4192961.1033</v>
      </c>
      <c r="E16" s="31" t="n">
        <f aca="false">CD_Net_Software</f>
        <v>5313048.75622475</v>
      </c>
      <c r="F16" s="31" t="n">
        <f aca="false">CD_Net_Software</f>
        <v>6300699.68706459</v>
      </c>
      <c r="G16" s="31" t="n">
        <f aca="false">CD_Net_Software</f>
        <v>7070458.25615467</v>
      </c>
    </row>
    <row r="17" customFormat="false" ht="15" hidden="false" customHeight="false" outlineLevel="0" collapsed="false">
      <c r="A17" s="6"/>
      <c r="B17" s="7" t="s">
        <v>266</v>
      </c>
      <c r="C17" s="37" t="n">
        <f aca="false">C16</f>
        <v>3062996.08</v>
      </c>
      <c r="D17" s="37" t="n">
        <f aca="false">D16</f>
        <v>4192961.1033</v>
      </c>
      <c r="E17" s="37" t="n">
        <f aca="false">E16</f>
        <v>5313048.75622475</v>
      </c>
      <c r="F17" s="37" t="n">
        <f aca="false">F16</f>
        <v>6300699.68706459</v>
      </c>
      <c r="G17" s="37" t="n">
        <f aca="false">G16</f>
        <v>7070458.25615467</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7" t="s">
        <v>267</v>
      </c>
      <c r="C19" s="34" t="n">
        <f aca="false">C13+C17</f>
        <v>43936619.7421507</v>
      </c>
      <c r="D19" s="34" t="n">
        <f aca="false">D13+D17</f>
        <v>53221679.7025017</v>
      </c>
      <c r="E19" s="34" t="n">
        <f aca="false">E13+E17</f>
        <v>66016761.9083907</v>
      </c>
      <c r="F19" s="34" t="n">
        <f aca="false">F13+F17</f>
        <v>81969077.4707208</v>
      </c>
      <c r="G19" s="34" t="n">
        <f aca="false">G13+G17</f>
        <v>101216767.999992</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268</v>
      </c>
      <c r="C21" s="10"/>
      <c r="D21" s="10"/>
      <c r="E21" s="10"/>
      <c r="F21" s="10"/>
      <c r="G21" s="10"/>
    </row>
    <row r="22" customFormat="false" ht="15" hidden="false" customHeight="false" outlineLevel="0" collapsed="false">
      <c r="A22" s="6"/>
      <c r="B22" s="38" t="s">
        <v>229</v>
      </c>
      <c r="C22" s="6"/>
      <c r="D22" s="6"/>
      <c r="E22" s="6"/>
      <c r="F22" s="6"/>
      <c r="G22" s="6"/>
    </row>
    <row r="23" customFormat="false" ht="15" hidden="false" customHeight="false" outlineLevel="0" collapsed="false">
      <c r="A23" s="6"/>
      <c r="B23" s="30" t="s">
        <v>230</v>
      </c>
      <c r="C23" s="31" t="n">
        <f aca="false">WC_Merch_Pay</f>
        <v>162237.008219178</v>
      </c>
      <c r="D23" s="31" t="n">
        <f aca="false">WC_Merch_Pay</f>
        <v>208967.064657534</v>
      </c>
      <c r="E23" s="31" t="n">
        <f aca="false">WC_Merch_Pay</f>
        <v>258438.535273973</v>
      </c>
      <c r="F23" s="31" t="n">
        <f aca="false">WC_Merch_Pay</f>
        <v>306379.734682192</v>
      </c>
      <c r="G23" s="31" t="n">
        <f aca="false">WC_Merch_Pay</f>
        <v>356537.052040223</v>
      </c>
    </row>
    <row r="24" customFormat="false" ht="15" hidden="false" customHeight="false" outlineLevel="0" collapsed="false">
      <c r="A24" s="6"/>
      <c r="B24" s="30" t="s">
        <v>231</v>
      </c>
      <c r="C24" s="31" t="n">
        <f aca="false">WC_Accrued</f>
        <v>1907147.844</v>
      </c>
      <c r="D24" s="31" t="n">
        <f aca="false">WC_Accrued</f>
        <v>2300642.723815</v>
      </c>
      <c r="E24" s="31" t="n">
        <f aca="false">WC_Accrued</f>
        <v>2742470.85106236</v>
      </c>
      <c r="F24" s="31" t="n">
        <f aca="false">WC_Accrued</f>
        <v>3211926.36668125</v>
      </c>
      <c r="G24" s="31" t="n">
        <f aca="false">WC_Accrued</f>
        <v>3716654.3993892</v>
      </c>
    </row>
    <row r="25" customFormat="false" ht="15" hidden="false" customHeight="false" outlineLevel="0" collapsed="false">
      <c r="A25" s="6"/>
      <c r="B25" s="30" t="s">
        <v>269</v>
      </c>
      <c r="C25" s="31" t="n">
        <f aca="false">MIN(Venture_Debt_Amt/Debt_Tenor,C11)</f>
        <v>499190.794520548</v>
      </c>
      <c r="D25" s="31" t="n">
        <f aca="false">MIN(Venture_Debt_Amt/Debt_Tenor,D11)</f>
        <v>642975.583561644</v>
      </c>
      <c r="E25" s="31" t="n">
        <f aca="false">MIN(Venture_Debt_Amt/Debt_Tenor,E11)</f>
        <v>795195.493150685</v>
      </c>
      <c r="F25" s="31" t="n">
        <f aca="false">MIN(Venture_Debt_Amt/Debt_Tenor,F11)</f>
        <v>942706.875945206</v>
      </c>
      <c r="G25" s="31" t="n">
        <f aca="false">G11</f>
        <v>1097037.08320069</v>
      </c>
    </row>
    <row r="26" customFormat="false" ht="15" hidden="false" customHeight="false" outlineLevel="0" collapsed="false">
      <c r="A26" s="6"/>
      <c r="B26" s="7" t="s">
        <v>270</v>
      </c>
      <c r="C26" s="37" t="n">
        <f aca="false">SUM(C23:C25)</f>
        <v>2568575.64673973</v>
      </c>
      <c r="D26" s="37" t="n">
        <f aca="false">SUM(D23:D25)</f>
        <v>3152585.37203418</v>
      </c>
      <c r="E26" s="37" t="n">
        <f aca="false">SUM(E23:E25)</f>
        <v>3796104.87948702</v>
      </c>
      <c r="F26" s="37" t="n">
        <f aca="false">SUM(F23:F25)</f>
        <v>4461012.97730865</v>
      </c>
      <c r="G26" s="37" t="n">
        <f aca="false">SUM(G23:G25)</f>
        <v>5170228.53463011</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38" t="s">
        <v>271</v>
      </c>
      <c r="C28" s="6"/>
      <c r="D28" s="6"/>
      <c r="E28" s="6"/>
      <c r="F28" s="6"/>
      <c r="G28" s="6"/>
    </row>
    <row r="29" customFormat="false" ht="15" hidden="false" customHeight="false" outlineLevel="0" collapsed="false">
      <c r="A29" s="6"/>
      <c r="B29" s="30" t="s">
        <v>272</v>
      </c>
      <c r="C29" s="31" t="n">
        <f aca="false">MAX(0,C11-C25)</f>
        <v>0</v>
      </c>
      <c r="D29" s="31" t="n">
        <f aca="false">MAX(0,D11-D25)</f>
        <v>0</v>
      </c>
      <c r="E29" s="31" t="n">
        <f aca="false">MAX(0,E11-E25)</f>
        <v>0</v>
      </c>
      <c r="F29" s="31" t="n">
        <f aca="false">MAX(0,F11-F25)</f>
        <v>0</v>
      </c>
      <c r="G29" s="31" t="n">
        <f aca="false">MAX(0,G11-G25)</f>
        <v>0</v>
      </c>
    </row>
    <row r="30" customFormat="false" ht="15" hidden="false" customHeight="false" outlineLevel="0" collapsed="false">
      <c r="A30" s="6"/>
      <c r="B30" s="7" t="s">
        <v>273</v>
      </c>
      <c r="C30" s="37" t="n">
        <f aca="false">C29</f>
        <v>0</v>
      </c>
      <c r="D30" s="37" t="n">
        <f aca="false">D29</f>
        <v>0</v>
      </c>
      <c r="E30" s="37" t="n">
        <f aca="false">E29</f>
        <v>0</v>
      </c>
      <c r="F30" s="37" t="n">
        <f aca="false">F29</f>
        <v>0</v>
      </c>
      <c r="G30" s="37" t="n">
        <f aca="false">G29</f>
        <v>0</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274</v>
      </c>
      <c r="C32" s="34" t="n">
        <f aca="false">C26+C30</f>
        <v>2568575.64673973</v>
      </c>
      <c r="D32" s="34" t="n">
        <f aca="false">D26+D30</f>
        <v>3152585.37203418</v>
      </c>
      <c r="E32" s="34" t="n">
        <f aca="false">E26+E30</f>
        <v>3796104.87948702</v>
      </c>
      <c r="F32" s="34" t="n">
        <f aca="false">F26+F30</f>
        <v>4461012.97730865</v>
      </c>
      <c r="G32" s="34" t="n">
        <f aca="false">G26+G30</f>
        <v>5170228.53463011</v>
      </c>
    </row>
    <row r="33" customFormat="false" ht="15" hidden="false" customHeight="false" outlineLevel="0" collapsed="false">
      <c r="A33" s="6"/>
      <c r="B33" s="6"/>
      <c r="C33" s="6"/>
      <c r="D33" s="6"/>
      <c r="E33" s="6"/>
      <c r="F33" s="6"/>
      <c r="G33" s="6"/>
    </row>
    <row r="34" customFormat="false" ht="15" hidden="false" customHeight="false" outlineLevel="0" collapsed="false">
      <c r="A34" s="6"/>
      <c r="B34" s="9" t="s">
        <v>275</v>
      </c>
      <c r="C34" s="10"/>
      <c r="D34" s="10"/>
      <c r="E34" s="10"/>
      <c r="F34" s="10"/>
      <c r="G34" s="10"/>
    </row>
    <row r="35" customFormat="false" ht="15" hidden="false" customHeight="false" outlineLevel="0" collapsed="false">
      <c r="A35" s="6"/>
      <c r="B35" s="30" t="s">
        <v>172</v>
      </c>
      <c r="C35" s="31" t="n">
        <f aca="false">Share_Capital+SUM($C$31:C31)</f>
        <v>40000000</v>
      </c>
      <c r="D35" s="31" t="n">
        <f aca="false">Share_Capital+SUM($C$31:D31)</f>
        <v>40000000</v>
      </c>
      <c r="E35" s="31" t="n">
        <f aca="false">Share_Capital+SUM($C$31:E31)</f>
        <v>40000000</v>
      </c>
      <c r="F35" s="31" t="n">
        <f aca="false">Share_Capital+SUM($C$31:F31)</f>
        <v>40000000</v>
      </c>
      <c r="G35" s="31" t="n">
        <f aca="false">Share_Capital+SUM($C$31:G31)</f>
        <v>40000000</v>
      </c>
    </row>
    <row r="36" customFormat="false" ht="15" hidden="false" customHeight="false" outlineLevel="0" collapsed="false">
      <c r="A36" s="6"/>
      <c r="B36" s="30" t="s">
        <v>276</v>
      </c>
      <c r="C36" s="31" t="n">
        <f aca="false">Open_Ret_Earnings+IS_Net_Income</f>
        <v>-19445734.955</v>
      </c>
      <c r="D36" s="31" t="n">
        <f aca="false">C36+IS_Net_Income</f>
        <v>-12392328.0175023</v>
      </c>
      <c r="E36" s="31" t="n">
        <f aca="false">D36+IS_Net_Income</f>
        <v>-2808075.7769767</v>
      </c>
      <c r="F36" s="31" t="n">
        <f aca="false">E36+IS_Net_Income</f>
        <v>8992303.55512177</v>
      </c>
      <c r="G36" s="31" t="n">
        <f aca="false">F36+IS_Net_Income</f>
        <v>23077719.0638206</v>
      </c>
    </row>
    <row r="37" customFormat="false" ht="15" hidden="false" customHeight="false" outlineLevel="0" collapsed="false">
      <c r="A37" s="6"/>
      <c r="B37" s="7" t="s">
        <v>277</v>
      </c>
      <c r="C37" s="34" t="n">
        <f aca="false">C35+C36</f>
        <v>20554265.045</v>
      </c>
      <c r="D37" s="34" t="n">
        <f aca="false">D35+D36</f>
        <v>27607671.9824977</v>
      </c>
      <c r="E37" s="34" t="n">
        <f aca="false">E35+E36</f>
        <v>37191924.2230233</v>
      </c>
      <c r="F37" s="34" t="n">
        <f aca="false">F35+F36</f>
        <v>48992303.5551218</v>
      </c>
      <c r="G37" s="34" t="n">
        <f aca="false">G35+G36</f>
        <v>63077719.0638206</v>
      </c>
    </row>
    <row r="38" customFormat="false" ht="15" hidden="false" customHeight="false" outlineLevel="0" collapsed="false">
      <c r="A38" s="6"/>
      <c r="B38" s="6"/>
      <c r="C38" s="6"/>
      <c r="D38" s="6"/>
      <c r="E38" s="6"/>
      <c r="F38" s="6"/>
      <c r="G38" s="6"/>
    </row>
    <row r="39" customFormat="false" ht="15" hidden="false" customHeight="false" outlineLevel="0" collapsed="false">
      <c r="A39" s="6"/>
      <c r="B39" s="7" t="s">
        <v>278</v>
      </c>
      <c r="C39" s="34" t="n">
        <f aca="false">C32+C37</f>
        <v>23122840.6917397</v>
      </c>
      <c r="D39" s="34" t="n">
        <f aca="false">D32+D37</f>
        <v>30760257.3545318</v>
      </c>
      <c r="E39" s="34" t="n">
        <f aca="false">E32+E37</f>
        <v>40988029.1025103</v>
      </c>
      <c r="F39" s="34" t="n">
        <f aca="false">F32+F37</f>
        <v>53453316.5324304</v>
      </c>
      <c r="G39" s="34" t="n">
        <f aca="false">G32+G37</f>
        <v>68247947.5984508</v>
      </c>
    </row>
    <row r="40" customFormat="false" ht="15" hidden="false" customHeight="false" outlineLevel="0" collapsed="false">
      <c r="A40" s="6"/>
      <c r="B40" s="6"/>
      <c r="C40" s="6"/>
      <c r="D40" s="6"/>
      <c r="E40" s="6"/>
      <c r="F40" s="6"/>
      <c r="G40" s="6"/>
    </row>
    <row r="41" customFormat="false" ht="15" hidden="false" customHeight="false" outlineLevel="0" collapsed="false">
      <c r="A41" s="6"/>
      <c r="B41" s="39" t="s">
        <v>279</v>
      </c>
      <c r="C41" s="40" t="n">
        <f aca="false">C19-C39</f>
        <v>20813779.050411</v>
      </c>
      <c r="D41" s="40" t="n">
        <f aca="false">D19-D39</f>
        <v>22461422.3479699</v>
      </c>
      <c r="E41" s="40" t="n">
        <f aca="false">E19-E39</f>
        <v>25028732.8058803</v>
      </c>
      <c r="F41" s="40" t="n">
        <f aca="false">F19-F39</f>
        <v>28515760.9382904</v>
      </c>
      <c r="G41" s="40" t="n">
        <f aca="false">G19-G39</f>
        <v>32968820.401541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282</v>
      </c>
      <c r="C7" s="10"/>
      <c r="D7" s="10"/>
      <c r="E7" s="10"/>
      <c r="F7" s="10"/>
      <c r="G7" s="10"/>
    </row>
    <row r="8" customFormat="false" ht="15" hidden="false" customHeight="false" outlineLevel="0" collapsed="false">
      <c r="A8" s="6"/>
      <c r="B8" s="30" t="s">
        <v>283</v>
      </c>
      <c r="C8" s="31" t="n">
        <f aca="false">IS_Net_Income</f>
        <v>4236267.045</v>
      </c>
      <c r="D8" s="31" t="n">
        <f aca="false">IS_Net_Income</f>
        <v>7053406.93749765</v>
      </c>
      <c r="E8" s="31" t="n">
        <f aca="false">IS_Net_Income</f>
        <v>9584252.24052565</v>
      </c>
      <c r="F8" s="31" t="n">
        <f aca="false">IS_Net_Income</f>
        <v>11800379.3320985</v>
      </c>
      <c r="G8" s="31" t="n">
        <f aca="false">IS_Net_Income</f>
        <v>14085415.5086989</v>
      </c>
    </row>
    <row r="9" customFormat="false" ht="15" hidden="false" customHeight="false" outlineLevel="0" collapsed="false">
      <c r="A9" s="6"/>
      <c r="B9" s="30" t="s">
        <v>251</v>
      </c>
      <c r="C9" s="31" t="n">
        <f aca="false">IS_DA</f>
        <v>765749.02</v>
      </c>
      <c r="D9" s="31" t="n">
        <f aca="false">IS_DA</f>
        <v>1239677.530825</v>
      </c>
      <c r="E9" s="31" t="n">
        <f aca="false">IS_DA</f>
        <v>1829618.82676244</v>
      </c>
      <c r="F9" s="31" t="n">
        <f aca="false">IS_DA</f>
        <v>2533936.26616301</v>
      </c>
      <c r="G9" s="31" t="n">
        <f aca="false">IS_DA</f>
        <v>3359859.97497628</v>
      </c>
    </row>
    <row r="10" customFormat="false" ht="15" hidden="false" customHeight="false" outlineLevel="0" collapsed="false">
      <c r="A10" s="6"/>
      <c r="B10" s="30" t="s">
        <v>213</v>
      </c>
      <c r="C10" s="31" t="n">
        <f aca="false">IS_SBC</f>
        <v>2925992.16</v>
      </c>
      <c r="D10" s="31" t="n">
        <f aca="false">IS_SBC</f>
        <v>3791428.0866</v>
      </c>
      <c r="E10" s="31" t="n">
        <f aca="false">IS_SBC</f>
        <v>4719530.3674995</v>
      </c>
      <c r="F10" s="31" t="n">
        <f aca="false">IS_SBC</f>
        <v>5634539.51520454</v>
      </c>
      <c r="G10" s="31" t="n">
        <f aca="false">IS_SBC</f>
        <v>6607389.67050618</v>
      </c>
    </row>
    <row r="11" customFormat="false" ht="15" hidden="false" customHeight="false" outlineLevel="0" collapsed="false">
      <c r="A11" s="6"/>
      <c r="B11" s="38" t="s">
        <v>284</v>
      </c>
      <c r="C11" s="6"/>
      <c r="D11" s="6"/>
      <c r="E11" s="6"/>
      <c r="F11" s="6"/>
      <c r="G11" s="6"/>
    </row>
    <row r="12" customFormat="false" ht="15" hidden="false" customHeight="false" outlineLevel="0" collapsed="false">
      <c r="A12" s="6"/>
      <c r="B12" s="30" t="s">
        <v>285</v>
      </c>
      <c r="C12" s="31" t="n">
        <f aca="false">-(WC_Settle_Rec-(Merchants_Y0*Avg_Monthly_Vol*12*Take_Rate_Y1)*DSO_Days/365)</f>
        <v>-121930.520547945</v>
      </c>
      <c r="D12" s="31" t="n">
        <f aca="false">-(WC_Settle_Rec-Balance_Sheet!C11)</f>
        <v>-143784.789041096</v>
      </c>
      <c r="E12" s="31" t="n">
        <f aca="false">-(WC_Settle_Rec-Balance_Sheet!D11)</f>
        <v>-152219.909589041</v>
      </c>
      <c r="F12" s="31" t="n">
        <f aca="false">-(WC_Settle_Rec-Balance_Sheet!E11)</f>
        <v>-147511.382794521</v>
      </c>
      <c r="G12" s="31" t="n">
        <f aca="false">-(WC_Settle_Rec-Balance_Sheet!F11)</f>
        <v>-154330.20725548</v>
      </c>
    </row>
    <row r="13" customFormat="false" ht="15" hidden="false" customHeight="false" outlineLevel="0" collapsed="false">
      <c r="A13" s="6"/>
      <c r="B13" s="30" t="s">
        <v>286</v>
      </c>
      <c r="C13" s="31" t="n">
        <f aca="false">-(WC_Prepaid-((Merchants_Y0*Avg_Monthly_Vol*12*Take_Rate_Y1)*(1-Interchange_Rate)+Merchants_Y0*Platform_Fee*12+Merchants_Y0*Avg_Monthly_Vol*12*VAS_Penetration*VAS_Fee_Bps)*Prepaid_Pct)</f>
        <v>-178673.04</v>
      </c>
      <c r="D13" s="31" t="n">
        <f aca="false">-(WC_Prepaid-Balance_Sheet!C12)</f>
        <v>-216358.98165</v>
      </c>
      <c r="E13" s="31" t="n">
        <f aca="false">-(WC_Prepaid-Balance_Sheet!D12)</f>
        <v>-232025.570224876</v>
      </c>
      <c r="F13" s="31" t="n">
        <f aca="false">-(WC_Prepaid-Balance_Sheet!E12)</f>
        <v>-228752.286926261</v>
      </c>
      <c r="G13" s="31" t="n">
        <f aca="false">-(WC_Prepaid-Balance_Sheet!F12)</f>
        <v>-243212.538825409</v>
      </c>
    </row>
    <row r="14" customFormat="false" ht="15" hidden="false" customHeight="false" outlineLevel="0" collapsed="false">
      <c r="A14" s="6"/>
      <c r="B14" s="30" t="s">
        <v>287</v>
      </c>
      <c r="C14" s="31" t="n">
        <f aca="false">WC_Merch_Pay-(Merchants_Y0*Avg_Monthly_Vol*12*Take_Rate_Y1)*Interchange_Rate*DPO_Days/365</f>
        <v>39627.4191780822</v>
      </c>
      <c r="D14" s="31" t="n">
        <f aca="false">WC_Merch_Pay-Balance_Sheet!C23</f>
        <v>46730.0564383562</v>
      </c>
      <c r="E14" s="31" t="n">
        <f aca="false">WC_Merch_Pay-Balance_Sheet!D23</f>
        <v>49471.4706164383</v>
      </c>
      <c r="F14" s="31" t="n">
        <f aca="false">WC_Merch_Pay-Balance_Sheet!E23</f>
        <v>47941.1994082193</v>
      </c>
      <c r="G14" s="31" t="n">
        <f aca="false">WC_Merch_Pay-Balance_Sheet!F23</f>
        <v>50157.3173580308</v>
      </c>
    </row>
    <row r="15" customFormat="false" ht="15" hidden="false" customHeight="false" outlineLevel="0" collapsed="false">
      <c r="A15" s="6"/>
      <c r="B15" s="30" t="s">
        <v>288</v>
      </c>
      <c r="C15" s="31" t="n">
        <f aca="false">WC_Accrued-(Eng_HC_Y1*Eng_Salary+Sales_HC_Y1*Sales_Salary+GA_Base)*Accrued_Pct</f>
        <v>804647.844</v>
      </c>
      <c r="D15" s="31" t="n">
        <f aca="false">WC_Accrued-Balance_Sheet!C24</f>
        <v>393494.879814999</v>
      </c>
      <c r="E15" s="31" t="n">
        <f aca="false">WC_Accrued-Balance_Sheet!D24</f>
        <v>441828.127247363</v>
      </c>
      <c r="F15" s="31" t="n">
        <f aca="false">WC_Accrued-Balance_Sheet!E24</f>
        <v>469455.515618887</v>
      </c>
      <c r="G15" s="31" t="n">
        <f aca="false">WC_Accrued-Balance_Sheet!F24</f>
        <v>504728.03270795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7" t="s">
        <v>289</v>
      </c>
      <c r="C17" s="34" t="n">
        <f aca="false">C8+C9+C10+C12+C13+C14+C15</f>
        <v>8471679.92763014</v>
      </c>
      <c r="D17" s="34" t="n">
        <f aca="false">D8+D9+D10+D12+D13+D14+D15</f>
        <v>12164593.7204849</v>
      </c>
      <c r="E17" s="34" t="n">
        <f aca="false">E8+E9+E10+E12+E13+E14+E15</f>
        <v>16240455.5528375</v>
      </c>
      <c r="F17" s="34" t="n">
        <f aca="false">F8+F9+F10+F12+F13+F14+F15</f>
        <v>20109988.1587723</v>
      </c>
      <c r="G17" s="34" t="n">
        <f aca="false">G8+G9+G10+G12+G13+G14+G15</f>
        <v>24210007.7581664</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290</v>
      </c>
      <c r="C19" s="10"/>
      <c r="D19" s="10"/>
      <c r="E19" s="10"/>
      <c r="F19" s="10"/>
      <c r="G19" s="10"/>
    </row>
    <row r="20" customFormat="false" ht="15" hidden="false" customHeight="false" outlineLevel="0" collapsed="false">
      <c r="A20" s="6"/>
      <c r="B20" s="30" t="s">
        <v>216</v>
      </c>
      <c r="C20" s="31" t="n">
        <f aca="false">-CD_CapEx</f>
        <v>-1828745.1</v>
      </c>
      <c r="D20" s="31" t="n">
        <f aca="false">-CD_CapEx</f>
        <v>-2369642.554125</v>
      </c>
      <c r="E20" s="31" t="n">
        <f aca="false">-CD_CapEx</f>
        <v>-2949706.47968719</v>
      </c>
      <c r="F20" s="31" t="n">
        <f aca="false">-CD_CapEx</f>
        <v>-3521587.19700284</v>
      </c>
      <c r="G20" s="31" t="n">
        <f aca="false">-CD_CapEx</f>
        <v>-4129618.54406636</v>
      </c>
    </row>
    <row r="21" customFormat="false" ht="15" hidden="false" customHeight="false" outlineLevel="0" collapsed="false">
      <c r="A21" s="6"/>
      <c r="B21" s="7" t="s">
        <v>291</v>
      </c>
      <c r="C21" s="34" t="n">
        <f aca="false">C20</f>
        <v>-1828745.1</v>
      </c>
      <c r="D21" s="34" t="n">
        <f aca="false">D20</f>
        <v>-2369642.554125</v>
      </c>
      <c r="E21" s="34" t="n">
        <f aca="false">E20</f>
        <v>-2949706.47968719</v>
      </c>
      <c r="F21" s="34" t="n">
        <f aca="false">F20</f>
        <v>-3521587.19700284</v>
      </c>
      <c r="G21" s="34" t="n">
        <f aca="false">G20</f>
        <v>-4129618.54406636</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292</v>
      </c>
      <c r="C23" s="10"/>
      <c r="D23" s="10"/>
      <c r="E23" s="10"/>
      <c r="F23" s="10"/>
      <c r="G23" s="10"/>
    </row>
    <row r="24" customFormat="false" ht="15" hidden="false" customHeight="false" outlineLevel="0" collapsed="false">
      <c r="A24" s="6"/>
      <c r="B24" s="30" t="s">
        <v>293</v>
      </c>
      <c r="C24" s="31" t="n">
        <f aca="false">Venture_Debt_Amt</f>
        <v>10000000</v>
      </c>
      <c r="D24" s="31" t="n">
        <f aca="false">0</f>
        <v>0</v>
      </c>
      <c r="E24" s="31" t="n">
        <f aca="false">0</f>
        <v>0</v>
      </c>
      <c r="F24" s="31" t="n">
        <f aca="false">0</f>
        <v>0</v>
      </c>
      <c r="G24" s="31" t="n">
        <f aca="false">0</f>
        <v>0</v>
      </c>
    </row>
    <row r="25" customFormat="false" ht="15" hidden="false" customHeight="false" outlineLevel="0" collapsed="false">
      <c r="A25" s="6"/>
      <c r="B25" s="30" t="s">
        <v>294</v>
      </c>
      <c r="C25" s="31" t="n">
        <f aca="false">-DS_Repayment</f>
        <v>-2000000</v>
      </c>
      <c r="D25" s="31" t="n">
        <f aca="false">-DS_Repayment</f>
        <v>-2000000</v>
      </c>
      <c r="E25" s="31" t="n">
        <f aca="false">-DS_Repayment</f>
        <v>-2000000</v>
      </c>
      <c r="F25" s="31" t="n">
        <f aca="false">-DS_Repayment</f>
        <v>-2000000</v>
      </c>
      <c r="G25" s="31" t="n">
        <f aca="false">-DS_Repayment</f>
        <v>-2000000</v>
      </c>
    </row>
    <row r="26" customFormat="false" ht="15" hidden="false" customHeight="false" outlineLevel="0" collapsed="false">
      <c r="A26" s="6"/>
      <c r="B26" s="30" t="s">
        <v>295</v>
      </c>
      <c r="C26" s="31" t="n">
        <f aca="false">0</f>
        <v>0</v>
      </c>
      <c r="D26" s="31" t="n">
        <f aca="false">0</f>
        <v>0</v>
      </c>
      <c r="E26" s="31" t="n">
        <f aca="false">0</f>
        <v>0</v>
      </c>
      <c r="F26" s="31" t="n">
        <f aca="false">0</f>
        <v>0</v>
      </c>
      <c r="G26" s="31" t="n">
        <f aca="false">0</f>
        <v>0</v>
      </c>
    </row>
    <row r="27" customFormat="false" ht="15" hidden="false" customHeight="false" outlineLevel="0" collapsed="false">
      <c r="A27" s="6"/>
      <c r="B27" s="7" t="s">
        <v>296</v>
      </c>
      <c r="C27" s="34" t="n">
        <f aca="false">C24+C25+C26</f>
        <v>8000000</v>
      </c>
      <c r="D27" s="34" t="n">
        <f aca="false">D24+D25+D26</f>
        <v>-2000000</v>
      </c>
      <c r="E27" s="34" t="n">
        <f aca="false">E24+E25+E26</f>
        <v>-2000000</v>
      </c>
      <c r="F27" s="34" t="n">
        <f aca="false">F24+F25+F26</f>
        <v>-2000000</v>
      </c>
      <c r="G27" s="34" t="n">
        <f aca="false">G24+G25+G26</f>
        <v>-2000000</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297</v>
      </c>
      <c r="C29" s="34" t="n">
        <f aca="false">C17+C21+C27</f>
        <v>14642934.8276301</v>
      </c>
      <c r="D29" s="34" t="n">
        <f aca="false">D17+D21+D27</f>
        <v>7794951.16635991</v>
      </c>
      <c r="E29" s="34" t="n">
        <f aca="false">E17+E21+E27</f>
        <v>11290749.0731503</v>
      </c>
      <c r="F29" s="34" t="n">
        <f aca="false">F17+F21+F27</f>
        <v>14588400.9617695</v>
      </c>
      <c r="G29" s="34" t="n">
        <f aca="false">G17+G21+G27</f>
        <v>18080389.2141001</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30" t="s">
        <v>170</v>
      </c>
      <c r="C31" s="31" t="n">
        <f aca="false">Open_Cash</f>
        <v>25000000</v>
      </c>
      <c r="D31" s="31" t="n">
        <f aca="false">C32</f>
        <v>39642934.8276301</v>
      </c>
      <c r="E31" s="31" t="n">
        <f aca="false">D32</f>
        <v>47437885.9939901</v>
      </c>
      <c r="F31" s="31" t="n">
        <f aca="false">E32</f>
        <v>58728635.0671403</v>
      </c>
      <c r="G31" s="31" t="n">
        <f aca="false">F32</f>
        <v>73317036.0289098</v>
      </c>
    </row>
    <row r="32" customFormat="false" ht="15" hidden="false" customHeight="false" outlineLevel="0" collapsed="false">
      <c r="A32" s="6"/>
      <c r="B32" s="7" t="s">
        <v>298</v>
      </c>
      <c r="C32" s="34" t="n">
        <f aca="false">C31+C29</f>
        <v>39642934.8276301</v>
      </c>
      <c r="D32" s="34" t="n">
        <f aca="false">D31+D29</f>
        <v>47437885.9939901</v>
      </c>
      <c r="E32" s="34" t="n">
        <f aca="false">E31+E29</f>
        <v>58728635.0671403</v>
      </c>
      <c r="F32" s="34" t="n">
        <f aca="false">F31+F29</f>
        <v>73317036.0289098</v>
      </c>
      <c r="G32" s="34" t="n">
        <f aca="false">G31+G29</f>
        <v>91397425.2430099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301</v>
      </c>
      <c r="C8" s="10"/>
      <c r="D8" s="10"/>
      <c r="E8" s="10"/>
      <c r="F8" s="10"/>
      <c r="G8" s="10"/>
    </row>
    <row r="9" customFormat="false" ht="15" hidden="false" customHeight="false" outlineLevel="0" collapsed="false">
      <c r="A9" s="6"/>
      <c r="B9" s="30" t="s">
        <v>302</v>
      </c>
      <c r="C9" s="33" t="n">
        <f aca="false">0</f>
        <v>0</v>
      </c>
      <c r="D9" s="33" t="n">
        <f aca="false">Revenue_Build!D11/Revenue_Build!C11-1</f>
        <v>0.337575574365175</v>
      </c>
      <c r="E9" s="33" t="n">
        <f aca="false">Revenue_Build!E11/Revenue_Build!D11-1</f>
        <v>0.286212624584718</v>
      </c>
      <c r="F9" s="33" t="n">
        <f aca="false">Revenue_Build!F11/Revenue_Build!E11-1</f>
        <v>0.234899263851221</v>
      </c>
      <c r="G9" s="33" t="n">
        <f aca="false">Revenue_Build!G11/Revenue_Build!F11-1</f>
        <v>0.214305715697579</v>
      </c>
    </row>
    <row r="10" customFormat="false" ht="15" hidden="false" customHeight="false" outlineLevel="0" collapsed="false">
      <c r="A10" s="6"/>
      <c r="B10" s="30" t="s">
        <v>183</v>
      </c>
      <c r="C10" s="33" t="n">
        <f aca="false">IFERROR(RB_Gross_Txn_Rev/RB_TPV,0)</f>
        <v>0.027</v>
      </c>
      <c r="D10" s="33" t="n">
        <f aca="false">IFERROR(RB_Gross_Txn_Rev/RB_TPV,0)</f>
        <v>0.026</v>
      </c>
      <c r="E10" s="33" t="n">
        <f aca="false">IFERROR(RB_Gross_Txn_Rev/RB_TPV,0)</f>
        <v>0.025</v>
      </c>
      <c r="F10" s="33" t="n">
        <f aca="false">IFERROR(RB_Gross_Txn_Rev/RB_TPV,0)</f>
        <v>0.024</v>
      </c>
      <c r="G10" s="33" t="n">
        <f aca="false">IFERROR(RB_Gross_Txn_Rev/RB_TPV,0)</f>
        <v>0.023</v>
      </c>
    </row>
    <row r="11" customFormat="false" ht="15" hidden="false" customHeight="false" outlineLevel="0" collapsed="false">
      <c r="A11" s="6"/>
      <c r="B11" s="30" t="s">
        <v>303</v>
      </c>
      <c r="C11" s="32" t="n">
        <f aca="false">IFERROR(COGS_Net_Revenue/RB_Active_Merchants,0)</f>
        <v>11056.5</v>
      </c>
      <c r="D11" s="32" t="n">
        <f aca="false">IFERROR(COGS_Net_Revenue/RB_Active_Merchants,0)</f>
        <v>11246.52375</v>
      </c>
      <c r="E11" s="32" t="n">
        <f aca="false">IFERROR(COGS_Net_Revenue/RB_Active_Merchants,0)</f>
        <v>11428.541184375</v>
      </c>
      <c r="F11" s="32" t="n">
        <f aca="false">IFERROR(COGS_Net_Revenue/RB_Active_Merchants,0)</f>
        <v>11601.3414495234</v>
      </c>
      <c r="G11" s="32" t="n">
        <f aca="false">IFERROR(COGS_Net_Revenue/RB_Active_Merchants,0)</f>
        <v>11763.6192680996</v>
      </c>
    </row>
    <row r="12" customFormat="false" ht="15" hidden="false" customHeight="false" outlineLevel="0" collapsed="false">
      <c r="A12" s="6"/>
      <c r="B12" s="30" t="s">
        <v>200</v>
      </c>
      <c r="C12" s="33" t="n">
        <f aca="false">IFERROR(IS_Gross_Profit/IS_Net_Revenue,0)</f>
        <v>0.693387600054267</v>
      </c>
      <c r="D12" s="33" t="n">
        <f aca="false">IFERROR(IS_Gross_Profit/IS_Net_Revenue,0)</f>
        <v>0.691453018982866</v>
      </c>
      <c r="E12" s="33" t="n">
        <f aca="false">IFERROR(IS_Gross_Profit/IS_Net_Revenue,0)</f>
        <v>0.689404440154789</v>
      </c>
      <c r="F12" s="33" t="n">
        <f aca="false">IFERROR(IS_Gross_Profit/IS_Net_Revenue,0)</f>
        <v>0.68723122461584</v>
      </c>
      <c r="G12" s="33" t="n">
        <f aca="false">IFERROR(IS_Gross_Profit/IS_Net_Revenue,0)</f>
        <v>0.684921330331973</v>
      </c>
    </row>
    <row r="13" customFormat="false" ht="15" hidden="false" customHeight="false" outlineLevel="0" collapsed="false">
      <c r="A13" s="6"/>
      <c r="B13" s="30" t="s">
        <v>250</v>
      </c>
      <c r="C13" s="33" t="n">
        <f aca="false">IFERROR(IS_EBITDA/IS_Net_Revenue,0)</f>
        <v>0.171951385679721</v>
      </c>
      <c r="D13" s="33" t="n">
        <f aca="false">IFERROR(IS_EBITDA/IS_Net_Revenue,0)</f>
        <v>0.206012141030595</v>
      </c>
      <c r="E13" s="33" t="n">
        <f aca="false">IFERROR(IS_EBITDA/IS_Net_Revenue,0)</f>
        <v>0.224532618170454</v>
      </c>
      <c r="F13" s="33" t="n">
        <f aca="false">IFERROR(IS_EBITDA/IS_Net_Revenue,0)</f>
        <v>0.23119731334213</v>
      </c>
      <c r="G13" s="33" t="n">
        <f aca="false">IFERROR(IS_EBITDA/IS_Net_Revenue,0)</f>
        <v>0.234921607630046</v>
      </c>
    </row>
    <row r="14" customFormat="false" ht="15" hidden="false" customHeight="false" outlineLevel="0" collapsed="false">
      <c r="A14" s="6"/>
      <c r="B14" s="30" t="s">
        <v>259</v>
      </c>
      <c r="C14" s="33" t="n">
        <f aca="false">IFERROR(IS_Net_Income/IS_Net_Revenue,0)</f>
        <v>0.115824426405845</v>
      </c>
      <c r="D14" s="33" t="n">
        <f aca="false">IFERROR(IS_Net_Income/IS_Net_Revenue,0)</f>
        <v>0.148828500003498</v>
      </c>
      <c r="E14" s="33" t="n">
        <f aca="false">IFERROR(IS_Net_Income/IS_Net_Revenue,0)</f>
        <v>0.162461117852344</v>
      </c>
      <c r="F14" s="33" t="n">
        <f aca="false">IFERROR(IS_Net_Income/IS_Net_Revenue,0)</f>
        <v>0.167543477869035</v>
      </c>
      <c r="G14" s="33" t="n">
        <f aca="false">IFERROR(IS_Net_Income/IS_Net_Revenue,0)</f>
        <v>0.170541363062909</v>
      </c>
    </row>
    <row r="15" customFormat="false" ht="15" hidden="false" customHeight="false" outlineLevel="0" collapsed="false">
      <c r="A15" s="6"/>
      <c r="B15" s="9" t="s">
        <v>304</v>
      </c>
      <c r="C15" s="10"/>
      <c r="D15" s="10"/>
      <c r="E15" s="10"/>
      <c r="F15" s="10"/>
      <c r="G15" s="10"/>
    </row>
    <row r="16" customFormat="false" ht="15" hidden="false" customHeight="false" outlineLevel="0" collapsed="false">
      <c r="A16" s="6"/>
      <c r="B16" s="30" t="s">
        <v>305</v>
      </c>
      <c r="C16" s="31" t="n">
        <f aca="false">OX_Eng_HC+OX_Sales_HC</f>
        <v>55</v>
      </c>
      <c r="D16" s="31" t="n">
        <f aca="false">OX_Eng_HC+OX_Sales_HC</f>
        <v>64</v>
      </c>
      <c r="E16" s="31" t="n">
        <f aca="false">OX_Eng_HC+OX_Sales_HC</f>
        <v>75</v>
      </c>
      <c r="F16" s="31" t="n">
        <f aca="false">OX_Eng_HC+OX_Sales_HC</f>
        <v>88</v>
      </c>
      <c r="G16" s="31" t="n">
        <f aca="false">OX_Eng_HC+OX_Sales_HC</f>
        <v>102</v>
      </c>
    </row>
    <row r="17" customFormat="false" ht="15" hidden="false" customHeight="false" outlineLevel="0" collapsed="false">
      <c r="A17" s="6"/>
      <c r="B17" s="30" t="s">
        <v>306</v>
      </c>
      <c r="C17" s="32" t="n">
        <f aca="false">IFERROR(COGS_Net_Revenue/C16,0)</f>
        <v>664998.218181818</v>
      </c>
      <c r="D17" s="32" t="n">
        <f aca="false">IFERROR(COGS_Net_Revenue/D16,0)</f>
        <v>740513.298164062</v>
      </c>
      <c r="E17" s="32" t="n">
        <f aca="false">IFERROR(COGS_Net_Revenue/E16,0)</f>
        <v>786588.39458325</v>
      </c>
      <c r="F17" s="32" t="n">
        <f aca="false">IFERROR(COGS_Net_Revenue/F16,0)</f>
        <v>800360.726591555</v>
      </c>
      <c r="G17" s="32" t="n">
        <f aca="false">IFERROR(COGS_Net_Revenue/G16,0)</f>
        <v>809729.126287522</v>
      </c>
    </row>
    <row r="18" customFormat="false" ht="15" hidden="false" customHeight="false" outlineLevel="0" collapsed="false">
      <c r="A18" s="6"/>
      <c r="B18" s="30" t="s">
        <v>307</v>
      </c>
      <c r="C18" s="33" t="n">
        <f aca="false">IFERROR(CF_CFO/IS_EBITDA,0)</f>
        <v>1.34704060750566</v>
      </c>
      <c r="D18" s="33" t="n">
        <f aca="false">IFERROR(CF_CFO/IS_EBITDA,0)</f>
        <v>1.24592516313415</v>
      </c>
      <c r="E18" s="33" t="n">
        <f aca="false">IFERROR(CF_CFO/IS_EBITDA,0)</f>
        <v>1.22605504544798</v>
      </c>
      <c r="F18" s="33" t="n">
        <f aca="false">IFERROR(CF_CFO/IS_EBITDA,0)</f>
        <v>1.23498189237833</v>
      </c>
      <c r="G18" s="33" t="n">
        <f aca="false">IFERROR(CF_CFO/IS_EBITDA,0)</f>
        <v>1.24776279328157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34</v>
      </c>
      <c r="C7" s="10"/>
      <c r="D7" s="10"/>
      <c r="E7" s="10"/>
      <c r="F7" s="10"/>
      <c r="G7" s="10"/>
    </row>
    <row r="8" customFormat="false" ht="15" hidden="false" customHeight="false" outlineLevel="0" collapsed="false">
      <c r="A8" s="6"/>
      <c r="B8" s="30" t="s">
        <v>310</v>
      </c>
      <c r="C8" s="31" t="n">
        <f aca="false">Balance_Sheet!C41</f>
        <v>20813779.050411</v>
      </c>
      <c r="D8" s="31" t="n">
        <f aca="false">Balance_Sheet!D41</f>
        <v>22461422.3479699</v>
      </c>
      <c r="E8" s="31" t="n">
        <f aca="false">Balance_Sheet!E41</f>
        <v>25028732.8058803</v>
      </c>
      <c r="F8" s="31" t="n">
        <f aca="false">Balance_Sheet!F41</f>
        <v>28515760.9382904</v>
      </c>
      <c r="G8" s="31" t="n">
        <f aca="false">Balance_Sheet!G41</f>
        <v>32968820.401541</v>
      </c>
    </row>
    <row r="9" customFormat="false" ht="15" hidden="false" customHeight="false" outlineLevel="0" collapsed="false">
      <c r="A9" s="6"/>
      <c r="B9" s="30" t="s">
        <v>311</v>
      </c>
      <c r="C9" s="31" t="n">
        <f aca="false">Cash_Flow!C32-Balance_Sheet!C10</f>
        <v>0</v>
      </c>
      <c r="D9" s="31" t="n">
        <f aca="false">Cash_Flow!D32-Balance_Sheet!D10</f>
        <v>0</v>
      </c>
      <c r="E9" s="31" t="n">
        <f aca="false">Cash_Flow!E32-Balance_Sheet!E10</f>
        <v>0</v>
      </c>
      <c r="F9" s="31" t="n">
        <f aca="false">Cash_Flow!F32-Balance_Sheet!F10</f>
        <v>0</v>
      </c>
      <c r="G9" s="31" t="n">
        <f aca="false">Cash_Flow!G32-Balance_Sheet!G10</f>
        <v>0</v>
      </c>
    </row>
    <row r="10" customFormat="false" ht="15" hidden="false" customHeight="false" outlineLevel="0" collapsed="false">
      <c r="A10" s="6"/>
      <c r="B10" s="30" t="s">
        <v>200</v>
      </c>
      <c r="C10" s="33" t="n">
        <f aca="false">IFERROR(IS_Gross_Profit/IS_Net_Revenue,0)</f>
        <v>0.693387600054267</v>
      </c>
      <c r="D10" s="33" t="n">
        <f aca="false">IFERROR(IS_Gross_Profit/IS_Net_Revenue,0)</f>
        <v>0.691453018982866</v>
      </c>
      <c r="E10" s="33" t="n">
        <f aca="false">IFERROR(IS_Gross_Profit/IS_Net_Revenue,0)</f>
        <v>0.689404440154789</v>
      </c>
      <c r="F10" s="33" t="n">
        <f aca="false">IFERROR(IS_Gross_Profit/IS_Net_Revenue,0)</f>
        <v>0.68723122461584</v>
      </c>
      <c r="G10" s="33" t="n">
        <f aca="false">IFERROR(IS_Gross_Profit/IS_Net_Revenue,0)</f>
        <v>0.684921330331973</v>
      </c>
    </row>
    <row r="11" customFormat="false" ht="15" hidden="false" customHeight="false" outlineLevel="0" collapsed="false">
      <c r="A11" s="6"/>
      <c r="B11" s="30" t="s">
        <v>250</v>
      </c>
      <c r="C11" s="33" t="n">
        <f aca="false">IFERROR(IS_EBITDA/IS_Net_Revenue,0)</f>
        <v>0.171951385679721</v>
      </c>
      <c r="D11" s="33" t="n">
        <f aca="false">IFERROR(IS_EBITDA/IS_Net_Revenue,0)</f>
        <v>0.206012141030595</v>
      </c>
      <c r="E11" s="33" t="n">
        <f aca="false">IFERROR(IS_EBITDA/IS_Net_Revenue,0)</f>
        <v>0.224532618170454</v>
      </c>
      <c r="F11" s="33" t="n">
        <f aca="false">IFERROR(IS_EBITDA/IS_Net_Revenue,0)</f>
        <v>0.23119731334213</v>
      </c>
      <c r="G11" s="33" t="n">
        <f aca="false">IFERROR(IS_EBITDA/IS_Net_Revenue,0)</f>
        <v>0.234921607630046</v>
      </c>
    </row>
    <row r="12" customFormat="false" ht="15" hidden="false" customHeight="false" outlineLevel="0" collapsed="false">
      <c r="A12" s="6"/>
      <c r="B12" s="30" t="s">
        <v>183</v>
      </c>
      <c r="C12" s="33" t="n">
        <f aca="false">IFERROR(RB_Gross_Txn_Rev/RB_TPV,0)</f>
        <v>0.027</v>
      </c>
      <c r="D12" s="33" t="n">
        <f aca="false">IFERROR(RB_Gross_Txn_Rev/RB_TPV,0)</f>
        <v>0.026</v>
      </c>
      <c r="E12" s="33" t="n">
        <f aca="false">IFERROR(RB_Gross_Txn_Rev/RB_TPV,0)</f>
        <v>0.025</v>
      </c>
      <c r="F12" s="33" t="n">
        <f aca="false">IFERROR(RB_Gross_Txn_Rev/RB_TPV,0)</f>
        <v>0.024</v>
      </c>
      <c r="G12" s="33" t="n">
        <f aca="false">IFERROR(RB_Gross_Txn_Rev/RB_TPV,0)</f>
        <v>0.023</v>
      </c>
    </row>
    <row r="13" customFormat="false" ht="15" hidden="false" customHeight="false" outlineLevel="0" collapsed="false">
      <c r="A13" s="6"/>
      <c r="B13" s="30" t="s">
        <v>312</v>
      </c>
      <c r="C13" s="33" t="n">
        <f aca="false">IFERROR(COGS_Interchange/RB_Gross_Txn_Rev,0)</f>
        <v>0.65</v>
      </c>
      <c r="D13" s="33" t="n">
        <f aca="false">IFERROR(COGS_Interchange/RB_Gross_Txn_Rev,0)</f>
        <v>0.65</v>
      </c>
      <c r="E13" s="33" t="n">
        <f aca="false">IFERROR(COGS_Interchange/RB_Gross_Txn_Rev,0)</f>
        <v>0.65</v>
      </c>
      <c r="F13" s="33" t="n">
        <f aca="false">IFERROR(COGS_Interchange/RB_Gross_Txn_Rev,0)</f>
        <v>0.65</v>
      </c>
      <c r="G13" s="33" t="n">
        <f aca="false">IFERROR(COGS_Interchange/RB_Gross_Txn_Rev,0)</f>
        <v>0.65</v>
      </c>
    </row>
    <row r="14" customFormat="false" ht="15" hidden="false" customHeight="false" outlineLevel="0" collapsed="false">
      <c r="A14" s="6"/>
      <c r="B14" s="30" t="s">
        <v>313</v>
      </c>
      <c r="C14" s="31" t="n">
        <f aca="false">COGS_Net_Revenue-IS_Net_Revenue</f>
        <v>0</v>
      </c>
      <c r="D14" s="31" t="n">
        <f aca="false">COGS_Net_Revenue-IS_Net_Revenue</f>
        <v>0</v>
      </c>
      <c r="E14" s="31" t="n">
        <f aca="false">COGS_Net_Revenue-IS_Net_Revenue</f>
        <v>0</v>
      </c>
      <c r="F14" s="31" t="n">
        <f aca="false">COGS_Net_Revenue-IS_Net_Revenue</f>
        <v>0</v>
      </c>
      <c r="G14" s="31" t="n">
        <f aca="false">COGS_Net_Revenue-IS_Net_Revenue</f>
        <v>0</v>
      </c>
    </row>
    <row r="15" customFormat="false" ht="15" hidden="false" customHeight="false" outlineLevel="0" collapsed="false">
      <c r="A15" s="6"/>
      <c r="B15" s="30" t="s">
        <v>314</v>
      </c>
      <c r="C15" s="31" t="n">
        <f aca="false">CF_Closing</f>
        <v>39642934.8276301</v>
      </c>
      <c r="D15" s="31" t="n">
        <f aca="false">CF_Closing</f>
        <v>47437885.9939901</v>
      </c>
      <c r="E15" s="31" t="n">
        <f aca="false">CF_Closing</f>
        <v>58728635.0671403</v>
      </c>
      <c r="F15" s="31" t="n">
        <f aca="false">CF_Closing</f>
        <v>73317036.0289098</v>
      </c>
      <c r="G15" s="31" t="n">
        <f aca="false">CF_Closing</f>
        <v>91397425.2430099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1" t="s">
        <v>315</v>
      </c>
    </row>
    <row r="3" customFormat="false" ht="3.75" hidden="false" customHeight="true" outlineLevel="0" collapsed="false">
      <c r="B3" s="42"/>
    </row>
    <row r="5" customFormat="false" ht="19.5" hidden="false" customHeight="true" outlineLevel="0" collapsed="false">
      <c r="B5" s="43" t="s">
        <v>316</v>
      </c>
    </row>
    <row r="6" customFormat="false" ht="48" hidden="false" customHeight="true" outlineLevel="0" collapsed="false">
      <c r="B6" s="44" t="s">
        <v>317</v>
      </c>
    </row>
    <row r="8" customFormat="false" ht="19.5" hidden="false" customHeight="true" outlineLevel="0" collapsed="false">
      <c r="B8" s="43" t="s">
        <v>318</v>
      </c>
    </row>
    <row r="9" customFormat="false" ht="61.5" hidden="false" customHeight="true" outlineLevel="0" collapsed="false">
      <c r="B9" s="44" t="s">
        <v>319</v>
      </c>
    </row>
    <row r="11" customFormat="false" ht="19.5" hidden="false" customHeight="true" outlineLevel="0" collapsed="false">
      <c r="B11" s="43" t="s">
        <v>320</v>
      </c>
    </row>
    <row r="12" customFormat="false" ht="75.75" hidden="false" customHeight="true" outlineLevel="0" collapsed="false">
      <c r="B12" s="44" t="s">
        <v>321</v>
      </c>
    </row>
    <row r="14" customFormat="false" ht="19.5" hidden="false" customHeight="true" outlineLevel="0" collapsed="false">
      <c r="B14" s="43" t="s">
        <v>322</v>
      </c>
    </row>
    <row r="15" customFormat="false" ht="61.5" hidden="false" customHeight="true" outlineLevel="0" collapsed="false">
      <c r="B15" s="44" t="s">
        <v>323</v>
      </c>
    </row>
    <row r="17" customFormat="false" ht="19.5" hidden="false" customHeight="true" outlineLevel="0" collapsed="false">
      <c r="B17" s="43" t="s">
        <v>324</v>
      </c>
    </row>
    <row r="18" customFormat="false" ht="33.75" hidden="false" customHeight="true" outlineLevel="0" collapsed="false">
      <c r="B18" s="44" t="s">
        <v>325</v>
      </c>
    </row>
    <row r="20" customFormat="false" ht="19.5" hidden="false" customHeight="true" outlineLevel="0" collapsed="false">
      <c r="B20" s="43" t="s">
        <v>326</v>
      </c>
    </row>
    <row r="21" customFormat="false" ht="33.75" hidden="false" customHeight="true" outlineLevel="0" collapsed="false">
      <c r="B21" s="44" t="s">
        <v>327</v>
      </c>
    </row>
    <row r="23" customFormat="false" ht="21.75" hidden="false" customHeight="true" outlineLevel="0" collapsed="false">
      <c r="B23" s="45" t="s">
        <v>328</v>
      </c>
    </row>
    <row r="25" customFormat="false" ht="18" hidden="false" customHeight="true" outlineLevel="0" collapsed="false">
      <c r="B25" s="46" t="s">
        <v>329</v>
      </c>
    </row>
    <row r="26" customFormat="false" ht="201.75" hidden="false" customHeight="true" outlineLevel="0" collapsed="false">
      <c r="B26" s="47" t="s">
        <v>330</v>
      </c>
    </row>
    <row r="28" customFormat="false" ht="18" hidden="false" customHeight="true" outlineLevel="0" collapsed="false">
      <c r="B28" s="48" t="s">
        <v>331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8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55</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2" t="s">
        <v>56</v>
      </c>
      <c r="C5" s="22" t="s">
        <v>57</v>
      </c>
      <c r="D5" s="22" t="s">
        <v>58</v>
      </c>
      <c r="E5" s="22" t="s">
        <v>59</v>
      </c>
    </row>
    <row r="6" customFormat="false" ht="15" hidden="false" customHeight="false" outlineLevel="0" collapsed="false">
      <c r="A6" s="6"/>
      <c r="B6" s="6"/>
      <c r="C6" s="6"/>
      <c r="D6" s="6"/>
      <c r="E6" s="6"/>
    </row>
    <row r="7" customFormat="false" ht="15" hidden="false" customHeight="false" outlineLevel="0" collapsed="false">
      <c r="A7" s="6"/>
      <c r="B7" s="9" t="s">
        <v>60</v>
      </c>
      <c r="C7" s="10"/>
      <c r="D7" s="10"/>
      <c r="E7" s="10"/>
    </row>
    <row r="8" customFormat="false" ht="15" hidden="false" customHeight="false" outlineLevel="0" collapsed="false">
      <c r="A8" s="6"/>
      <c r="B8" s="8" t="s">
        <v>61</v>
      </c>
      <c r="C8" s="23" t="n">
        <v>2026</v>
      </c>
      <c r="D8" s="24"/>
      <c r="E8" s="24" t="s">
        <v>62</v>
      </c>
    </row>
    <row r="9" customFormat="false" ht="15" hidden="false" customHeight="false" outlineLevel="0" collapsed="false">
      <c r="A9" s="6"/>
      <c r="B9" s="6"/>
      <c r="C9" s="6"/>
      <c r="D9" s="6"/>
      <c r="E9" s="6"/>
    </row>
    <row r="10" customFormat="false" ht="15" hidden="false" customHeight="false" outlineLevel="0" collapsed="false">
      <c r="A10" s="6"/>
      <c r="B10" s="9" t="s">
        <v>63</v>
      </c>
      <c r="C10" s="10"/>
      <c r="D10" s="10"/>
      <c r="E10" s="10"/>
    </row>
    <row r="11" customFormat="false" ht="15" hidden="false" customHeight="false" outlineLevel="0" collapsed="false">
      <c r="A11" s="6"/>
      <c r="B11" s="8" t="s">
        <v>64</v>
      </c>
      <c r="C11" s="23" t="n">
        <v>2500</v>
      </c>
      <c r="D11" s="24" t="s">
        <v>65</v>
      </c>
      <c r="E11" s="24" t="s">
        <v>66</v>
      </c>
    </row>
    <row r="12" customFormat="false" ht="15" hidden="false" customHeight="false" outlineLevel="0" collapsed="false">
      <c r="A12" s="6"/>
      <c r="B12" s="8" t="s">
        <v>67</v>
      </c>
      <c r="C12" s="25" t="n">
        <v>0.35</v>
      </c>
      <c r="D12" s="24" t="s">
        <v>68</v>
      </c>
      <c r="E12" s="24" t="s">
        <v>69</v>
      </c>
    </row>
    <row r="13" customFormat="false" ht="15" hidden="false" customHeight="false" outlineLevel="0" collapsed="false">
      <c r="A13" s="6"/>
      <c r="B13" s="8" t="s">
        <v>70</v>
      </c>
      <c r="C13" s="25" t="n">
        <v>0.3</v>
      </c>
      <c r="D13" s="24" t="s">
        <v>68</v>
      </c>
      <c r="E13" s="24"/>
    </row>
    <row r="14" customFormat="false" ht="15" hidden="false" customHeight="false" outlineLevel="0" collapsed="false">
      <c r="A14" s="6"/>
      <c r="B14" s="8" t="s">
        <v>71</v>
      </c>
      <c r="C14" s="25" t="n">
        <v>0.25</v>
      </c>
      <c r="D14" s="24" t="s">
        <v>68</v>
      </c>
      <c r="E14" s="24"/>
    </row>
    <row r="15" customFormat="false" ht="15" hidden="false" customHeight="false" outlineLevel="0" collapsed="false">
      <c r="A15" s="6"/>
      <c r="B15" s="8" t="s">
        <v>72</v>
      </c>
      <c r="C15" s="25" t="n">
        <v>0.2</v>
      </c>
      <c r="D15" s="24" t="s">
        <v>68</v>
      </c>
      <c r="E15" s="24" t="s">
        <v>73</v>
      </c>
    </row>
    <row r="16" customFormat="false" ht="15" hidden="false" customHeight="false" outlineLevel="0" collapsed="false">
      <c r="A16" s="6"/>
      <c r="B16" s="8" t="s">
        <v>74</v>
      </c>
      <c r="C16" s="25" t="n">
        <v>0.18</v>
      </c>
      <c r="D16" s="24" t="s">
        <v>68</v>
      </c>
      <c r="E16" s="24"/>
    </row>
    <row r="17" customFormat="false" ht="15" hidden="false" customHeight="false" outlineLevel="0" collapsed="false">
      <c r="A17" s="6"/>
      <c r="B17" s="8" t="s">
        <v>75</v>
      </c>
      <c r="C17" s="23" t="n">
        <v>85000</v>
      </c>
      <c r="D17" s="24" t="s">
        <v>76</v>
      </c>
      <c r="E17" s="24" t="s">
        <v>77</v>
      </c>
    </row>
    <row r="18" customFormat="false" ht="15" hidden="false" customHeight="false" outlineLevel="0" collapsed="false">
      <c r="A18" s="6"/>
      <c r="B18" s="8" t="s">
        <v>78</v>
      </c>
      <c r="C18" s="25" t="n">
        <v>0.05</v>
      </c>
      <c r="D18" s="24" t="s">
        <v>68</v>
      </c>
      <c r="E18" s="24" t="s">
        <v>79</v>
      </c>
    </row>
    <row r="19" customFormat="false" ht="15" hidden="false" customHeight="false" outlineLevel="0" collapsed="false">
      <c r="A19" s="6"/>
      <c r="B19" s="8" t="s">
        <v>80</v>
      </c>
      <c r="C19" s="25" t="n">
        <v>0.02</v>
      </c>
      <c r="D19" s="24" t="s">
        <v>68</v>
      </c>
      <c r="E19" s="24" t="s">
        <v>81</v>
      </c>
    </row>
    <row r="20" customFormat="false" ht="15" hidden="false" customHeight="false" outlineLevel="0" collapsed="false">
      <c r="A20" s="6"/>
      <c r="B20" s="6"/>
      <c r="C20" s="6"/>
      <c r="D20" s="6"/>
      <c r="E20" s="6"/>
    </row>
    <row r="21" customFormat="false" ht="15" hidden="false" customHeight="false" outlineLevel="0" collapsed="false">
      <c r="A21" s="6"/>
      <c r="B21" s="9" t="s">
        <v>82</v>
      </c>
      <c r="C21" s="10"/>
      <c r="D21" s="10"/>
      <c r="E21" s="10"/>
    </row>
    <row r="22" customFormat="false" ht="15" hidden="false" customHeight="false" outlineLevel="0" collapsed="false">
      <c r="A22" s="6"/>
      <c r="B22" s="8" t="s">
        <v>83</v>
      </c>
      <c r="C22" s="25" t="n">
        <v>0.027</v>
      </c>
      <c r="D22" s="24" t="s">
        <v>68</v>
      </c>
      <c r="E22" s="24" t="s">
        <v>84</v>
      </c>
    </row>
    <row r="23" customFormat="false" ht="15" hidden="false" customHeight="false" outlineLevel="0" collapsed="false">
      <c r="A23" s="6"/>
      <c r="B23" s="8" t="s">
        <v>85</v>
      </c>
      <c r="C23" s="25" t="n">
        <v>0.026</v>
      </c>
      <c r="D23" s="24" t="s">
        <v>68</v>
      </c>
      <c r="E23" s="24" t="s">
        <v>86</v>
      </c>
    </row>
    <row r="24" customFormat="false" ht="15" hidden="false" customHeight="false" outlineLevel="0" collapsed="false">
      <c r="A24" s="6"/>
      <c r="B24" s="8" t="s">
        <v>87</v>
      </c>
      <c r="C24" s="25" t="n">
        <v>0.025</v>
      </c>
      <c r="D24" s="24" t="s">
        <v>68</v>
      </c>
      <c r="E24" s="24"/>
    </row>
    <row r="25" customFormat="false" ht="15" hidden="false" customHeight="false" outlineLevel="0" collapsed="false">
      <c r="A25" s="6"/>
      <c r="B25" s="8" t="s">
        <v>88</v>
      </c>
      <c r="C25" s="25" t="n">
        <v>0.024</v>
      </c>
      <c r="D25" s="24" t="s">
        <v>68</v>
      </c>
      <c r="E25" s="24" t="s">
        <v>89</v>
      </c>
    </row>
    <row r="26" customFormat="false" ht="15" hidden="false" customHeight="false" outlineLevel="0" collapsed="false">
      <c r="A26" s="6"/>
      <c r="B26" s="8" t="s">
        <v>90</v>
      </c>
      <c r="C26" s="25" t="n">
        <v>0.023</v>
      </c>
      <c r="D26" s="24" t="s">
        <v>68</v>
      </c>
      <c r="E26" s="24"/>
    </row>
    <row r="27" customFormat="false" ht="15" hidden="false" customHeight="false" outlineLevel="0" collapsed="false">
      <c r="A27" s="6"/>
      <c r="B27" s="6"/>
      <c r="C27" s="6"/>
      <c r="D27" s="6"/>
      <c r="E27" s="6"/>
    </row>
    <row r="28" customFormat="false" ht="15" hidden="false" customHeight="false" outlineLevel="0" collapsed="false">
      <c r="A28" s="6"/>
      <c r="B28" s="9" t="s">
        <v>91</v>
      </c>
      <c r="C28" s="10"/>
      <c r="D28" s="10"/>
      <c r="E28" s="10"/>
    </row>
    <row r="29" customFormat="false" ht="15" hidden="false" customHeight="false" outlineLevel="0" collapsed="false">
      <c r="A29" s="6"/>
      <c r="B29" s="8" t="s">
        <v>92</v>
      </c>
      <c r="C29" s="23" t="n">
        <v>99</v>
      </c>
      <c r="D29" s="24" t="s">
        <v>93</v>
      </c>
      <c r="E29" s="24" t="s">
        <v>94</v>
      </c>
    </row>
    <row r="30" customFormat="false" ht="15" hidden="false" customHeight="false" outlineLevel="0" collapsed="false">
      <c r="A30" s="6"/>
      <c r="B30" s="8" t="s">
        <v>95</v>
      </c>
      <c r="C30" s="25" t="n">
        <v>0.05</v>
      </c>
      <c r="D30" s="24" t="s">
        <v>68</v>
      </c>
      <c r="E30" s="24" t="s">
        <v>96</v>
      </c>
    </row>
    <row r="31" customFormat="false" ht="15" hidden="false" customHeight="false" outlineLevel="0" collapsed="false">
      <c r="A31" s="6"/>
      <c r="B31" s="8" t="s">
        <v>97</v>
      </c>
      <c r="C31" s="25" t="n">
        <v>0.15</v>
      </c>
      <c r="D31" s="24" t="s">
        <v>68</v>
      </c>
      <c r="E31" s="24" t="s">
        <v>98</v>
      </c>
    </row>
    <row r="32" customFormat="false" ht="15" hidden="false" customHeight="false" outlineLevel="0" collapsed="false">
      <c r="A32" s="6"/>
      <c r="B32" s="8" t="s">
        <v>99</v>
      </c>
      <c r="C32" s="25" t="n">
        <v>0.0015</v>
      </c>
      <c r="D32" s="24" t="s">
        <v>68</v>
      </c>
      <c r="E32" s="24" t="s">
        <v>100</v>
      </c>
    </row>
    <row r="33" customFormat="false" ht="15" hidden="false" customHeight="false" outlineLevel="0" collapsed="false">
      <c r="A33" s="6"/>
      <c r="B33" s="8" t="s">
        <v>101</v>
      </c>
      <c r="C33" s="25" t="n">
        <v>0.05</v>
      </c>
      <c r="D33" s="24" t="s">
        <v>68</v>
      </c>
      <c r="E33" s="24" t="s">
        <v>102</v>
      </c>
    </row>
    <row r="34" customFormat="false" ht="15" hidden="false" customHeight="false" outlineLevel="0" collapsed="false">
      <c r="A34" s="6"/>
      <c r="B34" s="6"/>
      <c r="C34" s="6"/>
      <c r="D34" s="6"/>
      <c r="E34" s="6"/>
    </row>
    <row r="35" customFormat="false" ht="15" hidden="false" customHeight="false" outlineLevel="0" collapsed="false">
      <c r="A35" s="6"/>
      <c r="B35" s="9" t="s">
        <v>103</v>
      </c>
      <c r="C35" s="10"/>
      <c r="D35" s="10"/>
      <c r="E35" s="10"/>
    </row>
    <row r="36" customFormat="false" ht="15" hidden="false" customHeight="false" outlineLevel="0" collapsed="false">
      <c r="A36" s="6"/>
      <c r="B36" s="8" t="s">
        <v>104</v>
      </c>
      <c r="C36" s="25" t="n">
        <v>0.65</v>
      </c>
      <c r="D36" s="24" t="s">
        <v>68</v>
      </c>
      <c r="E36" s="24" t="s">
        <v>105</v>
      </c>
    </row>
    <row r="37" customFormat="false" ht="15" hidden="false" customHeight="false" outlineLevel="0" collapsed="false">
      <c r="A37" s="6"/>
      <c r="B37" s="8" t="s">
        <v>106</v>
      </c>
      <c r="C37" s="25" t="n">
        <v>0.07</v>
      </c>
      <c r="D37" s="24" t="s">
        <v>68</v>
      </c>
      <c r="E37" s="24" t="s">
        <v>105</v>
      </c>
    </row>
    <row r="38" customFormat="false" ht="15" hidden="false" customHeight="false" outlineLevel="0" collapsed="false">
      <c r="A38" s="6"/>
      <c r="B38" s="8" t="s">
        <v>107</v>
      </c>
      <c r="C38" s="25" t="n">
        <v>0.001</v>
      </c>
      <c r="D38" s="24" t="s">
        <v>68</v>
      </c>
      <c r="E38" s="24" t="s">
        <v>108</v>
      </c>
    </row>
    <row r="39" customFormat="false" ht="15" hidden="false" customHeight="false" outlineLevel="0" collapsed="false">
      <c r="A39" s="6"/>
      <c r="B39" s="8" t="s">
        <v>109</v>
      </c>
      <c r="C39" s="25" t="n">
        <v>0.04</v>
      </c>
      <c r="D39" s="24" t="s">
        <v>68</v>
      </c>
      <c r="E39" s="24" t="s">
        <v>110</v>
      </c>
    </row>
    <row r="40" customFormat="false" ht="15" hidden="false" customHeight="false" outlineLevel="0" collapsed="false">
      <c r="A40" s="6"/>
      <c r="B40" s="6"/>
      <c r="C40" s="6"/>
      <c r="D40" s="6"/>
      <c r="E40" s="6"/>
    </row>
    <row r="41" customFormat="false" ht="15" hidden="false" customHeight="false" outlineLevel="0" collapsed="false">
      <c r="A41" s="6"/>
      <c r="B41" s="9" t="s">
        <v>111</v>
      </c>
      <c r="C41" s="10"/>
      <c r="D41" s="10"/>
      <c r="E41" s="10"/>
    </row>
    <row r="42" customFormat="false" ht="15" hidden="false" customHeight="false" outlineLevel="0" collapsed="false">
      <c r="A42" s="6"/>
      <c r="B42" s="8" t="s">
        <v>112</v>
      </c>
      <c r="C42" s="23" t="n">
        <v>35</v>
      </c>
      <c r="D42" s="24" t="s">
        <v>65</v>
      </c>
      <c r="E42" s="24" t="s">
        <v>113</v>
      </c>
    </row>
    <row r="43" customFormat="false" ht="15" hidden="false" customHeight="false" outlineLevel="0" collapsed="false">
      <c r="A43" s="6"/>
      <c r="B43" s="8" t="s">
        <v>114</v>
      </c>
      <c r="C43" s="23" t="n">
        <v>175000</v>
      </c>
      <c r="D43" s="24" t="s">
        <v>76</v>
      </c>
      <c r="E43" s="24" t="s">
        <v>115</v>
      </c>
    </row>
    <row r="44" customFormat="false" ht="15" hidden="false" customHeight="false" outlineLevel="0" collapsed="false">
      <c r="A44" s="6"/>
      <c r="B44" s="8" t="s">
        <v>116</v>
      </c>
      <c r="C44" s="25" t="n">
        <v>0.15</v>
      </c>
      <c r="D44" s="24" t="s">
        <v>68</v>
      </c>
      <c r="E44" s="24" t="s">
        <v>117</v>
      </c>
    </row>
    <row r="45" customFormat="false" ht="15" hidden="false" customHeight="false" outlineLevel="0" collapsed="false">
      <c r="A45" s="6"/>
      <c r="B45" s="8" t="s">
        <v>118</v>
      </c>
      <c r="C45" s="23" t="n">
        <v>20</v>
      </c>
      <c r="D45" s="24" t="s">
        <v>65</v>
      </c>
      <c r="E45" s="24" t="s">
        <v>119</v>
      </c>
    </row>
    <row r="46" customFormat="false" ht="15" hidden="false" customHeight="false" outlineLevel="0" collapsed="false">
      <c r="A46" s="6"/>
      <c r="B46" s="8" t="s">
        <v>120</v>
      </c>
      <c r="C46" s="23" t="n">
        <v>120000</v>
      </c>
      <c r="D46" s="24" t="s">
        <v>76</v>
      </c>
      <c r="E46" s="24" t="s">
        <v>115</v>
      </c>
    </row>
    <row r="47" customFormat="false" ht="15" hidden="false" customHeight="false" outlineLevel="0" collapsed="false">
      <c r="A47" s="6"/>
      <c r="B47" s="8" t="s">
        <v>121</v>
      </c>
      <c r="C47" s="25" t="n">
        <v>0.2</v>
      </c>
      <c r="D47" s="24" t="s">
        <v>68</v>
      </c>
      <c r="E47" s="24" t="s">
        <v>122</v>
      </c>
    </row>
    <row r="48" customFormat="false" ht="15" hidden="false" customHeight="false" outlineLevel="0" collapsed="false">
      <c r="A48" s="6"/>
      <c r="B48" s="8" t="s">
        <v>123</v>
      </c>
      <c r="C48" s="23" t="n">
        <v>2500000</v>
      </c>
      <c r="D48" s="24" t="s">
        <v>76</v>
      </c>
      <c r="E48" s="24" t="s">
        <v>124</v>
      </c>
    </row>
    <row r="49" customFormat="false" ht="15" hidden="false" customHeight="false" outlineLevel="0" collapsed="false">
      <c r="A49" s="6"/>
      <c r="B49" s="8" t="s">
        <v>125</v>
      </c>
      <c r="C49" s="25" t="n">
        <v>0.08</v>
      </c>
      <c r="D49" s="24" t="s">
        <v>68</v>
      </c>
      <c r="E49" s="24" t="s">
        <v>126</v>
      </c>
    </row>
    <row r="50" customFormat="false" ht="15" hidden="false" customHeight="false" outlineLevel="0" collapsed="false">
      <c r="A50" s="6"/>
      <c r="B50" s="8" t="s">
        <v>127</v>
      </c>
      <c r="C50" s="25" t="n">
        <v>0.04</v>
      </c>
      <c r="D50" s="24" t="s">
        <v>68</v>
      </c>
      <c r="E50" s="24" t="s">
        <v>128</v>
      </c>
    </row>
    <row r="51" customFormat="false" ht="15" hidden="false" customHeight="false" outlineLevel="0" collapsed="false">
      <c r="A51" s="6"/>
      <c r="B51" s="8" t="s">
        <v>129</v>
      </c>
      <c r="C51" s="25" t="n">
        <v>0.1</v>
      </c>
      <c r="D51" s="24" t="s">
        <v>68</v>
      </c>
      <c r="E51" s="24" t="s">
        <v>130</v>
      </c>
    </row>
    <row r="52" customFormat="false" ht="15" hidden="false" customHeight="false" outlineLevel="0" collapsed="false">
      <c r="A52" s="6"/>
      <c r="B52" s="8" t="s">
        <v>131</v>
      </c>
      <c r="C52" s="25" t="n">
        <v>0.08</v>
      </c>
      <c r="D52" s="24" t="s">
        <v>68</v>
      </c>
      <c r="E52" s="24" t="s">
        <v>132</v>
      </c>
    </row>
    <row r="53" customFormat="false" ht="15" hidden="false" customHeight="false" outlineLevel="0" collapsed="false">
      <c r="A53" s="6"/>
      <c r="B53" s="6"/>
      <c r="C53" s="6"/>
      <c r="D53" s="6"/>
      <c r="E53" s="6"/>
    </row>
    <row r="54" customFormat="false" ht="15" hidden="false" customHeight="false" outlineLevel="0" collapsed="false">
      <c r="A54" s="6"/>
      <c r="B54" s="9" t="s">
        <v>133</v>
      </c>
      <c r="C54" s="10"/>
      <c r="D54" s="10"/>
      <c r="E54" s="10"/>
    </row>
    <row r="55" customFormat="false" ht="15" hidden="false" customHeight="false" outlineLevel="0" collapsed="false">
      <c r="A55" s="6"/>
      <c r="B55" s="8" t="s">
        <v>134</v>
      </c>
      <c r="C55" s="25" t="n">
        <v>0.05</v>
      </c>
      <c r="D55" s="24" t="s">
        <v>68</v>
      </c>
      <c r="E55" s="24" t="s">
        <v>135</v>
      </c>
    </row>
    <row r="56" customFormat="false" ht="15" hidden="false" customHeight="false" outlineLevel="0" collapsed="false">
      <c r="A56" s="6"/>
      <c r="B56" s="8" t="s">
        <v>136</v>
      </c>
      <c r="C56" s="23" t="n">
        <v>3000000</v>
      </c>
      <c r="D56" s="24" t="s">
        <v>76</v>
      </c>
      <c r="E56" s="24" t="s">
        <v>137</v>
      </c>
    </row>
    <row r="57" customFormat="false" ht="15" hidden="false" customHeight="false" outlineLevel="0" collapsed="false">
      <c r="A57" s="6"/>
      <c r="B57" s="8" t="s">
        <v>138</v>
      </c>
      <c r="C57" s="23" t="n">
        <v>1000000</v>
      </c>
      <c r="D57" s="24" t="s">
        <v>76</v>
      </c>
      <c r="E57" s="24" t="s">
        <v>139</v>
      </c>
    </row>
    <row r="58" customFormat="false" ht="15" hidden="false" customHeight="false" outlineLevel="0" collapsed="false">
      <c r="A58" s="6"/>
      <c r="B58" s="8" t="s">
        <v>140</v>
      </c>
      <c r="C58" s="23" t="n">
        <v>5</v>
      </c>
      <c r="D58" s="24" t="s">
        <v>141</v>
      </c>
      <c r="E58" s="24" t="s">
        <v>142</v>
      </c>
    </row>
    <row r="59" customFormat="false" ht="15" hidden="false" customHeight="false" outlineLevel="0" collapsed="false">
      <c r="A59" s="6"/>
      <c r="B59" s="6"/>
      <c r="C59" s="6"/>
      <c r="D59" s="6"/>
      <c r="E59" s="6"/>
    </row>
    <row r="60" customFormat="false" ht="15" hidden="false" customHeight="false" outlineLevel="0" collapsed="false">
      <c r="A60" s="6"/>
      <c r="B60" s="9" t="s">
        <v>143</v>
      </c>
      <c r="C60" s="10"/>
      <c r="D60" s="10"/>
      <c r="E60" s="10"/>
    </row>
    <row r="61" customFormat="false" ht="15" hidden="false" customHeight="false" outlineLevel="0" collapsed="false">
      <c r="A61" s="6"/>
      <c r="B61" s="8" t="s">
        <v>144</v>
      </c>
      <c r="C61" s="23" t="n">
        <v>2</v>
      </c>
      <c r="D61" s="24" t="s">
        <v>145</v>
      </c>
      <c r="E61" s="24" t="s">
        <v>146</v>
      </c>
    </row>
    <row r="62" customFormat="false" ht="15" hidden="false" customHeight="false" outlineLevel="0" collapsed="false">
      <c r="A62" s="6"/>
      <c r="B62" s="8" t="s">
        <v>147</v>
      </c>
      <c r="C62" s="23" t="n">
        <v>1</v>
      </c>
      <c r="D62" s="24" t="s">
        <v>145</v>
      </c>
      <c r="E62" s="24" t="s">
        <v>148</v>
      </c>
    </row>
    <row r="63" customFormat="false" ht="15" hidden="false" customHeight="false" outlineLevel="0" collapsed="false">
      <c r="A63" s="6"/>
      <c r="B63" s="8" t="s">
        <v>149</v>
      </c>
      <c r="C63" s="25" t="n">
        <v>0.02</v>
      </c>
      <c r="D63" s="24" t="s">
        <v>68</v>
      </c>
      <c r="E63" s="24" t="s">
        <v>150</v>
      </c>
    </row>
    <row r="64" customFormat="false" ht="15" hidden="false" customHeight="false" outlineLevel="0" collapsed="false">
      <c r="A64" s="6"/>
      <c r="B64" s="8" t="s">
        <v>151</v>
      </c>
      <c r="C64" s="25" t="n">
        <v>0.1</v>
      </c>
      <c r="D64" s="24" t="s">
        <v>68</v>
      </c>
      <c r="E64" s="24" t="s">
        <v>152</v>
      </c>
    </row>
    <row r="65" customFormat="false" ht="15" hidden="false" customHeight="false" outlineLevel="0" collapsed="false">
      <c r="A65" s="6"/>
      <c r="B65" s="6"/>
      <c r="C65" s="6"/>
      <c r="D65" s="6"/>
      <c r="E65" s="6"/>
    </row>
    <row r="66" customFormat="false" ht="15" hidden="false" customHeight="false" outlineLevel="0" collapsed="false">
      <c r="A66" s="6"/>
      <c r="B66" s="9" t="s">
        <v>153</v>
      </c>
      <c r="C66" s="10"/>
      <c r="D66" s="10"/>
      <c r="E66" s="10"/>
    </row>
    <row r="67" customFormat="false" ht="15" hidden="false" customHeight="false" outlineLevel="0" collapsed="false">
      <c r="A67" s="6"/>
      <c r="B67" s="8" t="s">
        <v>154</v>
      </c>
      <c r="C67" s="23" t="n">
        <v>10000000</v>
      </c>
      <c r="D67" s="24" t="s">
        <v>76</v>
      </c>
      <c r="E67" s="24" t="s">
        <v>155</v>
      </c>
    </row>
    <row r="68" customFormat="false" ht="15" hidden="false" customHeight="false" outlineLevel="0" collapsed="false">
      <c r="A68" s="6"/>
      <c r="B68" s="8" t="s">
        <v>156</v>
      </c>
      <c r="C68" s="25" t="n">
        <v>0.085</v>
      </c>
      <c r="D68" s="24" t="s">
        <v>68</v>
      </c>
      <c r="E68" s="24" t="s">
        <v>157</v>
      </c>
    </row>
    <row r="69" customFormat="false" ht="15" hidden="false" customHeight="false" outlineLevel="0" collapsed="false">
      <c r="A69" s="6"/>
      <c r="B69" s="8" t="s">
        <v>158</v>
      </c>
      <c r="C69" s="23" t="n">
        <v>5</v>
      </c>
      <c r="D69" s="24" t="s">
        <v>141</v>
      </c>
      <c r="E69" s="24" t="s">
        <v>159</v>
      </c>
    </row>
    <row r="70" customFormat="false" ht="15" hidden="false" customHeight="false" outlineLevel="0" collapsed="false">
      <c r="A70" s="6"/>
      <c r="B70" s="8" t="s">
        <v>160</v>
      </c>
      <c r="C70" s="23" t="n">
        <v>5000000</v>
      </c>
      <c r="D70" s="24" t="s">
        <v>76</v>
      </c>
      <c r="E70" s="24" t="s">
        <v>161</v>
      </c>
    </row>
    <row r="71" customFormat="false" ht="15" hidden="false" customHeight="false" outlineLevel="0" collapsed="false">
      <c r="A71" s="6"/>
      <c r="B71" s="8" t="s">
        <v>162</v>
      </c>
      <c r="C71" s="25" t="n">
        <v>0.005</v>
      </c>
      <c r="D71" s="24" t="s">
        <v>68</v>
      </c>
      <c r="E71" s="24" t="s">
        <v>163</v>
      </c>
    </row>
    <row r="72" customFormat="false" ht="15" hidden="false" customHeight="false" outlineLevel="0" collapsed="false">
      <c r="A72" s="6"/>
      <c r="B72" s="6"/>
      <c r="C72" s="6"/>
      <c r="D72" s="6"/>
      <c r="E72" s="6"/>
    </row>
    <row r="73" customFormat="false" ht="15" hidden="false" customHeight="false" outlineLevel="0" collapsed="false">
      <c r="A73" s="6"/>
      <c r="B73" s="9" t="s">
        <v>164</v>
      </c>
      <c r="C73" s="10"/>
      <c r="D73" s="10"/>
      <c r="E73" s="10"/>
    </row>
    <row r="74" customFormat="false" ht="15" hidden="false" customHeight="false" outlineLevel="0" collapsed="false">
      <c r="A74" s="6"/>
      <c r="B74" s="8" t="s">
        <v>165</v>
      </c>
      <c r="C74" s="25" t="n">
        <v>0.25</v>
      </c>
      <c r="D74" s="24" t="s">
        <v>68</v>
      </c>
      <c r="E74" s="24" t="s">
        <v>166</v>
      </c>
    </row>
    <row r="75" customFormat="false" ht="15" hidden="false" customHeight="false" outlineLevel="0" collapsed="false">
      <c r="A75" s="6"/>
      <c r="B75" s="8" t="s">
        <v>167</v>
      </c>
      <c r="C75" s="25" t="n">
        <v>0.04</v>
      </c>
      <c r="D75" s="24" t="s">
        <v>68</v>
      </c>
      <c r="E75" s="24" t="s">
        <v>168</v>
      </c>
    </row>
    <row r="76" customFormat="false" ht="15" hidden="false" customHeight="false" outlineLevel="0" collapsed="false">
      <c r="A76" s="6"/>
      <c r="B76" s="6"/>
      <c r="C76" s="6"/>
      <c r="D76" s="6"/>
      <c r="E76" s="6"/>
    </row>
    <row r="77" customFormat="false" ht="15" hidden="false" customHeight="false" outlineLevel="0" collapsed="false">
      <c r="A77" s="6"/>
      <c r="B77" s="9" t="s">
        <v>169</v>
      </c>
      <c r="C77" s="10"/>
      <c r="D77" s="10"/>
      <c r="E77" s="10"/>
    </row>
    <row r="78" customFormat="false" ht="15" hidden="false" customHeight="false" outlineLevel="0" collapsed="false">
      <c r="A78" s="6"/>
      <c r="B78" s="8" t="s">
        <v>170</v>
      </c>
      <c r="C78" s="23" t="n">
        <v>25000000</v>
      </c>
      <c r="D78" s="24" t="s">
        <v>76</v>
      </c>
      <c r="E78" s="24" t="s">
        <v>171</v>
      </c>
    </row>
    <row r="79" customFormat="false" ht="15" hidden="false" customHeight="false" outlineLevel="0" collapsed="false">
      <c r="A79" s="6"/>
      <c r="B79" s="8" t="s">
        <v>172</v>
      </c>
      <c r="C79" s="23" t="n">
        <v>40000000</v>
      </c>
      <c r="D79" s="24" t="s">
        <v>76</v>
      </c>
      <c r="E79" s="24" t="s">
        <v>173</v>
      </c>
    </row>
    <row r="80" customFormat="false" ht="15" hidden="false" customHeight="false" outlineLevel="0" collapsed="false">
      <c r="A80" s="6"/>
      <c r="B80" s="8" t="s">
        <v>174</v>
      </c>
      <c r="C80" s="23" t="n">
        <v>-23682002</v>
      </c>
      <c r="D80" s="24" t="s">
        <v>76</v>
      </c>
      <c r="E80" s="24" t="s">
        <v>175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179</v>
      </c>
      <c r="C8" s="10"/>
      <c r="D8" s="10"/>
      <c r="E8" s="10"/>
      <c r="F8" s="10"/>
      <c r="G8" s="10"/>
    </row>
    <row r="9" customFormat="false" ht="15" hidden="false" customHeight="false" outlineLevel="0" collapsed="false">
      <c r="A9" s="6"/>
      <c r="B9" s="30" t="s">
        <v>180</v>
      </c>
      <c r="C9" s="31" t="n">
        <f aca="false">ROUND(Merchants_Y0*(1+CHOOSE(C6,Merchant_Growth_Y1,Merchant_Growth_Y2,Merchant_Growth_Y3,Merchant_Growth_Y4,Merchant_Growth_Y5))*(1-Merchant_Churn),0)</f>
        <v>3308</v>
      </c>
      <c r="D9" s="31" t="n">
        <f aca="false">ROUND(C9*(1+CHOOSE(D6,Merchant_Growth_Y1,Merchant_Growth_Y2,Merchant_Growth_Y3,Merchant_Growth_Y4,Merchant_Growth_Y5))*(1-Merchant_Churn),0)</f>
        <v>4214</v>
      </c>
      <c r="E9" s="31" t="n">
        <f aca="false">ROUND(D9*(1+CHOOSE(E6,Merchant_Growth_Y1,Merchant_Growth_Y2,Merchant_Growth_Y3,Merchant_Growth_Y4,Merchant_Growth_Y5))*(1-Merchant_Churn),0)</f>
        <v>5162</v>
      </c>
      <c r="F9" s="31" t="n">
        <f aca="false">ROUND(E9*(1+CHOOSE(F6,Merchant_Growth_Y1,Merchant_Growth_Y2,Merchant_Growth_Y3,Merchant_Growth_Y4,Merchant_Growth_Y5))*(1-Merchant_Churn),0)</f>
        <v>6071</v>
      </c>
      <c r="G9" s="31" t="n">
        <f aca="false">ROUND(F9*(1+CHOOSE(G6,Merchant_Growth_Y1,Merchant_Growth_Y2,Merchant_Growth_Y3,Merchant_Growth_Y4,Merchant_Growth_Y5))*(1-Merchant_Churn),0)</f>
        <v>7021</v>
      </c>
    </row>
    <row r="10" customFormat="false" ht="15" hidden="false" customHeight="false" outlineLevel="0" collapsed="false">
      <c r="A10" s="6"/>
      <c r="B10" s="30" t="s">
        <v>75</v>
      </c>
      <c r="C10" s="32" t="n">
        <f aca="false">Avg_Monthly_Vol*(1+Vol_Growth)^(C6-1)</f>
        <v>85000</v>
      </c>
      <c r="D10" s="32" t="n">
        <f aca="false">Avg_Monthly_Vol*(1+Vol_Growth)^(D6-1)</f>
        <v>89250</v>
      </c>
      <c r="E10" s="32" t="n">
        <f aca="false">Avg_Monthly_Vol*(1+Vol_Growth)^(E6-1)</f>
        <v>93712.5</v>
      </c>
      <c r="F10" s="32" t="n">
        <f aca="false">Avg_Monthly_Vol*(1+Vol_Growth)^(F6-1)</f>
        <v>98398.125</v>
      </c>
      <c r="G10" s="32" t="n">
        <f aca="false">Avg_Monthly_Vol*(1+Vol_Growth)^(G6-1)</f>
        <v>103318.03125</v>
      </c>
    </row>
    <row r="11" customFormat="false" ht="15" hidden="false" customHeight="false" outlineLevel="0" collapsed="false">
      <c r="A11" s="6"/>
      <c r="B11" s="30" t="s">
        <v>181</v>
      </c>
      <c r="C11" s="31" t="n">
        <f aca="false">C9*C10*12</f>
        <v>3374160000</v>
      </c>
      <c r="D11" s="31" t="n">
        <f aca="false">D9*D10*12</f>
        <v>4513194000</v>
      </c>
      <c r="E11" s="31" t="n">
        <f aca="false">E9*E10*12</f>
        <v>5804927100</v>
      </c>
      <c r="F11" s="31" t="n">
        <f aca="false">F9*F10*12</f>
        <v>7168500202.5</v>
      </c>
      <c r="G11" s="31" t="n">
        <f aca="false">G9*G10*12</f>
        <v>8704750768.875</v>
      </c>
    </row>
    <row r="12" customFormat="false" ht="15" hidden="false" customHeight="false" outlineLevel="0" collapsed="false">
      <c r="A12" s="6"/>
      <c r="B12" s="9" t="s">
        <v>182</v>
      </c>
      <c r="C12" s="10"/>
      <c r="D12" s="10"/>
      <c r="E12" s="10"/>
      <c r="F12" s="10"/>
      <c r="G12" s="10"/>
    </row>
    <row r="13" customFormat="false" ht="15" hidden="false" customHeight="false" outlineLevel="0" collapsed="false">
      <c r="A13" s="6"/>
      <c r="B13" s="30" t="s">
        <v>183</v>
      </c>
      <c r="C13" s="33" t="n">
        <f aca="false">CHOOSE(C6,Take_Rate_Y1,Take_Rate_Y2,Take_Rate_Y3,Take_Rate_Y4,Take_Rate_Y5)</f>
        <v>0.027</v>
      </c>
      <c r="D13" s="33" t="n">
        <f aca="false">CHOOSE(D6,Take_Rate_Y1,Take_Rate_Y2,Take_Rate_Y3,Take_Rate_Y4,Take_Rate_Y5)</f>
        <v>0.026</v>
      </c>
      <c r="E13" s="33" t="n">
        <f aca="false">CHOOSE(E6,Take_Rate_Y1,Take_Rate_Y2,Take_Rate_Y3,Take_Rate_Y4,Take_Rate_Y5)</f>
        <v>0.025</v>
      </c>
      <c r="F13" s="33" t="n">
        <f aca="false">CHOOSE(F6,Take_Rate_Y1,Take_Rate_Y2,Take_Rate_Y3,Take_Rate_Y4,Take_Rate_Y5)</f>
        <v>0.024</v>
      </c>
      <c r="G13" s="33" t="n">
        <f aca="false">CHOOSE(G6,Take_Rate_Y1,Take_Rate_Y2,Take_Rate_Y3,Take_Rate_Y4,Take_Rate_Y5)</f>
        <v>0.023</v>
      </c>
    </row>
    <row r="14" customFormat="false" ht="15" hidden="false" customHeight="false" outlineLevel="0" collapsed="false">
      <c r="A14" s="6"/>
      <c r="B14" s="30" t="s">
        <v>184</v>
      </c>
      <c r="C14" s="31" t="n">
        <f aca="false">C11*C13</f>
        <v>91102320</v>
      </c>
      <c r="D14" s="31" t="n">
        <f aca="false">D11*D13</f>
        <v>117343044</v>
      </c>
      <c r="E14" s="31" t="n">
        <f aca="false">E11*E13</f>
        <v>145123177.5</v>
      </c>
      <c r="F14" s="31" t="n">
        <f aca="false">F11*F13</f>
        <v>172044004.86</v>
      </c>
      <c r="G14" s="31" t="n">
        <f aca="false">G11*G13</f>
        <v>200209267.684125</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185</v>
      </c>
      <c r="C16" s="10"/>
      <c r="D16" s="10"/>
      <c r="E16" s="10"/>
      <c r="F16" s="10"/>
      <c r="G16" s="10"/>
    </row>
    <row r="17" customFormat="false" ht="15" hidden="false" customHeight="false" outlineLevel="0" collapsed="false">
      <c r="A17" s="6"/>
      <c r="B17" s="30" t="s">
        <v>186</v>
      </c>
      <c r="C17" s="31" t="n">
        <f aca="false">C9</f>
        <v>3308</v>
      </c>
      <c r="D17" s="31" t="n">
        <f aca="false">D9</f>
        <v>4214</v>
      </c>
      <c r="E17" s="31" t="n">
        <f aca="false">E9</f>
        <v>5162</v>
      </c>
      <c r="F17" s="31" t="n">
        <f aca="false">F9</f>
        <v>6071</v>
      </c>
      <c r="G17" s="31" t="n">
        <f aca="false">G9</f>
        <v>7021</v>
      </c>
    </row>
    <row r="18" customFormat="false" ht="15" hidden="false" customHeight="false" outlineLevel="0" collapsed="false">
      <c r="A18" s="6"/>
      <c r="B18" s="30" t="s">
        <v>187</v>
      </c>
      <c r="C18" s="32" t="n">
        <f aca="false">Platform_Fee*(1+Platform_Fee_Growth)^(C6-1)</f>
        <v>99</v>
      </c>
      <c r="D18" s="32" t="n">
        <f aca="false">Platform_Fee*(1+Platform_Fee_Growth)^(D6-1)</f>
        <v>103.95</v>
      </c>
      <c r="E18" s="32" t="n">
        <f aca="false">Platform_Fee*(1+Platform_Fee_Growth)^(E6-1)</f>
        <v>109.1475</v>
      </c>
      <c r="F18" s="32" t="n">
        <f aca="false">Platform_Fee*(1+Platform_Fee_Growth)^(F6-1)</f>
        <v>114.604875</v>
      </c>
      <c r="G18" s="32" t="n">
        <f aca="false">Platform_Fee*(1+Platform_Fee_Growth)^(G6-1)</f>
        <v>120.33511875</v>
      </c>
    </row>
    <row r="19" customFormat="false" ht="15" hidden="false" customHeight="false" outlineLevel="0" collapsed="false">
      <c r="A19" s="6"/>
      <c r="B19" s="30" t="s">
        <v>185</v>
      </c>
      <c r="C19" s="31" t="n">
        <f aca="false">C17*C18*12</f>
        <v>3929904</v>
      </c>
      <c r="D19" s="31" t="n">
        <f aca="false">D17*D18*12</f>
        <v>5256543.6</v>
      </c>
      <c r="E19" s="31" t="n">
        <f aca="false">E17*E18*12</f>
        <v>6761032.74</v>
      </c>
      <c r="F19" s="31" t="n">
        <f aca="false">F17*F18*12</f>
        <v>8349194.3535</v>
      </c>
      <c r="G19" s="31" t="n">
        <f aca="false">G17*G18*12</f>
        <v>10138474.424925</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188</v>
      </c>
      <c r="C21" s="10"/>
      <c r="D21" s="10"/>
      <c r="E21" s="10"/>
      <c r="F21" s="10"/>
      <c r="G21" s="10"/>
    </row>
    <row r="22" customFormat="false" ht="15" hidden="false" customHeight="false" outlineLevel="0" collapsed="false">
      <c r="A22" s="6"/>
      <c r="B22" s="30" t="s">
        <v>189</v>
      </c>
      <c r="C22" s="33" t="n">
        <f aca="false">MIN(1,VAS_Penetration*(1+VAS_Pen_Growth)^(C6-1))</f>
        <v>0.15</v>
      </c>
      <c r="D22" s="33" t="n">
        <f aca="false">MIN(1,VAS_Penetration*(1+VAS_Pen_Growth)^(D6-1))</f>
        <v>0.1575</v>
      </c>
      <c r="E22" s="33" t="n">
        <f aca="false">MIN(1,VAS_Penetration*(1+VAS_Pen_Growth)^(E6-1))</f>
        <v>0.165375</v>
      </c>
      <c r="F22" s="33" t="n">
        <f aca="false">MIN(1,VAS_Penetration*(1+VAS_Pen_Growth)^(F6-1))</f>
        <v>0.17364375</v>
      </c>
      <c r="G22" s="33" t="n">
        <f aca="false">MIN(1,VAS_Penetration*(1+VAS_Pen_Growth)^(G6-1))</f>
        <v>0.1823259375</v>
      </c>
    </row>
    <row r="23" customFormat="false" ht="15" hidden="false" customHeight="false" outlineLevel="0" collapsed="false">
      <c r="A23" s="6"/>
      <c r="B23" s="30" t="s">
        <v>99</v>
      </c>
      <c r="C23" s="33" t="n">
        <f aca="false">VAS_Fee_Bps</f>
        <v>0.0015</v>
      </c>
      <c r="D23" s="33" t="n">
        <f aca="false">VAS_Fee_Bps</f>
        <v>0.0015</v>
      </c>
      <c r="E23" s="33" t="n">
        <f aca="false">VAS_Fee_Bps</f>
        <v>0.0015</v>
      </c>
      <c r="F23" s="33" t="n">
        <f aca="false">VAS_Fee_Bps</f>
        <v>0.0015</v>
      </c>
      <c r="G23" s="33" t="n">
        <f aca="false">VAS_Fee_Bps</f>
        <v>0.0015</v>
      </c>
    </row>
    <row r="24" customFormat="false" ht="15" hidden="false" customHeight="false" outlineLevel="0" collapsed="false">
      <c r="A24" s="6"/>
      <c r="B24" s="30" t="s">
        <v>190</v>
      </c>
      <c r="C24" s="31" t="n">
        <f aca="false">C11*C22*C23</f>
        <v>759186</v>
      </c>
      <c r="D24" s="31" t="n">
        <f aca="false">D11*D22*D23</f>
        <v>1066242.0825</v>
      </c>
      <c r="E24" s="31" t="n">
        <f aca="false">E11*E22*E23</f>
        <v>1439984.72874375</v>
      </c>
      <c r="F24" s="31" t="n">
        <f aca="false">F11*F22*F23</f>
        <v>1867147.88555679</v>
      </c>
      <c r="G24" s="31" t="n">
        <f aca="false">G11*G22*G23</f>
        <v>2380652.76695847</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7" t="s">
        <v>191</v>
      </c>
      <c r="C26" s="34" t="n">
        <f aca="false">C14+C19+C24</f>
        <v>95791410</v>
      </c>
      <c r="D26" s="34" t="n">
        <f aca="false">D14+D19+D24</f>
        <v>123665829.6825</v>
      </c>
      <c r="E26" s="34" t="n">
        <f aca="false">E14+E19+E24</f>
        <v>153324194.968744</v>
      </c>
      <c r="F26" s="34" t="n">
        <f aca="false">F14+F19+F24</f>
        <v>182260347.099057</v>
      </c>
      <c r="G26" s="34" t="n">
        <f aca="false">G14+G19+G24</f>
        <v>212728394.876009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193</v>
      </c>
      <c r="C8" s="10"/>
      <c r="D8" s="10"/>
      <c r="E8" s="10"/>
      <c r="F8" s="10"/>
      <c r="G8" s="10"/>
    </row>
    <row r="9" customFormat="false" ht="15" hidden="false" customHeight="false" outlineLevel="0" collapsed="false">
      <c r="A9" s="6"/>
      <c r="B9" s="30" t="s">
        <v>194</v>
      </c>
      <c r="C9" s="31" t="n">
        <f aca="false">RB_Gross_Txn_Rev*Interchange_Rate</f>
        <v>59216508</v>
      </c>
      <c r="D9" s="31" t="n">
        <f aca="false">RB_Gross_Txn_Rev*Interchange_Rate</f>
        <v>76272978.6</v>
      </c>
      <c r="E9" s="31" t="n">
        <f aca="false">RB_Gross_Txn_Rev*Interchange_Rate</f>
        <v>94330065.375</v>
      </c>
      <c r="F9" s="31" t="n">
        <f aca="false">RB_Gross_Txn_Rev*Interchange_Rate</f>
        <v>111828603.159</v>
      </c>
      <c r="G9" s="31" t="n">
        <f aca="false">RB_Gross_Txn_Rev*Interchange_Rate</f>
        <v>130136023.994681</v>
      </c>
    </row>
    <row r="10" customFormat="false" ht="15" hidden="false" customHeight="false" outlineLevel="0" collapsed="false">
      <c r="A10" s="6"/>
      <c r="B10" s="30" t="s">
        <v>195</v>
      </c>
      <c r="C10" s="31" t="n">
        <f aca="false">RB_Gross_Txn_Rev*Processor_Fee_Rate</f>
        <v>6377162.4</v>
      </c>
      <c r="D10" s="31" t="n">
        <f aca="false">RB_Gross_Txn_Rev*Processor_Fee_Rate</f>
        <v>8214013.08</v>
      </c>
      <c r="E10" s="31" t="n">
        <f aca="false">RB_Gross_Txn_Rev*Processor_Fee_Rate</f>
        <v>10158622.425</v>
      </c>
      <c r="F10" s="31" t="n">
        <f aca="false">RB_Gross_Txn_Rev*Processor_Fee_Rate</f>
        <v>12043080.3402</v>
      </c>
      <c r="G10" s="31" t="n">
        <f aca="false">RB_Gross_Txn_Rev*Processor_Fee_Rate</f>
        <v>14014648.7378888</v>
      </c>
    </row>
    <row r="11" customFormat="false" ht="15" hidden="false" customHeight="false" outlineLevel="0" collapsed="false">
      <c r="A11" s="6"/>
      <c r="B11" s="30" t="s">
        <v>196</v>
      </c>
      <c r="C11" s="31" t="n">
        <f aca="false">RB_TPV*Fraud_Loss_Rate</f>
        <v>3374160</v>
      </c>
      <c r="D11" s="31" t="n">
        <f aca="false">RB_TPV*Fraud_Loss_Rate</f>
        <v>4513194</v>
      </c>
      <c r="E11" s="31" t="n">
        <f aca="false">RB_TPV*Fraud_Loss_Rate</f>
        <v>5804927.1</v>
      </c>
      <c r="F11" s="31" t="n">
        <f aca="false">RB_TPV*Fraud_Loss_Rate</f>
        <v>7168500.2025</v>
      </c>
      <c r="G11" s="31" t="n">
        <f aca="false">RB_TPV*Fraud_Loss_Rate</f>
        <v>8704750.768875</v>
      </c>
    </row>
    <row r="12" customFormat="false" ht="15" hidden="false" customHeight="false" outlineLevel="0" collapsed="false">
      <c r="A12" s="6"/>
      <c r="B12" s="30" t="s">
        <v>197</v>
      </c>
      <c r="C12" s="31" t="n">
        <f aca="false">(RB_Total_Gross-C9)*Hosting_Pct</f>
        <v>1462996.08</v>
      </c>
      <c r="D12" s="31" t="n">
        <f aca="false">(RB_Total_Gross-D9)*Hosting_Pct</f>
        <v>1895714.0433</v>
      </c>
      <c r="E12" s="31" t="n">
        <f aca="false">(RB_Total_Gross-E9)*Hosting_Pct</f>
        <v>2359765.18374975</v>
      </c>
      <c r="F12" s="31" t="n">
        <f aca="false">(RB_Total_Gross-F9)*Hosting_Pct</f>
        <v>2817269.75760227</v>
      </c>
      <c r="G12" s="31" t="n">
        <f aca="false">(RB_Total_Gross-G9)*Hosting_Pct</f>
        <v>3303694.83525309</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7" t="s">
        <v>198</v>
      </c>
      <c r="C14" s="34" t="n">
        <f aca="false">C9+C10+C11+C12</f>
        <v>70430826.48</v>
      </c>
      <c r="D14" s="34" t="n">
        <f aca="false">D9+D10+D11+D12</f>
        <v>90895899.7233</v>
      </c>
      <c r="E14" s="34" t="n">
        <f aca="false">E9+E10+E11+E12</f>
        <v>112653380.08375</v>
      </c>
      <c r="F14" s="34" t="n">
        <f aca="false">F9+F10+F11+F12</f>
        <v>133857453.459302</v>
      </c>
      <c r="G14" s="34" t="n">
        <f aca="false">G9+G10+G11+G12</f>
        <v>156159118.336698</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199</v>
      </c>
      <c r="C16" s="34" t="n">
        <f aca="false">RB_Total_Gross-C9</f>
        <v>36574902</v>
      </c>
      <c r="D16" s="34" t="n">
        <f aca="false">RB_Total_Gross-D9</f>
        <v>47392851.0825</v>
      </c>
      <c r="E16" s="34" t="n">
        <f aca="false">RB_Total_Gross-E9</f>
        <v>58994129.5937438</v>
      </c>
      <c r="F16" s="34" t="n">
        <f aca="false">RB_Total_Gross-F9</f>
        <v>70431743.9400568</v>
      </c>
      <c r="G16" s="34" t="n">
        <f aca="false">RB_Total_Gross-G9</f>
        <v>82592370.8813272</v>
      </c>
    </row>
    <row r="17" customFormat="false" ht="15" hidden="false" customHeight="false" outlineLevel="0" collapsed="false">
      <c r="A17" s="6"/>
      <c r="B17" s="24" t="s">
        <v>200</v>
      </c>
      <c r="C17" s="35" t="n">
        <f aca="false">(C16-C10-C11-C12)/C16</f>
        <v>0.693387600054267</v>
      </c>
      <c r="D17" s="35" t="n">
        <f aca="false">(D16-D10-D11-D12)/D16</f>
        <v>0.691453018982866</v>
      </c>
      <c r="E17" s="35" t="n">
        <f aca="false">(E16-E10-E11-E12)/E16</f>
        <v>0.68940444015479</v>
      </c>
      <c r="F17" s="35" t="n">
        <f aca="false">(F16-F10-F11-F12)/F16</f>
        <v>0.68723122461584</v>
      </c>
      <c r="G17" s="35" t="n">
        <f aca="false">(G16-G10-G11-G12)/G16</f>
        <v>0.684921330331973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202</v>
      </c>
      <c r="C8" s="10"/>
      <c r="D8" s="10"/>
      <c r="E8" s="10"/>
      <c r="F8" s="10"/>
      <c r="G8" s="10"/>
    </row>
    <row r="9" customFormat="false" ht="15" hidden="false" customHeight="false" outlineLevel="0" collapsed="false">
      <c r="A9" s="6"/>
      <c r="B9" s="30" t="s">
        <v>203</v>
      </c>
      <c r="C9" s="31" t="n">
        <f aca="false">ROUND(Eng_HC_Y1*(1+Eng_HC_Growth)^(C6-1),0)</f>
        <v>35</v>
      </c>
      <c r="D9" s="31" t="n">
        <f aca="false">ROUND(Eng_HC_Y1*(1+Eng_HC_Growth)^(D6-1),0)</f>
        <v>40</v>
      </c>
      <c r="E9" s="31" t="n">
        <f aca="false">ROUND(Eng_HC_Y1*(1+Eng_HC_Growth)^(E6-1),0)</f>
        <v>46</v>
      </c>
      <c r="F9" s="31" t="n">
        <f aca="false">ROUND(Eng_HC_Y1*(1+Eng_HC_Growth)^(F6-1),0)</f>
        <v>53</v>
      </c>
      <c r="G9" s="31" t="n">
        <f aca="false">ROUND(Eng_HC_Y1*(1+Eng_HC_Growth)^(G6-1),0)</f>
        <v>61</v>
      </c>
    </row>
    <row r="10" customFormat="false" ht="15" hidden="false" customHeight="false" outlineLevel="0" collapsed="false">
      <c r="A10" s="6"/>
      <c r="B10" s="30" t="s">
        <v>204</v>
      </c>
      <c r="C10" s="32" t="n">
        <f aca="false">Eng_Salary</f>
        <v>175000</v>
      </c>
      <c r="D10" s="32" t="n">
        <f aca="false">Eng_Salary</f>
        <v>175000</v>
      </c>
      <c r="E10" s="32" t="n">
        <f aca="false">Eng_Salary</f>
        <v>175000</v>
      </c>
      <c r="F10" s="32" t="n">
        <f aca="false">Eng_Salary</f>
        <v>175000</v>
      </c>
      <c r="G10" s="32" t="n">
        <f aca="false">Eng_Salary</f>
        <v>175000</v>
      </c>
    </row>
    <row r="11" customFormat="false" ht="15" hidden="false" customHeight="false" outlineLevel="0" collapsed="false">
      <c r="A11" s="6"/>
      <c r="B11" s="36" t="s">
        <v>205</v>
      </c>
      <c r="C11" s="37" t="n">
        <f aca="false">C9*C10</f>
        <v>6125000</v>
      </c>
      <c r="D11" s="37" t="n">
        <f aca="false">D9*D10</f>
        <v>7000000</v>
      </c>
      <c r="E11" s="37" t="n">
        <f aca="false">E9*E10</f>
        <v>8050000</v>
      </c>
      <c r="F11" s="37" t="n">
        <f aca="false">F9*F10</f>
        <v>9275000</v>
      </c>
      <c r="G11" s="37" t="n">
        <f aca="false">G9*G10</f>
        <v>10675000</v>
      </c>
    </row>
    <row r="12" customFormat="false" ht="15" hidden="false" customHeight="false" outlineLevel="0" collapsed="false">
      <c r="A12" s="6"/>
      <c r="B12" s="9" t="s">
        <v>206</v>
      </c>
      <c r="C12" s="10"/>
      <c r="D12" s="10"/>
      <c r="E12" s="10"/>
      <c r="F12" s="10"/>
      <c r="G12" s="10"/>
    </row>
    <row r="13" customFormat="false" ht="15" hidden="false" customHeight="false" outlineLevel="0" collapsed="false">
      <c r="A13" s="6"/>
      <c r="B13" s="30" t="s">
        <v>207</v>
      </c>
      <c r="C13" s="31" t="n">
        <f aca="false">ROUND(Sales_HC_Y1*(1+Sales_HC_Growth)^(C6-1),0)</f>
        <v>20</v>
      </c>
      <c r="D13" s="31" t="n">
        <f aca="false">ROUND(Sales_HC_Y1*(1+Sales_HC_Growth)^(D6-1),0)</f>
        <v>24</v>
      </c>
      <c r="E13" s="31" t="n">
        <f aca="false">ROUND(Sales_HC_Y1*(1+Sales_HC_Growth)^(E6-1),0)</f>
        <v>29</v>
      </c>
      <c r="F13" s="31" t="n">
        <f aca="false">ROUND(Sales_HC_Y1*(1+Sales_HC_Growth)^(F6-1),0)</f>
        <v>35</v>
      </c>
      <c r="G13" s="31" t="n">
        <f aca="false">ROUND(Sales_HC_Y1*(1+Sales_HC_Growth)^(G6-1),0)</f>
        <v>41</v>
      </c>
    </row>
    <row r="14" customFormat="false" ht="15" hidden="false" customHeight="false" outlineLevel="0" collapsed="false">
      <c r="A14" s="6"/>
      <c r="B14" s="30" t="s">
        <v>204</v>
      </c>
      <c r="C14" s="32" t="n">
        <f aca="false">Sales_Salary</f>
        <v>120000</v>
      </c>
      <c r="D14" s="32" t="n">
        <f aca="false">Sales_Salary</f>
        <v>120000</v>
      </c>
      <c r="E14" s="32" t="n">
        <f aca="false">Sales_Salary</f>
        <v>120000</v>
      </c>
      <c r="F14" s="32" t="n">
        <f aca="false">Sales_Salary</f>
        <v>120000</v>
      </c>
      <c r="G14" s="32" t="n">
        <f aca="false">Sales_Salary</f>
        <v>120000</v>
      </c>
    </row>
    <row r="15" customFormat="false" ht="15" hidden="false" customHeight="false" outlineLevel="0" collapsed="false">
      <c r="A15" s="6"/>
      <c r="B15" s="36" t="s">
        <v>208</v>
      </c>
      <c r="C15" s="37" t="n">
        <f aca="false">C13*C14</f>
        <v>2400000</v>
      </c>
      <c r="D15" s="37" t="n">
        <f aca="false">D13*D14</f>
        <v>2880000</v>
      </c>
      <c r="E15" s="37" t="n">
        <f aca="false">E13*E14</f>
        <v>3480000</v>
      </c>
      <c r="F15" s="37" t="n">
        <f aca="false">F13*F14</f>
        <v>4200000</v>
      </c>
      <c r="G15" s="37" t="n">
        <f aca="false">G13*G14</f>
        <v>4920000</v>
      </c>
    </row>
    <row r="16" customFormat="false" ht="15" hidden="false" customHeight="false" outlineLevel="0" collapsed="false">
      <c r="A16" s="6"/>
      <c r="B16" s="9" t="s">
        <v>209</v>
      </c>
      <c r="C16" s="10"/>
      <c r="D16" s="10"/>
      <c r="E16" s="10"/>
      <c r="F16" s="10"/>
      <c r="G16" s="10"/>
    </row>
    <row r="17" customFormat="false" ht="15" hidden="false" customHeight="false" outlineLevel="0" collapsed="false">
      <c r="A17" s="6"/>
      <c r="B17" s="30" t="s">
        <v>210</v>
      </c>
      <c r="C17" s="31" t="n">
        <f aca="false">GA_Base*(1+GA_Growth)^(C6-1)</f>
        <v>2500000</v>
      </c>
      <c r="D17" s="31" t="n">
        <f aca="false">GA_Base*(1+GA_Growth)^(D6-1)</f>
        <v>2700000</v>
      </c>
      <c r="E17" s="31" t="n">
        <f aca="false">GA_Base*(1+GA_Growth)^(E6-1)</f>
        <v>2916000</v>
      </c>
      <c r="F17" s="31" t="n">
        <f aca="false">GA_Base*(1+GA_Growth)^(F6-1)</f>
        <v>3149280</v>
      </c>
      <c r="G17" s="31" t="n">
        <f aca="false">GA_Base*(1+GA_Growth)^(G6-1)</f>
        <v>3401222.4</v>
      </c>
    </row>
    <row r="18" customFormat="false" ht="15" hidden="false" customHeight="false" outlineLevel="0" collapsed="false">
      <c r="A18" s="6"/>
      <c r="B18" s="30" t="s">
        <v>211</v>
      </c>
      <c r="C18" s="31" t="n">
        <f aca="false">COGS_Net_Revenue*Compliance_Pct</f>
        <v>1462996.08</v>
      </c>
      <c r="D18" s="31" t="n">
        <f aca="false">COGS_Net_Revenue*Compliance_Pct</f>
        <v>1895714.0433</v>
      </c>
      <c r="E18" s="31" t="n">
        <f aca="false">COGS_Net_Revenue*Compliance_Pct</f>
        <v>2359765.18374975</v>
      </c>
      <c r="F18" s="31" t="n">
        <f aca="false">COGS_Net_Revenue*Compliance_Pct</f>
        <v>2817269.75760227</v>
      </c>
      <c r="G18" s="31" t="n">
        <f aca="false">COGS_Net_Revenue*Compliance_Pct</f>
        <v>3303694.83525309</v>
      </c>
    </row>
    <row r="19" customFormat="false" ht="15" hidden="false" customHeight="false" outlineLevel="0" collapsed="false">
      <c r="A19" s="6"/>
      <c r="B19" s="30" t="s">
        <v>212</v>
      </c>
      <c r="C19" s="31" t="n">
        <f aca="false">COGS_Net_Revenue*Mktg_Pct_Rev</f>
        <v>3657490.2</v>
      </c>
      <c r="D19" s="31" t="n">
        <f aca="false">COGS_Net_Revenue*Mktg_Pct_Rev</f>
        <v>4739285.10825</v>
      </c>
      <c r="E19" s="31" t="n">
        <f aca="false">COGS_Net_Revenue*Mktg_Pct_Rev</f>
        <v>5899412.95937438</v>
      </c>
      <c r="F19" s="31" t="n">
        <f aca="false">COGS_Net_Revenue*Mktg_Pct_Rev</f>
        <v>7043174.39400568</v>
      </c>
      <c r="G19" s="31" t="n">
        <f aca="false">COGS_Net_Revenue*Mktg_Pct_Rev</f>
        <v>8259237.08813272</v>
      </c>
    </row>
    <row r="20" customFormat="false" ht="15" hidden="false" customHeight="false" outlineLevel="0" collapsed="false">
      <c r="A20" s="6"/>
      <c r="B20" s="30" t="s">
        <v>213</v>
      </c>
      <c r="C20" s="31" t="n">
        <f aca="false">COGS_Net_Revenue*SBC_Pct</f>
        <v>2925992.16</v>
      </c>
      <c r="D20" s="31" t="n">
        <f aca="false">COGS_Net_Revenue*SBC_Pct</f>
        <v>3791428.0866</v>
      </c>
      <c r="E20" s="31" t="n">
        <f aca="false">COGS_Net_Revenue*SBC_Pct</f>
        <v>4719530.3674995</v>
      </c>
      <c r="F20" s="31" t="n">
        <f aca="false">COGS_Net_Revenue*SBC_Pct</f>
        <v>5634539.51520454</v>
      </c>
      <c r="G20" s="31" t="n">
        <f aca="false">COGS_Net_Revenue*SBC_Pct</f>
        <v>6607389.67050618</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7" t="s">
        <v>214</v>
      </c>
      <c r="C22" s="34" t="n">
        <f aca="false">C11+C15+C17+C18+C19+C20</f>
        <v>19071478.44</v>
      </c>
      <c r="D22" s="34" t="n">
        <f aca="false">D11+D15+D17+D18+D19+D20</f>
        <v>23006427.23815</v>
      </c>
      <c r="E22" s="34" t="n">
        <f aca="false">E11+E15+E17+E18+E19+E20</f>
        <v>27424708.5106236</v>
      </c>
      <c r="F22" s="34" t="n">
        <f aca="false">F11+F15+F17+F18+F19+F20</f>
        <v>32119263.6668125</v>
      </c>
      <c r="G22" s="34" t="n">
        <f aca="false">G11+G15+G17+G18+G19+G20</f>
        <v>37166543.993892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216</v>
      </c>
      <c r="C8" s="10"/>
      <c r="D8" s="10"/>
      <c r="E8" s="10"/>
      <c r="F8" s="10"/>
      <c r="G8" s="10"/>
    </row>
    <row r="9" customFormat="false" ht="15" hidden="false" customHeight="false" outlineLevel="0" collapsed="false">
      <c r="A9" s="6"/>
      <c r="B9" s="30" t="s">
        <v>217</v>
      </c>
      <c r="C9" s="31" t="n">
        <f aca="false">COGS_Net_Revenue*CapEx_Pct</f>
        <v>1828745.1</v>
      </c>
      <c r="D9" s="31" t="n">
        <f aca="false">COGS_Net_Revenue*CapEx_Pct</f>
        <v>2369642.554125</v>
      </c>
      <c r="E9" s="31" t="n">
        <f aca="false">COGS_Net_Revenue*CapEx_Pct</f>
        <v>2949706.47968719</v>
      </c>
      <c r="F9" s="31" t="n">
        <f aca="false">COGS_Net_Revenue*CapEx_Pct</f>
        <v>3521587.19700284</v>
      </c>
      <c r="G9" s="31" t="n">
        <f aca="false">COGS_Net_Revenue*CapEx_Pct</f>
        <v>4129618.54406636</v>
      </c>
    </row>
    <row r="10" customFormat="false" ht="15" hidden="false" customHeight="false" outlineLevel="0" collapsed="false">
      <c r="A10" s="6"/>
      <c r="B10" s="9" t="s">
        <v>218</v>
      </c>
      <c r="C10" s="10"/>
      <c r="D10" s="10"/>
      <c r="E10" s="10"/>
      <c r="F10" s="10"/>
      <c r="G10" s="10"/>
    </row>
    <row r="11" customFormat="false" ht="15" hidden="false" customHeight="false" outlineLevel="0" collapsed="false">
      <c r="A11" s="6"/>
      <c r="B11" s="30" t="s">
        <v>219</v>
      </c>
      <c r="C11" s="31" t="n">
        <f aca="false">Opening_Cap_Software+SUM($C$9:C9)</f>
        <v>4828745.1</v>
      </c>
      <c r="D11" s="31" t="n">
        <f aca="false">Opening_Cap_Software+SUM($C$9:D9)</f>
        <v>7198387.654125</v>
      </c>
      <c r="E11" s="31" t="n">
        <f aca="false">Opening_Cap_Software+SUM($C$9:E9)</f>
        <v>10148094.1338122</v>
      </c>
      <c r="F11" s="31" t="n">
        <f aca="false">Opening_Cap_Software+SUM($C$9:F9)</f>
        <v>13669681.330815</v>
      </c>
      <c r="G11" s="31" t="n">
        <f aca="false">Opening_Cap_Software+SUM($C$9:G9)</f>
        <v>17799299.8748814</v>
      </c>
    </row>
    <row r="12" customFormat="false" ht="15" hidden="false" customHeight="false" outlineLevel="0" collapsed="false">
      <c r="A12" s="6"/>
      <c r="B12" s="30" t="s">
        <v>220</v>
      </c>
      <c r="C12" s="31" t="n">
        <f aca="false">MIN((Opening_Cap_Software-Accum_Amort_Open)/Useful_Life,MAX(0,(Opening_Cap_Software-Accum_Amort_Open)-(Opening_Cap_Software-Accum_Amort_Open)/Useful_Life*(C6-1)))</f>
        <v>400000</v>
      </c>
      <c r="D12" s="31" t="n">
        <f aca="false">MIN((Opening_Cap_Software-Accum_Amort_Open)/Useful_Life,MAX(0,(Opening_Cap_Software-Accum_Amort_Open)-(Opening_Cap_Software-Accum_Amort_Open)/Useful_Life*(D6-1)))</f>
        <v>400000</v>
      </c>
      <c r="E12" s="31" t="n">
        <f aca="false">MIN((Opening_Cap_Software-Accum_Amort_Open)/Useful_Life,MAX(0,(Opening_Cap_Software-Accum_Amort_Open)-(Opening_Cap_Software-Accum_Amort_Open)/Useful_Life*(E6-1)))</f>
        <v>400000</v>
      </c>
      <c r="F12" s="31" t="n">
        <f aca="false">MIN((Opening_Cap_Software-Accum_Amort_Open)/Useful_Life,MAX(0,(Opening_Cap_Software-Accum_Amort_Open)-(Opening_Cap_Software-Accum_Amort_Open)/Useful_Life*(F6-1)))</f>
        <v>400000</v>
      </c>
      <c r="G12" s="31" t="n">
        <f aca="false">MIN((Opening_Cap_Software-Accum_Amort_Open)/Useful_Life,MAX(0,(Opening_Cap_Software-Accum_Amort_Open)-(Opening_Cap_Software-Accum_Amort_Open)/Useful_Life*(G6-1)))</f>
        <v>400000</v>
      </c>
    </row>
    <row r="13" customFormat="false" ht="15" hidden="false" customHeight="false" outlineLevel="0" collapsed="false">
      <c r="A13" s="6"/>
      <c r="B13" s="30" t="s">
        <v>221</v>
      </c>
      <c r="C13" s="31" t="n">
        <f aca="false">SUM($C$9:C9)/Useful_Life</f>
        <v>365749.02</v>
      </c>
      <c r="D13" s="31" t="n">
        <f aca="false">SUM($C$9:D9)/Useful_Life</f>
        <v>839677.530825</v>
      </c>
      <c r="E13" s="31" t="n">
        <f aca="false">SUM($C$9:E9)/Useful_Life</f>
        <v>1429618.82676244</v>
      </c>
      <c r="F13" s="31" t="n">
        <f aca="false">SUM($C$9:F9)/Useful_Life</f>
        <v>2133936.26616301</v>
      </c>
      <c r="G13" s="31" t="n">
        <f aca="false">SUM($C$9:G9)/Useful_Life</f>
        <v>2959859.97497628</v>
      </c>
    </row>
    <row r="14" customFormat="false" ht="15" hidden="false" customHeight="false" outlineLevel="0" collapsed="false">
      <c r="A14" s="6"/>
      <c r="B14" s="7" t="s">
        <v>222</v>
      </c>
      <c r="C14" s="37" t="n">
        <f aca="false">C12+C13</f>
        <v>765749.02</v>
      </c>
      <c r="D14" s="37" t="n">
        <f aca="false">D12+D13</f>
        <v>1239677.530825</v>
      </c>
      <c r="E14" s="37" t="n">
        <f aca="false">E12+E13</f>
        <v>1829618.82676244</v>
      </c>
      <c r="F14" s="37" t="n">
        <f aca="false">F12+F13</f>
        <v>2533936.26616301</v>
      </c>
      <c r="G14" s="37" t="n">
        <f aca="false">G12+G13</f>
        <v>3359859.97497628</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223</v>
      </c>
      <c r="C16" s="37" t="n">
        <f aca="false">C11-(Accum_Amort_Open+SUM($C$14:C14))</f>
        <v>3062996.08</v>
      </c>
      <c r="D16" s="37" t="n">
        <f aca="false">D11-(Accum_Amort_Open+SUM($C$14:D14))</f>
        <v>4192961.1033</v>
      </c>
      <c r="E16" s="37" t="n">
        <f aca="false">E11-(Accum_Amort_Open+SUM($C$14:E14))</f>
        <v>5313048.75622475</v>
      </c>
      <c r="F16" s="37" t="n">
        <f aca="false">F11-(Accum_Amort_Open+SUM($C$14:F14))</f>
        <v>6300699.68706459</v>
      </c>
      <c r="G16" s="37" t="n">
        <f aca="false">G11-(Accum_Amort_Open+SUM($C$14:G14))</f>
        <v>7070458.25615467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225</v>
      </c>
      <c r="C8" s="10"/>
      <c r="D8" s="10"/>
      <c r="E8" s="10"/>
      <c r="F8" s="10"/>
      <c r="G8" s="10"/>
    </row>
    <row r="9" customFormat="false" ht="15" hidden="false" customHeight="false" outlineLevel="0" collapsed="false">
      <c r="A9" s="6"/>
      <c r="B9" s="30" t="s">
        <v>226</v>
      </c>
      <c r="C9" s="31" t="n">
        <f aca="false">RB_Gross_Txn_Rev*DSO_Days/365</f>
        <v>499190.794520548</v>
      </c>
      <c r="D9" s="31" t="n">
        <f aca="false">RB_Gross_Txn_Rev*DSO_Days/365</f>
        <v>642975.583561644</v>
      </c>
      <c r="E9" s="31" t="n">
        <f aca="false">RB_Gross_Txn_Rev*DSO_Days/365</f>
        <v>795195.493150685</v>
      </c>
      <c r="F9" s="31" t="n">
        <f aca="false">RB_Gross_Txn_Rev*DSO_Days/365</f>
        <v>942706.875945206</v>
      </c>
      <c r="G9" s="31" t="n">
        <f aca="false">RB_Gross_Txn_Rev*DSO_Days/365</f>
        <v>1097037.08320069</v>
      </c>
    </row>
    <row r="10" customFormat="false" ht="15" hidden="false" customHeight="false" outlineLevel="0" collapsed="false">
      <c r="A10" s="6"/>
      <c r="B10" s="30" t="s">
        <v>227</v>
      </c>
      <c r="C10" s="31" t="n">
        <f aca="false">COGS_Net_Revenue*Prepaid_Pct</f>
        <v>731498.04</v>
      </c>
      <c r="D10" s="31" t="n">
        <f aca="false">COGS_Net_Revenue*Prepaid_Pct</f>
        <v>947857.02165</v>
      </c>
      <c r="E10" s="31" t="n">
        <f aca="false">COGS_Net_Revenue*Prepaid_Pct</f>
        <v>1179882.59187488</v>
      </c>
      <c r="F10" s="31" t="n">
        <f aca="false">COGS_Net_Revenue*Prepaid_Pct</f>
        <v>1408634.87880114</v>
      </c>
      <c r="G10" s="31" t="n">
        <f aca="false">COGS_Net_Revenue*Prepaid_Pct</f>
        <v>1651847.41762654</v>
      </c>
    </row>
    <row r="11" customFormat="false" ht="15" hidden="false" customHeight="false" outlineLevel="0" collapsed="false">
      <c r="A11" s="6"/>
      <c r="B11" s="7" t="s">
        <v>228</v>
      </c>
      <c r="C11" s="37" t="n">
        <f aca="false">C9+C10</f>
        <v>1230688.83452055</v>
      </c>
      <c r="D11" s="37" t="n">
        <f aca="false">D9+D10</f>
        <v>1590832.60521164</v>
      </c>
      <c r="E11" s="37" t="n">
        <f aca="false">E9+E10</f>
        <v>1975078.08502556</v>
      </c>
      <c r="F11" s="37" t="n">
        <f aca="false">F9+F10</f>
        <v>2351341.75474634</v>
      </c>
      <c r="G11" s="37" t="n">
        <f aca="false">G9+G10</f>
        <v>2748884.50082723</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229</v>
      </c>
      <c r="C13" s="10"/>
      <c r="D13" s="10"/>
      <c r="E13" s="10"/>
      <c r="F13" s="10"/>
      <c r="G13" s="10"/>
    </row>
    <row r="14" customFormat="false" ht="15" hidden="false" customHeight="false" outlineLevel="0" collapsed="false">
      <c r="A14" s="6"/>
      <c r="B14" s="30" t="s">
        <v>230</v>
      </c>
      <c r="C14" s="31" t="n">
        <f aca="false">COGS_Interchange*DPO_Days/365</f>
        <v>162237.008219178</v>
      </c>
      <c r="D14" s="31" t="n">
        <f aca="false">COGS_Interchange*DPO_Days/365</f>
        <v>208967.064657534</v>
      </c>
      <c r="E14" s="31" t="n">
        <f aca="false">COGS_Interchange*DPO_Days/365</f>
        <v>258438.535273973</v>
      </c>
      <c r="F14" s="31" t="n">
        <f aca="false">COGS_Interchange*DPO_Days/365</f>
        <v>306379.734682192</v>
      </c>
      <c r="G14" s="31" t="n">
        <f aca="false">COGS_Interchange*DPO_Days/365</f>
        <v>356537.052040223</v>
      </c>
    </row>
    <row r="15" customFormat="false" ht="15" hidden="false" customHeight="false" outlineLevel="0" collapsed="false">
      <c r="A15" s="6"/>
      <c r="B15" s="30" t="s">
        <v>231</v>
      </c>
      <c r="C15" s="31" t="n">
        <f aca="false">OX_Total*Accrued_Pct</f>
        <v>1907147.844</v>
      </c>
      <c r="D15" s="31" t="n">
        <f aca="false">OX_Total*Accrued_Pct</f>
        <v>2300642.723815</v>
      </c>
      <c r="E15" s="31" t="n">
        <f aca="false">OX_Total*Accrued_Pct</f>
        <v>2742470.85106236</v>
      </c>
      <c r="F15" s="31" t="n">
        <f aca="false">OX_Total*Accrued_Pct</f>
        <v>3211926.36668125</v>
      </c>
      <c r="G15" s="31" t="n">
        <f aca="false">OX_Total*Accrued_Pct</f>
        <v>3716654.3993892</v>
      </c>
    </row>
    <row r="16" customFormat="false" ht="15" hidden="false" customHeight="false" outlineLevel="0" collapsed="false">
      <c r="A16" s="6"/>
      <c r="B16" s="7" t="s">
        <v>232</v>
      </c>
      <c r="C16" s="37" t="n">
        <f aca="false">C14+C15</f>
        <v>2069384.85221918</v>
      </c>
      <c r="D16" s="37" t="n">
        <f aca="false">D14+D15</f>
        <v>2509609.78847253</v>
      </c>
      <c r="E16" s="37" t="n">
        <f aca="false">E14+E15</f>
        <v>3000909.38633634</v>
      </c>
      <c r="F16" s="37" t="n">
        <f aca="false">F14+F15</f>
        <v>3518306.10136344</v>
      </c>
      <c r="G16" s="37" t="n">
        <f aca="false">G14+G15</f>
        <v>4073191.45142942</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233</v>
      </c>
      <c r="C18" s="34" t="n">
        <f aca="false">C11-C16</f>
        <v>-838696.01769863</v>
      </c>
      <c r="D18" s="34" t="n">
        <f aca="false">D11-D16</f>
        <v>-918777.183260891</v>
      </c>
      <c r="E18" s="34" t="n">
        <f aca="false">E11-E16</f>
        <v>-1025831.30131078</v>
      </c>
      <c r="F18" s="34" t="n">
        <f aca="false">F11-F16</f>
        <v>-1166964.3466171</v>
      </c>
      <c r="G18" s="34" t="n">
        <f aca="false">G11-G16</f>
        <v>-1324306.95060219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154</v>
      </c>
      <c r="C8" s="10"/>
      <c r="D8" s="10"/>
      <c r="E8" s="10"/>
      <c r="F8" s="10"/>
      <c r="G8" s="10"/>
    </row>
    <row r="9" customFormat="false" ht="15" hidden="false" customHeight="false" outlineLevel="0" collapsed="false">
      <c r="A9" s="6"/>
      <c r="B9" s="30" t="s">
        <v>234</v>
      </c>
      <c r="C9" s="31" t="n">
        <f aca="false">Venture_Debt_Amt</f>
        <v>10000000</v>
      </c>
      <c r="D9" s="31" t="n">
        <f aca="false">C11</f>
        <v>8000000</v>
      </c>
      <c r="E9" s="31" t="n">
        <f aca="false">D11</f>
        <v>6000000</v>
      </c>
      <c r="F9" s="31" t="n">
        <f aca="false">E11</f>
        <v>4000000</v>
      </c>
      <c r="G9" s="31" t="n">
        <f aca="false">F11</f>
        <v>2000000</v>
      </c>
    </row>
    <row r="10" customFormat="false" ht="15" hidden="false" customHeight="false" outlineLevel="0" collapsed="false">
      <c r="A10" s="6"/>
      <c r="B10" s="30" t="s">
        <v>235</v>
      </c>
      <c r="C10" s="31" t="n">
        <f aca="false">MIN(Venture_Debt_Amt/Debt_Tenor,C9)</f>
        <v>2000000</v>
      </c>
      <c r="D10" s="31" t="n">
        <f aca="false">MIN(Venture_Debt_Amt/Debt_Tenor,D9)</f>
        <v>2000000</v>
      </c>
      <c r="E10" s="31" t="n">
        <f aca="false">MIN(Venture_Debt_Amt/Debt_Tenor,E9)</f>
        <v>2000000</v>
      </c>
      <c r="F10" s="31" t="n">
        <f aca="false">MIN(Venture_Debt_Amt/Debt_Tenor,F9)</f>
        <v>2000000</v>
      </c>
      <c r="G10" s="31" t="n">
        <f aca="false">MIN(Venture_Debt_Amt/Debt_Tenor,G9)</f>
        <v>2000000</v>
      </c>
    </row>
    <row r="11" customFormat="false" ht="15" hidden="false" customHeight="false" outlineLevel="0" collapsed="false">
      <c r="A11" s="6"/>
      <c r="B11" s="7" t="s">
        <v>236</v>
      </c>
      <c r="C11" s="37" t="n">
        <f aca="false">C9-C10</f>
        <v>8000000</v>
      </c>
      <c r="D11" s="37" t="n">
        <f aca="false">D9-D10</f>
        <v>6000000</v>
      </c>
      <c r="E11" s="37" t="n">
        <f aca="false">E9-E10</f>
        <v>4000000</v>
      </c>
      <c r="F11" s="37" t="n">
        <f aca="false">F9-F10</f>
        <v>2000000</v>
      </c>
      <c r="G11" s="37" t="n">
        <f aca="false">G9-G10</f>
        <v>0</v>
      </c>
    </row>
    <row r="12" customFormat="false" ht="15" hidden="false" customHeight="false" outlineLevel="0" collapsed="false">
      <c r="A12" s="6"/>
      <c r="B12" s="30" t="s">
        <v>237</v>
      </c>
      <c r="C12" s="31" t="n">
        <f aca="false">C9*Debt_Rate</f>
        <v>850000</v>
      </c>
      <c r="D12" s="31" t="n">
        <f aca="false">D9*Debt_Rate</f>
        <v>680000</v>
      </c>
      <c r="E12" s="31" t="n">
        <f aca="false">E9*Debt_Rate</f>
        <v>510000</v>
      </c>
      <c r="F12" s="31" t="n">
        <f aca="false">F9*Debt_Rate</f>
        <v>340000</v>
      </c>
      <c r="G12" s="31" t="n">
        <f aca="false">G9*Debt_Rate</f>
        <v>170000</v>
      </c>
    </row>
    <row r="13" customFormat="false" ht="15" hidden="false" customHeight="false" outlineLevel="0" collapsed="false">
      <c r="A13" s="6"/>
      <c r="B13" s="9" t="s">
        <v>238</v>
      </c>
      <c r="C13" s="10"/>
      <c r="D13" s="10"/>
      <c r="E13" s="10"/>
      <c r="F13" s="10"/>
      <c r="G13" s="10"/>
    </row>
    <row r="14" customFormat="false" ht="15" hidden="false" customHeight="false" outlineLevel="0" collapsed="false">
      <c r="A14" s="6"/>
      <c r="B14" s="30" t="s">
        <v>239</v>
      </c>
      <c r="C14" s="31" t="n">
        <f aca="false">Revolver_Limit*Commit_Fee_Rate</f>
        <v>25000</v>
      </c>
      <c r="D14" s="31" t="n">
        <f aca="false">Revolver_Limit*Commit_Fee_Rate</f>
        <v>25000</v>
      </c>
      <c r="E14" s="31" t="n">
        <f aca="false">Revolver_Limit*Commit_Fee_Rate</f>
        <v>25000</v>
      </c>
      <c r="F14" s="31" t="n">
        <f aca="false">Revolver_Limit*Commit_Fee_Rate</f>
        <v>25000</v>
      </c>
      <c r="G14" s="31" t="n">
        <f aca="false">Revolver_Limit*Commit_Fee_Rate</f>
        <v>25000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242</v>
      </c>
      <c r="C8" s="10"/>
      <c r="D8" s="10"/>
      <c r="E8" s="10"/>
      <c r="F8" s="10"/>
      <c r="G8" s="10"/>
    </row>
    <row r="9" customFormat="false" ht="15" hidden="false" customHeight="false" outlineLevel="0" collapsed="false">
      <c r="A9" s="6"/>
      <c r="B9" s="30" t="s">
        <v>184</v>
      </c>
      <c r="C9" s="31" t="n">
        <f aca="false">RB_Gross_Txn_Rev</f>
        <v>91102320</v>
      </c>
      <c r="D9" s="31" t="n">
        <f aca="false">RB_Gross_Txn_Rev</f>
        <v>117343044</v>
      </c>
      <c r="E9" s="31" t="n">
        <f aca="false">RB_Gross_Txn_Rev</f>
        <v>145123177.5</v>
      </c>
      <c r="F9" s="31" t="n">
        <f aca="false">RB_Gross_Txn_Rev</f>
        <v>172044004.86</v>
      </c>
      <c r="G9" s="31" t="n">
        <f aca="false">RB_Gross_Txn_Rev</f>
        <v>200209267.684125</v>
      </c>
    </row>
    <row r="10" customFormat="false" ht="15" hidden="false" customHeight="false" outlineLevel="0" collapsed="false">
      <c r="A10" s="6"/>
      <c r="B10" s="30" t="s">
        <v>243</v>
      </c>
      <c r="C10" s="31" t="n">
        <f aca="false">COGS_Interchange</f>
        <v>59216508</v>
      </c>
      <c r="D10" s="31" t="n">
        <f aca="false">COGS_Interchange</f>
        <v>76272978.6</v>
      </c>
      <c r="E10" s="31" t="n">
        <f aca="false">COGS_Interchange</f>
        <v>94330065.375</v>
      </c>
      <c r="F10" s="31" t="n">
        <f aca="false">COGS_Interchange</f>
        <v>111828603.159</v>
      </c>
      <c r="G10" s="31" t="n">
        <f aca="false">COGS_Interchange</f>
        <v>130136023.994681</v>
      </c>
    </row>
    <row r="11" customFormat="false" ht="15" hidden="false" customHeight="false" outlineLevel="0" collapsed="false">
      <c r="A11" s="6"/>
      <c r="B11" s="30" t="s">
        <v>244</v>
      </c>
      <c r="C11" s="31" t="n">
        <f aca="false">C9-C10</f>
        <v>31885812</v>
      </c>
      <c r="D11" s="31" t="n">
        <f aca="false">D9-D10</f>
        <v>41070065.4</v>
      </c>
      <c r="E11" s="31" t="n">
        <f aca="false">E9-E10</f>
        <v>50793112.125</v>
      </c>
      <c r="F11" s="31" t="n">
        <f aca="false">F9-F10</f>
        <v>60215401.701</v>
      </c>
      <c r="G11" s="31" t="n">
        <f aca="false">G9-G10</f>
        <v>70073243.6894438</v>
      </c>
    </row>
    <row r="12" customFormat="false" ht="15" hidden="false" customHeight="false" outlineLevel="0" collapsed="false">
      <c r="A12" s="6"/>
      <c r="B12" s="30" t="s">
        <v>185</v>
      </c>
      <c r="C12" s="31" t="n">
        <f aca="false">RB_Sub_Rev</f>
        <v>3929904</v>
      </c>
      <c r="D12" s="31" t="n">
        <f aca="false">RB_Sub_Rev</f>
        <v>5256543.6</v>
      </c>
      <c r="E12" s="31" t="n">
        <f aca="false">RB_Sub_Rev</f>
        <v>6761032.74</v>
      </c>
      <c r="F12" s="31" t="n">
        <f aca="false">RB_Sub_Rev</f>
        <v>8349194.3535</v>
      </c>
      <c r="G12" s="31" t="n">
        <f aca="false">RB_Sub_Rev</f>
        <v>10138474.424925</v>
      </c>
    </row>
    <row r="13" customFormat="false" ht="15" hidden="false" customHeight="false" outlineLevel="0" collapsed="false">
      <c r="A13" s="6"/>
      <c r="B13" s="30" t="s">
        <v>190</v>
      </c>
      <c r="C13" s="31" t="n">
        <f aca="false">RB_VAS_Rev</f>
        <v>759186</v>
      </c>
      <c r="D13" s="31" t="n">
        <f aca="false">RB_VAS_Rev</f>
        <v>1066242.0825</v>
      </c>
      <c r="E13" s="31" t="n">
        <f aca="false">RB_VAS_Rev</f>
        <v>1439984.72874375</v>
      </c>
      <c r="F13" s="31" t="n">
        <f aca="false">RB_VAS_Rev</f>
        <v>1867147.88555679</v>
      </c>
      <c r="G13" s="31" t="n">
        <f aca="false">RB_VAS_Rev</f>
        <v>2380652.76695847</v>
      </c>
    </row>
    <row r="14" customFormat="false" ht="15" hidden="false" customHeight="false" outlineLevel="0" collapsed="false">
      <c r="A14" s="6"/>
      <c r="B14" s="7" t="s">
        <v>245</v>
      </c>
      <c r="C14" s="34" t="n">
        <f aca="false">C11+C12+C13</f>
        <v>36574902</v>
      </c>
      <c r="D14" s="34" t="n">
        <f aca="false">D11+D12+D13</f>
        <v>47392851.0825</v>
      </c>
      <c r="E14" s="34" t="n">
        <f aca="false">E11+E12+E13</f>
        <v>58994129.5937438</v>
      </c>
      <c r="F14" s="34" t="n">
        <f aca="false">F11+F12+F13</f>
        <v>70431743.9400568</v>
      </c>
      <c r="G14" s="34" t="n">
        <f aca="false">G11+G12+G13</f>
        <v>82592370.8813272</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193</v>
      </c>
      <c r="C16" s="10"/>
      <c r="D16" s="10"/>
      <c r="E16" s="10"/>
      <c r="F16" s="10"/>
      <c r="G16" s="10"/>
    </row>
    <row r="17" customFormat="false" ht="15" hidden="false" customHeight="false" outlineLevel="0" collapsed="false">
      <c r="A17" s="6"/>
      <c r="B17" s="30" t="s">
        <v>195</v>
      </c>
      <c r="C17" s="31" t="n">
        <f aca="false">COGS_Processor</f>
        <v>6377162.4</v>
      </c>
      <c r="D17" s="31" t="n">
        <f aca="false">COGS_Processor</f>
        <v>8214013.08</v>
      </c>
      <c r="E17" s="31" t="n">
        <f aca="false">COGS_Processor</f>
        <v>10158622.425</v>
      </c>
      <c r="F17" s="31" t="n">
        <f aca="false">COGS_Processor</f>
        <v>12043080.3402</v>
      </c>
      <c r="G17" s="31" t="n">
        <f aca="false">COGS_Processor</f>
        <v>14014648.7378888</v>
      </c>
    </row>
    <row r="18" customFormat="false" ht="15" hidden="false" customHeight="false" outlineLevel="0" collapsed="false">
      <c r="A18" s="6"/>
      <c r="B18" s="30" t="s">
        <v>196</v>
      </c>
      <c r="C18" s="31" t="n">
        <f aca="false">COGS_Fraud</f>
        <v>3374160</v>
      </c>
      <c r="D18" s="31" t="n">
        <f aca="false">COGS_Fraud</f>
        <v>4513194</v>
      </c>
      <c r="E18" s="31" t="n">
        <f aca="false">COGS_Fraud</f>
        <v>5804927.1</v>
      </c>
      <c r="F18" s="31" t="n">
        <f aca="false">COGS_Fraud</f>
        <v>7168500.2025</v>
      </c>
      <c r="G18" s="31" t="n">
        <f aca="false">COGS_Fraud</f>
        <v>8704750.768875</v>
      </c>
    </row>
    <row r="19" customFormat="false" ht="15" hidden="false" customHeight="false" outlineLevel="0" collapsed="false">
      <c r="A19" s="6"/>
      <c r="B19" s="30" t="s">
        <v>197</v>
      </c>
      <c r="C19" s="31" t="n">
        <f aca="false">COGS_Hosting</f>
        <v>1462996.08</v>
      </c>
      <c r="D19" s="31" t="n">
        <f aca="false">COGS_Hosting</f>
        <v>1895714.0433</v>
      </c>
      <c r="E19" s="31" t="n">
        <f aca="false">COGS_Hosting</f>
        <v>2359765.18374975</v>
      </c>
      <c r="F19" s="31" t="n">
        <f aca="false">COGS_Hosting</f>
        <v>2817269.75760227</v>
      </c>
      <c r="G19" s="31" t="n">
        <f aca="false">COGS_Hosting</f>
        <v>3303694.83525309</v>
      </c>
    </row>
    <row r="20" customFormat="false" ht="15" hidden="false" customHeight="false" outlineLevel="0" collapsed="false">
      <c r="A20" s="6"/>
      <c r="B20" s="7" t="s">
        <v>246</v>
      </c>
      <c r="C20" s="37" t="n">
        <f aca="false">C17+C18+C19</f>
        <v>11214318.48</v>
      </c>
      <c r="D20" s="37" t="n">
        <f aca="false">D17+D18+D19</f>
        <v>14622921.1233</v>
      </c>
      <c r="E20" s="37" t="n">
        <f aca="false">E17+E18+E19</f>
        <v>18323314.7087498</v>
      </c>
      <c r="F20" s="37" t="n">
        <f aca="false">F17+F18+F19</f>
        <v>22028850.3003023</v>
      </c>
      <c r="G20" s="37" t="n">
        <f aca="false">G17+G18+G19</f>
        <v>26023094.3420168</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7" t="s">
        <v>247</v>
      </c>
      <c r="C22" s="34" t="n">
        <f aca="false">C14-C20</f>
        <v>25360583.52</v>
      </c>
      <c r="D22" s="34" t="n">
        <f aca="false">D14-D20</f>
        <v>32769929.9592</v>
      </c>
      <c r="E22" s="34" t="n">
        <f aca="false">E14-E20</f>
        <v>40670814.884994</v>
      </c>
      <c r="F22" s="34" t="n">
        <f aca="false">F14-F20</f>
        <v>48402893.6397545</v>
      </c>
      <c r="G22" s="34" t="n">
        <f aca="false">G14-G20</f>
        <v>56569276.5393104</v>
      </c>
    </row>
    <row r="23" customFormat="false" ht="15" hidden="false" customHeight="false" outlineLevel="0" collapsed="false">
      <c r="A23" s="6"/>
      <c r="B23" s="24" t="s">
        <v>200</v>
      </c>
      <c r="C23" s="35" t="n">
        <f aca="false">IFERROR(C22/C14,0)</f>
        <v>0.693387600054267</v>
      </c>
      <c r="D23" s="35" t="n">
        <f aca="false">IFERROR(D22/D14,0)</f>
        <v>0.691453018982866</v>
      </c>
      <c r="E23" s="35" t="n">
        <f aca="false">IFERROR(E22/E14,0)</f>
        <v>0.689404440154789</v>
      </c>
      <c r="F23" s="35" t="n">
        <f aca="false">IFERROR(F22/F14,0)</f>
        <v>0.68723122461584</v>
      </c>
      <c r="G23" s="35" t="n">
        <f aca="false">IFERROR(G22/G14,0)</f>
        <v>0.684921330331973</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111</v>
      </c>
      <c r="C25" s="10"/>
      <c r="D25" s="10"/>
      <c r="E25" s="10"/>
      <c r="F25" s="10"/>
      <c r="G25" s="10"/>
    </row>
    <row r="26" customFormat="false" ht="15" hidden="false" customHeight="false" outlineLevel="0" collapsed="false">
      <c r="A26" s="6"/>
      <c r="B26" s="30" t="s">
        <v>202</v>
      </c>
      <c r="C26" s="31" t="n">
        <f aca="false">OX_Eng_Total</f>
        <v>6125000</v>
      </c>
      <c r="D26" s="31" t="n">
        <f aca="false">OX_Eng_Total</f>
        <v>7000000</v>
      </c>
      <c r="E26" s="31" t="n">
        <f aca="false">OX_Eng_Total</f>
        <v>8050000</v>
      </c>
      <c r="F26" s="31" t="n">
        <f aca="false">OX_Eng_Total</f>
        <v>9275000</v>
      </c>
      <c r="G26" s="31" t="n">
        <f aca="false">OX_Eng_Total</f>
        <v>10675000</v>
      </c>
    </row>
    <row r="27" customFormat="false" ht="15" hidden="false" customHeight="false" outlineLevel="0" collapsed="false">
      <c r="A27" s="6"/>
      <c r="B27" s="30" t="s">
        <v>208</v>
      </c>
      <c r="C27" s="31" t="n">
        <f aca="false">OX_Sales_Total</f>
        <v>2400000</v>
      </c>
      <c r="D27" s="31" t="n">
        <f aca="false">OX_Sales_Total</f>
        <v>2880000</v>
      </c>
      <c r="E27" s="31" t="n">
        <f aca="false">OX_Sales_Total</f>
        <v>3480000</v>
      </c>
      <c r="F27" s="31" t="n">
        <f aca="false">OX_Sales_Total</f>
        <v>4200000</v>
      </c>
      <c r="G27" s="31" t="n">
        <f aca="false">OX_Sales_Total</f>
        <v>4920000</v>
      </c>
    </row>
    <row r="28" customFormat="false" ht="15" hidden="false" customHeight="false" outlineLevel="0" collapsed="false">
      <c r="A28" s="6"/>
      <c r="B28" s="30" t="s">
        <v>210</v>
      </c>
      <c r="C28" s="31" t="n">
        <f aca="false">OX_GA</f>
        <v>2500000</v>
      </c>
      <c r="D28" s="31" t="n">
        <f aca="false">OX_GA</f>
        <v>2700000</v>
      </c>
      <c r="E28" s="31" t="n">
        <f aca="false">OX_GA</f>
        <v>2916000</v>
      </c>
      <c r="F28" s="31" t="n">
        <f aca="false">OX_GA</f>
        <v>3149280</v>
      </c>
      <c r="G28" s="31" t="n">
        <f aca="false">OX_GA</f>
        <v>3401222.4</v>
      </c>
    </row>
    <row r="29" customFormat="false" ht="15" hidden="false" customHeight="false" outlineLevel="0" collapsed="false">
      <c r="A29" s="6"/>
      <c r="B29" s="30" t="s">
        <v>211</v>
      </c>
      <c r="C29" s="31" t="n">
        <f aca="false">OX_Compliance</f>
        <v>1462996.08</v>
      </c>
      <c r="D29" s="31" t="n">
        <f aca="false">OX_Compliance</f>
        <v>1895714.0433</v>
      </c>
      <c r="E29" s="31" t="n">
        <f aca="false">OX_Compliance</f>
        <v>2359765.18374975</v>
      </c>
      <c r="F29" s="31" t="n">
        <f aca="false">OX_Compliance</f>
        <v>2817269.75760227</v>
      </c>
      <c r="G29" s="31" t="n">
        <f aca="false">OX_Compliance</f>
        <v>3303694.83525309</v>
      </c>
    </row>
    <row r="30" customFormat="false" ht="15" hidden="false" customHeight="false" outlineLevel="0" collapsed="false">
      <c r="A30" s="6"/>
      <c r="B30" s="30" t="s">
        <v>212</v>
      </c>
      <c r="C30" s="31" t="n">
        <f aca="false">OX_Mktg</f>
        <v>3657490.2</v>
      </c>
      <c r="D30" s="31" t="n">
        <f aca="false">OX_Mktg</f>
        <v>4739285.10825</v>
      </c>
      <c r="E30" s="31" t="n">
        <f aca="false">OX_Mktg</f>
        <v>5899412.95937438</v>
      </c>
      <c r="F30" s="31" t="n">
        <f aca="false">OX_Mktg</f>
        <v>7043174.39400568</v>
      </c>
      <c r="G30" s="31" t="n">
        <f aca="false">OX_Mktg</f>
        <v>8259237.08813272</v>
      </c>
    </row>
    <row r="31" customFormat="false" ht="15" hidden="false" customHeight="false" outlineLevel="0" collapsed="false">
      <c r="A31" s="6"/>
      <c r="B31" s="30" t="s">
        <v>213</v>
      </c>
      <c r="C31" s="31" t="n">
        <f aca="false">OX_SBC</f>
        <v>2925992.16</v>
      </c>
      <c r="D31" s="31" t="n">
        <f aca="false">OX_SBC</f>
        <v>3791428.0866</v>
      </c>
      <c r="E31" s="31" t="n">
        <f aca="false">OX_SBC</f>
        <v>4719530.3674995</v>
      </c>
      <c r="F31" s="31" t="n">
        <f aca="false">OX_SBC</f>
        <v>5634539.51520454</v>
      </c>
      <c r="G31" s="31" t="n">
        <f aca="false">OX_SBC</f>
        <v>6607389.67050618</v>
      </c>
    </row>
    <row r="32" customFormat="false" ht="15" hidden="false" customHeight="false" outlineLevel="0" collapsed="false">
      <c r="A32" s="6"/>
      <c r="B32" s="7" t="s">
        <v>248</v>
      </c>
      <c r="C32" s="37" t="n">
        <f aca="false">C26+C27+C28+C29+C30+C31</f>
        <v>19071478.44</v>
      </c>
      <c r="D32" s="37" t="n">
        <f aca="false">D26+D27+D28+D29+D30+D31</f>
        <v>23006427.23815</v>
      </c>
      <c r="E32" s="37" t="n">
        <f aca="false">E26+E27+E28+E29+E30+E31</f>
        <v>27424708.5106236</v>
      </c>
      <c r="F32" s="37" t="n">
        <f aca="false">F26+F27+F28+F29+F30+F31</f>
        <v>32119263.6668125</v>
      </c>
      <c r="G32" s="37" t="n">
        <f aca="false">G26+G27+G28+G29+G30+G31</f>
        <v>37166543.993892</v>
      </c>
    </row>
    <row r="33" customFormat="false" ht="15" hidden="false" customHeight="false" outlineLevel="0" collapsed="false">
      <c r="A33" s="6"/>
      <c r="B33" s="6"/>
      <c r="C33" s="6"/>
      <c r="D33" s="6"/>
      <c r="E33" s="6"/>
      <c r="F33" s="6"/>
      <c r="G33" s="6"/>
    </row>
    <row r="34" customFormat="false" ht="15" hidden="false" customHeight="false" outlineLevel="0" collapsed="false">
      <c r="A34" s="6"/>
      <c r="B34" s="7" t="s">
        <v>249</v>
      </c>
      <c r="C34" s="34" t="n">
        <f aca="false">C22-C32</f>
        <v>6289105.08</v>
      </c>
      <c r="D34" s="34" t="n">
        <f aca="false">D22-D32</f>
        <v>9763502.72105</v>
      </c>
      <c r="E34" s="34" t="n">
        <f aca="false">E22-E32</f>
        <v>13246106.3743704</v>
      </c>
      <c r="F34" s="34" t="n">
        <f aca="false">F22-F32</f>
        <v>16283629.972942</v>
      </c>
      <c r="G34" s="34" t="n">
        <f aca="false">G22-G32</f>
        <v>19402732.5454184</v>
      </c>
    </row>
    <row r="35" customFormat="false" ht="15" hidden="false" customHeight="false" outlineLevel="0" collapsed="false">
      <c r="A35" s="6"/>
      <c r="B35" s="24" t="s">
        <v>250</v>
      </c>
      <c r="C35" s="35" t="n">
        <f aca="false">IFERROR(C34/C14,0)</f>
        <v>0.171951385679721</v>
      </c>
      <c r="D35" s="35" t="n">
        <f aca="false">IFERROR(D34/D14,0)</f>
        <v>0.206012141030595</v>
      </c>
      <c r="E35" s="35" t="n">
        <f aca="false">IFERROR(E34/E14,0)</f>
        <v>0.224532618170454</v>
      </c>
      <c r="F35" s="35" t="n">
        <f aca="false">IFERROR(F34/F14,0)</f>
        <v>0.23119731334213</v>
      </c>
      <c r="G35" s="35" t="n">
        <f aca="false">IFERROR(G34/G14,0)</f>
        <v>0.234921607630046</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30" t="s">
        <v>251</v>
      </c>
      <c r="C37" s="31" t="n">
        <f aca="false">CD_Total_DA</f>
        <v>765749.02</v>
      </c>
      <c r="D37" s="31" t="n">
        <f aca="false">CD_Total_DA</f>
        <v>1239677.530825</v>
      </c>
      <c r="E37" s="31" t="n">
        <f aca="false">CD_Total_DA</f>
        <v>1829618.82676244</v>
      </c>
      <c r="F37" s="31" t="n">
        <f aca="false">CD_Total_DA</f>
        <v>2533936.26616301</v>
      </c>
      <c r="G37" s="31" t="n">
        <f aca="false">CD_Total_DA</f>
        <v>3359859.97497628</v>
      </c>
    </row>
    <row r="38" customFormat="false" ht="15" hidden="false" customHeight="false" outlineLevel="0" collapsed="false">
      <c r="A38" s="6"/>
      <c r="B38" s="7" t="s">
        <v>252</v>
      </c>
      <c r="C38" s="34" t="n">
        <f aca="false">C34-C37</f>
        <v>5523356.06</v>
      </c>
      <c r="D38" s="34" t="n">
        <f aca="false">D34-D37</f>
        <v>8523825.190225</v>
      </c>
      <c r="E38" s="34" t="n">
        <f aca="false">E34-E37</f>
        <v>11416487.5476079</v>
      </c>
      <c r="F38" s="34" t="n">
        <f aca="false">F34-F37</f>
        <v>13749693.706779</v>
      </c>
      <c r="G38" s="34" t="n">
        <f aca="false">G34-G37</f>
        <v>16042872.5704421</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9" t="s">
        <v>253</v>
      </c>
      <c r="C40" s="10"/>
      <c r="D40" s="10"/>
      <c r="E40" s="10"/>
      <c r="F40" s="10"/>
      <c r="G40" s="10"/>
    </row>
    <row r="41" customFormat="false" ht="15" hidden="false" customHeight="false" outlineLevel="0" collapsed="false">
      <c r="A41" s="6"/>
      <c r="B41" s="30" t="s">
        <v>237</v>
      </c>
      <c r="C41" s="31" t="n">
        <f aca="false">DS_Interest</f>
        <v>850000</v>
      </c>
      <c r="D41" s="31" t="n">
        <f aca="false">DS_Interest</f>
        <v>680000</v>
      </c>
      <c r="E41" s="31" t="n">
        <f aca="false">DS_Interest</f>
        <v>510000</v>
      </c>
      <c r="F41" s="31" t="n">
        <f aca="false">DS_Interest</f>
        <v>340000</v>
      </c>
      <c r="G41" s="31" t="n">
        <f aca="false">DS_Interest</f>
        <v>170000</v>
      </c>
    </row>
    <row r="42" customFormat="false" ht="15" hidden="false" customHeight="false" outlineLevel="0" collapsed="false">
      <c r="A42" s="6"/>
      <c r="B42" s="30" t="s">
        <v>239</v>
      </c>
      <c r="C42" s="31" t="n">
        <f aca="false">DS_Commit_Fee</f>
        <v>25000</v>
      </c>
      <c r="D42" s="31" t="n">
        <f aca="false">DS_Commit_Fee</f>
        <v>25000</v>
      </c>
      <c r="E42" s="31" t="n">
        <f aca="false">DS_Commit_Fee</f>
        <v>25000</v>
      </c>
      <c r="F42" s="31" t="n">
        <f aca="false">DS_Commit_Fee</f>
        <v>25000</v>
      </c>
      <c r="G42" s="31" t="n">
        <f aca="false">DS_Commit_Fee</f>
        <v>25000</v>
      </c>
    </row>
    <row r="43" customFormat="false" ht="15" hidden="false" customHeight="false" outlineLevel="0" collapsed="false">
      <c r="A43" s="6"/>
      <c r="B43" s="30" t="s">
        <v>254</v>
      </c>
      <c r="C43" s="31" t="n">
        <f aca="false">Open_Cash*Int_Income_Rate</f>
        <v>1000000</v>
      </c>
      <c r="D43" s="31" t="n">
        <f aca="false">Cash_Flow!C32*Int_Income_Rate</f>
        <v>1585717.39310521</v>
      </c>
      <c r="E43" s="31" t="n">
        <f aca="false">Cash_Flow!D32*Int_Income_Rate</f>
        <v>1897515.4397596</v>
      </c>
      <c r="F43" s="31" t="n">
        <f aca="false">Cash_Flow!E32*Int_Income_Rate</f>
        <v>2349145.40268561</v>
      </c>
      <c r="G43" s="31" t="n">
        <f aca="false">Cash_Flow!F32*Int_Income_Rate</f>
        <v>2932681.44115639</v>
      </c>
    </row>
    <row r="44" customFormat="false" ht="15" hidden="false" customHeight="false" outlineLevel="0" collapsed="false">
      <c r="A44" s="6"/>
      <c r="B44" s="7" t="s">
        <v>255</v>
      </c>
      <c r="C44" s="37" t="n">
        <f aca="false">C41+C42-C43</f>
        <v>-125000</v>
      </c>
      <c r="D44" s="37" t="n">
        <f aca="false">D41+D42-D43</f>
        <v>-880717.393105206</v>
      </c>
      <c r="E44" s="37" t="n">
        <f aca="false">E41+E42-E43</f>
        <v>-1362515.4397596</v>
      </c>
      <c r="F44" s="37" t="n">
        <f aca="false">F41+F42-F43</f>
        <v>-1984145.40268561</v>
      </c>
      <c r="G44" s="37" t="n">
        <f aca="false">G41+G42-G43</f>
        <v>-2737681.44115639</v>
      </c>
    </row>
    <row r="45" customFormat="false" ht="15" hidden="false" customHeight="false" outlineLevel="0" collapsed="false">
      <c r="A45" s="6"/>
      <c r="B45" s="6"/>
      <c r="C45" s="6"/>
      <c r="D45" s="6"/>
      <c r="E45" s="6"/>
      <c r="F45" s="6"/>
      <c r="G45" s="6"/>
    </row>
    <row r="46" customFormat="false" ht="15" hidden="false" customHeight="false" outlineLevel="0" collapsed="false">
      <c r="A46" s="6"/>
      <c r="B46" s="7" t="s">
        <v>256</v>
      </c>
      <c r="C46" s="34" t="n">
        <f aca="false">C38-C44</f>
        <v>5648356.06</v>
      </c>
      <c r="D46" s="34" t="n">
        <f aca="false">D38-D44</f>
        <v>9404542.5833302</v>
      </c>
      <c r="E46" s="34" t="n">
        <f aca="false">E38-E44</f>
        <v>12779002.9873675</v>
      </c>
      <c r="F46" s="34" t="n">
        <f aca="false">F38-F44</f>
        <v>15733839.1094646</v>
      </c>
      <c r="G46" s="34" t="n">
        <f aca="false">G38-G44</f>
        <v>18780554.0115985</v>
      </c>
    </row>
    <row r="47" customFormat="false" ht="15" hidden="false" customHeight="false" outlineLevel="0" collapsed="false">
      <c r="A47" s="6"/>
      <c r="B47" s="30" t="s">
        <v>257</v>
      </c>
      <c r="C47" s="31" t="n">
        <f aca="false">MAX(0,C46*Tax_Rate)</f>
        <v>1412089.015</v>
      </c>
      <c r="D47" s="31" t="n">
        <f aca="false">MAX(0,D46*Tax_Rate)</f>
        <v>2351135.64583255</v>
      </c>
      <c r="E47" s="31" t="n">
        <f aca="false">MAX(0,E46*Tax_Rate)</f>
        <v>3194750.74684188</v>
      </c>
      <c r="F47" s="31" t="n">
        <f aca="false">MAX(0,F46*Tax_Rate)</f>
        <v>3933459.77736615</v>
      </c>
      <c r="G47" s="31" t="n">
        <f aca="false">MAX(0,G46*Tax_Rate)</f>
        <v>4695138.50289963</v>
      </c>
    </row>
    <row r="48" customFormat="false" ht="15" hidden="false" customHeight="false" outlineLevel="0" collapsed="false">
      <c r="A48" s="6"/>
      <c r="B48" s="6"/>
      <c r="C48" s="6"/>
      <c r="D48" s="6"/>
      <c r="E48" s="6"/>
      <c r="F48" s="6"/>
      <c r="G48" s="6"/>
    </row>
    <row r="49" customFormat="false" ht="15" hidden="false" customHeight="false" outlineLevel="0" collapsed="false">
      <c r="A49" s="6"/>
      <c r="B49" s="7" t="s">
        <v>258</v>
      </c>
      <c r="C49" s="34" t="n">
        <f aca="false">C46-C47</f>
        <v>4236267.045</v>
      </c>
      <c r="D49" s="34" t="n">
        <f aca="false">D46-D47</f>
        <v>7053406.93749765</v>
      </c>
      <c r="E49" s="34" t="n">
        <f aca="false">E46-E47</f>
        <v>9584252.24052565</v>
      </c>
      <c r="F49" s="34" t="n">
        <f aca="false">F46-F47</f>
        <v>11800379.3320985</v>
      </c>
      <c r="G49" s="34" t="n">
        <f aca="false">G46-G47</f>
        <v>14085415.5086989</v>
      </c>
    </row>
    <row r="50" customFormat="false" ht="15" hidden="false" customHeight="false" outlineLevel="0" collapsed="false">
      <c r="A50" s="6"/>
      <c r="B50" s="24" t="s">
        <v>259</v>
      </c>
      <c r="C50" s="35" t="n">
        <f aca="false">IFERROR(C49/C14,0)</f>
        <v>0.115824426405845</v>
      </c>
      <c r="D50" s="35" t="n">
        <f aca="false">IFERROR(D49/D14,0)</f>
        <v>0.148828500003498</v>
      </c>
      <c r="E50" s="35" t="n">
        <f aca="false">IFERROR(E49/E14,0)</f>
        <v>0.162461117852344</v>
      </c>
      <c r="F50" s="35" t="n">
        <f aca="false">IFERROR(F49/F14,0)</f>
        <v>0.167543477869035</v>
      </c>
      <c r="G50" s="35" t="n">
        <f aca="false">IFERROR(G49/G14,0)</f>
        <v>0.170541363062909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2026-05-15T18:53:13Z</dcterms:created>
  <dc:creator>openpyxl</dc:creator>
  <dc:description/>
  <dc:language>en-GB</dc:language>
  <cp:lastModifiedBy/>
  <dcterms:modified xsi:type="dcterms:W3CDTF">2026-05-15T18:53:13Z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